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auto_data2\쿠팡자동\"/>
    </mc:Choice>
  </mc:AlternateContent>
  <xr:revisionPtr revIDLastSave="0" documentId="13_ncr:1_{00AC36C7-5AD7-4F7B-87A0-AB0FCE8893F7}" xr6:coauthVersionLast="47" xr6:coauthVersionMax="47" xr10:uidLastSave="{00000000-0000-0000-0000-000000000000}"/>
  <bookViews>
    <workbookView xWindow="-120" yWindow="-120" windowWidth="29040" windowHeight="15840" activeTab="1" xr2:uid="{00000000-000D-0000-FFFF-FFFF00000000}"/>
  </bookViews>
  <sheets>
    <sheet name="헤몬팜" sheetId="6" r:id="rId1"/>
    <sheet name="헤몬팜일일" sheetId="7" r:id="rId2"/>
    <sheet name="헤몬팜마진" sheetId="8" r:id="rId3"/>
    <sheet name="헤몬팜일일1" sheetId="15"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9" roundtripDataChecksum="jxl86+JUo8Oslr5w8G+KaYzaazQuqVfFjwBj3hsY0Mw="/>
    </ext>
  </extLst>
</workbook>
</file>

<file path=xl/calcChain.xml><?xml version="1.0" encoding="utf-8"?>
<calcChain xmlns="http://schemas.openxmlformats.org/spreadsheetml/2006/main">
  <c r="AI25" i="7" l="1"/>
  <c r="Y548" i="15"/>
  <c r="Z548" i="15" s="1"/>
  <c r="P548" i="15"/>
  <c r="F548" i="15" s="1"/>
  <c r="M548" i="15"/>
  <c r="X548" i="15" s="1"/>
  <c r="Y547" i="15"/>
  <c r="X547" i="15"/>
  <c r="P547" i="15"/>
  <c r="M547" i="15"/>
  <c r="F547" i="15"/>
  <c r="P546" i="15"/>
  <c r="F546" i="15" s="1"/>
  <c r="M546" i="15"/>
  <c r="P545" i="15"/>
  <c r="M545" i="15"/>
  <c r="X545" i="15" s="1"/>
  <c r="Y545" i="15" s="1"/>
  <c r="F545" i="15"/>
  <c r="Y544" i="15"/>
  <c r="X544" i="15"/>
  <c r="P544" i="15"/>
  <c r="F544" i="15" s="1"/>
  <c r="M544" i="15"/>
  <c r="P543" i="15"/>
  <c r="M543" i="15"/>
  <c r="F543" i="15"/>
  <c r="P542" i="15"/>
  <c r="F542" i="15" s="1"/>
  <c r="M542" i="15"/>
  <c r="X542" i="15" s="1"/>
  <c r="Y542" i="15" s="1"/>
  <c r="Y541" i="15"/>
  <c r="X541" i="15"/>
  <c r="P541" i="15"/>
  <c r="M541" i="15"/>
  <c r="F541" i="15"/>
  <c r="P540" i="15"/>
  <c r="M540" i="15"/>
  <c r="F540" i="15"/>
  <c r="Y539" i="15"/>
  <c r="P539" i="15"/>
  <c r="M539" i="15"/>
  <c r="X539" i="15" s="1"/>
  <c r="F539" i="15"/>
  <c r="Y538" i="15"/>
  <c r="X538" i="15"/>
  <c r="P538" i="15"/>
  <c r="F538" i="15" s="1"/>
  <c r="M538" i="15"/>
  <c r="Z538" i="15" s="1"/>
  <c r="AA538" i="15" s="1"/>
  <c r="P537" i="15"/>
  <c r="M537" i="15"/>
  <c r="F537" i="15"/>
  <c r="AA536" i="15"/>
  <c r="Y536" i="15"/>
  <c r="Z536" i="15" s="1"/>
  <c r="P536" i="15"/>
  <c r="M536" i="15"/>
  <c r="X536" i="15" s="1"/>
  <c r="F536" i="15"/>
  <c r="Y535" i="15"/>
  <c r="X535" i="15"/>
  <c r="P535" i="15"/>
  <c r="F535" i="15" s="1"/>
  <c r="M535" i="15"/>
  <c r="P534" i="15"/>
  <c r="F534" i="15" s="1"/>
  <c r="M534" i="15"/>
  <c r="P533" i="15"/>
  <c r="M533" i="15"/>
  <c r="F533" i="15" s="1"/>
  <c r="Y532" i="15"/>
  <c r="P532" i="15"/>
  <c r="M532" i="15"/>
  <c r="X532" i="15" s="1"/>
  <c r="F532" i="15"/>
  <c r="X531" i="15"/>
  <c r="Y531" i="15" s="1"/>
  <c r="P531" i="15"/>
  <c r="M531" i="15"/>
  <c r="F531" i="15"/>
  <c r="AN515" i="15"/>
  <c r="AM515" i="15"/>
  <c r="AB515" i="15"/>
  <c r="AA515" i="15"/>
  <c r="R515" i="15"/>
  <c r="Q515" i="15"/>
  <c r="O515" i="15"/>
  <c r="AL514" i="15"/>
  <c r="AE514" i="15"/>
  <c r="AC514" i="15"/>
  <c r="Z514" i="15"/>
  <c r="X514" i="15"/>
  <c r="Y514" i="15" s="1"/>
  <c r="U514" i="15"/>
  <c r="T514" i="15"/>
  <c r="P514" i="15"/>
  <c r="G514" i="15"/>
  <c r="AL513" i="15"/>
  <c r="X513" i="15" s="1"/>
  <c r="Y513" i="15" s="1"/>
  <c r="AC513" i="15"/>
  <c r="Z513" i="15"/>
  <c r="F513" i="15" s="1"/>
  <c r="D513" i="15" s="1"/>
  <c r="U513" i="15"/>
  <c r="T513" i="15"/>
  <c r="V513" i="15" s="1"/>
  <c r="P513" i="15"/>
  <c r="AE513" i="15" s="1"/>
  <c r="AF513" i="15" s="1"/>
  <c r="G513" i="15"/>
  <c r="AL512" i="15"/>
  <c r="X512" i="15" s="1"/>
  <c r="Y512" i="15" s="1"/>
  <c r="AC512" i="15"/>
  <c r="Z512" i="15"/>
  <c r="F512" i="15" s="1"/>
  <c r="D512" i="15" s="1"/>
  <c r="U512" i="15"/>
  <c r="T512" i="15"/>
  <c r="V512" i="15" s="1"/>
  <c r="P512" i="15"/>
  <c r="AE512" i="15" s="1"/>
  <c r="AF512" i="15" s="1"/>
  <c r="G512" i="15"/>
  <c r="AL511" i="15"/>
  <c r="X511" i="15" s="1"/>
  <c r="Y511" i="15" s="1"/>
  <c r="AE511" i="15"/>
  <c r="AC511" i="15"/>
  <c r="Z511" i="15"/>
  <c r="U511" i="15"/>
  <c r="T511" i="15"/>
  <c r="P511" i="15"/>
  <c r="G511" i="15"/>
  <c r="AL510" i="15"/>
  <c r="X510" i="15" s="1"/>
  <c r="Y510" i="15" s="1"/>
  <c r="AC510" i="15"/>
  <c r="Z510" i="15"/>
  <c r="F510" i="15" s="1"/>
  <c r="D510" i="15" s="1"/>
  <c r="U510" i="15"/>
  <c r="T510" i="15"/>
  <c r="V510" i="15" s="1"/>
  <c r="P510" i="15"/>
  <c r="AE510" i="15" s="1"/>
  <c r="AF510" i="15" s="1"/>
  <c r="G510" i="15"/>
  <c r="AL509" i="15"/>
  <c r="X509" i="15" s="1"/>
  <c r="Y509" i="15" s="1"/>
  <c r="AE509" i="15"/>
  <c r="AC509" i="15"/>
  <c r="Z509" i="15"/>
  <c r="U509" i="15"/>
  <c r="T509" i="15"/>
  <c r="P509" i="15"/>
  <c r="G509" i="15"/>
  <c r="AL508" i="15"/>
  <c r="X508" i="15" s="1"/>
  <c r="Y508" i="15" s="1"/>
  <c r="AE508" i="15"/>
  <c r="AF508" i="15" s="1"/>
  <c r="AC508" i="15"/>
  <c r="Z508" i="15"/>
  <c r="U508" i="15"/>
  <c r="T508" i="15"/>
  <c r="V508" i="15" s="1"/>
  <c r="P508" i="15"/>
  <c r="G508" i="15"/>
  <c r="AL507" i="15"/>
  <c r="X507" i="15" s="1"/>
  <c r="AC507" i="15"/>
  <c r="Z507" i="15"/>
  <c r="U507" i="15"/>
  <c r="T507" i="15"/>
  <c r="P507" i="15"/>
  <c r="AE507" i="15" s="1"/>
  <c r="G507" i="15"/>
  <c r="AL506" i="15"/>
  <c r="AE506" i="15"/>
  <c r="AC506" i="15"/>
  <c r="Z506" i="15"/>
  <c r="X506" i="15"/>
  <c r="Y506" i="15" s="1"/>
  <c r="U506" i="15"/>
  <c r="T506" i="15"/>
  <c r="P506" i="15"/>
  <c r="G506" i="15"/>
  <c r="AL505" i="15"/>
  <c r="X505" i="15" s="1"/>
  <c r="Y505" i="15" s="1"/>
  <c r="AC505" i="15"/>
  <c r="Z505" i="15"/>
  <c r="F505" i="15" s="1"/>
  <c r="D505" i="15" s="1"/>
  <c r="U505" i="15"/>
  <c r="T505" i="15"/>
  <c r="V505" i="15" s="1"/>
  <c r="P505" i="15"/>
  <c r="AE505" i="15" s="1"/>
  <c r="AF505" i="15" s="1"/>
  <c r="G505" i="15"/>
  <c r="AL504" i="15"/>
  <c r="X504" i="15" s="1"/>
  <c r="Y504" i="15" s="1"/>
  <c r="AC504" i="15"/>
  <c r="Z504" i="15"/>
  <c r="F504" i="15" s="1"/>
  <c r="D504" i="15" s="1"/>
  <c r="U504" i="15"/>
  <c r="T504" i="15"/>
  <c r="V504" i="15" s="1"/>
  <c r="P504" i="15"/>
  <c r="AE504" i="15" s="1"/>
  <c r="AF504" i="15" s="1"/>
  <c r="G504" i="15"/>
  <c r="AL503" i="15"/>
  <c r="X503" i="15" s="1"/>
  <c r="Y503" i="15" s="1"/>
  <c r="AG503" i="15"/>
  <c r="AE503" i="15"/>
  <c r="AF503" i="15" s="1"/>
  <c r="AC503" i="15"/>
  <c r="Z503" i="15"/>
  <c r="U503" i="15"/>
  <c r="T503" i="15"/>
  <c r="V503" i="15" s="1"/>
  <c r="P503" i="15"/>
  <c r="G503" i="15"/>
  <c r="F503" i="15"/>
  <c r="D503" i="15" s="1"/>
  <c r="AL502" i="15"/>
  <c r="X502" i="15" s="1"/>
  <c r="Y502" i="15" s="1"/>
  <c r="AE502" i="15"/>
  <c r="AC502" i="15"/>
  <c r="Z502" i="15"/>
  <c r="U502" i="15"/>
  <c r="T502" i="15"/>
  <c r="P502" i="15"/>
  <c r="G502" i="15"/>
  <c r="AL501" i="15"/>
  <c r="X501" i="15" s="1"/>
  <c r="Y501" i="15" s="1"/>
  <c r="AE501" i="15"/>
  <c r="AF501" i="15" s="1"/>
  <c r="AC501" i="15"/>
  <c r="Z501" i="15"/>
  <c r="F501" i="15" s="1"/>
  <c r="D501" i="15" s="1"/>
  <c r="U501" i="15"/>
  <c r="T501" i="15"/>
  <c r="V501" i="15" s="1"/>
  <c r="P501" i="15"/>
  <c r="G501" i="15"/>
  <c r="AL500" i="15"/>
  <c r="X500" i="15" s="1"/>
  <c r="Y500" i="15" s="1"/>
  <c r="AC500" i="15"/>
  <c r="Z500" i="15"/>
  <c r="U500" i="15"/>
  <c r="T500" i="15"/>
  <c r="P500" i="15"/>
  <c r="AE500" i="15" s="1"/>
  <c r="G500" i="15"/>
  <c r="AL499" i="15"/>
  <c r="X499" i="15" s="1"/>
  <c r="Y499" i="15" s="1"/>
  <c r="AE499" i="15"/>
  <c r="AC499" i="15"/>
  <c r="Z499" i="15"/>
  <c r="U499" i="15"/>
  <c r="T499" i="15"/>
  <c r="P499" i="15"/>
  <c r="G499" i="15"/>
  <c r="AL498" i="15"/>
  <c r="X498" i="15" s="1"/>
  <c r="Y498" i="15" s="1"/>
  <c r="AE498" i="15"/>
  <c r="AF498" i="15" s="1"/>
  <c r="AC498" i="15"/>
  <c r="Z498" i="15"/>
  <c r="U498" i="15"/>
  <c r="T498" i="15"/>
  <c r="V498" i="15" s="1"/>
  <c r="P498" i="15"/>
  <c r="G498" i="15"/>
  <c r="AL497" i="15"/>
  <c r="X497" i="15" s="1"/>
  <c r="AE497" i="15"/>
  <c r="AF497" i="15" s="1"/>
  <c r="AC497" i="15"/>
  <c r="Z497" i="15"/>
  <c r="F497" i="15" s="1"/>
  <c r="D497" i="15" s="1"/>
  <c r="U497" i="15"/>
  <c r="T497" i="15"/>
  <c r="V497" i="15" s="1"/>
  <c r="P497" i="15"/>
  <c r="G497" i="15"/>
  <c r="AL496" i="15"/>
  <c r="AC496" i="15"/>
  <c r="AC515" i="15" s="1"/>
  <c r="Z496" i="15"/>
  <c r="X496" i="15"/>
  <c r="U496" i="15"/>
  <c r="T496" i="15"/>
  <c r="P496" i="15"/>
  <c r="AE496" i="15" s="1"/>
  <c r="G496" i="15"/>
  <c r="AL495" i="15"/>
  <c r="X495" i="15" s="1"/>
  <c r="Y495" i="15" s="1"/>
  <c r="AE495" i="15"/>
  <c r="AC495" i="15"/>
  <c r="Z495" i="15"/>
  <c r="U495" i="15"/>
  <c r="T495" i="15"/>
  <c r="P495" i="15"/>
  <c r="G495" i="15"/>
  <c r="AL494" i="15"/>
  <c r="X494" i="15" s="1"/>
  <c r="Y494" i="15" s="1"/>
  <c r="AC494" i="15"/>
  <c r="Z494" i="15"/>
  <c r="U494" i="15"/>
  <c r="T494" i="15"/>
  <c r="P494" i="15"/>
  <c r="AE494" i="15" s="1"/>
  <c r="G494" i="15"/>
  <c r="AL493" i="15"/>
  <c r="X493" i="15" s="1"/>
  <c r="AC493" i="15"/>
  <c r="Z493" i="15"/>
  <c r="U493" i="15"/>
  <c r="T493" i="15"/>
  <c r="P493" i="15"/>
  <c r="G493" i="15"/>
  <c r="AN490" i="15"/>
  <c r="AM490" i="15"/>
  <c r="AB490" i="15"/>
  <c r="AA490" i="15"/>
  <c r="R490" i="15"/>
  <c r="Q490" i="15"/>
  <c r="O490" i="15"/>
  <c r="AL489" i="15"/>
  <c r="AE489" i="15"/>
  <c r="AC489" i="15"/>
  <c r="Z489" i="15"/>
  <c r="X489" i="15"/>
  <c r="Y489" i="15" s="1"/>
  <c r="U489" i="15"/>
  <c r="T489" i="15"/>
  <c r="P489" i="15"/>
  <c r="G489" i="15"/>
  <c r="AL488" i="15"/>
  <c r="X488" i="15" s="1"/>
  <c r="Y488" i="15" s="1"/>
  <c r="AC488" i="15"/>
  <c r="Z488" i="15"/>
  <c r="U488" i="15"/>
  <c r="T488" i="15"/>
  <c r="P488" i="15"/>
  <c r="AE488" i="15" s="1"/>
  <c r="G488" i="15"/>
  <c r="AL487" i="15"/>
  <c r="X487" i="15" s="1"/>
  <c r="Y487" i="15" s="1"/>
  <c r="AC487" i="15"/>
  <c r="Z487" i="15"/>
  <c r="U487" i="15"/>
  <c r="T487" i="15"/>
  <c r="V487" i="15" s="1"/>
  <c r="P487" i="15"/>
  <c r="AE487" i="15" s="1"/>
  <c r="AF487" i="15" s="1"/>
  <c r="G487" i="15"/>
  <c r="AL486" i="15"/>
  <c r="X486" i="15" s="1"/>
  <c r="AC486" i="15"/>
  <c r="Z486" i="15"/>
  <c r="U486" i="15"/>
  <c r="T486" i="15"/>
  <c r="V486" i="15" s="1"/>
  <c r="P486" i="15"/>
  <c r="AE486" i="15" s="1"/>
  <c r="AF486" i="15" s="1"/>
  <c r="AG486" i="15" s="1"/>
  <c r="G486" i="15"/>
  <c r="F486" i="15"/>
  <c r="D486" i="15" s="1"/>
  <c r="AL485" i="15"/>
  <c r="AE485" i="15"/>
  <c r="AF485" i="15" s="1"/>
  <c r="AC485" i="15"/>
  <c r="Z485" i="15"/>
  <c r="X485" i="15"/>
  <c r="Y485" i="15" s="1"/>
  <c r="U485" i="15"/>
  <c r="T485" i="15"/>
  <c r="V485" i="15" s="1"/>
  <c r="P485" i="15"/>
  <c r="G485" i="15"/>
  <c r="AL484" i="15"/>
  <c r="X484" i="15" s="1"/>
  <c r="Y484" i="15" s="1"/>
  <c r="AE484" i="15"/>
  <c r="AC484" i="15"/>
  <c r="Z484" i="15"/>
  <c r="U484" i="15"/>
  <c r="T484" i="15"/>
  <c r="P484" i="15"/>
  <c r="G484" i="15"/>
  <c r="AL483" i="15"/>
  <c r="X483" i="15" s="1"/>
  <c r="Y483" i="15" s="1"/>
  <c r="AC483" i="15"/>
  <c r="Z483" i="15"/>
  <c r="F483" i="15" s="1"/>
  <c r="D483" i="15" s="1"/>
  <c r="U483" i="15"/>
  <c r="T483" i="15"/>
  <c r="V483" i="15" s="1"/>
  <c r="P483" i="15"/>
  <c r="AE483" i="15" s="1"/>
  <c r="AF483" i="15" s="1"/>
  <c r="G483" i="15"/>
  <c r="AL482" i="15"/>
  <c r="X482" i="15" s="1"/>
  <c r="AC482" i="15"/>
  <c r="Z482" i="15"/>
  <c r="U482" i="15"/>
  <c r="T482" i="15"/>
  <c r="P482" i="15"/>
  <c r="AE482" i="15" s="1"/>
  <c r="G482" i="15"/>
  <c r="AL481" i="15"/>
  <c r="AE481" i="15"/>
  <c r="AC481" i="15"/>
  <c r="Z481" i="15"/>
  <c r="X481" i="15"/>
  <c r="Y481" i="15" s="1"/>
  <c r="U481" i="15"/>
  <c r="T481" i="15"/>
  <c r="P481" i="15"/>
  <c r="G481" i="15"/>
  <c r="AL480" i="15"/>
  <c r="X480" i="15" s="1"/>
  <c r="AE480" i="15"/>
  <c r="AC480" i="15"/>
  <c r="Z480" i="15"/>
  <c r="U480" i="15"/>
  <c r="T480" i="15"/>
  <c r="V480" i="15" s="1"/>
  <c r="F480" i="15" s="1"/>
  <c r="D480" i="15" s="1"/>
  <c r="P480" i="15"/>
  <c r="G480" i="15"/>
  <c r="AL479" i="15"/>
  <c r="AC479" i="15"/>
  <c r="Z479" i="15"/>
  <c r="X479" i="15"/>
  <c r="U479" i="15"/>
  <c r="T479" i="15"/>
  <c r="V479" i="15" s="1"/>
  <c r="P479" i="15"/>
  <c r="AE479" i="15" s="1"/>
  <c r="AF479" i="15" s="1"/>
  <c r="G479" i="15"/>
  <c r="AL478" i="15"/>
  <c r="X478" i="15" s="1"/>
  <c r="AC478" i="15"/>
  <c r="Z478" i="15"/>
  <c r="U478" i="15"/>
  <c r="T478" i="15"/>
  <c r="P478" i="15"/>
  <c r="AE478" i="15" s="1"/>
  <c r="G478" i="15"/>
  <c r="AL477" i="15"/>
  <c r="AE477" i="15"/>
  <c r="AC477" i="15"/>
  <c r="Z477" i="15"/>
  <c r="X477" i="15"/>
  <c r="Y477" i="15" s="1"/>
  <c r="U477" i="15"/>
  <c r="T477" i="15"/>
  <c r="P477" i="15"/>
  <c r="G477" i="15"/>
  <c r="AL476" i="15"/>
  <c r="X476" i="15" s="1"/>
  <c r="Y476" i="15" s="1"/>
  <c r="AC476" i="15"/>
  <c r="Z476" i="15"/>
  <c r="U476" i="15"/>
  <c r="T476" i="15"/>
  <c r="P476" i="15"/>
  <c r="AE476" i="15" s="1"/>
  <c r="G476" i="15"/>
  <c r="AL475" i="15"/>
  <c r="X475" i="15" s="1"/>
  <c r="Y475" i="15" s="1"/>
  <c r="AC475" i="15"/>
  <c r="Z475" i="15"/>
  <c r="U475" i="15"/>
  <c r="T475" i="15"/>
  <c r="V475" i="15" s="1"/>
  <c r="P475" i="15"/>
  <c r="AE475" i="15" s="1"/>
  <c r="AF475" i="15" s="1"/>
  <c r="G475" i="15"/>
  <c r="AL474" i="15"/>
  <c r="X474" i="15" s="1"/>
  <c r="AC474" i="15"/>
  <c r="Z474" i="15"/>
  <c r="U474" i="15"/>
  <c r="T474" i="15"/>
  <c r="V474" i="15" s="1"/>
  <c r="P474" i="15"/>
  <c r="AE474" i="15" s="1"/>
  <c r="AF474" i="15" s="1"/>
  <c r="AG474" i="15" s="1"/>
  <c r="G474" i="15"/>
  <c r="F474" i="15"/>
  <c r="D474" i="15" s="1"/>
  <c r="AL473" i="15"/>
  <c r="AE473" i="15"/>
  <c r="AF473" i="15" s="1"/>
  <c r="AC473" i="15"/>
  <c r="Z473" i="15"/>
  <c r="X473" i="15"/>
  <c r="Y473" i="15" s="1"/>
  <c r="U473" i="15"/>
  <c r="T473" i="15"/>
  <c r="V473" i="15" s="1"/>
  <c r="P473" i="15"/>
  <c r="G473" i="15"/>
  <c r="AL472" i="15"/>
  <c r="X472" i="15" s="1"/>
  <c r="Y472" i="15" s="1"/>
  <c r="AE472" i="15"/>
  <c r="AC472" i="15"/>
  <c r="Z472" i="15"/>
  <c r="U472" i="15"/>
  <c r="T472" i="15"/>
  <c r="P472" i="15"/>
  <c r="G472" i="15"/>
  <c r="AL471" i="15"/>
  <c r="X471" i="15" s="1"/>
  <c r="Y471" i="15" s="1"/>
  <c r="AE471" i="15"/>
  <c r="AC471" i="15"/>
  <c r="Z471" i="15"/>
  <c r="U471" i="15"/>
  <c r="T471" i="15"/>
  <c r="P471" i="15"/>
  <c r="G471" i="15"/>
  <c r="AL470" i="15"/>
  <c r="X470" i="15" s="1"/>
  <c r="Y470" i="15" s="1"/>
  <c r="AE470" i="15"/>
  <c r="AF470" i="15" s="1"/>
  <c r="AG470" i="15" s="1"/>
  <c r="AC470" i="15"/>
  <c r="Z470" i="15"/>
  <c r="U470" i="15"/>
  <c r="T470" i="15"/>
  <c r="V470" i="15" s="1"/>
  <c r="P470" i="15"/>
  <c r="G470" i="15"/>
  <c r="F470" i="15"/>
  <c r="D470" i="15" s="1"/>
  <c r="AL469" i="15"/>
  <c r="X469" i="15" s="1"/>
  <c r="Y469" i="15" s="1"/>
  <c r="AE469" i="15"/>
  <c r="AF469" i="15" s="1"/>
  <c r="AG469" i="15" s="1"/>
  <c r="AC469" i="15"/>
  <c r="AC490" i="15" s="1"/>
  <c r="Z469" i="15"/>
  <c r="U469" i="15"/>
  <c r="T469" i="15"/>
  <c r="V469" i="15" s="1"/>
  <c r="P469" i="15"/>
  <c r="G469" i="15"/>
  <c r="F469" i="15"/>
  <c r="D469" i="15" s="1"/>
  <c r="AL468" i="15"/>
  <c r="X468" i="15" s="1"/>
  <c r="AC468" i="15"/>
  <c r="Z468" i="15"/>
  <c r="U468" i="15"/>
  <c r="T468" i="15"/>
  <c r="T490" i="15" s="1"/>
  <c r="P468" i="15"/>
  <c r="P490" i="15" s="1"/>
  <c r="G468" i="15"/>
  <c r="AN465" i="15"/>
  <c r="AM465" i="15"/>
  <c r="AB465" i="15"/>
  <c r="AA465" i="15"/>
  <c r="R465" i="15"/>
  <c r="Q465" i="15"/>
  <c r="O465" i="15"/>
  <c r="AL464" i="15"/>
  <c r="AC464" i="15"/>
  <c r="Z464" i="15"/>
  <c r="X464" i="15"/>
  <c r="Y464" i="15" s="1"/>
  <c r="U464" i="15"/>
  <c r="T464" i="15"/>
  <c r="P464" i="15"/>
  <c r="AE464" i="15" s="1"/>
  <c r="G464" i="15"/>
  <c r="AL463" i="15"/>
  <c r="X463" i="15" s="1"/>
  <c r="Y463" i="15" s="1"/>
  <c r="AE463" i="15"/>
  <c r="AF463" i="15" s="1"/>
  <c r="AC463" i="15"/>
  <c r="Z463" i="15"/>
  <c r="V463" i="15"/>
  <c r="U463" i="15"/>
  <c r="T463" i="15"/>
  <c r="P463" i="15"/>
  <c r="G463" i="15"/>
  <c r="F463" i="15"/>
  <c r="D463" i="15" s="1"/>
  <c r="AL462" i="15"/>
  <c r="X462" i="15" s="1"/>
  <c r="Y462" i="15" s="1"/>
  <c r="AC462" i="15"/>
  <c r="Z462" i="15"/>
  <c r="F462" i="15" s="1"/>
  <c r="D462" i="15" s="1"/>
  <c r="U462" i="15"/>
  <c r="T462" i="15"/>
  <c r="V462" i="15" s="1"/>
  <c r="P462" i="15"/>
  <c r="AE462" i="15" s="1"/>
  <c r="AF462" i="15" s="1"/>
  <c r="AG462" i="15" s="1"/>
  <c r="G462" i="15"/>
  <c r="AL461" i="15"/>
  <c r="X461" i="15" s="1"/>
  <c r="Y461" i="15" s="1"/>
  <c r="AE461" i="15"/>
  <c r="AC461" i="15"/>
  <c r="Z461" i="15"/>
  <c r="V461" i="15"/>
  <c r="U461" i="15"/>
  <c r="T461" i="15"/>
  <c r="P461" i="15"/>
  <c r="G461" i="15"/>
  <c r="AL460" i="15"/>
  <c r="AC460" i="15"/>
  <c r="Z460" i="15"/>
  <c r="F460" i="15" s="1"/>
  <c r="D460" i="15" s="1"/>
  <c r="X460" i="15"/>
  <c r="U460" i="15"/>
  <c r="T460" i="15"/>
  <c r="V460" i="15" s="1"/>
  <c r="P460" i="15"/>
  <c r="AE460" i="15" s="1"/>
  <c r="AF460" i="15" s="1"/>
  <c r="G460" i="15"/>
  <c r="AL459" i="15"/>
  <c r="AE459" i="15"/>
  <c r="AC459" i="15"/>
  <c r="Z459" i="15"/>
  <c r="X459" i="15"/>
  <c r="Y459" i="15" s="1"/>
  <c r="U459" i="15"/>
  <c r="T459" i="15"/>
  <c r="V459" i="15" s="1"/>
  <c r="P459" i="15"/>
  <c r="G459" i="15"/>
  <c r="AL458" i="15"/>
  <c r="X458" i="15" s="1"/>
  <c r="Y458" i="15" s="1"/>
  <c r="AE458" i="15"/>
  <c r="AF458" i="15" s="1"/>
  <c r="AC458" i="15"/>
  <c r="Z458" i="15"/>
  <c r="U458" i="15"/>
  <c r="T458" i="15"/>
  <c r="V458" i="15" s="1"/>
  <c r="P458" i="15"/>
  <c r="G458" i="15"/>
  <c r="F458" i="15"/>
  <c r="D458" i="15" s="1"/>
  <c r="AL457" i="15"/>
  <c r="AE457" i="15"/>
  <c r="AC457" i="15"/>
  <c r="Z457" i="15"/>
  <c r="X457" i="15"/>
  <c r="Y457" i="15" s="1"/>
  <c r="V457" i="15"/>
  <c r="U457" i="15"/>
  <c r="T457" i="15"/>
  <c r="P457" i="15"/>
  <c r="G457" i="15"/>
  <c r="AL456" i="15"/>
  <c r="X456" i="15" s="1"/>
  <c r="Y456" i="15" s="1"/>
  <c r="AE456" i="15"/>
  <c r="AF456" i="15" s="1"/>
  <c r="AC456" i="15"/>
  <c r="F456" i="15" s="1"/>
  <c r="D456" i="15" s="1"/>
  <c r="Z456" i="15"/>
  <c r="U456" i="15"/>
  <c r="T456" i="15"/>
  <c r="V456" i="15" s="1"/>
  <c r="P456" i="15"/>
  <c r="G456" i="15"/>
  <c r="AL455" i="15"/>
  <c r="AE455" i="15"/>
  <c r="AC455" i="15"/>
  <c r="Z455" i="15"/>
  <c r="Y455" i="15"/>
  <c r="X455" i="15"/>
  <c r="U455" i="15"/>
  <c r="V455" i="15" s="1"/>
  <c r="T455" i="15"/>
  <c r="P455" i="15"/>
  <c r="G455" i="15"/>
  <c r="AL454" i="15"/>
  <c r="X454" i="15" s="1"/>
  <c r="Y454" i="15" s="1"/>
  <c r="AC454" i="15"/>
  <c r="Z454" i="15"/>
  <c r="F454" i="15" s="1"/>
  <c r="D454" i="15" s="1"/>
  <c r="U454" i="15"/>
  <c r="T454" i="15"/>
  <c r="V454" i="15" s="1"/>
  <c r="P454" i="15"/>
  <c r="AE454" i="15" s="1"/>
  <c r="AF454" i="15" s="1"/>
  <c r="G454" i="15"/>
  <c r="AL453" i="15"/>
  <c r="X453" i="15" s="1"/>
  <c r="Y453" i="15" s="1"/>
  <c r="AC453" i="15"/>
  <c r="Z453" i="15"/>
  <c r="U453" i="15"/>
  <c r="T453" i="15"/>
  <c r="V453" i="15" s="1"/>
  <c r="P453" i="15"/>
  <c r="AE453" i="15" s="1"/>
  <c r="G453" i="15"/>
  <c r="AL452" i="15"/>
  <c r="X452" i="15" s="1"/>
  <c r="Y452" i="15" s="1"/>
  <c r="AE452" i="15"/>
  <c r="AF452" i="15" s="1"/>
  <c r="AG452" i="15" s="1"/>
  <c r="AC452" i="15"/>
  <c r="F452" i="15" s="1"/>
  <c r="D452" i="15" s="1"/>
  <c r="Z452" i="15"/>
  <c r="V452" i="15"/>
  <c r="U452" i="15"/>
  <c r="T452" i="15"/>
  <c r="P452" i="15"/>
  <c r="G452" i="15"/>
  <c r="AL451" i="15"/>
  <c r="AC451" i="15"/>
  <c r="Z451" i="15"/>
  <c r="X451" i="15"/>
  <c r="Y451" i="15" s="1"/>
  <c r="V451" i="15"/>
  <c r="U451" i="15"/>
  <c r="T451" i="15"/>
  <c r="P451" i="15"/>
  <c r="AE451" i="15" s="1"/>
  <c r="AF451" i="15" s="1"/>
  <c r="G451" i="15"/>
  <c r="AL450" i="15"/>
  <c r="AE450" i="15"/>
  <c r="AC450" i="15"/>
  <c r="Z450" i="15"/>
  <c r="X450" i="15"/>
  <c r="Y450" i="15" s="1"/>
  <c r="U450" i="15"/>
  <c r="T450" i="15"/>
  <c r="V450" i="15" s="1"/>
  <c r="P450" i="15"/>
  <c r="G450" i="15"/>
  <c r="AL449" i="15"/>
  <c r="X449" i="15" s="1"/>
  <c r="Y449" i="15" s="1"/>
  <c r="AC449" i="15"/>
  <c r="Z449" i="15"/>
  <c r="U449" i="15"/>
  <c r="T449" i="15"/>
  <c r="V449" i="15" s="1"/>
  <c r="P449" i="15"/>
  <c r="AE449" i="15" s="1"/>
  <c r="G449" i="15"/>
  <c r="AL448" i="15"/>
  <c r="X448" i="15" s="1"/>
  <c r="Y448" i="15" s="1"/>
  <c r="AE448" i="15"/>
  <c r="AF448" i="15" s="1"/>
  <c r="AC448" i="15"/>
  <c r="Z448" i="15"/>
  <c r="F448" i="15" s="1"/>
  <c r="D448" i="15" s="1"/>
  <c r="U448" i="15"/>
  <c r="V448" i="15" s="1"/>
  <c r="T448" i="15"/>
  <c r="P448" i="15"/>
  <c r="G448" i="15"/>
  <c r="AL447" i="15"/>
  <c r="AC447" i="15"/>
  <c r="Z447" i="15"/>
  <c r="X447" i="15"/>
  <c r="Y447" i="15" s="1"/>
  <c r="U447" i="15"/>
  <c r="T447" i="15"/>
  <c r="V447" i="15" s="1"/>
  <c r="P447" i="15"/>
  <c r="AE447" i="15" s="1"/>
  <c r="AF447" i="15" s="1"/>
  <c r="G447" i="15"/>
  <c r="AL446" i="15"/>
  <c r="AC446" i="15"/>
  <c r="Z446" i="15"/>
  <c r="X446" i="15"/>
  <c r="U446" i="15"/>
  <c r="T446" i="15"/>
  <c r="V446" i="15" s="1"/>
  <c r="P446" i="15"/>
  <c r="AE446" i="15" s="1"/>
  <c r="G446" i="15"/>
  <c r="AL445" i="15"/>
  <c r="AE445" i="15"/>
  <c r="AC445" i="15"/>
  <c r="Z445" i="15"/>
  <c r="Y445" i="15"/>
  <c r="X445" i="15"/>
  <c r="U445" i="15"/>
  <c r="V445" i="15" s="1"/>
  <c r="T445" i="15"/>
  <c r="P445" i="15"/>
  <c r="G445" i="15"/>
  <c r="AL444" i="15"/>
  <c r="X444" i="15" s="1"/>
  <c r="Y444" i="15" s="1"/>
  <c r="AE444" i="15"/>
  <c r="AF444" i="15" s="1"/>
  <c r="AC444" i="15"/>
  <c r="Z444" i="15"/>
  <c r="V444" i="15"/>
  <c r="U444" i="15"/>
  <c r="T444" i="15"/>
  <c r="T465" i="15" s="1"/>
  <c r="P444" i="15"/>
  <c r="G444" i="15"/>
  <c r="AL443" i="15"/>
  <c r="AE443" i="15"/>
  <c r="AE465" i="15" s="1"/>
  <c r="AC443" i="15"/>
  <c r="AC465" i="15" s="1"/>
  <c r="Z443" i="15"/>
  <c r="F443" i="15" s="1"/>
  <c r="D443" i="15" s="1"/>
  <c r="X443" i="15"/>
  <c r="V443" i="15"/>
  <c r="U443" i="15"/>
  <c r="T443" i="15"/>
  <c r="P443" i="15"/>
  <c r="P465" i="15" s="1"/>
  <c r="G443" i="15"/>
  <c r="AN440" i="15"/>
  <c r="AM440" i="15"/>
  <c r="AA440" i="15"/>
  <c r="R440" i="15"/>
  <c r="Q440" i="15"/>
  <c r="O440" i="15"/>
  <c r="G534" i="15" s="1"/>
  <c r="AL439" i="15"/>
  <c r="X439" i="15" s="1"/>
  <c r="Y439" i="15" s="1"/>
  <c r="AE439" i="15"/>
  <c r="AF439" i="15" s="1"/>
  <c r="AC439" i="15"/>
  <c r="Z439" i="15"/>
  <c r="F439" i="15" s="1"/>
  <c r="D439" i="15" s="1"/>
  <c r="U439" i="15"/>
  <c r="T439" i="15"/>
  <c r="V439" i="15" s="1"/>
  <c r="P439" i="15"/>
  <c r="G439" i="15"/>
  <c r="AL438" i="15"/>
  <c r="X438" i="15" s="1"/>
  <c r="Y438" i="15" s="1"/>
  <c r="AE438" i="15"/>
  <c r="AF438" i="15" s="1"/>
  <c r="AC438" i="15"/>
  <c r="Z438" i="15"/>
  <c r="U438" i="15"/>
  <c r="V438" i="15" s="1"/>
  <c r="T438" i="15"/>
  <c r="P438" i="15"/>
  <c r="G438" i="15"/>
  <c r="AL437" i="15"/>
  <c r="X437" i="15" s="1"/>
  <c r="Y437" i="15" s="1"/>
  <c r="AE437" i="15"/>
  <c r="AC437" i="15"/>
  <c r="Z437" i="15"/>
  <c r="U437" i="15"/>
  <c r="T437" i="15"/>
  <c r="V437" i="15" s="1"/>
  <c r="P437" i="15"/>
  <c r="G437" i="15"/>
  <c r="AL436" i="15"/>
  <c r="X436" i="15" s="1"/>
  <c r="Y436" i="15" s="1"/>
  <c r="AC436" i="15"/>
  <c r="AB436" i="15"/>
  <c r="Z436" i="15"/>
  <c r="F436" i="15" s="1"/>
  <c r="D436" i="15" s="1"/>
  <c r="V436" i="15"/>
  <c r="U436" i="15"/>
  <c r="T436" i="15"/>
  <c r="P436" i="15"/>
  <c r="AE436" i="15" s="1"/>
  <c r="AF436" i="15" s="1"/>
  <c r="G436" i="15"/>
  <c r="AL435" i="15"/>
  <c r="X435" i="15" s="1"/>
  <c r="Y435" i="15" s="1"/>
  <c r="AC435" i="15"/>
  <c r="Z435" i="15"/>
  <c r="U435" i="15"/>
  <c r="T435" i="15"/>
  <c r="P435" i="15"/>
  <c r="AE435" i="15" s="1"/>
  <c r="G435" i="15"/>
  <c r="AL434" i="15"/>
  <c r="AE434" i="15"/>
  <c r="AF434" i="15" s="1"/>
  <c r="AC434" i="15"/>
  <c r="Z434" i="15"/>
  <c r="F434" i="15" s="1"/>
  <c r="D434" i="15" s="1"/>
  <c r="X434" i="15"/>
  <c r="Y434" i="15" s="1"/>
  <c r="V434" i="15"/>
  <c r="U434" i="15"/>
  <c r="T434" i="15"/>
  <c r="P434" i="15"/>
  <c r="G434" i="15"/>
  <c r="AL433" i="15"/>
  <c r="X433" i="15" s="1"/>
  <c r="Y433" i="15" s="1"/>
  <c r="AC433" i="15"/>
  <c r="Z433" i="15"/>
  <c r="U433" i="15"/>
  <c r="T433" i="15"/>
  <c r="V433" i="15" s="1"/>
  <c r="P433" i="15"/>
  <c r="AE433" i="15" s="1"/>
  <c r="AF433" i="15" s="1"/>
  <c r="G433" i="15"/>
  <c r="AL432" i="15"/>
  <c r="AE432" i="15"/>
  <c r="AF432" i="15" s="1"/>
  <c r="AC432" i="15"/>
  <c r="Z432" i="15"/>
  <c r="F432" i="15" s="1"/>
  <c r="D432" i="15" s="1"/>
  <c r="X432" i="15"/>
  <c r="Y432" i="15" s="1"/>
  <c r="V432" i="15"/>
  <c r="U432" i="15"/>
  <c r="T432" i="15"/>
  <c r="P432" i="15"/>
  <c r="G432" i="15"/>
  <c r="AL431" i="15"/>
  <c r="X431" i="15" s="1"/>
  <c r="Y431" i="15" s="1"/>
  <c r="AE431" i="15"/>
  <c r="AC431" i="15"/>
  <c r="AB431" i="15"/>
  <c r="Z431" i="15"/>
  <c r="V431" i="15"/>
  <c r="U431" i="15"/>
  <c r="T431" i="15"/>
  <c r="P431" i="15"/>
  <c r="G431" i="15"/>
  <c r="AL430" i="15"/>
  <c r="AE430" i="15"/>
  <c r="AC430" i="15"/>
  <c r="Z430" i="15"/>
  <c r="X430" i="15"/>
  <c r="Y430" i="15" s="1"/>
  <c r="U430" i="15"/>
  <c r="T430" i="15"/>
  <c r="V430" i="15" s="1"/>
  <c r="P430" i="15"/>
  <c r="G430" i="15"/>
  <c r="AL429" i="15"/>
  <c r="X429" i="15" s="1"/>
  <c r="Y429" i="15" s="1"/>
  <c r="AE429" i="15"/>
  <c r="AC429" i="15"/>
  <c r="Z429" i="15"/>
  <c r="V429" i="15"/>
  <c r="U429" i="15"/>
  <c r="T429" i="15"/>
  <c r="P429" i="15"/>
  <c r="G429" i="15"/>
  <c r="AL428" i="15"/>
  <c r="AF428" i="15"/>
  <c r="AE428" i="15"/>
  <c r="AC428" i="15"/>
  <c r="Z428" i="15"/>
  <c r="X428" i="15"/>
  <c r="Y428" i="15" s="1"/>
  <c r="U428" i="15"/>
  <c r="T428" i="15"/>
  <c r="V428" i="15" s="1"/>
  <c r="P428" i="15"/>
  <c r="G428" i="15"/>
  <c r="AL427" i="15"/>
  <c r="X427" i="15" s="1"/>
  <c r="Y427" i="15" s="1"/>
  <c r="AE427" i="15"/>
  <c r="AC427" i="15"/>
  <c r="Z427" i="15"/>
  <c r="V427" i="15"/>
  <c r="U427" i="15"/>
  <c r="T427" i="15"/>
  <c r="P427" i="15"/>
  <c r="G427" i="15"/>
  <c r="AL426" i="15"/>
  <c r="AF426" i="15"/>
  <c r="AE426" i="15"/>
  <c r="AC426" i="15"/>
  <c r="AB426" i="15"/>
  <c r="Z426" i="15"/>
  <c r="Y426" i="15"/>
  <c r="X426" i="15"/>
  <c r="U426" i="15"/>
  <c r="V426" i="15" s="1"/>
  <c r="T426" i="15"/>
  <c r="P426" i="15"/>
  <c r="G426" i="15"/>
  <c r="F426" i="15"/>
  <c r="D426" i="15" s="1"/>
  <c r="AL425" i="15"/>
  <c r="AC425" i="15"/>
  <c r="Z425" i="15"/>
  <c r="X425" i="15"/>
  <c r="Y425" i="15" s="1"/>
  <c r="U425" i="15"/>
  <c r="V425" i="15" s="1"/>
  <c r="T425" i="15"/>
  <c r="P425" i="15"/>
  <c r="AE425" i="15" s="1"/>
  <c r="G425" i="15"/>
  <c r="AL424" i="15"/>
  <c r="X424" i="15" s="1"/>
  <c r="Y424" i="15" s="1"/>
  <c r="AG424" i="15"/>
  <c r="AE424" i="15"/>
  <c r="AF424" i="15" s="1"/>
  <c r="AC424" i="15"/>
  <c r="Z424" i="15"/>
  <c r="U424" i="15"/>
  <c r="V424" i="15" s="1"/>
  <c r="T424" i="15"/>
  <c r="P424" i="15"/>
  <c r="G424" i="15"/>
  <c r="F424" i="15"/>
  <c r="D424" i="15" s="1"/>
  <c r="AL423" i="15"/>
  <c r="AC423" i="15"/>
  <c r="Z423" i="15"/>
  <c r="X423" i="15"/>
  <c r="Y423" i="15" s="1"/>
  <c r="U423" i="15"/>
  <c r="U440" i="15" s="1"/>
  <c r="T423" i="15"/>
  <c r="P423" i="15"/>
  <c r="AE423" i="15" s="1"/>
  <c r="G423" i="15"/>
  <c r="AL422" i="15"/>
  <c r="X422" i="15" s="1"/>
  <c r="AE422" i="15"/>
  <c r="AF422" i="15" s="1"/>
  <c r="AG422" i="15" s="1"/>
  <c r="AC422" i="15"/>
  <c r="AB422" i="15"/>
  <c r="AB440" i="15" s="1"/>
  <c r="Z422" i="15"/>
  <c r="F422" i="15" s="1"/>
  <c r="D422" i="15" s="1"/>
  <c r="V422" i="15"/>
  <c r="U422" i="15"/>
  <c r="T422" i="15"/>
  <c r="P422" i="15"/>
  <c r="G422" i="15"/>
  <c r="AL421" i="15"/>
  <c r="AC421" i="15"/>
  <c r="Z421" i="15"/>
  <c r="F421" i="15" s="1"/>
  <c r="D421" i="15" s="1"/>
  <c r="Y421" i="15"/>
  <c r="X421" i="15"/>
  <c r="U421" i="15"/>
  <c r="T421" i="15"/>
  <c r="V421" i="15" s="1"/>
  <c r="P421" i="15"/>
  <c r="AE421" i="15" s="1"/>
  <c r="AF421" i="15" s="1"/>
  <c r="G421" i="15"/>
  <c r="AL420" i="15"/>
  <c r="AC420" i="15"/>
  <c r="Z420" i="15"/>
  <c r="F420" i="15" s="1"/>
  <c r="D420" i="15" s="1"/>
  <c r="Y420" i="15"/>
  <c r="X420" i="15"/>
  <c r="V420" i="15"/>
  <c r="U420" i="15"/>
  <c r="T420" i="15"/>
  <c r="P420" i="15"/>
  <c r="AE420" i="15" s="1"/>
  <c r="AF420" i="15" s="1"/>
  <c r="G420" i="15"/>
  <c r="AL419" i="15"/>
  <c r="AC419" i="15"/>
  <c r="Z419" i="15"/>
  <c r="F419" i="15" s="1"/>
  <c r="D419" i="15" s="1"/>
  <c r="Y419" i="15"/>
  <c r="X419" i="15"/>
  <c r="U419" i="15"/>
  <c r="T419" i="15"/>
  <c r="V419" i="15" s="1"/>
  <c r="P419" i="15"/>
  <c r="AE419" i="15" s="1"/>
  <c r="AF419" i="15" s="1"/>
  <c r="G419" i="15"/>
  <c r="AL418" i="15"/>
  <c r="AC418" i="15"/>
  <c r="AC440" i="15" s="1"/>
  <c r="Z418" i="15"/>
  <c r="Z440" i="15" s="1"/>
  <c r="Y418" i="15"/>
  <c r="X418" i="15"/>
  <c r="V418" i="15"/>
  <c r="U418" i="15"/>
  <c r="T418" i="15"/>
  <c r="T440" i="15" s="1"/>
  <c r="P418" i="15"/>
  <c r="AE418" i="15" s="1"/>
  <c r="G418" i="15"/>
  <c r="AN415" i="15"/>
  <c r="AM415" i="15"/>
  <c r="AA415" i="15"/>
  <c r="R415" i="15"/>
  <c r="Q415" i="15"/>
  <c r="O415" i="15"/>
  <c r="G533" i="15" s="1"/>
  <c r="AL414" i="15"/>
  <c r="AC414" i="15"/>
  <c r="Z414" i="15"/>
  <c r="F414" i="15" s="1"/>
  <c r="D414" i="15" s="1"/>
  <c r="Y414" i="15"/>
  <c r="X414" i="15"/>
  <c r="U414" i="15"/>
  <c r="T414" i="15"/>
  <c r="V414" i="15" s="1"/>
  <c r="P414" i="15"/>
  <c r="AE414" i="15" s="1"/>
  <c r="AF414" i="15" s="1"/>
  <c r="G414" i="15"/>
  <c r="AL413" i="15"/>
  <c r="AC413" i="15"/>
  <c r="Z413" i="15"/>
  <c r="F413" i="15" s="1"/>
  <c r="D413" i="15" s="1"/>
  <c r="Y413" i="15"/>
  <c r="X413" i="15"/>
  <c r="V413" i="15"/>
  <c r="U413" i="15"/>
  <c r="T413" i="15"/>
  <c r="P413" i="15"/>
  <c r="AE413" i="15" s="1"/>
  <c r="AF413" i="15" s="1"/>
  <c r="G413" i="15"/>
  <c r="AL412" i="15"/>
  <c r="AC412" i="15"/>
  <c r="Z412" i="15"/>
  <c r="F412" i="15" s="1"/>
  <c r="D412" i="15" s="1"/>
  <c r="Y412" i="15"/>
  <c r="X412" i="15"/>
  <c r="U412" i="15"/>
  <c r="T412" i="15"/>
  <c r="V412" i="15" s="1"/>
  <c r="P412" i="15"/>
  <c r="AE412" i="15" s="1"/>
  <c r="AF412" i="15" s="1"/>
  <c r="G412" i="15"/>
  <c r="AL411" i="15"/>
  <c r="AC411" i="15"/>
  <c r="F411" i="15" s="1"/>
  <c r="D411" i="15" s="1"/>
  <c r="AB411" i="15"/>
  <c r="Z411" i="15"/>
  <c r="X411" i="15"/>
  <c r="Y411" i="15" s="1"/>
  <c r="U411" i="15"/>
  <c r="T411" i="15"/>
  <c r="V411" i="15" s="1"/>
  <c r="P411" i="15"/>
  <c r="AE411" i="15" s="1"/>
  <c r="AF411" i="15" s="1"/>
  <c r="G411" i="15"/>
  <c r="AL410" i="15"/>
  <c r="X410" i="15" s="1"/>
  <c r="Y410" i="15" s="1"/>
  <c r="AC410" i="15"/>
  <c r="Z410" i="15"/>
  <c r="U410" i="15"/>
  <c r="T410" i="15"/>
  <c r="V410" i="15" s="1"/>
  <c r="P410" i="15"/>
  <c r="AE410" i="15" s="1"/>
  <c r="G410" i="15"/>
  <c r="AL409" i="15"/>
  <c r="AC409" i="15"/>
  <c r="Z409" i="15"/>
  <c r="X409" i="15"/>
  <c r="Y409" i="15" s="1"/>
  <c r="U409" i="15"/>
  <c r="T409" i="15"/>
  <c r="V409" i="15" s="1"/>
  <c r="P409" i="15"/>
  <c r="AE409" i="15" s="1"/>
  <c r="G409" i="15"/>
  <c r="AL408" i="15"/>
  <c r="X408" i="15" s="1"/>
  <c r="Y408" i="15" s="1"/>
  <c r="AC408" i="15"/>
  <c r="Z408" i="15"/>
  <c r="U408" i="15"/>
  <c r="T408" i="15"/>
  <c r="V408" i="15" s="1"/>
  <c r="P408" i="15"/>
  <c r="AE408" i="15" s="1"/>
  <c r="G408" i="15"/>
  <c r="AL407" i="15"/>
  <c r="AC407" i="15"/>
  <c r="Z407" i="15"/>
  <c r="X407" i="15"/>
  <c r="U407" i="15"/>
  <c r="T407" i="15"/>
  <c r="V407" i="15" s="1"/>
  <c r="P407" i="15"/>
  <c r="AE407" i="15" s="1"/>
  <c r="AF407" i="15" s="1"/>
  <c r="G407" i="15"/>
  <c r="AL406" i="15"/>
  <c r="X406" i="15" s="1"/>
  <c r="Y406" i="15" s="1"/>
  <c r="AE406" i="15"/>
  <c r="AC406" i="15"/>
  <c r="AB406" i="15"/>
  <c r="AB415" i="15" s="1"/>
  <c r="Z406" i="15"/>
  <c r="F406" i="15" s="1"/>
  <c r="D406" i="15" s="1"/>
  <c r="U406" i="15"/>
  <c r="V406" i="15" s="1"/>
  <c r="T406" i="15"/>
  <c r="P406" i="15"/>
  <c r="G406" i="15"/>
  <c r="AL405" i="15"/>
  <c r="X405" i="15" s="1"/>
  <c r="Y405" i="15" s="1"/>
  <c r="AE405" i="15"/>
  <c r="AF405" i="15" s="1"/>
  <c r="AC405" i="15"/>
  <c r="Z405" i="15"/>
  <c r="U405" i="15"/>
  <c r="T405" i="15"/>
  <c r="V405" i="15" s="1"/>
  <c r="P405" i="15"/>
  <c r="G405" i="15"/>
  <c r="AL404" i="15"/>
  <c r="X404" i="15" s="1"/>
  <c r="Y404" i="15" s="1"/>
  <c r="AE404" i="15"/>
  <c r="AC404" i="15"/>
  <c r="Z404" i="15"/>
  <c r="U404" i="15"/>
  <c r="V404" i="15" s="1"/>
  <c r="T404" i="15"/>
  <c r="P404" i="15"/>
  <c r="G404" i="15"/>
  <c r="AL403" i="15"/>
  <c r="X403" i="15" s="1"/>
  <c r="Y403" i="15" s="1"/>
  <c r="AE403" i="15"/>
  <c r="AF403" i="15" s="1"/>
  <c r="AC403" i="15"/>
  <c r="Z403" i="15"/>
  <c r="U403" i="15"/>
  <c r="T403" i="15"/>
  <c r="V403" i="15" s="1"/>
  <c r="P403" i="15"/>
  <c r="G403" i="15"/>
  <c r="AL402" i="15"/>
  <c r="X402" i="15" s="1"/>
  <c r="Y402" i="15" s="1"/>
  <c r="AE402" i="15"/>
  <c r="AF402" i="15" s="1"/>
  <c r="AC402" i="15"/>
  <c r="Z402" i="15"/>
  <c r="F402" i="15" s="1"/>
  <c r="D402" i="15" s="1"/>
  <c r="U402" i="15"/>
  <c r="V402" i="15" s="1"/>
  <c r="T402" i="15"/>
  <c r="P402" i="15"/>
  <c r="G402" i="15"/>
  <c r="AL401" i="15"/>
  <c r="X401" i="15" s="1"/>
  <c r="Y401" i="15" s="1"/>
  <c r="AE401" i="15"/>
  <c r="AC401" i="15"/>
  <c r="AB401" i="15"/>
  <c r="Z401" i="15"/>
  <c r="U401" i="15"/>
  <c r="T401" i="15"/>
  <c r="V401" i="15" s="1"/>
  <c r="P401" i="15"/>
  <c r="G401" i="15"/>
  <c r="AL400" i="15"/>
  <c r="AE400" i="15"/>
  <c r="AF400" i="15" s="1"/>
  <c r="AC400" i="15"/>
  <c r="Z400" i="15"/>
  <c r="F400" i="15" s="1"/>
  <c r="D400" i="15" s="1"/>
  <c r="X400" i="15"/>
  <c r="Y400" i="15" s="1"/>
  <c r="V400" i="15"/>
  <c r="U400" i="15"/>
  <c r="T400" i="15"/>
  <c r="P400" i="15"/>
  <c r="G400" i="15"/>
  <c r="AL399" i="15"/>
  <c r="X399" i="15" s="1"/>
  <c r="Y399" i="15" s="1"/>
  <c r="AC399" i="15"/>
  <c r="Z399" i="15"/>
  <c r="U399" i="15"/>
  <c r="T399" i="15"/>
  <c r="P399" i="15"/>
  <c r="AE399" i="15" s="1"/>
  <c r="G399" i="15"/>
  <c r="AL398" i="15"/>
  <c r="AE398" i="15"/>
  <c r="AC398" i="15"/>
  <c r="Z398" i="15"/>
  <c r="Z415" i="15" s="1"/>
  <c r="X398" i="15"/>
  <c r="Y398" i="15" s="1"/>
  <c r="V398" i="15"/>
  <c r="U398" i="15"/>
  <c r="T398" i="15"/>
  <c r="P398" i="15"/>
  <c r="G398" i="15"/>
  <c r="AL397" i="15"/>
  <c r="X397" i="15" s="1"/>
  <c r="Y397" i="15" s="1"/>
  <c r="AF397" i="15"/>
  <c r="AE397" i="15"/>
  <c r="AC397" i="15"/>
  <c r="AB397" i="15"/>
  <c r="Z397" i="15"/>
  <c r="V397" i="15"/>
  <c r="U397" i="15"/>
  <c r="T397" i="15"/>
  <c r="P397" i="15"/>
  <c r="G397" i="15"/>
  <c r="F397" i="15"/>
  <c r="D397" i="15" s="1"/>
  <c r="AL396" i="15"/>
  <c r="AE396" i="15"/>
  <c r="AC396" i="15"/>
  <c r="Z396" i="15"/>
  <c r="X396" i="15"/>
  <c r="Y396" i="15" s="1"/>
  <c r="U396" i="15"/>
  <c r="T396" i="15"/>
  <c r="V396" i="15" s="1"/>
  <c r="P396" i="15"/>
  <c r="G396" i="15"/>
  <c r="AL395" i="15"/>
  <c r="X395" i="15" s="1"/>
  <c r="Y395" i="15" s="1"/>
  <c r="AE395" i="15"/>
  <c r="AC395" i="15"/>
  <c r="Z395" i="15"/>
  <c r="V395" i="15"/>
  <c r="U395" i="15"/>
  <c r="T395" i="15"/>
  <c r="P395" i="15"/>
  <c r="G395" i="15"/>
  <c r="F395" i="15"/>
  <c r="D395" i="15" s="1"/>
  <c r="AL394" i="15"/>
  <c r="AF394" i="15"/>
  <c r="AE394" i="15"/>
  <c r="AE415" i="15" s="1"/>
  <c r="AC394" i="15"/>
  <c r="Z394" i="15"/>
  <c r="X394" i="15"/>
  <c r="Y394" i="15" s="1"/>
  <c r="U394" i="15"/>
  <c r="T394" i="15"/>
  <c r="V394" i="15" s="1"/>
  <c r="P394" i="15"/>
  <c r="G394" i="15"/>
  <c r="AL393" i="15"/>
  <c r="X393" i="15" s="1"/>
  <c r="AE393" i="15"/>
  <c r="AC393" i="15"/>
  <c r="AC415" i="15" s="1"/>
  <c r="Z393" i="15"/>
  <c r="V393" i="15"/>
  <c r="F393" i="15" s="1"/>
  <c r="D393" i="15" s="1"/>
  <c r="U393" i="15"/>
  <c r="U415" i="15" s="1"/>
  <c r="T393" i="15"/>
  <c r="P393" i="15"/>
  <c r="G393" i="15"/>
  <c r="AN390" i="15"/>
  <c r="AM390" i="15"/>
  <c r="AA390" i="15"/>
  <c r="R390" i="15"/>
  <c r="Q390" i="15"/>
  <c r="O390" i="15"/>
  <c r="G532" i="15" s="1"/>
  <c r="AL389" i="15"/>
  <c r="AE389" i="15"/>
  <c r="AC389" i="15"/>
  <c r="Z389" i="15"/>
  <c r="X389" i="15"/>
  <c r="Y389" i="15" s="1"/>
  <c r="U389" i="15"/>
  <c r="T389" i="15"/>
  <c r="V389" i="15" s="1"/>
  <c r="AF389" i="15" s="1"/>
  <c r="P389" i="15"/>
  <c r="G389" i="15"/>
  <c r="AL388" i="15"/>
  <c r="X388" i="15" s="1"/>
  <c r="Y388" i="15" s="1"/>
  <c r="AE388" i="15"/>
  <c r="AC388" i="15"/>
  <c r="Z388" i="15"/>
  <c r="V388" i="15"/>
  <c r="U388" i="15"/>
  <c r="T388" i="15"/>
  <c r="P388" i="15"/>
  <c r="G388" i="15"/>
  <c r="F388" i="15"/>
  <c r="D388" i="15" s="1"/>
  <c r="AL387" i="15"/>
  <c r="AF387" i="15"/>
  <c r="AE387" i="15"/>
  <c r="AC387" i="15"/>
  <c r="F387" i="15" s="1"/>
  <c r="Z387" i="15"/>
  <c r="X387" i="15"/>
  <c r="Y387" i="15" s="1"/>
  <c r="U387" i="15"/>
  <c r="T387" i="15"/>
  <c r="V387" i="15" s="1"/>
  <c r="P387" i="15"/>
  <c r="G387" i="15"/>
  <c r="D387" i="15"/>
  <c r="AL386" i="15"/>
  <c r="AC386" i="15"/>
  <c r="AB386" i="15"/>
  <c r="Z386" i="15"/>
  <c r="X386" i="15"/>
  <c r="Y386" i="15" s="1"/>
  <c r="U386" i="15"/>
  <c r="V386" i="15" s="1"/>
  <c r="T386" i="15"/>
  <c r="P386" i="15"/>
  <c r="AE386" i="15" s="1"/>
  <c r="G386" i="15"/>
  <c r="AL385" i="15"/>
  <c r="X385" i="15" s="1"/>
  <c r="Y385" i="15" s="1"/>
  <c r="AE385" i="15"/>
  <c r="AC385" i="15"/>
  <c r="Z385" i="15"/>
  <c r="U385" i="15"/>
  <c r="V385" i="15" s="1"/>
  <c r="T385" i="15"/>
  <c r="P385" i="15"/>
  <c r="G385" i="15"/>
  <c r="AL384" i="15"/>
  <c r="AC384" i="15"/>
  <c r="Z384" i="15"/>
  <c r="X384" i="15"/>
  <c r="Y384" i="15" s="1"/>
  <c r="U384" i="15"/>
  <c r="V384" i="15" s="1"/>
  <c r="T384" i="15"/>
  <c r="P384" i="15"/>
  <c r="AE384" i="15" s="1"/>
  <c r="G384" i="15"/>
  <c r="AL383" i="15"/>
  <c r="X383" i="15" s="1"/>
  <c r="Y383" i="15" s="1"/>
  <c r="AE383" i="15"/>
  <c r="AC383" i="15"/>
  <c r="Z383" i="15"/>
  <c r="U383" i="15"/>
  <c r="V383" i="15" s="1"/>
  <c r="T383" i="15"/>
  <c r="P383" i="15"/>
  <c r="G383" i="15"/>
  <c r="F383" i="15"/>
  <c r="D383" i="15" s="1"/>
  <c r="AL382" i="15"/>
  <c r="AC382" i="15"/>
  <c r="Z382" i="15"/>
  <c r="X382" i="15"/>
  <c r="Y382" i="15" s="1"/>
  <c r="U382" i="15"/>
  <c r="V382" i="15" s="1"/>
  <c r="T382" i="15"/>
  <c r="P382" i="15"/>
  <c r="AE382" i="15" s="1"/>
  <c r="G382" i="15"/>
  <c r="AL381" i="15"/>
  <c r="X381" i="15" s="1"/>
  <c r="Y381" i="15" s="1"/>
  <c r="AE381" i="15"/>
  <c r="AF381" i="15" s="1"/>
  <c r="AG381" i="15" s="1"/>
  <c r="AC381" i="15"/>
  <c r="AB381" i="15"/>
  <c r="Z381" i="15"/>
  <c r="F381" i="15" s="1"/>
  <c r="V381" i="15"/>
  <c r="U381" i="15"/>
  <c r="T381" i="15"/>
  <c r="P381" i="15"/>
  <c r="G381" i="15"/>
  <c r="D381" i="15"/>
  <c r="AL380" i="15"/>
  <c r="AC380" i="15"/>
  <c r="Z380" i="15"/>
  <c r="X380" i="15"/>
  <c r="U380" i="15"/>
  <c r="T380" i="15"/>
  <c r="V380" i="15" s="1"/>
  <c r="P380" i="15"/>
  <c r="AE380" i="15" s="1"/>
  <c r="G380" i="15"/>
  <c r="AL379" i="15"/>
  <c r="AF379" i="15"/>
  <c r="AC379" i="15"/>
  <c r="Z379" i="15"/>
  <c r="F379" i="15" s="1"/>
  <c r="D379" i="15" s="1"/>
  <c r="X379" i="15"/>
  <c r="V379" i="15"/>
  <c r="U379" i="15"/>
  <c r="T379" i="15"/>
  <c r="P379" i="15"/>
  <c r="AE379" i="15" s="1"/>
  <c r="G379" i="15"/>
  <c r="AL378" i="15"/>
  <c r="AC378" i="15"/>
  <c r="Z378" i="15"/>
  <c r="X378" i="15"/>
  <c r="U378" i="15"/>
  <c r="T378" i="15"/>
  <c r="V378" i="15" s="1"/>
  <c r="P378" i="15"/>
  <c r="AE378" i="15" s="1"/>
  <c r="G378" i="15"/>
  <c r="AL377" i="15"/>
  <c r="AC377" i="15"/>
  <c r="Z377" i="15"/>
  <c r="X377" i="15"/>
  <c r="V377" i="15"/>
  <c r="U377" i="15"/>
  <c r="T377" i="15"/>
  <c r="P377" i="15"/>
  <c r="AE377" i="15" s="1"/>
  <c r="AF377" i="15" s="1"/>
  <c r="G377" i="15"/>
  <c r="AL376" i="15"/>
  <c r="AC376" i="15"/>
  <c r="AB376" i="15"/>
  <c r="Z376" i="15"/>
  <c r="F376" i="15" s="1"/>
  <c r="D376" i="15" s="1"/>
  <c r="X376" i="15"/>
  <c r="Y376" i="15" s="1"/>
  <c r="U376" i="15"/>
  <c r="T376" i="15"/>
  <c r="V376" i="15" s="1"/>
  <c r="P376" i="15"/>
  <c r="AE376" i="15" s="1"/>
  <c r="AF376" i="15" s="1"/>
  <c r="G376" i="15"/>
  <c r="AL375" i="15"/>
  <c r="AC375" i="15"/>
  <c r="Z375" i="15"/>
  <c r="X375" i="15"/>
  <c r="U375" i="15"/>
  <c r="T375" i="15"/>
  <c r="V375" i="15" s="1"/>
  <c r="F375" i="15" s="1"/>
  <c r="D375" i="15" s="1"/>
  <c r="P375" i="15"/>
  <c r="AE375" i="15" s="1"/>
  <c r="AF375" i="15" s="1"/>
  <c r="G375" i="15"/>
  <c r="AL374" i="15"/>
  <c r="AC374" i="15"/>
  <c r="Z374" i="15"/>
  <c r="X374" i="15"/>
  <c r="Y374" i="15" s="1"/>
  <c r="U374" i="15"/>
  <c r="T374" i="15"/>
  <c r="V374" i="15" s="1"/>
  <c r="F374" i="15" s="1"/>
  <c r="D374" i="15" s="1"/>
  <c r="P374" i="15"/>
  <c r="AE374" i="15" s="1"/>
  <c r="AF374" i="15" s="1"/>
  <c r="G374" i="15"/>
  <c r="AL373" i="15"/>
  <c r="AC373" i="15"/>
  <c r="F373" i="15" s="1"/>
  <c r="D373" i="15" s="1"/>
  <c r="Z373" i="15"/>
  <c r="X373" i="15"/>
  <c r="U373" i="15"/>
  <c r="T373" i="15"/>
  <c r="V373" i="15" s="1"/>
  <c r="P373" i="15"/>
  <c r="AE373" i="15" s="1"/>
  <c r="AF373" i="15" s="1"/>
  <c r="AG373" i="15" s="1"/>
  <c r="G373" i="15"/>
  <c r="AL372" i="15"/>
  <c r="X372" i="15" s="1"/>
  <c r="Y372" i="15" s="1"/>
  <c r="AE372" i="15"/>
  <c r="AC372" i="15"/>
  <c r="AB372" i="15"/>
  <c r="Z372" i="15"/>
  <c r="U372" i="15"/>
  <c r="V372" i="15" s="1"/>
  <c r="T372" i="15"/>
  <c r="P372" i="15"/>
  <c r="G372" i="15"/>
  <c r="AL371" i="15"/>
  <c r="X371" i="15" s="1"/>
  <c r="AE371" i="15"/>
  <c r="AF371" i="15" s="1"/>
  <c r="AC371" i="15"/>
  <c r="Z371" i="15"/>
  <c r="F371" i="15" s="1"/>
  <c r="Y371" i="15"/>
  <c r="U371" i="15"/>
  <c r="T371" i="15"/>
  <c r="V371" i="15" s="1"/>
  <c r="P371" i="15"/>
  <c r="G371" i="15"/>
  <c r="D371" i="15"/>
  <c r="AL370" i="15"/>
  <c r="X370" i="15" s="1"/>
  <c r="AE370" i="15"/>
  <c r="AC370" i="15"/>
  <c r="Z370" i="15"/>
  <c r="Y370" i="15"/>
  <c r="V370" i="15"/>
  <c r="U370" i="15"/>
  <c r="T370" i="15"/>
  <c r="P370" i="15"/>
  <c r="G370" i="15"/>
  <c r="AL369" i="15"/>
  <c r="X369" i="15" s="1"/>
  <c r="Y369" i="15" s="1"/>
  <c r="AF369" i="15"/>
  <c r="AE369" i="15"/>
  <c r="AC369" i="15"/>
  <c r="Z369" i="15"/>
  <c r="F369" i="15" s="1"/>
  <c r="D369" i="15" s="1"/>
  <c r="U369" i="15"/>
  <c r="T369" i="15"/>
  <c r="V369" i="15" s="1"/>
  <c r="P369" i="15"/>
  <c r="G369" i="15"/>
  <c r="AL368" i="15"/>
  <c r="X368" i="15" s="1"/>
  <c r="AE368" i="15"/>
  <c r="AC368" i="15"/>
  <c r="Z368" i="15"/>
  <c r="Y368" i="15"/>
  <c r="V368" i="15"/>
  <c r="U368" i="15"/>
  <c r="T368" i="15"/>
  <c r="T390" i="15" s="1"/>
  <c r="P368" i="15"/>
  <c r="G368" i="15"/>
  <c r="AN365" i="15"/>
  <c r="AM365" i="15"/>
  <c r="R365" i="15"/>
  <c r="Q365" i="15"/>
  <c r="O365" i="15"/>
  <c r="G531" i="15" s="1"/>
  <c r="AL364" i="15"/>
  <c r="X364" i="15" s="1"/>
  <c r="AE364" i="15"/>
  <c r="AC364" i="15"/>
  <c r="Z364" i="15"/>
  <c r="Y364" i="15"/>
  <c r="U364" i="15"/>
  <c r="T364" i="15"/>
  <c r="P364" i="15"/>
  <c r="G364" i="15"/>
  <c r="AL363" i="15"/>
  <c r="X363" i="15" s="1"/>
  <c r="Y363" i="15" s="1"/>
  <c r="AE363" i="15"/>
  <c r="AC363" i="15"/>
  <c r="Z363" i="15"/>
  <c r="V363" i="15"/>
  <c r="U363" i="15"/>
  <c r="T363" i="15"/>
  <c r="P363" i="15"/>
  <c r="G363" i="15"/>
  <c r="AL362" i="15"/>
  <c r="X362" i="15" s="1"/>
  <c r="Y362" i="15" s="1"/>
  <c r="AC362" i="15"/>
  <c r="Z362" i="15"/>
  <c r="U362" i="15"/>
  <c r="T362" i="15"/>
  <c r="P362" i="15"/>
  <c r="AE362" i="15" s="1"/>
  <c r="G362" i="15"/>
  <c r="AL361" i="15"/>
  <c r="X361" i="15" s="1"/>
  <c r="Y361" i="15" s="1"/>
  <c r="AC361" i="15"/>
  <c r="AB361" i="15"/>
  <c r="Z361" i="15"/>
  <c r="U361" i="15"/>
  <c r="V361" i="15" s="1"/>
  <c r="T361" i="15"/>
  <c r="P361" i="15"/>
  <c r="AE361" i="15" s="1"/>
  <c r="G361" i="15"/>
  <c r="AL360" i="15"/>
  <c r="AE360" i="15"/>
  <c r="AC360" i="15"/>
  <c r="Z360" i="15"/>
  <c r="F360" i="15" s="1"/>
  <c r="D360" i="15" s="1"/>
  <c r="X360" i="15"/>
  <c r="Y360" i="15" s="1"/>
  <c r="U360" i="15"/>
  <c r="V360" i="15" s="1"/>
  <c r="T360" i="15"/>
  <c r="P360" i="15"/>
  <c r="G360" i="15"/>
  <c r="AL359" i="15"/>
  <c r="AC359" i="15"/>
  <c r="Z359" i="15"/>
  <c r="X359" i="15"/>
  <c r="U359" i="15"/>
  <c r="V359" i="15" s="1"/>
  <c r="T359" i="15"/>
  <c r="P359" i="15"/>
  <c r="AE359" i="15" s="1"/>
  <c r="AF359" i="15" s="1"/>
  <c r="G359" i="15"/>
  <c r="AL358" i="15"/>
  <c r="AC358" i="15"/>
  <c r="Z358" i="15"/>
  <c r="X358" i="15"/>
  <c r="Y358" i="15" s="1"/>
  <c r="V358" i="15"/>
  <c r="U358" i="15"/>
  <c r="T358" i="15"/>
  <c r="P358" i="15"/>
  <c r="AE358" i="15" s="1"/>
  <c r="AF358" i="15" s="1"/>
  <c r="AG358" i="15" s="1"/>
  <c r="G358" i="15"/>
  <c r="F358" i="15"/>
  <c r="D358" i="15"/>
  <c r="AL357" i="15"/>
  <c r="X357" i="15" s="1"/>
  <c r="Y357" i="15" s="1"/>
  <c r="AC357" i="15"/>
  <c r="Z357" i="15"/>
  <c r="F357" i="15" s="1"/>
  <c r="D357" i="15" s="1"/>
  <c r="V357" i="15"/>
  <c r="U357" i="15"/>
  <c r="T357" i="15"/>
  <c r="P357" i="15"/>
  <c r="AE357" i="15" s="1"/>
  <c r="AF357" i="15" s="1"/>
  <c r="G357" i="15"/>
  <c r="AL356" i="15"/>
  <c r="X356" i="15" s="1"/>
  <c r="Y356" i="15" s="1"/>
  <c r="AE356" i="15"/>
  <c r="AF356" i="15" s="1"/>
  <c r="AC356" i="15"/>
  <c r="AB356" i="15"/>
  <c r="AB365" i="15" s="1"/>
  <c r="Z356" i="15"/>
  <c r="U356" i="15"/>
  <c r="T356" i="15"/>
  <c r="V356" i="15" s="1"/>
  <c r="P356" i="15"/>
  <c r="G356" i="15"/>
  <c r="AL355" i="15"/>
  <c r="AE355" i="15"/>
  <c r="AC355" i="15"/>
  <c r="Z355" i="15"/>
  <c r="X355" i="15"/>
  <c r="Y355" i="15" s="1"/>
  <c r="U355" i="15"/>
  <c r="T355" i="15"/>
  <c r="V355" i="15" s="1"/>
  <c r="P355" i="15"/>
  <c r="G355" i="15"/>
  <c r="AL354" i="15"/>
  <c r="AE354" i="15"/>
  <c r="AC354" i="15"/>
  <c r="F354" i="15" s="1"/>
  <c r="D354" i="15" s="1"/>
  <c r="Z354" i="15"/>
  <c r="X354" i="15"/>
  <c r="Y354" i="15" s="1"/>
  <c r="U354" i="15"/>
  <c r="T354" i="15"/>
  <c r="V354" i="15" s="1"/>
  <c r="P354" i="15"/>
  <c r="G354" i="15"/>
  <c r="AL353" i="15"/>
  <c r="AE353" i="15"/>
  <c r="AC353" i="15"/>
  <c r="Z353" i="15"/>
  <c r="X353" i="15"/>
  <c r="Y353" i="15" s="1"/>
  <c r="U353" i="15"/>
  <c r="T353" i="15"/>
  <c r="V353" i="15" s="1"/>
  <c r="P353" i="15"/>
  <c r="G353" i="15"/>
  <c r="AL352" i="15"/>
  <c r="X352" i="15" s="1"/>
  <c r="Y352" i="15" s="1"/>
  <c r="AE352" i="15"/>
  <c r="AC352" i="15"/>
  <c r="Z352" i="15"/>
  <c r="U352" i="15"/>
  <c r="V352" i="15" s="1"/>
  <c r="T352" i="15"/>
  <c r="P352" i="15"/>
  <c r="G352" i="15"/>
  <c r="AL351" i="15"/>
  <c r="AC351" i="15"/>
  <c r="F351" i="15" s="1"/>
  <c r="D351" i="15" s="1"/>
  <c r="AB351" i="15"/>
  <c r="Z351" i="15"/>
  <c r="X351" i="15"/>
  <c r="U351" i="15"/>
  <c r="V351" i="15" s="1"/>
  <c r="T351" i="15"/>
  <c r="P351" i="15"/>
  <c r="AE351" i="15" s="1"/>
  <c r="AF351" i="15" s="1"/>
  <c r="G351" i="15"/>
  <c r="AL350" i="15"/>
  <c r="X350" i="15" s="1"/>
  <c r="Y350" i="15" s="1"/>
  <c r="AC350" i="15"/>
  <c r="AA350" i="15"/>
  <c r="AA365" i="15" s="1"/>
  <c r="V350" i="15"/>
  <c r="U350" i="15"/>
  <c r="T350" i="15"/>
  <c r="P350" i="15"/>
  <c r="AE350" i="15" s="1"/>
  <c r="AF350" i="15" s="1"/>
  <c r="G350" i="15"/>
  <c r="AL349" i="15"/>
  <c r="AC349" i="15"/>
  <c r="Z349" i="15"/>
  <c r="F349" i="15" s="1"/>
  <c r="D349" i="15" s="1"/>
  <c r="Y349" i="15"/>
  <c r="X349" i="15"/>
  <c r="U349" i="15"/>
  <c r="T349" i="15"/>
  <c r="V349" i="15" s="1"/>
  <c r="P349" i="15"/>
  <c r="AE349" i="15" s="1"/>
  <c r="G349" i="15"/>
  <c r="AL348" i="15"/>
  <c r="AC348" i="15"/>
  <c r="Z348" i="15"/>
  <c r="X348" i="15"/>
  <c r="U348" i="15"/>
  <c r="T348" i="15"/>
  <c r="V348" i="15" s="1"/>
  <c r="P348" i="15"/>
  <c r="AE348" i="15" s="1"/>
  <c r="G348" i="15"/>
  <c r="AL347" i="15"/>
  <c r="AC347" i="15"/>
  <c r="AB347" i="15"/>
  <c r="Z347" i="15"/>
  <c r="X347" i="15"/>
  <c r="Y347" i="15" s="1"/>
  <c r="U347" i="15"/>
  <c r="T347" i="15"/>
  <c r="P347" i="15"/>
  <c r="AE347" i="15" s="1"/>
  <c r="G347" i="15"/>
  <c r="AL346" i="15"/>
  <c r="AC346" i="15"/>
  <c r="Z346" i="15"/>
  <c r="F346" i="15" s="1"/>
  <c r="D346" i="15" s="1"/>
  <c r="Y346" i="15"/>
  <c r="X346" i="15"/>
  <c r="U346" i="15"/>
  <c r="T346" i="15"/>
  <c r="V346" i="15" s="1"/>
  <c r="P346" i="15"/>
  <c r="AE346" i="15" s="1"/>
  <c r="AF346" i="15" s="1"/>
  <c r="AG346" i="15" s="1"/>
  <c r="G346" i="15"/>
  <c r="AL345" i="15"/>
  <c r="AE345" i="15"/>
  <c r="AC345" i="15"/>
  <c r="Z345" i="15"/>
  <c r="X345" i="15"/>
  <c r="Y345" i="15" s="1"/>
  <c r="U345" i="15"/>
  <c r="T345" i="15"/>
  <c r="P345" i="15"/>
  <c r="G345" i="15"/>
  <c r="AL344" i="15"/>
  <c r="X344" i="15" s="1"/>
  <c r="Y344" i="15" s="1"/>
  <c r="AC344" i="15"/>
  <c r="Z344" i="15"/>
  <c r="U344" i="15"/>
  <c r="T344" i="15"/>
  <c r="P344" i="15"/>
  <c r="AE344" i="15" s="1"/>
  <c r="G344" i="15"/>
  <c r="AL343" i="15"/>
  <c r="X343" i="15" s="1"/>
  <c r="AC343" i="15"/>
  <c r="Z343" i="15"/>
  <c r="U343" i="15"/>
  <c r="U365" i="15" s="1"/>
  <c r="T343" i="15"/>
  <c r="P343" i="15"/>
  <c r="P365" i="15" s="1"/>
  <c r="G343" i="15"/>
  <c r="AN340" i="15"/>
  <c r="AM340" i="15"/>
  <c r="AA340" i="15"/>
  <c r="Q530" i="15" s="1"/>
  <c r="P530" i="15" s="1"/>
  <c r="R340" i="15"/>
  <c r="Q340" i="15"/>
  <c r="O340" i="15"/>
  <c r="G530" i="15" s="1"/>
  <c r="AL339" i="15"/>
  <c r="X339" i="15" s="1"/>
  <c r="Y339" i="15" s="1"/>
  <c r="AG339" i="15"/>
  <c r="AE339" i="15"/>
  <c r="AF339" i="15" s="1"/>
  <c r="AC339" i="15"/>
  <c r="Z339" i="15"/>
  <c r="F339" i="15" s="1"/>
  <c r="D339" i="15" s="1"/>
  <c r="U339" i="15"/>
  <c r="T339" i="15"/>
  <c r="V339" i="15" s="1"/>
  <c r="P339" i="15"/>
  <c r="G339" i="15"/>
  <c r="AL338" i="15"/>
  <c r="X338" i="15" s="1"/>
  <c r="Y338" i="15" s="1"/>
  <c r="AE338" i="15"/>
  <c r="AF338" i="15" s="1"/>
  <c r="AC338" i="15"/>
  <c r="Z338" i="15"/>
  <c r="U338" i="15"/>
  <c r="T338" i="15"/>
  <c r="V338" i="15" s="1"/>
  <c r="P338" i="15"/>
  <c r="G338" i="15"/>
  <c r="F338" i="15"/>
  <c r="D338" i="15" s="1"/>
  <c r="AL337" i="15"/>
  <c r="AC337" i="15"/>
  <c r="Z337" i="15"/>
  <c r="F337" i="15" s="1"/>
  <c r="D337" i="15" s="1"/>
  <c r="X337" i="15"/>
  <c r="Y337" i="15" s="1"/>
  <c r="U337" i="15"/>
  <c r="T337" i="15"/>
  <c r="V337" i="15" s="1"/>
  <c r="P337" i="15"/>
  <c r="AE337" i="15" s="1"/>
  <c r="AF337" i="15" s="1"/>
  <c r="G337" i="15"/>
  <c r="AL336" i="15"/>
  <c r="X336" i="15" s="1"/>
  <c r="AC336" i="15"/>
  <c r="AB336" i="15"/>
  <c r="Z336" i="15"/>
  <c r="F336" i="15" s="1"/>
  <c r="D336" i="15" s="1"/>
  <c r="Y336" i="15"/>
  <c r="V336" i="15"/>
  <c r="U336" i="15"/>
  <c r="T336" i="15"/>
  <c r="P336" i="15"/>
  <c r="AE336" i="15" s="1"/>
  <c r="AF336" i="15" s="1"/>
  <c r="G336" i="15"/>
  <c r="AL335" i="15"/>
  <c r="X335" i="15" s="1"/>
  <c r="Y335" i="15" s="1"/>
  <c r="AE335" i="15"/>
  <c r="AC335" i="15"/>
  <c r="Z335" i="15"/>
  <c r="U335" i="15"/>
  <c r="V335" i="15" s="1"/>
  <c r="T335" i="15"/>
  <c r="P335" i="15"/>
  <c r="G335" i="15"/>
  <c r="AL334" i="15"/>
  <c r="X334" i="15" s="1"/>
  <c r="Y334" i="15" s="1"/>
  <c r="AC334" i="15"/>
  <c r="Z334" i="15"/>
  <c r="U334" i="15"/>
  <c r="T334" i="15"/>
  <c r="V334" i="15" s="1"/>
  <c r="P334" i="15"/>
  <c r="AE334" i="15" s="1"/>
  <c r="G334" i="15"/>
  <c r="AL333" i="15"/>
  <c r="X333" i="15" s="1"/>
  <c r="Y333" i="15" s="1"/>
  <c r="AE333" i="15"/>
  <c r="AF333" i="15" s="1"/>
  <c r="AC333" i="15"/>
  <c r="Z333" i="15"/>
  <c r="U333" i="15"/>
  <c r="V333" i="15" s="1"/>
  <c r="T333" i="15"/>
  <c r="P333" i="15"/>
  <c r="G333" i="15"/>
  <c r="AL332" i="15"/>
  <c r="X332" i="15" s="1"/>
  <c r="Y332" i="15" s="1"/>
  <c r="AE332" i="15"/>
  <c r="AF332" i="15" s="1"/>
  <c r="AC332" i="15"/>
  <c r="Z332" i="15"/>
  <c r="V332" i="15"/>
  <c r="U332" i="15"/>
  <c r="T332" i="15"/>
  <c r="P332" i="15"/>
  <c r="G332" i="15"/>
  <c r="AL331" i="15"/>
  <c r="AE331" i="15"/>
  <c r="AC331" i="15"/>
  <c r="AB331" i="15"/>
  <c r="AB340" i="15" s="1"/>
  <c r="R530" i="15" s="1"/>
  <c r="Z331" i="15"/>
  <c r="F331" i="15" s="1"/>
  <c r="D331" i="15" s="1"/>
  <c r="X331" i="15"/>
  <c r="Y331" i="15" s="1"/>
  <c r="U331" i="15"/>
  <c r="V331" i="15" s="1"/>
  <c r="T331" i="15"/>
  <c r="P331" i="15"/>
  <c r="G331" i="15"/>
  <c r="AL330" i="15"/>
  <c r="X330" i="15" s="1"/>
  <c r="Y330" i="15" s="1"/>
  <c r="AC330" i="15"/>
  <c r="Z330" i="15"/>
  <c r="U330" i="15"/>
  <c r="T330" i="15"/>
  <c r="V330" i="15" s="1"/>
  <c r="P330" i="15"/>
  <c r="AE330" i="15" s="1"/>
  <c r="G330" i="15"/>
  <c r="AL329" i="15"/>
  <c r="X329" i="15" s="1"/>
  <c r="Y329" i="15" s="1"/>
  <c r="AC329" i="15"/>
  <c r="Z329" i="15"/>
  <c r="F329" i="15" s="1"/>
  <c r="D329" i="15" s="1"/>
  <c r="V329" i="15"/>
  <c r="U329" i="15"/>
  <c r="T329" i="15"/>
  <c r="P329" i="15"/>
  <c r="AE329" i="15" s="1"/>
  <c r="AF329" i="15" s="1"/>
  <c r="G329" i="15"/>
  <c r="AL328" i="15"/>
  <c r="AE328" i="15"/>
  <c r="AF328" i="15" s="1"/>
  <c r="AC328" i="15"/>
  <c r="Z328" i="15"/>
  <c r="F328" i="15" s="1"/>
  <c r="D328" i="15" s="1"/>
  <c r="X328" i="15"/>
  <c r="Y328" i="15" s="1"/>
  <c r="V328" i="15"/>
  <c r="U328" i="15"/>
  <c r="T328" i="15"/>
  <c r="P328" i="15"/>
  <c r="G328" i="15"/>
  <c r="AL327" i="15"/>
  <c r="AF327" i="15"/>
  <c r="AE327" i="15"/>
  <c r="AC327" i="15"/>
  <c r="Z327" i="15"/>
  <c r="X327" i="15"/>
  <c r="V327" i="15"/>
  <c r="AG327" i="15" s="1"/>
  <c r="U327" i="15"/>
  <c r="T327" i="15"/>
  <c r="P327" i="15"/>
  <c r="G327" i="15"/>
  <c r="F327" i="15"/>
  <c r="D327" i="15" s="1"/>
  <c r="AL326" i="15"/>
  <c r="X326" i="15" s="1"/>
  <c r="Y326" i="15" s="1"/>
  <c r="AE326" i="15"/>
  <c r="AF326" i="15" s="1"/>
  <c r="AC326" i="15"/>
  <c r="AB326" i="15"/>
  <c r="Z326" i="15"/>
  <c r="U326" i="15"/>
  <c r="T326" i="15"/>
  <c r="V326" i="15" s="1"/>
  <c r="P326" i="15"/>
  <c r="G326" i="15"/>
  <c r="AL325" i="15"/>
  <c r="AF325" i="15"/>
  <c r="AE325" i="15"/>
  <c r="AC325" i="15"/>
  <c r="F325" i="15" s="1"/>
  <c r="D325" i="15" s="1"/>
  <c r="Z325" i="15"/>
  <c r="Y325" i="15"/>
  <c r="X325" i="15"/>
  <c r="V325" i="15"/>
  <c r="U325" i="15"/>
  <c r="T325" i="15"/>
  <c r="P325" i="15"/>
  <c r="G325" i="15"/>
  <c r="AL324" i="15"/>
  <c r="AE324" i="15"/>
  <c r="AC324" i="15"/>
  <c r="F324" i="15" s="1"/>
  <c r="D324" i="15" s="1"/>
  <c r="Z324" i="15"/>
  <c r="X324" i="15"/>
  <c r="Y324" i="15" s="1"/>
  <c r="U324" i="15"/>
  <c r="V324" i="15" s="1"/>
  <c r="T324" i="15"/>
  <c r="P324" i="15"/>
  <c r="G324" i="15"/>
  <c r="AL323" i="15"/>
  <c r="AE323" i="15"/>
  <c r="AC323" i="15"/>
  <c r="F323" i="15" s="1"/>
  <c r="D323" i="15" s="1"/>
  <c r="Z323" i="15"/>
  <c r="Y323" i="15"/>
  <c r="X323" i="15"/>
  <c r="V323" i="15"/>
  <c r="U323" i="15"/>
  <c r="T323" i="15"/>
  <c r="T340" i="15" s="1"/>
  <c r="J530" i="15" s="1"/>
  <c r="P323" i="15"/>
  <c r="G323" i="15"/>
  <c r="AL322" i="15"/>
  <c r="AC322" i="15"/>
  <c r="AC340" i="15" s="1"/>
  <c r="AB322" i="15"/>
  <c r="Z322" i="15"/>
  <c r="X322" i="15"/>
  <c r="U322" i="15"/>
  <c r="V322" i="15" s="1"/>
  <c r="T322" i="15"/>
  <c r="P322" i="15"/>
  <c r="AE322" i="15" s="1"/>
  <c r="G322" i="15"/>
  <c r="AL321" i="15"/>
  <c r="X321" i="15" s="1"/>
  <c r="Y321" i="15" s="1"/>
  <c r="AC321" i="15"/>
  <c r="Z321" i="15"/>
  <c r="F321" i="15" s="1"/>
  <c r="D321" i="15" s="1"/>
  <c r="U321" i="15"/>
  <c r="V321" i="15" s="1"/>
  <c r="T321" i="15"/>
  <c r="P321" i="15"/>
  <c r="AE321" i="15" s="1"/>
  <c r="AF321" i="15" s="1"/>
  <c r="AG321" i="15" s="1"/>
  <c r="G321" i="15"/>
  <c r="AL320" i="15"/>
  <c r="AC320" i="15"/>
  <c r="Z320" i="15"/>
  <c r="F320" i="15" s="1"/>
  <c r="D320" i="15" s="1"/>
  <c r="Y320" i="15"/>
  <c r="X320" i="15"/>
  <c r="V320" i="15"/>
  <c r="U320" i="15"/>
  <c r="T320" i="15"/>
  <c r="P320" i="15"/>
  <c r="AE320" i="15" s="1"/>
  <c r="AF320" i="15" s="1"/>
  <c r="G320" i="15"/>
  <c r="AL319" i="15"/>
  <c r="AF319" i="15"/>
  <c r="AE319" i="15"/>
  <c r="AC319" i="15"/>
  <c r="Z319" i="15"/>
  <c r="X319" i="15"/>
  <c r="Y319" i="15" s="1"/>
  <c r="U319" i="15"/>
  <c r="V319" i="15" s="1"/>
  <c r="T319" i="15"/>
  <c r="P319" i="15"/>
  <c r="G319" i="15"/>
  <c r="F319" i="15"/>
  <c r="D319" i="15" s="1"/>
  <c r="AL318" i="15"/>
  <c r="X318" i="15" s="1"/>
  <c r="AC318" i="15"/>
  <c r="Z318" i="15"/>
  <c r="U318" i="15"/>
  <c r="T318" i="15"/>
  <c r="P318" i="15"/>
  <c r="AE318" i="15" s="1"/>
  <c r="G318" i="15"/>
  <c r="AN315" i="15"/>
  <c r="AM315" i="15"/>
  <c r="R315" i="15"/>
  <c r="Q315" i="15"/>
  <c r="O315" i="15"/>
  <c r="G529" i="15" s="1"/>
  <c r="AL314" i="15"/>
  <c r="X314" i="15" s="1"/>
  <c r="Y314" i="15" s="1"/>
  <c r="AH314" i="15" s="1"/>
  <c r="AC314" i="15"/>
  <c r="Z314" i="15"/>
  <c r="U314" i="15"/>
  <c r="V314" i="15" s="1"/>
  <c r="AI314" i="15" s="1"/>
  <c r="AJ314" i="15" s="1"/>
  <c r="T314" i="15"/>
  <c r="P314" i="15"/>
  <c r="AE314" i="15" s="1"/>
  <c r="AF314" i="15" s="1"/>
  <c r="AG314" i="15" s="1"/>
  <c r="G314" i="15"/>
  <c r="F314" i="15"/>
  <c r="D314" i="15" s="1"/>
  <c r="AL313" i="15"/>
  <c r="AC313" i="15"/>
  <c r="Z313" i="15"/>
  <c r="X313" i="15"/>
  <c r="Y313" i="15" s="1"/>
  <c r="U313" i="15"/>
  <c r="V313" i="15" s="1"/>
  <c r="T313" i="15"/>
  <c r="P313" i="15"/>
  <c r="AE313" i="15" s="1"/>
  <c r="AF313" i="15" s="1"/>
  <c r="G313" i="15"/>
  <c r="AL312" i="15"/>
  <c r="X312" i="15" s="1"/>
  <c r="Y312" i="15" s="1"/>
  <c r="AE312" i="15"/>
  <c r="AF312" i="15" s="1"/>
  <c r="AG312" i="15" s="1"/>
  <c r="AC312" i="15"/>
  <c r="Z312" i="15"/>
  <c r="F312" i="15" s="1"/>
  <c r="D312" i="15" s="1"/>
  <c r="U312" i="15"/>
  <c r="V312" i="15" s="1"/>
  <c r="T312" i="15"/>
  <c r="P312" i="15"/>
  <c r="G312" i="15"/>
  <c r="AL311" i="15"/>
  <c r="AE311" i="15"/>
  <c r="AC311" i="15"/>
  <c r="AB311" i="15"/>
  <c r="Z311" i="15"/>
  <c r="X311" i="15"/>
  <c r="U311" i="15"/>
  <c r="T311" i="15"/>
  <c r="V311" i="15" s="1"/>
  <c r="P311" i="15"/>
  <c r="Y311" i="15" s="1"/>
  <c r="G311" i="15"/>
  <c r="AL310" i="15"/>
  <c r="AC310" i="15"/>
  <c r="Z310" i="15"/>
  <c r="X310" i="15"/>
  <c r="U310" i="15"/>
  <c r="T310" i="15"/>
  <c r="V310" i="15" s="1"/>
  <c r="P310" i="15"/>
  <c r="AE310" i="15" s="1"/>
  <c r="G310" i="15"/>
  <c r="AL309" i="15"/>
  <c r="AC309" i="15"/>
  <c r="Z309" i="15"/>
  <c r="Y309" i="15"/>
  <c r="X309" i="15"/>
  <c r="U309" i="15"/>
  <c r="T309" i="15"/>
  <c r="V309" i="15" s="1"/>
  <c r="P309" i="15"/>
  <c r="AE309" i="15" s="1"/>
  <c r="G309" i="15"/>
  <c r="AL308" i="15"/>
  <c r="AC308" i="15"/>
  <c r="Z308" i="15"/>
  <c r="X308" i="15"/>
  <c r="U308" i="15"/>
  <c r="T308" i="15"/>
  <c r="V308" i="15" s="1"/>
  <c r="P308" i="15"/>
  <c r="AE308" i="15" s="1"/>
  <c r="AF308" i="15" s="1"/>
  <c r="G308" i="15"/>
  <c r="AL307" i="15"/>
  <c r="AC307" i="15"/>
  <c r="Z307" i="15"/>
  <c r="X307" i="15"/>
  <c r="Y307" i="15" s="1"/>
  <c r="U307" i="15"/>
  <c r="T307" i="15"/>
  <c r="V307" i="15" s="1"/>
  <c r="P307" i="15"/>
  <c r="AE307" i="15" s="1"/>
  <c r="AF307" i="15" s="1"/>
  <c r="G307" i="15"/>
  <c r="AL306" i="15"/>
  <c r="AC306" i="15"/>
  <c r="Z306" i="15"/>
  <c r="F306" i="15" s="1"/>
  <c r="D306" i="15" s="1"/>
  <c r="Y306" i="15"/>
  <c r="X306" i="15"/>
  <c r="U306" i="15"/>
  <c r="T306" i="15"/>
  <c r="V306" i="15" s="1"/>
  <c r="P306" i="15"/>
  <c r="AE306" i="15" s="1"/>
  <c r="G306" i="15"/>
  <c r="AL305" i="15"/>
  <c r="AC305" i="15"/>
  <c r="Z305" i="15"/>
  <c r="X305" i="15"/>
  <c r="U305" i="15"/>
  <c r="T305" i="15"/>
  <c r="V305" i="15" s="1"/>
  <c r="P305" i="15"/>
  <c r="AE305" i="15" s="1"/>
  <c r="G305" i="15"/>
  <c r="AL304" i="15"/>
  <c r="AC304" i="15"/>
  <c r="Z304" i="15"/>
  <c r="X304" i="15"/>
  <c r="U304" i="15"/>
  <c r="T304" i="15"/>
  <c r="V304" i="15" s="1"/>
  <c r="P304" i="15"/>
  <c r="AE304" i="15" s="1"/>
  <c r="G304" i="15"/>
  <c r="AL303" i="15"/>
  <c r="AC303" i="15"/>
  <c r="Z303" i="15"/>
  <c r="Y303" i="15"/>
  <c r="X303" i="15"/>
  <c r="U303" i="15"/>
  <c r="T303" i="15"/>
  <c r="V303" i="15" s="1"/>
  <c r="P303" i="15"/>
  <c r="AE303" i="15" s="1"/>
  <c r="G303" i="15"/>
  <c r="AL302" i="15"/>
  <c r="AC302" i="15"/>
  <c r="Z302" i="15"/>
  <c r="Y302" i="15"/>
  <c r="X302" i="15"/>
  <c r="U302" i="15"/>
  <c r="T302" i="15"/>
  <c r="V302" i="15" s="1"/>
  <c r="P302" i="15"/>
  <c r="AE302" i="15" s="1"/>
  <c r="G302" i="15"/>
  <c r="AL301" i="15"/>
  <c r="AC301" i="15"/>
  <c r="AB301" i="15"/>
  <c r="AB315" i="15" s="1"/>
  <c r="R529" i="15" s="1"/>
  <c r="Z301" i="15"/>
  <c r="X301" i="15"/>
  <c r="U301" i="15"/>
  <c r="T301" i="15"/>
  <c r="P301" i="15"/>
  <c r="AE301" i="15" s="1"/>
  <c r="G301" i="15"/>
  <c r="AN300" i="15"/>
  <c r="AM300" i="15"/>
  <c r="AL300" i="15"/>
  <c r="AE300" i="15"/>
  <c r="AC300" i="15"/>
  <c r="AA300" i="15"/>
  <c r="Z300" i="15" s="1"/>
  <c r="Y300" i="15"/>
  <c r="X300" i="15"/>
  <c r="U300" i="15"/>
  <c r="T300" i="15"/>
  <c r="V300" i="15" s="1"/>
  <c r="P300" i="15"/>
  <c r="G300" i="15"/>
  <c r="AL299" i="15"/>
  <c r="X299" i="15" s="1"/>
  <c r="Y299" i="15" s="1"/>
  <c r="AE299" i="15"/>
  <c r="AC299" i="15"/>
  <c r="Z299" i="15"/>
  <c r="V299" i="15"/>
  <c r="U299" i="15"/>
  <c r="T299" i="15"/>
  <c r="T315" i="15" s="1"/>
  <c r="J529" i="15" s="1"/>
  <c r="P299" i="15"/>
  <c r="G299" i="15"/>
  <c r="AL298" i="15"/>
  <c r="AE298" i="15"/>
  <c r="AF298" i="15" s="1"/>
  <c r="AG298" i="15" s="1"/>
  <c r="AC298" i="15"/>
  <c r="AC315" i="15" s="1"/>
  <c r="Z298" i="15"/>
  <c r="X298" i="15"/>
  <c r="Y298" i="15" s="1"/>
  <c r="V298" i="15"/>
  <c r="U298" i="15"/>
  <c r="T298" i="15"/>
  <c r="P298" i="15"/>
  <c r="G298" i="15"/>
  <c r="AL297" i="15"/>
  <c r="X297" i="15" s="1"/>
  <c r="Y297" i="15" s="1"/>
  <c r="AE297" i="15"/>
  <c r="AC297" i="15"/>
  <c r="AB297" i="15"/>
  <c r="Z297" i="15"/>
  <c r="U297" i="15"/>
  <c r="V297" i="15" s="1"/>
  <c r="T297" i="15"/>
  <c r="P297" i="15"/>
  <c r="G297" i="15"/>
  <c r="AL296" i="15"/>
  <c r="AE296" i="15"/>
  <c r="AC296" i="15"/>
  <c r="Z296" i="15"/>
  <c r="F296" i="15" s="1"/>
  <c r="D296" i="15" s="1"/>
  <c r="Y296" i="15"/>
  <c r="X296" i="15"/>
  <c r="V296" i="15"/>
  <c r="U296" i="15"/>
  <c r="T296" i="15"/>
  <c r="P296" i="15"/>
  <c r="G296" i="15"/>
  <c r="AL295" i="15"/>
  <c r="AE295" i="15"/>
  <c r="AC295" i="15"/>
  <c r="Z295" i="15"/>
  <c r="X295" i="15"/>
  <c r="Y295" i="15" s="1"/>
  <c r="U295" i="15"/>
  <c r="V295" i="15" s="1"/>
  <c r="T295" i="15"/>
  <c r="P295" i="15"/>
  <c r="G295" i="15"/>
  <c r="AL294" i="15"/>
  <c r="X294" i="15" s="1"/>
  <c r="Y294" i="15" s="1"/>
  <c r="AC294" i="15"/>
  <c r="Z294" i="15"/>
  <c r="F294" i="15" s="1"/>
  <c r="D294" i="15" s="1"/>
  <c r="V294" i="15"/>
  <c r="U294" i="15"/>
  <c r="T294" i="15"/>
  <c r="P294" i="15"/>
  <c r="AE294" i="15" s="1"/>
  <c r="AF294" i="15" s="1"/>
  <c r="G294" i="15"/>
  <c r="AL293" i="15"/>
  <c r="AC293" i="15"/>
  <c r="Z293" i="15"/>
  <c r="Z315" i="15" s="1"/>
  <c r="X293" i="15"/>
  <c r="U293" i="15"/>
  <c r="U315" i="15" s="1"/>
  <c r="L529" i="15" s="1"/>
  <c r="T293" i="15"/>
  <c r="P293" i="15"/>
  <c r="G293" i="15"/>
  <c r="AN290" i="15"/>
  <c r="AM290" i="15"/>
  <c r="S290" i="15"/>
  <c r="I528" i="15" s="1"/>
  <c r="R290" i="15"/>
  <c r="Q290" i="15"/>
  <c r="H528" i="15" s="1"/>
  <c r="O290" i="15"/>
  <c r="G528" i="15" s="1"/>
  <c r="AL289" i="15"/>
  <c r="X289" i="15" s="1"/>
  <c r="Y289" i="15" s="1"/>
  <c r="AC289" i="15"/>
  <c r="Z289" i="15"/>
  <c r="V289" i="15"/>
  <c r="U289" i="15"/>
  <c r="T289" i="15"/>
  <c r="P289" i="15"/>
  <c r="AE289" i="15" s="1"/>
  <c r="AF289" i="15" s="1"/>
  <c r="G289" i="15"/>
  <c r="AL288" i="15"/>
  <c r="AF288" i="15"/>
  <c r="AE288" i="15"/>
  <c r="AC288" i="15"/>
  <c r="Z288" i="15"/>
  <c r="F288" i="15" s="1"/>
  <c r="D288" i="15" s="1"/>
  <c r="Y288" i="15"/>
  <c r="X288" i="15"/>
  <c r="V288" i="15"/>
  <c r="U288" i="15"/>
  <c r="T288" i="15"/>
  <c r="P288" i="15"/>
  <c r="G288" i="15"/>
  <c r="AL287" i="15"/>
  <c r="X287" i="15" s="1"/>
  <c r="Y287" i="15" s="1"/>
  <c r="AC287" i="15"/>
  <c r="Z287" i="15"/>
  <c r="V287" i="15"/>
  <c r="U287" i="15"/>
  <c r="T287" i="15"/>
  <c r="P287" i="15"/>
  <c r="AE287" i="15" s="1"/>
  <c r="AF287" i="15" s="1"/>
  <c r="G287" i="15"/>
  <c r="AL286" i="15"/>
  <c r="AE286" i="15"/>
  <c r="AC286" i="15"/>
  <c r="AB286" i="15"/>
  <c r="Z286" i="15"/>
  <c r="F286" i="15" s="1"/>
  <c r="D286" i="15" s="1"/>
  <c r="X286" i="15"/>
  <c r="U286" i="15"/>
  <c r="T286" i="15"/>
  <c r="V286" i="15" s="1"/>
  <c r="P286" i="15"/>
  <c r="Y286" i="15" s="1"/>
  <c r="G286" i="15"/>
  <c r="AL285" i="15"/>
  <c r="AC285" i="15"/>
  <c r="Z285" i="15"/>
  <c r="F285" i="15" s="1"/>
  <c r="D285" i="15" s="1"/>
  <c r="X285" i="15"/>
  <c r="Y285" i="15" s="1"/>
  <c r="V285" i="15"/>
  <c r="U285" i="15"/>
  <c r="T285" i="15"/>
  <c r="P285" i="15"/>
  <c r="AE285" i="15" s="1"/>
  <c r="AF285" i="15" s="1"/>
  <c r="G285" i="15"/>
  <c r="AL284" i="15"/>
  <c r="AC284" i="15"/>
  <c r="Z284" i="15"/>
  <c r="X284" i="15"/>
  <c r="U284" i="15"/>
  <c r="T284" i="15"/>
  <c r="V284" i="15" s="1"/>
  <c r="P284" i="15"/>
  <c r="AE284" i="15" s="1"/>
  <c r="AF284" i="15" s="1"/>
  <c r="G284" i="15"/>
  <c r="AL283" i="15"/>
  <c r="AC283" i="15"/>
  <c r="Z283" i="15"/>
  <c r="F283" i="15" s="1"/>
  <c r="D283" i="15" s="1"/>
  <c r="X283" i="15"/>
  <c r="Y283" i="15" s="1"/>
  <c r="V283" i="15"/>
  <c r="U283" i="15"/>
  <c r="T283" i="15"/>
  <c r="P283" i="15"/>
  <c r="AE283" i="15" s="1"/>
  <c r="AF283" i="15" s="1"/>
  <c r="G283" i="15"/>
  <c r="AL282" i="15"/>
  <c r="AC282" i="15"/>
  <c r="Z282" i="15"/>
  <c r="F282" i="15" s="1"/>
  <c r="D282" i="15" s="1"/>
  <c r="X282" i="15"/>
  <c r="U282" i="15"/>
  <c r="T282" i="15"/>
  <c r="V282" i="15" s="1"/>
  <c r="P282" i="15"/>
  <c r="AE282" i="15" s="1"/>
  <c r="AF282" i="15" s="1"/>
  <c r="G282" i="15"/>
  <c r="AL281" i="15"/>
  <c r="AC281" i="15"/>
  <c r="Z281" i="15"/>
  <c r="F281" i="15" s="1"/>
  <c r="D281" i="15" s="1"/>
  <c r="X281" i="15"/>
  <c r="Y281" i="15" s="1"/>
  <c r="V281" i="15"/>
  <c r="U281" i="15"/>
  <c r="T281" i="15"/>
  <c r="P281" i="15"/>
  <c r="AE281" i="15" s="1"/>
  <c r="AF281" i="15" s="1"/>
  <c r="G281" i="15"/>
  <c r="AL280" i="15"/>
  <c r="X280" i="15" s="1"/>
  <c r="Y280" i="15" s="1"/>
  <c r="AC280" i="15"/>
  <c r="Z280" i="15"/>
  <c r="F280" i="15" s="1"/>
  <c r="D280" i="15" s="1"/>
  <c r="U280" i="15"/>
  <c r="T280" i="15"/>
  <c r="V280" i="15" s="1"/>
  <c r="P280" i="15"/>
  <c r="AE280" i="15" s="1"/>
  <c r="AF280" i="15" s="1"/>
  <c r="G280" i="15"/>
  <c r="AL279" i="15"/>
  <c r="AC279" i="15"/>
  <c r="Z279" i="15"/>
  <c r="F279" i="15" s="1"/>
  <c r="D279" i="15" s="1"/>
  <c r="X279" i="15"/>
  <c r="Y279" i="15" s="1"/>
  <c r="V279" i="15"/>
  <c r="U279" i="15"/>
  <c r="T279" i="15"/>
  <c r="P279" i="15"/>
  <c r="AE279" i="15" s="1"/>
  <c r="AF279" i="15" s="1"/>
  <c r="G279" i="15"/>
  <c r="AL278" i="15"/>
  <c r="X278" i="15" s="1"/>
  <c r="Y278" i="15" s="1"/>
  <c r="AC278" i="15"/>
  <c r="Z278" i="15"/>
  <c r="U278" i="15"/>
  <c r="T278" i="15"/>
  <c r="V278" i="15" s="1"/>
  <c r="P278" i="15"/>
  <c r="AE278" i="15" s="1"/>
  <c r="AF278" i="15" s="1"/>
  <c r="G278" i="15"/>
  <c r="AL277" i="15"/>
  <c r="AC277" i="15"/>
  <c r="Z277" i="15"/>
  <c r="F277" i="15" s="1"/>
  <c r="D277" i="15" s="1"/>
  <c r="X277" i="15"/>
  <c r="Y277" i="15" s="1"/>
  <c r="V277" i="15"/>
  <c r="U277" i="15"/>
  <c r="T277" i="15"/>
  <c r="P277" i="15"/>
  <c r="AE277" i="15" s="1"/>
  <c r="AF277" i="15" s="1"/>
  <c r="G277" i="15"/>
  <c r="AL276" i="15"/>
  <c r="AC276" i="15"/>
  <c r="Z276" i="15"/>
  <c r="X276" i="15"/>
  <c r="U276" i="15"/>
  <c r="T276" i="15"/>
  <c r="V276" i="15" s="1"/>
  <c r="P276" i="15"/>
  <c r="AE276" i="15" s="1"/>
  <c r="G276" i="15"/>
  <c r="AL275" i="15"/>
  <c r="AC275" i="15"/>
  <c r="AB275" i="15"/>
  <c r="Z275" i="15"/>
  <c r="F275" i="15" s="1"/>
  <c r="D275" i="15" s="1"/>
  <c r="Y275" i="15"/>
  <c r="X275" i="15"/>
  <c r="U275" i="15"/>
  <c r="T275" i="15"/>
  <c r="V275" i="15" s="1"/>
  <c r="P275" i="15"/>
  <c r="AE275" i="15" s="1"/>
  <c r="G275" i="15"/>
  <c r="AL274" i="15"/>
  <c r="X274" i="15" s="1"/>
  <c r="Y274" i="15" s="1"/>
  <c r="AE274" i="15"/>
  <c r="AC274" i="15"/>
  <c r="Z274" i="15"/>
  <c r="U274" i="15"/>
  <c r="T274" i="15"/>
  <c r="V274" i="15" s="1"/>
  <c r="P274" i="15"/>
  <c r="G274" i="15"/>
  <c r="AL273" i="15"/>
  <c r="AC273" i="15"/>
  <c r="Z273" i="15"/>
  <c r="F273" i="15" s="1"/>
  <c r="D273" i="15" s="1"/>
  <c r="Y273" i="15"/>
  <c r="X273" i="15"/>
  <c r="U273" i="15"/>
  <c r="T273" i="15"/>
  <c r="V273" i="15" s="1"/>
  <c r="P273" i="15"/>
  <c r="AE273" i="15" s="1"/>
  <c r="AF273" i="15" s="1"/>
  <c r="G273" i="15"/>
  <c r="AL272" i="15"/>
  <c r="X272" i="15" s="1"/>
  <c r="Y272" i="15" s="1"/>
  <c r="AE272" i="15"/>
  <c r="AC272" i="15"/>
  <c r="F272" i="15" s="1"/>
  <c r="D272" i="15" s="1"/>
  <c r="Z272" i="15"/>
  <c r="U272" i="15"/>
  <c r="T272" i="15"/>
  <c r="V272" i="15" s="1"/>
  <c r="P272" i="15"/>
  <c r="G272" i="15"/>
  <c r="AN271" i="15"/>
  <c r="AM271" i="15"/>
  <c r="AL271" i="15"/>
  <c r="AC271" i="15"/>
  <c r="AB271" i="15"/>
  <c r="AB290" i="15" s="1"/>
  <c r="R528" i="15" s="1"/>
  <c r="AA271" i="15"/>
  <c r="Z271" i="15" s="1"/>
  <c r="Y271" i="15"/>
  <c r="X271" i="15"/>
  <c r="V271" i="15"/>
  <c r="U271" i="15"/>
  <c r="T271" i="15"/>
  <c r="P271" i="15"/>
  <c r="AE271" i="15" s="1"/>
  <c r="AF271" i="15" s="1"/>
  <c r="G271" i="15"/>
  <c r="AL270" i="15"/>
  <c r="X270" i="15" s="1"/>
  <c r="Y270" i="15" s="1"/>
  <c r="AC270" i="15"/>
  <c r="Z270" i="15"/>
  <c r="V270" i="15"/>
  <c r="U270" i="15"/>
  <c r="T270" i="15"/>
  <c r="P270" i="15"/>
  <c r="AE270" i="15" s="1"/>
  <c r="AF270" i="15" s="1"/>
  <c r="G270" i="15"/>
  <c r="AL269" i="15"/>
  <c r="AF269" i="15"/>
  <c r="AE269" i="15"/>
  <c r="AC269" i="15"/>
  <c r="Z269" i="15"/>
  <c r="F269" i="15" s="1"/>
  <c r="D269" i="15" s="1"/>
  <c r="Y269" i="15"/>
  <c r="X269" i="15"/>
  <c r="V269" i="15"/>
  <c r="U269" i="15"/>
  <c r="T269" i="15"/>
  <c r="P269" i="15"/>
  <c r="G269" i="15"/>
  <c r="AL268" i="15"/>
  <c r="X268" i="15" s="1"/>
  <c r="Y268" i="15" s="1"/>
  <c r="AC268" i="15"/>
  <c r="Z268" i="15"/>
  <c r="V268" i="15"/>
  <c r="U268" i="15"/>
  <c r="U290" i="15" s="1"/>
  <c r="L528" i="15" s="1"/>
  <c r="T268" i="15"/>
  <c r="P268" i="15"/>
  <c r="AE268" i="15" s="1"/>
  <c r="AF268" i="15" s="1"/>
  <c r="G268" i="15"/>
  <c r="AL267" i="15"/>
  <c r="AF267" i="15"/>
  <c r="AE267" i="15"/>
  <c r="AC267" i="15"/>
  <c r="AC290" i="15" s="1"/>
  <c r="Z267" i="15"/>
  <c r="F267" i="15" s="1"/>
  <c r="D267" i="15" s="1"/>
  <c r="Y267" i="15"/>
  <c r="X267" i="15"/>
  <c r="V267" i="15"/>
  <c r="V290" i="15" s="1"/>
  <c r="U267" i="15"/>
  <c r="T267" i="15"/>
  <c r="P267" i="15"/>
  <c r="P290" i="15" s="1"/>
  <c r="G267" i="15"/>
  <c r="AN264" i="15"/>
  <c r="AM264" i="15"/>
  <c r="S264" i="15"/>
  <c r="I527" i="15" s="1"/>
  <c r="R264" i="15"/>
  <c r="Q264" i="15"/>
  <c r="H527" i="15" s="1"/>
  <c r="O264" i="15"/>
  <c r="G527" i="15" s="1"/>
  <c r="AL263" i="15"/>
  <c r="AC263" i="15"/>
  <c r="Z263" i="15"/>
  <c r="F263" i="15" s="1"/>
  <c r="D263" i="15" s="1"/>
  <c r="X263" i="15"/>
  <c r="Y263" i="15" s="1"/>
  <c r="V263" i="15"/>
  <c r="U263" i="15"/>
  <c r="T263" i="15"/>
  <c r="P263" i="15"/>
  <c r="AE263" i="15" s="1"/>
  <c r="AF263" i="15" s="1"/>
  <c r="G263" i="15"/>
  <c r="AL262" i="15"/>
  <c r="AC262" i="15"/>
  <c r="Z262" i="15"/>
  <c r="F262" i="15" s="1"/>
  <c r="D262" i="15" s="1"/>
  <c r="X262" i="15"/>
  <c r="U262" i="15"/>
  <c r="T262" i="15"/>
  <c r="V262" i="15" s="1"/>
  <c r="P262" i="15"/>
  <c r="AE262" i="15" s="1"/>
  <c r="AF262" i="15" s="1"/>
  <c r="G262" i="15"/>
  <c r="AL261" i="15"/>
  <c r="AC261" i="15"/>
  <c r="Z261" i="15"/>
  <c r="F261" i="15" s="1"/>
  <c r="D261" i="15" s="1"/>
  <c r="X261" i="15"/>
  <c r="Y261" i="15" s="1"/>
  <c r="V261" i="15"/>
  <c r="U261" i="15"/>
  <c r="T261" i="15"/>
  <c r="P261" i="15"/>
  <c r="AE261" i="15" s="1"/>
  <c r="AF261" i="15" s="1"/>
  <c r="G261" i="15"/>
  <c r="AL260" i="15"/>
  <c r="X260" i="15" s="1"/>
  <c r="Y260" i="15" s="1"/>
  <c r="AE260" i="15"/>
  <c r="AC260" i="15"/>
  <c r="AB260" i="15"/>
  <c r="Z260" i="15"/>
  <c r="U260" i="15"/>
  <c r="T260" i="15"/>
  <c r="V260" i="15" s="1"/>
  <c r="P260" i="15"/>
  <c r="G260" i="15"/>
  <c r="AL259" i="15"/>
  <c r="AC259" i="15"/>
  <c r="Z259" i="15"/>
  <c r="Y259" i="15"/>
  <c r="X259" i="15"/>
  <c r="U259" i="15"/>
  <c r="T259" i="15"/>
  <c r="V259" i="15" s="1"/>
  <c r="P259" i="15"/>
  <c r="AE259" i="15" s="1"/>
  <c r="G259" i="15"/>
  <c r="AL258" i="15"/>
  <c r="X258" i="15" s="1"/>
  <c r="Y258" i="15" s="1"/>
  <c r="AE258" i="15"/>
  <c r="AC258" i="15"/>
  <c r="Z258" i="15"/>
  <c r="U258" i="15"/>
  <c r="T258" i="15"/>
  <c r="V258" i="15" s="1"/>
  <c r="P258" i="15"/>
  <c r="G258" i="15"/>
  <c r="AL257" i="15"/>
  <c r="AC257" i="15"/>
  <c r="Z257" i="15"/>
  <c r="F257" i="15" s="1"/>
  <c r="D257" i="15" s="1"/>
  <c r="Y257" i="15"/>
  <c r="X257" i="15"/>
  <c r="U257" i="15"/>
  <c r="T257" i="15"/>
  <c r="V257" i="15" s="1"/>
  <c r="P257" i="15"/>
  <c r="AE257" i="15" s="1"/>
  <c r="AF257" i="15" s="1"/>
  <c r="G257" i="15"/>
  <c r="AL256" i="15"/>
  <c r="X256" i="15" s="1"/>
  <c r="Y256" i="15" s="1"/>
  <c r="AE256" i="15"/>
  <c r="AC256" i="15"/>
  <c r="F256" i="15" s="1"/>
  <c r="D256" i="15" s="1"/>
  <c r="Z256" i="15"/>
  <c r="U256" i="15"/>
  <c r="T256" i="15"/>
  <c r="V256" i="15" s="1"/>
  <c r="P256" i="15"/>
  <c r="G256" i="15"/>
  <c r="AL255" i="15"/>
  <c r="AC255" i="15"/>
  <c r="Z255" i="15"/>
  <c r="Y255" i="15"/>
  <c r="X255" i="15"/>
  <c r="U255" i="15"/>
  <c r="T255" i="15"/>
  <c r="V255" i="15" s="1"/>
  <c r="P255" i="15"/>
  <c r="AE255" i="15" s="1"/>
  <c r="G255" i="15"/>
  <c r="AL254" i="15"/>
  <c r="X254" i="15" s="1"/>
  <c r="Y254" i="15" s="1"/>
  <c r="AE254" i="15"/>
  <c r="AC254" i="15"/>
  <c r="Z254" i="15"/>
  <c r="U254" i="15"/>
  <c r="T254" i="15"/>
  <c r="V254" i="15" s="1"/>
  <c r="P254" i="15"/>
  <c r="G254" i="15"/>
  <c r="AL253" i="15"/>
  <c r="AC253" i="15"/>
  <c r="AB253" i="15"/>
  <c r="Z253" i="15"/>
  <c r="F253" i="15" s="1"/>
  <c r="D253" i="15" s="1"/>
  <c r="Y253" i="15"/>
  <c r="X253" i="15"/>
  <c r="U253" i="15"/>
  <c r="T253" i="15"/>
  <c r="V253" i="15" s="1"/>
  <c r="P253" i="15"/>
  <c r="AE253" i="15" s="1"/>
  <c r="AF253" i="15" s="1"/>
  <c r="G253" i="15"/>
  <c r="AL252" i="15"/>
  <c r="X252" i="15" s="1"/>
  <c r="Y252" i="15" s="1"/>
  <c r="AE252" i="15"/>
  <c r="AF252" i="15" s="1"/>
  <c r="AC252" i="15"/>
  <c r="Z252" i="15"/>
  <c r="U252" i="15"/>
  <c r="V252" i="15" s="1"/>
  <c r="T252" i="15"/>
  <c r="P252" i="15"/>
  <c r="G252" i="15"/>
  <c r="AL251" i="15"/>
  <c r="X251" i="15" s="1"/>
  <c r="Y251" i="15" s="1"/>
  <c r="AE251" i="15"/>
  <c r="AC251" i="15"/>
  <c r="Z251" i="15"/>
  <c r="U251" i="15"/>
  <c r="U264" i="15" s="1"/>
  <c r="L527" i="15" s="1"/>
  <c r="T251" i="15"/>
  <c r="V251" i="15" s="1"/>
  <c r="P251" i="15"/>
  <c r="G251" i="15"/>
  <c r="AL250" i="15"/>
  <c r="X250" i="15" s="1"/>
  <c r="Y250" i="15" s="1"/>
  <c r="AE250" i="15"/>
  <c r="AF250" i="15" s="1"/>
  <c r="AC250" i="15"/>
  <c r="F250" i="15" s="1"/>
  <c r="D250" i="15" s="1"/>
  <c r="Z250" i="15"/>
  <c r="U250" i="15"/>
  <c r="V250" i="15" s="1"/>
  <c r="T250" i="15"/>
  <c r="P250" i="15"/>
  <c r="G250" i="15"/>
  <c r="AL249" i="15"/>
  <c r="X249" i="15" s="1"/>
  <c r="Y249" i="15" s="1"/>
  <c r="AE249" i="15"/>
  <c r="AF249" i="15" s="1"/>
  <c r="AC249" i="15"/>
  <c r="AB249" i="15"/>
  <c r="Z249" i="15"/>
  <c r="F249" i="15" s="1"/>
  <c r="D249" i="15" s="1"/>
  <c r="V249" i="15"/>
  <c r="U249" i="15"/>
  <c r="T249" i="15"/>
  <c r="P249" i="15"/>
  <c r="G249" i="15"/>
  <c r="AL248" i="15"/>
  <c r="AC248" i="15"/>
  <c r="Z248" i="15"/>
  <c r="X248" i="15"/>
  <c r="U248" i="15"/>
  <c r="T248" i="15"/>
  <c r="V248" i="15" s="1"/>
  <c r="P248" i="15"/>
  <c r="AE248" i="15" s="1"/>
  <c r="G248" i="15"/>
  <c r="AL247" i="15"/>
  <c r="X247" i="15" s="1"/>
  <c r="Y247" i="15" s="1"/>
  <c r="AE247" i="15"/>
  <c r="AC247" i="15"/>
  <c r="Z247" i="15"/>
  <c r="F247" i="15" s="1"/>
  <c r="D247" i="15" s="1"/>
  <c r="V247" i="15"/>
  <c r="U247" i="15"/>
  <c r="T247" i="15"/>
  <c r="P247" i="15"/>
  <c r="G247" i="15"/>
  <c r="AL246" i="15"/>
  <c r="AC246" i="15"/>
  <c r="F246" i="15" s="1"/>
  <c r="D246" i="15" s="1"/>
  <c r="Z246" i="15"/>
  <c r="X246" i="15"/>
  <c r="U246" i="15"/>
  <c r="T246" i="15"/>
  <c r="V246" i="15" s="1"/>
  <c r="P246" i="15"/>
  <c r="AE246" i="15" s="1"/>
  <c r="AF246" i="15" s="1"/>
  <c r="G246" i="15"/>
  <c r="AL245" i="15"/>
  <c r="AC245" i="15"/>
  <c r="AB245" i="15"/>
  <c r="AB264" i="15" s="1"/>
  <c r="R527" i="15" s="1"/>
  <c r="AA245" i="15"/>
  <c r="Z245" i="15" s="1"/>
  <c r="Y245" i="15"/>
  <c r="X245" i="15"/>
  <c r="V245" i="15"/>
  <c r="U245" i="15"/>
  <c r="T245" i="15"/>
  <c r="P245" i="15"/>
  <c r="AE245" i="15" s="1"/>
  <c r="AF245" i="15" s="1"/>
  <c r="G245" i="15"/>
  <c r="AL244" i="15"/>
  <c r="X244" i="15" s="1"/>
  <c r="Y244" i="15" s="1"/>
  <c r="AC244" i="15"/>
  <c r="Z244" i="15"/>
  <c r="V244" i="15"/>
  <c r="U244" i="15"/>
  <c r="T244" i="15"/>
  <c r="P244" i="15"/>
  <c r="AE244" i="15" s="1"/>
  <c r="AF244" i="15" s="1"/>
  <c r="G244" i="15"/>
  <c r="AL243" i="15"/>
  <c r="AF243" i="15"/>
  <c r="AE243" i="15"/>
  <c r="AC243" i="15"/>
  <c r="Z243" i="15"/>
  <c r="F243" i="15" s="1"/>
  <c r="D243" i="15" s="1"/>
  <c r="Y243" i="15"/>
  <c r="X243" i="15"/>
  <c r="V243" i="15"/>
  <c r="U243" i="15"/>
  <c r="T243" i="15"/>
  <c r="P243" i="15"/>
  <c r="G243" i="15"/>
  <c r="AL242" i="15"/>
  <c r="X242" i="15" s="1"/>
  <c r="Y242" i="15" s="1"/>
  <c r="AC242" i="15"/>
  <c r="Z242" i="15"/>
  <c r="V242" i="15"/>
  <c r="U242" i="15"/>
  <c r="T242" i="15"/>
  <c r="P242" i="15"/>
  <c r="AE242" i="15" s="1"/>
  <c r="AF242" i="15" s="1"/>
  <c r="G242" i="15"/>
  <c r="AL241" i="15"/>
  <c r="AF241" i="15"/>
  <c r="AE241" i="15"/>
  <c r="AC241" i="15"/>
  <c r="AC264" i="15" s="1"/>
  <c r="Z241" i="15"/>
  <c r="F241" i="15" s="1"/>
  <c r="D241" i="15" s="1"/>
  <c r="Y241" i="15"/>
  <c r="X241" i="15"/>
  <c r="V241" i="15"/>
  <c r="U241" i="15"/>
  <c r="T241" i="15"/>
  <c r="T264" i="15" s="1"/>
  <c r="J527" i="15" s="1"/>
  <c r="M527" i="15" s="1"/>
  <c r="P241" i="15"/>
  <c r="P264" i="15" s="1"/>
  <c r="G241" i="15"/>
  <c r="AN238" i="15"/>
  <c r="AM238" i="15"/>
  <c r="AA238" i="15"/>
  <c r="Q526" i="15" s="1"/>
  <c r="P526" i="15" s="1"/>
  <c r="S238" i="15"/>
  <c r="I526" i="15" s="1"/>
  <c r="R238" i="15"/>
  <c r="Q238" i="15"/>
  <c r="H526" i="15" s="1"/>
  <c r="O238" i="15"/>
  <c r="G526" i="15" s="1"/>
  <c r="AL237" i="15"/>
  <c r="AC237" i="15"/>
  <c r="Z237" i="15"/>
  <c r="F237" i="15" s="1"/>
  <c r="D237" i="15" s="1"/>
  <c r="X237" i="15"/>
  <c r="V237" i="15"/>
  <c r="U237" i="15"/>
  <c r="T237" i="15"/>
  <c r="P237" i="15"/>
  <c r="AE237" i="15" s="1"/>
  <c r="AF237" i="15" s="1"/>
  <c r="G237" i="15"/>
  <c r="AL236" i="15"/>
  <c r="AC236" i="15"/>
  <c r="Z236" i="15"/>
  <c r="X236" i="15"/>
  <c r="U236" i="15"/>
  <c r="T236" i="15"/>
  <c r="V236" i="15" s="1"/>
  <c r="P236" i="15"/>
  <c r="AE236" i="15" s="1"/>
  <c r="G236" i="15"/>
  <c r="AL235" i="15"/>
  <c r="AC235" i="15"/>
  <c r="Z235" i="15"/>
  <c r="F235" i="15" s="1"/>
  <c r="D235" i="15" s="1"/>
  <c r="X235" i="15"/>
  <c r="Y235" i="15" s="1"/>
  <c r="V235" i="15"/>
  <c r="U235" i="15"/>
  <c r="T235" i="15"/>
  <c r="P235" i="15"/>
  <c r="AE235" i="15" s="1"/>
  <c r="AF235" i="15" s="1"/>
  <c r="G235" i="15"/>
  <c r="AL234" i="15"/>
  <c r="X234" i="15" s="1"/>
  <c r="Y234" i="15" s="1"/>
  <c r="AE234" i="15"/>
  <c r="AC234" i="15"/>
  <c r="AB234" i="15"/>
  <c r="Z234" i="15"/>
  <c r="U234" i="15"/>
  <c r="T234" i="15"/>
  <c r="V234" i="15" s="1"/>
  <c r="P234" i="15"/>
  <c r="G234" i="15"/>
  <c r="AL233" i="15"/>
  <c r="AC233" i="15"/>
  <c r="Z233" i="15"/>
  <c r="Y233" i="15"/>
  <c r="X233" i="15"/>
  <c r="U233" i="15"/>
  <c r="T233" i="15"/>
  <c r="V233" i="15" s="1"/>
  <c r="P233" i="15"/>
  <c r="AE233" i="15" s="1"/>
  <c r="AF233" i="15" s="1"/>
  <c r="G233" i="15"/>
  <c r="AL232" i="15"/>
  <c r="X232" i="15" s="1"/>
  <c r="Y232" i="15" s="1"/>
  <c r="AE232" i="15"/>
  <c r="AC232" i="15"/>
  <c r="Z232" i="15"/>
  <c r="U232" i="15"/>
  <c r="T232" i="15"/>
  <c r="V232" i="15" s="1"/>
  <c r="P232" i="15"/>
  <c r="G232" i="15"/>
  <c r="AL231" i="15"/>
  <c r="AC231" i="15"/>
  <c r="Z231" i="15"/>
  <c r="F231" i="15" s="1"/>
  <c r="D231" i="15" s="1"/>
  <c r="Y231" i="15"/>
  <c r="X231" i="15"/>
  <c r="U231" i="15"/>
  <c r="T231" i="15"/>
  <c r="V231" i="15" s="1"/>
  <c r="P231" i="15"/>
  <c r="AE231" i="15" s="1"/>
  <c r="AF231" i="15" s="1"/>
  <c r="G231" i="15"/>
  <c r="AL230" i="15"/>
  <c r="X230" i="15" s="1"/>
  <c r="Y230" i="15" s="1"/>
  <c r="AE230" i="15"/>
  <c r="AC230" i="15"/>
  <c r="F230" i="15" s="1"/>
  <c r="D230" i="15" s="1"/>
  <c r="Z230" i="15"/>
  <c r="U230" i="15"/>
  <c r="T230" i="15"/>
  <c r="V230" i="15" s="1"/>
  <c r="P230" i="15"/>
  <c r="G230" i="15"/>
  <c r="AL229" i="15"/>
  <c r="AC229" i="15"/>
  <c r="Z229" i="15"/>
  <c r="Y229" i="15"/>
  <c r="X229" i="15"/>
  <c r="U229" i="15"/>
  <c r="T229" i="15"/>
  <c r="V229" i="15" s="1"/>
  <c r="P229" i="15"/>
  <c r="AE229" i="15" s="1"/>
  <c r="G229" i="15"/>
  <c r="AL228" i="15"/>
  <c r="X228" i="15" s="1"/>
  <c r="Y228" i="15" s="1"/>
  <c r="AE228" i="15"/>
  <c r="AC228" i="15"/>
  <c r="Z228" i="15"/>
  <c r="U228" i="15"/>
  <c r="T228" i="15"/>
  <c r="V228" i="15" s="1"/>
  <c r="P228" i="15"/>
  <c r="G228" i="15"/>
  <c r="AL227" i="15"/>
  <c r="AC227" i="15"/>
  <c r="AB227" i="15"/>
  <c r="Z227" i="15"/>
  <c r="Y227" i="15"/>
  <c r="X227" i="15"/>
  <c r="U227" i="15"/>
  <c r="T227" i="15"/>
  <c r="V227" i="15" s="1"/>
  <c r="P227" i="15"/>
  <c r="AE227" i="15" s="1"/>
  <c r="G227" i="15"/>
  <c r="AL226" i="15"/>
  <c r="X226" i="15" s="1"/>
  <c r="Y226" i="15" s="1"/>
  <c r="AE226" i="15"/>
  <c r="AF226" i="15" s="1"/>
  <c r="AC226" i="15"/>
  <c r="Z226" i="15"/>
  <c r="U226" i="15"/>
  <c r="V226" i="15" s="1"/>
  <c r="T226" i="15"/>
  <c r="P226" i="15"/>
  <c r="G226" i="15"/>
  <c r="AL225" i="15"/>
  <c r="X225" i="15" s="1"/>
  <c r="Y225" i="15" s="1"/>
  <c r="AE225" i="15"/>
  <c r="AC225" i="15"/>
  <c r="Z225" i="15"/>
  <c r="U225" i="15"/>
  <c r="T225" i="15"/>
  <c r="V225" i="15" s="1"/>
  <c r="P225" i="15"/>
  <c r="G225" i="15"/>
  <c r="AL224" i="15"/>
  <c r="X224" i="15" s="1"/>
  <c r="Y224" i="15" s="1"/>
  <c r="AE224" i="15"/>
  <c r="AF224" i="15" s="1"/>
  <c r="AC224" i="15"/>
  <c r="Z224" i="15"/>
  <c r="U224" i="15"/>
  <c r="V224" i="15" s="1"/>
  <c r="T224" i="15"/>
  <c r="P224" i="15"/>
  <c r="G224" i="15"/>
  <c r="AL223" i="15"/>
  <c r="X223" i="15" s="1"/>
  <c r="Y223" i="15" s="1"/>
  <c r="AE223" i="15"/>
  <c r="AF223" i="15" s="1"/>
  <c r="AC223" i="15"/>
  <c r="AB223" i="15"/>
  <c r="Z223" i="15"/>
  <c r="F223" i="15" s="1"/>
  <c r="D223" i="15" s="1"/>
  <c r="V223" i="15"/>
  <c r="U223" i="15"/>
  <c r="T223" i="15"/>
  <c r="P223" i="15"/>
  <c r="G223" i="15"/>
  <c r="AL222" i="15"/>
  <c r="AC222" i="15"/>
  <c r="Z222" i="15"/>
  <c r="X222" i="15"/>
  <c r="U222" i="15"/>
  <c r="T222" i="15"/>
  <c r="V222" i="15" s="1"/>
  <c r="P222" i="15"/>
  <c r="AE222" i="15" s="1"/>
  <c r="AF222" i="15" s="1"/>
  <c r="G222" i="15"/>
  <c r="AL221" i="15"/>
  <c r="X221" i="15" s="1"/>
  <c r="Y221" i="15" s="1"/>
  <c r="AE221" i="15"/>
  <c r="AC221" i="15"/>
  <c r="Z221" i="15"/>
  <c r="Z238" i="15" s="1"/>
  <c r="V221" i="15"/>
  <c r="U221" i="15"/>
  <c r="T221" i="15"/>
  <c r="P221" i="15"/>
  <c r="G221" i="15"/>
  <c r="AL220" i="15"/>
  <c r="AC220" i="15"/>
  <c r="Z220" i="15"/>
  <c r="X220" i="15"/>
  <c r="U220" i="15"/>
  <c r="T220" i="15"/>
  <c r="V220" i="15" s="1"/>
  <c r="P220" i="15"/>
  <c r="AE220" i="15" s="1"/>
  <c r="AF220" i="15" s="1"/>
  <c r="G220" i="15"/>
  <c r="AL219" i="15"/>
  <c r="AC219" i="15"/>
  <c r="F219" i="15" s="1"/>
  <c r="D219" i="15" s="1"/>
  <c r="AB219" i="15"/>
  <c r="Z219" i="15"/>
  <c r="X219" i="15"/>
  <c r="Y219" i="15" s="1"/>
  <c r="V219" i="15"/>
  <c r="U219" i="15"/>
  <c r="T219" i="15"/>
  <c r="P219" i="15"/>
  <c r="AE219" i="15" s="1"/>
  <c r="AF219" i="15" s="1"/>
  <c r="G219" i="15"/>
  <c r="AL218" i="15"/>
  <c r="X218" i="15" s="1"/>
  <c r="Y218" i="15" s="1"/>
  <c r="AG218" i="15"/>
  <c r="AC218" i="15"/>
  <c r="Z218" i="15"/>
  <c r="U218" i="15"/>
  <c r="T218" i="15"/>
  <c r="V218" i="15" s="1"/>
  <c r="P218" i="15"/>
  <c r="AE218" i="15" s="1"/>
  <c r="AF218" i="15" s="1"/>
  <c r="G218" i="15"/>
  <c r="F218" i="15"/>
  <c r="D218" i="15" s="1"/>
  <c r="AL217" i="15"/>
  <c r="AE217" i="15"/>
  <c r="AF217" i="15" s="1"/>
  <c r="AG217" i="15" s="1"/>
  <c r="AC217" i="15"/>
  <c r="F217" i="15" s="1"/>
  <c r="D217" i="15" s="1"/>
  <c r="Z217" i="15"/>
  <c r="X217" i="15"/>
  <c r="Y217" i="15" s="1"/>
  <c r="V217" i="15"/>
  <c r="U217" i="15"/>
  <c r="T217" i="15"/>
  <c r="P217" i="15"/>
  <c r="G217" i="15"/>
  <c r="AL216" i="15"/>
  <c r="X216" i="15" s="1"/>
  <c r="Y216" i="15" s="1"/>
  <c r="AC216" i="15"/>
  <c r="Z216" i="15"/>
  <c r="U216" i="15"/>
  <c r="T216" i="15"/>
  <c r="T238" i="15" s="1"/>
  <c r="J526" i="15" s="1"/>
  <c r="P216" i="15"/>
  <c r="AE216" i="15" s="1"/>
  <c r="G216" i="15"/>
  <c r="AL215" i="15"/>
  <c r="AE215" i="15"/>
  <c r="AC215" i="15"/>
  <c r="Z215" i="15"/>
  <c r="X215" i="15"/>
  <c r="V215" i="15"/>
  <c r="U215" i="15"/>
  <c r="T215" i="15"/>
  <c r="P215" i="15"/>
  <c r="P238" i="15" s="1"/>
  <c r="G215" i="15"/>
  <c r="AN212" i="15"/>
  <c r="AM212" i="15"/>
  <c r="AA212" i="15"/>
  <c r="Q525" i="15" s="1"/>
  <c r="P525" i="15" s="1"/>
  <c r="S212" i="15"/>
  <c r="I525" i="15" s="1"/>
  <c r="R212" i="15"/>
  <c r="Q212" i="15"/>
  <c r="H525" i="15" s="1"/>
  <c r="O212" i="15"/>
  <c r="G525" i="15" s="1"/>
  <c r="AL211" i="15"/>
  <c r="X211" i="15" s="1"/>
  <c r="Y211" i="15" s="1"/>
  <c r="AC211" i="15"/>
  <c r="Z211" i="15"/>
  <c r="V211" i="15"/>
  <c r="U211" i="15"/>
  <c r="T211" i="15"/>
  <c r="P211" i="15"/>
  <c r="AE211" i="15" s="1"/>
  <c r="AF211" i="15" s="1"/>
  <c r="G211" i="15"/>
  <c r="AL210" i="15"/>
  <c r="AF210" i="15"/>
  <c r="AE210" i="15"/>
  <c r="AC210" i="15"/>
  <c r="Z210" i="15"/>
  <c r="F210" i="15" s="1"/>
  <c r="D210" i="15" s="1"/>
  <c r="Y210" i="15"/>
  <c r="X210" i="15"/>
  <c r="V210" i="15"/>
  <c r="U210" i="15"/>
  <c r="T210" i="15"/>
  <c r="P210" i="15"/>
  <c r="G210" i="15"/>
  <c r="AL209" i="15"/>
  <c r="X209" i="15" s="1"/>
  <c r="Y209" i="15" s="1"/>
  <c r="AC209" i="15"/>
  <c r="Z209" i="15"/>
  <c r="V209" i="15"/>
  <c r="U209" i="15"/>
  <c r="T209" i="15"/>
  <c r="P209" i="15"/>
  <c r="AE209" i="15" s="1"/>
  <c r="AF209" i="15" s="1"/>
  <c r="G209" i="15"/>
  <c r="AL208" i="15"/>
  <c r="AE208" i="15"/>
  <c r="AC208" i="15"/>
  <c r="AB208" i="15"/>
  <c r="Z208" i="15"/>
  <c r="X208" i="15"/>
  <c r="U208" i="15"/>
  <c r="T208" i="15"/>
  <c r="V208" i="15" s="1"/>
  <c r="P208" i="15"/>
  <c r="Y208" i="15" s="1"/>
  <c r="G208" i="15"/>
  <c r="AL207" i="15"/>
  <c r="AC207" i="15"/>
  <c r="Z207" i="15"/>
  <c r="F207" i="15" s="1"/>
  <c r="D207" i="15" s="1"/>
  <c r="X207" i="15"/>
  <c r="Y207" i="15" s="1"/>
  <c r="V207" i="15"/>
  <c r="U207" i="15"/>
  <c r="T207" i="15"/>
  <c r="P207" i="15"/>
  <c r="AE207" i="15" s="1"/>
  <c r="AF207" i="15" s="1"/>
  <c r="G207" i="15"/>
  <c r="AL206" i="15"/>
  <c r="AC206" i="15"/>
  <c r="Z206" i="15"/>
  <c r="F206" i="15" s="1"/>
  <c r="D206" i="15" s="1"/>
  <c r="X206" i="15"/>
  <c r="U206" i="15"/>
  <c r="T206" i="15"/>
  <c r="V206" i="15" s="1"/>
  <c r="P206" i="15"/>
  <c r="AE206" i="15" s="1"/>
  <c r="G206" i="15"/>
  <c r="AL205" i="15"/>
  <c r="AC205" i="15"/>
  <c r="Z205" i="15"/>
  <c r="F205" i="15" s="1"/>
  <c r="D205" i="15" s="1"/>
  <c r="X205" i="15"/>
  <c r="Y205" i="15" s="1"/>
  <c r="V205" i="15"/>
  <c r="U205" i="15"/>
  <c r="T205" i="15"/>
  <c r="P205" i="15"/>
  <c r="AE205" i="15" s="1"/>
  <c r="AF205" i="15" s="1"/>
  <c r="G205" i="15"/>
  <c r="AL204" i="15"/>
  <c r="AC204" i="15"/>
  <c r="Z204" i="15"/>
  <c r="X204" i="15"/>
  <c r="U204" i="15"/>
  <c r="T204" i="15"/>
  <c r="V204" i="15" s="1"/>
  <c r="P204" i="15"/>
  <c r="AE204" i="15" s="1"/>
  <c r="G204" i="15"/>
  <c r="AL203" i="15"/>
  <c r="AC203" i="15"/>
  <c r="Z203" i="15"/>
  <c r="F203" i="15" s="1"/>
  <c r="D203" i="15" s="1"/>
  <c r="X203" i="15"/>
  <c r="Y203" i="15" s="1"/>
  <c r="V203" i="15"/>
  <c r="U203" i="15"/>
  <c r="T203" i="15"/>
  <c r="P203" i="15"/>
  <c r="AE203" i="15" s="1"/>
  <c r="AF203" i="15" s="1"/>
  <c r="G203" i="15"/>
  <c r="AL202" i="15"/>
  <c r="AC202" i="15"/>
  <c r="Z202" i="15"/>
  <c r="F202" i="15" s="1"/>
  <c r="D202" i="15" s="1"/>
  <c r="X202" i="15"/>
  <c r="U202" i="15"/>
  <c r="T202" i="15"/>
  <c r="V202" i="15" s="1"/>
  <c r="P202" i="15"/>
  <c r="AE202" i="15" s="1"/>
  <c r="G202" i="15"/>
  <c r="AL201" i="15"/>
  <c r="AC201" i="15"/>
  <c r="AB201" i="15"/>
  <c r="Z201" i="15"/>
  <c r="F201" i="15" s="1"/>
  <c r="D201" i="15" s="1"/>
  <c r="Y201" i="15"/>
  <c r="X201" i="15"/>
  <c r="U201" i="15"/>
  <c r="T201" i="15"/>
  <c r="V201" i="15" s="1"/>
  <c r="P201" i="15"/>
  <c r="AE201" i="15" s="1"/>
  <c r="AF201" i="15" s="1"/>
  <c r="G201" i="15"/>
  <c r="AL200" i="15"/>
  <c r="X200" i="15" s="1"/>
  <c r="Y200" i="15" s="1"/>
  <c r="AE200" i="15"/>
  <c r="AC200" i="15"/>
  <c r="Z200" i="15"/>
  <c r="U200" i="15"/>
  <c r="T200" i="15"/>
  <c r="V200" i="15" s="1"/>
  <c r="P200" i="15"/>
  <c r="G200" i="15"/>
  <c r="AL199" i="15"/>
  <c r="AC199" i="15"/>
  <c r="Z199" i="15"/>
  <c r="F199" i="15" s="1"/>
  <c r="D199" i="15" s="1"/>
  <c r="Y199" i="15"/>
  <c r="X199" i="15"/>
  <c r="U199" i="15"/>
  <c r="T199" i="15"/>
  <c r="V199" i="15" s="1"/>
  <c r="P199" i="15"/>
  <c r="AE199" i="15" s="1"/>
  <c r="AF199" i="15" s="1"/>
  <c r="G199" i="15"/>
  <c r="AL198" i="15"/>
  <c r="X198" i="15" s="1"/>
  <c r="Y198" i="15" s="1"/>
  <c r="AE198" i="15"/>
  <c r="AC198" i="15"/>
  <c r="F198" i="15" s="1"/>
  <c r="D198" i="15" s="1"/>
  <c r="Z198" i="15"/>
  <c r="U198" i="15"/>
  <c r="T198" i="15"/>
  <c r="V198" i="15" s="1"/>
  <c r="P198" i="15"/>
  <c r="G198" i="15"/>
  <c r="AL197" i="15"/>
  <c r="AC197" i="15"/>
  <c r="AB197" i="15"/>
  <c r="Z197" i="15"/>
  <c r="F197" i="15" s="1"/>
  <c r="D197" i="15" s="1"/>
  <c r="Y197" i="15"/>
  <c r="X197" i="15"/>
  <c r="U197" i="15"/>
  <c r="T197" i="15"/>
  <c r="V197" i="15" s="1"/>
  <c r="P197" i="15"/>
  <c r="AE197" i="15" s="1"/>
  <c r="AF197" i="15" s="1"/>
  <c r="G197" i="15"/>
  <c r="AN196" i="15"/>
  <c r="AM196" i="15"/>
  <c r="AL196" i="15"/>
  <c r="X196" i="15" s="1"/>
  <c r="Y196" i="15" s="1"/>
  <c r="AE196" i="15"/>
  <c r="AC196" i="15"/>
  <c r="AA196" i="15"/>
  <c r="Z196" i="15" s="1"/>
  <c r="F196" i="15" s="1"/>
  <c r="D196" i="15" s="1"/>
  <c r="V196" i="15"/>
  <c r="U196" i="15"/>
  <c r="T196" i="15"/>
  <c r="P196" i="15"/>
  <c r="G196" i="15"/>
  <c r="AL195" i="15"/>
  <c r="AF195" i="15"/>
  <c r="AE195" i="15"/>
  <c r="AC195" i="15"/>
  <c r="Z195" i="15"/>
  <c r="F195" i="15" s="1"/>
  <c r="D195" i="15" s="1"/>
  <c r="Y195" i="15"/>
  <c r="X195" i="15"/>
  <c r="V195" i="15"/>
  <c r="U195" i="15"/>
  <c r="T195" i="15"/>
  <c r="P195" i="15"/>
  <c r="G195" i="15"/>
  <c r="AL194" i="15"/>
  <c r="X194" i="15" s="1"/>
  <c r="Y194" i="15" s="1"/>
  <c r="AC194" i="15"/>
  <c r="Z194" i="15"/>
  <c r="V194" i="15"/>
  <c r="U194" i="15"/>
  <c r="T194" i="15"/>
  <c r="P194" i="15"/>
  <c r="AE194" i="15" s="1"/>
  <c r="AF194" i="15" s="1"/>
  <c r="G194" i="15"/>
  <c r="AL193" i="15"/>
  <c r="AE193" i="15"/>
  <c r="AC193" i="15"/>
  <c r="AB193" i="15"/>
  <c r="AB212" i="15" s="1"/>
  <c r="R525" i="15" s="1"/>
  <c r="Z193" i="15"/>
  <c r="X193" i="15"/>
  <c r="U193" i="15"/>
  <c r="T193" i="15"/>
  <c r="V193" i="15" s="1"/>
  <c r="P193" i="15"/>
  <c r="Y193" i="15" s="1"/>
  <c r="G193" i="15"/>
  <c r="AL192" i="15"/>
  <c r="AC192" i="15"/>
  <c r="Z192" i="15"/>
  <c r="F192" i="15" s="1"/>
  <c r="D192" i="15" s="1"/>
  <c r="X192" i="15"/>
  <c r="V192" i="15"/>
  <c r="U192" i="15"/>
  <c r="T192" i="15"/>
  <c r="P192" i="15"/>
  <c r="AE192" i="15" s="1"/>
  <c r="AF192" i="15" s="1"/>
  <c r="G192" i="15"/>
  <c r="AL191" i="15"/>
  <c r="AC191" i="15"/>
  <c r="Z191" i="15"/>
  <c r="F191" i="15" s="1"/>
  <c r="D191" i="15" s="1"/>
  <c r="X191" i="15"/>
  <c r="U191" i="15"/>
  <c r="T191" i="15"/>
  <c r="V191" i="15" s="1"/>
  <c r="P191" i="15"/>
  <c r="AE191" i="15" s="1"/>
  <c r="AF191" i="15" s="1"/>
  <c r="G191" i="15"/>
  <c r="AL190" i="15"/>
  <c r="AC190" i="15"/>
  <c r="Z190" i="15"/>
  <c r="F190" i="15" s="1"/>
  <c r="D190" i="15" s="1"/>
  <c r="X190" i="15"/>
  <c r="X212" i="15" s="1"/>
  <c r="V190" i="15"/>
  <c r="U190" i="15"/>
  <c r="T190" i="15"/>
  <c r="P190" i="15"/>
  <c r="AE190" i="15" s="1"/>
  <c r="AF190" i="15" s="1"/>
  <c r="G190" i="15"/>
  <c r="AL189" i="15"/>
  <c r="AC189" i="15"/>
  <c r="Z189" i="15"/>
  <c r="X189" i="15"/>
  <c r="U189" i="15"/>
  <c r="U212" i="15" s="1"/>
  <c r="L525" i="15" s="1"/>
  <c r="T189" i="15"/>
  <c r="V189" i="15" s="1"/>
  <c r="P189" i="15"/>
  <c r="AE189" i="15" s="1"/>
  <c r="G189" i="15"/>
  <c r="AN186" i="15"/>
  <c r="AM186" i="15"/>
  <c r="AA186" i="15"/>
  <c r="Q524" i="15" s="1"/>
  <c r="P524" i="15" s="1"/>
  <c r="S186" i="15"/>
  <c r="I524" i="15" s="1"/>
  <c r="R186" i="15"/>
  <c r="Q186" i="15"/>
  <c r="H524" i="15" s="1"/>
  <c r="O186" i="15"/>
  <c r="G524" i="15" s="1"/>
  <c r="AL185" i="15"/>
  <c r="AC185" i="15"/>
  <c r="Z185" i="15"/>
  <c r="Y185" i="15"/>
  <c r="X185" i="15"/>
  <c r="U185" i="15"/>
  <c r="T185" i="15"/>
  <c r="V185" i="15" s="1"/>
  <c r="P185" i="15"/>
  <c r="AE185" i="15" s="1"/>
  <c r="G185" i="15"/>
  <c r="AL184" i="15"/>
  <c r="X184" i="15" s="1"/>
  <c r="Y184" i="15" s="1"/>
  <c r="AE184" i="15"/>
  <c r="AC184" i="15"/>
  <c r="F184" i="15" s="1"/>
  <c r="D184" i="15" s="1"/>
  <c r="Z184" i="15"/>
  <c r="U184" i="15"/>
  <c r="T184" i="15"/>
  <c r="V184" i="15" s="1"/>
  <c r="P184" i="15"/>
  <c r="G184" i="15"/>
  <c r="AL183" i="15"/>
  <c r="AC183" i="15"/>
  <c r="Z183" i="15"/>
  <c r="Y183" i="15"/>
  <c r="X183" i="15"/>
  <c r="U183" i="15"/>
  <c r="T183" i="15"/>
  <c r="V183" i="15" s="1"/>
  <c r="P183" i="15"/>
  <c r="AE183" i="15" s="1"/>
  <c r="AF183" i="15" s="1"/>
  <c r="G183" i="15"/>
  <c r="AL182" i="15"/>
  <c r="AC182" i="15"/>
  <c r="AB182" i="15"/>
  <c r="Z182" i="15"/>
  <c r="F182" i="15" s="1"/>
  <c r="D182" i="15" s="1"/>
  <c r="X182" i="15"/>
  <c r="Y182" i="15" s="1"/>
  <c r="U182" i="15"/>
  <c r="V182" i="15" s="1"/>
  <c r="T182" i="15"/>
  <c r="P182" i="15"/>
  <c r="AE182" i="15" s="1"/>
  <c r="AF182" i="15" s="1"/>
  <c r="G182" i="15"/>
  <c r="AL181" i="15"/>
  <c r="X181" i="15" s="1"/>
  <c r="Y181" i="15" s="1"/>
  <c r="AE181" i="15"/>
  <c r="AF181" i="15" s="1"/>
  <c r="AC181" i="15"/>
  <c r="Z181" i="15"/>
  <c r="U181" i="15"/>
  <c r="T181" i="15"/>
  <c r="V181" i="15" s="1"/>
  <c r="P181" i="15"/>
  <c r="G181" i="15"/>
  <c r="AL180" i="15"/>
  <c r="X180" i="15" s="1"/>
  <c r="Y180" i="15" s="1"/>
  <c r="AE180" i="15"/>
  <c r="AC180" i="15"/>
  <c r="Z180" i="15"/>
  <c r="F180" i="15" s="1"/>
  <c r="D180" i="15" s="1"/>
  <c r="U180" i="15"/>
  <c r="V180" i="15" s="1"/>
  <c r="T180" i="15"/>
  <c r="P180" i="15"/>
  <c r="G180" i="15"/>
  <c r="AL179" i="15"/>
  <c r="X179" i="15" s="1"/>
  <c r="Y179" i="15" s="1"/>
  <c r="AE179" i="15"/>
  <c r="AC179" i="15"/>
  <c r="Z179" i="15"/>
  <c r="U179" i="15"/>
  <c r="T179" i="15"/>
  <c r="P179" i="15"/>
  <c r="G179" i="15"/>
  <c r="AL178" i="15"/>
  <c r="X178" i="15" s="1"/>
  <c r="Y178" i="15" s="1"/>
  <c r="AE178" i="15"/>
  <c r="AF178" i="15" s="1"/>
  <c r="AC178" i="15"/>
  <c r="Z178" i="15"/>
  <c r="U178" i="15"/>
  <c r="V178" i="15" s="1"/>
  <c r="T178" i="15"/>
  <c r="P178" i="15"/>
  <c r="G178" i="15"/>
  <c r="AL177" i="15"/>
  <c r="X177" i="15" s="1"/>
  <c r="Y177" i="15" s="1"/>
  <c r="AE177" i="15"/>
  <c r="AC177" i="15"/>
  <c r="AB177" i="15"/>
  <c r="Z177" i="15"/>
  <c r="V177" i="15"/>
  <c r="U177" i="15"/>
  <c r="T177" i="15"/>
  <c r="P177" i="15"/>
  <c r="G177" i="15"/>
  <c r="AL176" i="15"/>
  <c r="AC176" i="15"/>
  <c r="F176" i="15" s="1"/>
  <c r="D176" i="15" s="1"/>
  <c r="Z176" i="15"/>
  <c r="X176" i="15"/>
  <c r="U176" i="15"/>
  <c r="T176" i="15"/>
  <c r="V176" i="15" s="1"/>
  <c r="P176" i="15"/>
  <c r="AE176" i="15" s="1"/>
  <c r="AF176" i="15" s="1"/>
  <c r="G176" i="15"/>
  <c r="AL175" i="15"/>
  <c r="AC175" i="15"/>
  <c r="F175" i="15" s="1"/>
  <c r="D175" i="15" s="1"/>
  <c r="AB175" i="15"/>
  <c r="Z175" i="15"/>
  <c r="X175" i="15"/>
  <c r="Y175" i="15" s="1"/>
  <c r="V175" i="15"/>
  <c r="U175" i="15"/>
  <c r="T175" i="15"/>
  <c r="P175" i="15"/>
  <c r="AE175" i="15" s="1"/>
  <c r="AF175" i="15" s="1"/>
  <c r="G175" i="15"/>
  <c r="AL174" i="15"/>
  <c r="X174" i="15" s="1"/>
  <c r="Y174" i="15" s="1"/>
  <c r="AE174" i="15"/>
  <c r="AC174" i="15"/>
  <c r="Z174" i="15"/>
  <c r="U174" i="15"/>
  <c r="T174" i="15"/>
  <c r="V174" i="15" s="1"/>
  <c r="P174" i="15"/>
  <c r="G174" i="15"/>
  <c r="F174" i="15"/>
  <c r="D174" i="15" s="1"/>
  <c r="AL173" i="15"/>
  <c r="AE173" i="15"/>
  <c r="AF173" i="15" s="1"/>
  <c r="AG173" i="15" s="1"/>
  <c r="AC173" i="15"/>
  <c r="Z173" i="15"/>
  <c r="X173" i="15"/>
  <c r="Y173" i="15" s="1"/>
  <c r="V173" i="15"/>
  <c r="U173" i="15"/>
  <c r="T173" i="15"/>
  <c r="P173" i="15"/>
  <c r="G173" i="15"/>
  <c r="F173" i="15"/>
  <c r="D173" i="15" s="1"/>
  <c r="AL172" i="15"/>
  <c r="X172" i="15" s="1"/>
  <c r="Y172" i="15" s="1"/>
  <c r="AE172" i="15"/>
  <c r="AC172" i="15"/>
  <c r="AB172" i="15"/>
  <c r="Z172" i="15"/>
  <c r="V172" i="15"/>
  <c r="U172" i="15"/>
  <c r="T172" i="15"/>
  <c r="P172" i="15"/>
  <c r="G172" i="15"/>
  <c r="AL171" i="15"/>
  <c r="AC171" i="15"/>
  <c r="AB171" i="15"/>
  <c r="Z171" i="15"/>
  <c r="F171" i="15" s="1"/>
  <c r="D171" i="15" s="1"/>
  <c r="X171" i="15"/>
  <c r="U171" i="15"/>
  <c r="T171" i="15"/>
  <c r="V171" i="15" s="1"/>
  <c r="P171" i="15"/>
  <c r="AE171" i="15" s="1"/>
  <c r="AF171" i="15" s="1"/>
  <c r="G171" i="15"/>
  <c r="AL170" i="15"/>
  <c r="AC170" i="15"/>
  <c r="Z170" i="15"/>
  <c r="F170" i="15" s="1"/>
  <c r="D170" i="15" s="1"/>
  <c r="X170" i="15"/>
  <c r="Y170" i="15" s="1"/>
  <c r="V170" i="15"/>
  <c r="U170" i="15"/>
  <c r="T170" i="15"/>
  <c r="P170" i="15"/>
  <c r="AE170" i="15" s="1"/>
  <c r="AF170" i="15" s="1"/>
  <c r="G170" i="15"/>
  <c r="AL169" i="15"/>
  <c r="AC169" i="15"/>
  <c r="Z169" i="15"/>
  <c r="X169" i="15"/>
  <c r="U169" i="15"/>
  <c r="T169" i="15"/>
  <c r="V169" i="15" s="1"/>
  <c r="P169" i="15"/>
  <c r="AE169" i="15" s="1"/>
  <c r="G169" i="15"/>
  <c r="AL168" i="15"/>
  <c r="AC168" i="15"/>
  <c r="Z168" i="15"/>
  <c r="X168" i="15"/>
  <c r="Y168" i="15" s="1"/>
  <c r="V168" i="15"/>
  <c r="U168" i="15"/>
  <c r="T168" i="15"/>
  <c r="P168" i="15"/>
  <c r="G168" i="15"/>
  <c r="AL167" i="15"/>
  <c r="X167" i="15" s="1"/>
  <c r="Y167" i="15" s="1"/>
  <c r="AE167" i="15"/>
  <c r="AC167" i="15"/>
  <c r="AB167" i="15"/>
  <c r="AB186" i="15" s="1"/>
  <c r="R524" i="15" s="1"/>
  <c r="Z167" i="15"/>
  <c r="U167" i="15"/>
  <c r="T167" i="15"/>
  <c r="V167" i="15" s="1"/>
  <c r="P167" i="15"/>
  <c r="G167" i="15"/>
  <c r="AL166" i="15"/>
  <c r="AC166" i="15"/>
  <c r="Z166" i="15"/>
  <c r="F166" i="15" s="1"/>
  <c r="D166" i="15" s="1"/>
  <c r="Y166" i="15"/>
  <c r="X166" i="15"/>
  <c r="U166" i="15"/>
  <c r="T166" i="15"/>
  <c r="V166" i="15" s="1"/>
  <c r="P166" i="15"/>
  <c r="AE166" i="15" s="1"/>
  <c r="AF166" i="15" s="1"/>
  <c r="G166" i="15"/>
  <c r="AL165" i="15"/>
  <c r="X165" i="15" s="1"/>
  <c r="Y165" i="15" s="1"/>
  <c r="AE165" i="15"/>
  <c r="AC165" i="15"/>
  <c r="Z165" i="15"/>
  <c r="U165" i="15"/>
  <c r="T165" i="15"/>
  <c r="V165" i="15" s="1"/>
  <c r="P165" i="15"/>
  <c r="G165" i="15"/>
  <c r="AL164" i="15"/>
  <c r="AC164" i="15"/>
  <c r="Z164" i="15"/>
  <c r="F164" i="15" s="1"/>
  <c r="D164" i="15" s="1"/>
  <c r="Y164" i="15"/>
  <c r="X164" i="15"/>
  <c r="U164" i="15"/>
  <c r="T164" i="15"/>
  <c r="V164" i="15" s="1"/>
  <c r="P164" i="15"/>
  <c r="AE164" i="15" s="1"/>
  <c r="AF164" i="15" s="1"/>
  <c r="G164" i="15"/>
  <c r="AL163" i="15"/>
  <c r="X163" i="15" s="1"/>
  <c r="AE163" i="15"/>
  <c r="AC163" i="15"/>
  <c r="Z163" i="15"/>
  <c r="U163" i="15"/>
  <c r="T163" i="15"/>
  <c r="T186" i="15" s="1"/>
  <c r="J524" i="15" s="1"/>
  <c r="P163" i="15"/>
  <c r="G163" i="15"/>
  <c r="AN160" i="15"/>
  <c r="AM160" i="15"/>
  <c r="AA160" i="15"/>
  <c r="Q523" i="15" s="1"/>
  <c r="P523" i="15" s="1"/>
  <c r="S160" i="15"/>
  <c r="I523" i="15" s="1"/>
  <c r="R160" i="15"/>
  <c r="Q160" i="15"/>
  <c r="H523" i="15" s="1"/>
  <c r="O160" i="15"/>
  <c r="G523" i="15" s="1"/>
  <c r="AL159" i="15"/>
  <c r="X159" i="15" s="1"/>
  <c r="Y159" i="15" s="1"/>
  <c r="AE159" i="15"/>
  <c r="AC159" i="15"/>
  <c r="Z159" i="15"/>
  <c r="U159" i="15"/>
  <c r="T159" i="15"/>
  <c r="P159" i="15"/>
  <c r="G159" i="15"/>
  <c r="AL158" i="15"/>
  <c r="X158" i="15" s="1"/>
  <c r="Y158" i="15" s="1"/>
  <c r="AE158" i="15"/>
  <c r="AF158" i="15" s="1"/>
  <c r="AC158" i="15"/>
  <c r="Z158" i="15"/>
  <c r="U158" i="15"/>
  <c r="V158" i="15" s="1"/>
  <c r="T158" i="15"/>
  <c r="P158" i="15"/>
  <c r="G158" i="15"/>
  <c r="AL157" i="15"/>
  <c r="X157" i="15" s="1"/>
  <c r="Y157" i="15" s="1"/>
  <c r="AE157" i="15"/>
  <c r="AC157" i="15"/>
  <c r="Z157" i="15"/>
  <c r="F157" i="15" s="1"/>
  <c r="D157" i="15" s="1"/>
  <c r="U157" i="15"/>
  <c r="T157" i="15"/>
  <c r="V157" i="15" s="1"/>
  <c r="P157" i="15"/>
  <c r="G157" i="15"/>
  <c r="AL156" i="15"/>
  <c r="X156" i="15" s="1"/>
  <c r="Y156" i="15" s="1"/>
  <c r="AE156" i="15"/>
  <c r="AC156" i="15"/>
  <c r="AB156" i="15"/>
  <c r="Z156" i="15"/>
  <c r="U156" i="15"/>
  <c r="T156" i="15"/>
  <c r="V156" i="15" s="1"/>
  <c r="P156" i="15"/>
  <c r="G156" i="15"/>
  <c r="AL155" i="15"/>
  <c r="X155" i="15" s="1"/>
  <c r="Y155" i="15" s="1"/>
  <c r="AE155" i="15"/>
  <c r="AC155" i="15"/>
  <c r="Z155" i="15"/>
  <c r="V155" i="15"/>
  <c r="U155" i="15"/>
  <c r="T155" i="15"/>
  <c r="P155" i="15"/>
  <c r="G155" i="15"/>
  <c r="AL154" i="15"/>
  <c r="AF154" i="15"/>
  <c r="AC154" i="15"/>
  <c r="F154" i="15" s="1"/>
  <c r="D154" i="15" s="1"/>
  <c r="Z154" i="15"/>
  <c r="X154" i="15"/>
  <c r="U154" i="15"/>
  <c r="T154" i="15"/>
  <c r="V154" i="15" s="1"/>
  <c r="P154" i="15"/>
  <c r="AE154" i="15" s="1"/>
  <c r="G154" i="15"/>
  <c r="AL153" i="15"/>
  <c r="X153" i="15" s="1"/>
  <c r="Y153" i="15" s="1"/>
  <c r="AE153" i="15"/>
  <c r="AC153" i="15"/>
  <c r="Z153" i="15"/>
  <c r="V153" i="15"/>
  <c r="U153" i="15"/>
  <c r="T153" i="15"/>
  <c r="P153" i="15"/>
  <c r="G153" i="15"/>
  <c r="AL152" i="15"/>
  <c r="AC152" i="15"/>
  <c r="Z152" i="15"/>
  <c r="X152" i="15"/>
  <c r="U152" i="15"/>
  <c r="T152" i="15"/>
  <c r="V152" i="15" s="1"/>
  <c r="P152" i="15"/>
  <c r="AE152" i="15" s="1"/>
  <c r="AF152" i="15" s="1"/>
  <c r="G152" i="15"/>
  <c r="AL151" i="15"/>
  <c r="AC151" i="15"/>
  <c r="F151" i="15" s="1"/>
  <c r="D151" i="15" s="1"/>
  <c r="AB151" i="15"/>
  <c r="Z151" i="15"/>
  <c r="X151" i="15"/>
  <c r="Y151" i="15" s="1"/>
  <c r="V151" i="15"/>
  <c r="U151" i="15"/>
  <c r="T151" i="15"/>
  <c r="P151" i="15"/>
  <c r="AE151" i="15" s="1"/>
  <c r="AF151" i="15" s="1"/>
  <c r="G151" i="15"/>
  <c r="AL150" i="15"/>
  <c r="X150" i="15" s="1"/>
  <c r="Y150" i="15" s="1"/>
  <c r="AC150" i="15"/>
  <c r="Z150" i="15"/>
  <c r="U150" i="15"/>
  <c r="T150" i="15"/>
  <c r="V150" i="15" s="1"/>
  <c r="P150" i="15"/>
  <c r="AE150" i="15" s="1"/>
  <c r="AF150" i="15" s="1"/>
  <c r="G150" i="15"/>
  <c r="F150" i="15"/>
  <c r="D150" i="15" s="1"/>
  <c r="AL149" i="15"/>
  <c r="AE149" i="15"/>
  <c r="AF149" i="15" s="1"/>
  <c r="AC149" i="15"/>
  <c r="AB149" i="15"/>
  <c r="Z149" i="15"/>
  <c r="Y149" i="15"/>
  <c r="X149" i="15"/>
  <c r="U149" i="15"/>
  <c r="T149" i="15"/>
  <c r="V149" i="15" s="1"/>
  <c r="P149" i="15"/>
  <c r="G149" i="15"/>
  <c r="AL148" i="15"/>
  <c r="X148" i="15" s="1"/>
  <c r="Y148" i="15" s="1"/>
  <c r="AC148" i="15"/>
  <c r="Z148" i="15"/>
  <c r="V148" i="15"/>
  <c r="U148" i="15"/>
  <c r="T148" i="15"/>
  <c r="P148" i="15"/>
  <c r="AE148" i="15" s="1"/>
  <c r="AF148" i="15" s="1"/>
  <c r="G148" i="15"/>
  <c r="AL147" i="15"/>
  <c r="AE147" i="15"/>
  <c r="AC147" i="15"/>
  <c r="Z147" i="15"/>
  <c r="F147" i="15" s="1"/>
  <c r="D147" i="15" s="1"/>
  <c r="Y147" i="15"/>
  <c r="X147" i="15"/>
  <c r="U147" i="15"/>
  <c r="T147" i="15"/>
  <c r="V147" i="15" s="1"/>
  <c r="P147" i="15"/>
  <c r="G147" i="15"/>
  <c r="AL146" i="15"/>
  <c r="AC146" i="15"/>
  <c r="AB146" i="15"/>
  <c r="Z146" i="15"/>
  <c r="F146" i="15" s="1"/>
  <c r="D146" i="15" s="1"/>
  <c r="X146" i="15"/>
  <c r="Y146" i="15" s="1"/>
  <c r="V146" i="15"/>
  <c r="U146" i="15"/>
  <c r="T146" i="15"/>
  <c r="P146" i="15"/>
  <c r="AE146" i="15" s="1"/>
  <c r="AF146" i="15" s="1"/>
  <c r="G146" i="15"/>
  <c r="AL145" i="15"/>
  <c r="X145" i="15" s="1"/>
  <c r="Y145" i="15" s="1"/>
  <c r="AE145" i="15"/>
  <c r="AC145" i="15"/>
  <c r="AB145" i="15"/>
  <c r="AB160" i="15" s="1"/>
  <c r="R523" i="15" s="1"/>
  <c r="Z145" i="15"/>
  <c r="U145" i="15"/>
  <c r="T145" i="15"/>
  <c r="V145" i="15" s="1"/>
  <c r="P145" i="15"/>
  <c r="G145" i="15"/>
  <c r="AL144" i="15"/>
  <c r="AC144" i="15"/>
  <c r="Z144" i="15"/>
  <c r="Y144" i="15"/>
  <c r="X144" i="15"/>
  <c r="U144" i="15"/>
  <c r="T144" i="15"/>
  <c r="V144" i="15" s="1"/>
  <c r="P144" i="15"/>
  <c r="AE144" i="15" s="1"/>
  <c r="G144" i="15"/>
  <c r="AL143" i="15"/>
  <c r="X143" i="15" s="1"/>
  <c r="Y143" i="15" s="1"/>
  <c r="AE143" i="15"/>
  <c r="AC143" i="15"/>
  <c r="F143" i="15" s="1"/>
  <c r="D143" i="15" s="1"/>
  <c r="Z143" i="15"/>
  <c r="U143" i="15"/>
  <c r="T143" i="15"/>
  <c r="V143" i="15" s="1"/>
  <c r="P143" i="15"/>
  <c r="G143" i="15"/>
  <c r="AL142" i="15"/>
  <c r="AC142" i="15"/>
  <c r="Z142" i="15"/>
  <c r="F142" i="15" s="1"/>
  <c r="D142" i="15" s="1"/>
  <c r="Y142" i="15"/>
  <c r="X142" i="15"/>
  <c r="U142" i="15"/>
  <c r="T142" i="15"/>
  <c r="V142" i="15" s="1"/>
  <c r="P142" i="15"/>
  <c r="AE142" i="15" s="1"/>
  <c r="G142" i="15"/>
  <c r="AL141" i="15"/>
  <c r="AC141" i="15"/>
  <c r="AB141" i="15"/>
  <c r="Z141" i="15"/>
  <c r="X141" i="15"/>
  <c r="Y141" i="15" s="1"/>
  <c r="U141" i="15"/>
  <c r="V141" i="15" s="1"/>
  <c r="T141" i="15"/>
  <c r="P141" i="15"/>
  <c r="AE141" i="15" s="1"/>
  <c r="G141" i="15"/>
  <c r="AL140" i="15"/>
  <c r="X140" i="15" s="1"/>
  <c r="Y140" i="15" s="1"/>
  <c r="AE140" i="15"/>
  <c r="AC140" i="15"/>
  <c r="Z140" i="15"/>
  <c r="U140" i="15"/>
  <c r="T140" i="15"/>
  <c r="P140" i="15"/>
  <c r="G140" i="15"/>
  <c r="AL139" i="15"/>
  <c r="X139" i="15" s="1"/>
  <c r="Y139" i="15" s="1"/>
  <c r="AE139" i="15"/>
  <c r="AF139" i="15" s="1"/>
  <c r="AC139" i="15"/>
  <c r="Z139" i="15"/>
  <c r="F139" i="15" s="1"/>
  <c r="D139" i="15" s="1"/>
  <c r="U139" i="15"/>
  <c r="V139" i="15" s="1"/>
  <c r="T139" i="15"/>
  <c r="P139" i="15"/>
  <c r="G139" i="15"/>
  <c r="AL138" i="15"/>
  <c r="X138" i="15" s="1"/>
  <c r="Y138" i="15" s="1"/>
  <c r="AE138" i="15"/>
  <c r="AC138" i="15"/>
  <c r="Z138" i="15"/>
  <c r="U138" i="15"/>
  <c r="T138" i="15"/>
  <c r="P138" i="15"/>
  <c r="G138" i="15"/>
  <c r="AL137" i="15"/>
  <c r="X137" i="15" s="1"/>
  <c r="Y137" i="15" s="1"/>
  <c r="AE137" i="15"/>
  <c r="AC137" i="15"/>
  <c r="Z137" i="15"/>
  <c r="Z160" i="15" s="1"/>
  <c r="U137" i="15"/>
  <c r="T137" i="15"/>
  <c r="P137" i="15"/>
  <c r="P160" i="15" s="1"/>
  <c r="G137" i="15"/>
  <c r="AN134" i="15"/>
  <c r="AM134" i="15"/>
  <c r="AB134" i="15"/>
  <c r="R522" i="15" s="1"/>
  <c r="AA134" i="15"/>
  <c r="Q522" i="15" s="1"/>
  <c r="P522" i="15" s="1"/>
  <c r="S134" i="15"/>
  <c r="I522" i="15" s="1"/>
  <c r="R134" i="15"/>
  <c r="Q134" i="15"/>
  <c r="H522" i="15" s="1"/>
  <c r="O134" i="15"/>
  <c r="G522" i="15" s="1"/>
  <c r="AL133" i="15"/>
  <c r="X133" i="15" s="1"/>
  <c r="Y133" i="15" s="1"/>
  <c r="AE133" i="15"/>
  <c r="AC133" i="15"/>
  <c r="Z133" i="15"/>
  <c r="V133" i="15"/>
  <c r="U133" i="15"/>
  <c r="T133" i="15"/>
  <c r="P133" i="15"/>
  <c r="G133" i="15"/>
  <c r="AL132" i="15"/>
  <c r="AC132" i="15"/>
  <c r="Z132" i="15"/>
  <c r="X132" i="15"/>
  <c r="U132" i="15"/>
  <c r="T132" i="15"/>
  <c r="V132" i="15" s="1"/>
  <c r="P132" i="15"/>
  <c r="AE132" i="15" s="1"/>
  <c r="AF132" i="15" s="1"/>
  <c r="G132" i="15"/>
  <c r="AL131" i="15"/>
  <c r="X131" i="15" s="1"/>
  <c r="Y131" i="15" s="1"/>
  <c r="AE131" i="15"/>
  <c r="AC131" i="15"/>
  <c r="Z131" i="15"/>
  <c r="V131" i="15"/>
  <c r="U131" i="15"/>
  <c r="T131" i="15"/>
  <c r="P131" i="15"/>
  <c r="G131" i="15"/>
  <c r="AL130" i="15"/>
  <c r="AC130" i="15"/>
  <c r="Z130" i="15"/>
  <c r="X130" i="15"/>
  <c r="U130" i="15"/>
  <c r="T130" i="15"/>
  <c r="V130" i="15" s="1"/>
  <c r="P130" i="15"/>
  <c r="AE130" i="15" s="1"/>
  <c r="AF130" i="15" s="1"/>
  <c r="G130" i="15"/>
  <c r="AL129" i="15"/>
  <c r="X129" i="15" s="1"/>
  <c r="Y129" i="15" s="1"/>
  <c r="AF129" i="15"/>
  <c r="AE129" i="15"/>
  <c r="AC129" i="15"/>
  <c r="Z129" i="15"/>
  <c r="V129" i="15"/>
  <c r="U129" i="15"/>
  <c r="T129" i="15"/>
  <c r="P129" i="15"/>
  <c r="G129" i="15"/>
  <c r="AL128" i="15"/>
  <c r="AF128" i="15"/>
  <c r="AC128" i="15"/>
  <c r="Z128" i="15"/>
  <c r="X128" i="15"/>
  <c r="V128" i="15"/>
  <c r="U128" i="15"/>
  <c r="T128" i="15"/>
  <c r="P128" i="15"/>
  <c r="AE128" i="15" s="1"/>
  <c r="G128" i="15"/>
  <c r="AL127" i="15"/>
  <c r="X127" i="15" s="1"/>
  <c r="Y127" i="15" s="1"/>
  <c r="AF127" i="15"/>
  <c r="AE127" i="15"/>
  <c r="AC127" i="15"/>
  <c r="Z127" i="15"/>
  <c r="V127" i="15"/>
  <c r="U127" i="15"/>
  <c r="T127" i="15"/>
  <c r="P127" i="15"/>
  <c r="G127" i="15"/>
  <c r="AL126" i="15"/>
  <c r="AC126" i="15"/>
  <c r="Z126" i="15"/>
  <c r="X126" i="15"/>
  <c r="U126" i="15"/>
  <c r="T126" i="15"/>
  <c r="V126" i="15" s="1"/>
  <c r="P126" i="15"/>
  <c r="AE126" i="15" s="1"/>
  <c r="G126" i="15"/>
  <c r="AL125" i="15"/>
  <c r="X125" i="15" s="1"/>
  <c r="Y125" i="15" s="1"/>
  <c r="AF125" i="15"/>
  <c r="AE125" i="15"/>
  <c r="AC125" i="15"/>
  <c r="Z125" i="15"/>
  <c r="V125" i="15"/>
  <c r="U125" i="15"/>
  <c r="T125" i="15"/>
  <c r="P125" i="15"/>
  <c r="G125" i="15"/>
  <c r="AL124" i="15"/>
  <c r="AC124" i="15"/>
  <c r="Z124" i="15"/>
  <c r="X124" i="15"/>
  <c r="U124" i="15"/>
  <c r="T124" i="15"/>
  <c r="V124" i="15" s="1"/>
  <c r="P124" i="15"/>
  <c r="AE124" i="15" s="1"/>
  <c r="G124" i="15"/>
  <c r="AL123" i="15"/>
  <c r="X123" i="15" s="1"/>
  <c r="Y123" i="15" s="1"/>
  <c r="AF123" i="15"/>
  <c r="AE123" i="15"/>
  <c r="AC123" i="15"/>
  <c r="Z123" i="15"/>
  <c r="F123" i="15" s="1"/>
  <c r="D123" i="15" s="1"/>
  <c r="V123" i="15"/>
  <c r="U123" i="15"/>
  <c r="T123" i="15"/>
  <c r="P123" i="15"/>
  <c r="G123" i="15"/>
  <c r="AL122" i="15"/>
  <c r="AC122" i="15"/>
  <c r="Z122" i="15"/>
  <c r="X122" i="15"/>
  <c r="U122" i="15"/>
  <c r="T122" i="15"/>
  <c r="V122" i="15" s="1"/>
  <c r="P122" i="15"/>
  <c r="G122" i="15"/>
  <c r="AL121" i="15"/>
  <c r="X121" i="15" s="1"/>
  <c r="Y121" i="15" s="1"/>
  <c r="AF121" i="15"/>
  <c r="AE121" i="15"/>
  <c r="AC121" i="15"/>
  <c r="Z121" i="15"/>
  <c r="F121" i="15" s="1"/>
  <c r="D121" i="15" s="1"/>
  <c r="V121" i="15"/>
  <c r="U121" i="15"/>
  <c r="T121" i="15"/>
  <c r="P121" i="15"/>
  <c r="G121" i="15"/>
  <c r="AL120" i="15"/>
  <c r="AC120" i="15"/>
  <c r="Z120" i="15"/>
  <c r="X120" i="15"/>
  <c r="U120" i="15"/>
  <c r="T120" i="15"/>
  <c r="V120" i="15" s="1"/>
  <c r="P120" i="15"/>
  <c r="G120" i="15"/>
  <c r="AL119" i="15"/>
  <c r="X119" i="15" s="1"/>
  <c r="Y119" i="15" s="1"/>
  <c r="AF119" i="15"/>
  <c r="AE119" i="15"/>
  <c r="AC119" i="15"/>
  <c r="Z119" i="15"/>
  <c r="F119" i="15" s="1"/>
  <c r="D119" i="15" s="1"/>
  <c r="V119" i="15"/>
  <c r="U119" i="15"/>
  <c r="T119" i="15"/>
  <c r="P119" i="15"/>
  <c r="G119" i="15"/>
  <c r="AL118" i="15"/>
  <c r="AC118" i="15"/>
  <c r="Z118" i="15"/>
  <c r="X118" i="15"/>
  <c r="U118" i="15"/>
  <c r="T118" i="15"/>
  <c r="V118" i="15" s="1"/>
  <c r="P118" i="15"/>
  <c r="G118" i="15"/>
  <c r="AL117" i="15"/>
  <c r="X117" i="15" s="1"/>
  <c r="Y117" i="15" s="1"/>
  <c r="AF117" i="15"/>
  <c r="AE117" i="15"/>
  <c r="AC117" i="15"/>
  <c r="Z117" i="15"/>
  <c r="F117" i="15" s="1"/>
  <c r="D117" i="15" s="1"/>
  <c r="V117" i="15"/>
  <c r="U117" i="15"/>
  <c r="T117" i="15"/>
  <c r="P117" i="15"/>
  <c r="G117" i="15"/>
  <c r="AL116" i="15"/>
  <c r="AC116" i="15"/>
  <c r="Z116" i="15"/>
  <c r="X116" i="15"/>
  <c r="U116" i="15"/>
  <c r="T116" i="15"/>
  <c r="V116" i="15" s="1"/>
  <c r="P116" i="15"/>
  <c r="G116" i="15"/>
  <c r="AL115" i="15"/>
  <c r="X115" i="15" s="1"/>
  <c r="Y115" i="15" s="1"/>
  <c r="AF115" i="15"/>
  <c r="AE115" i="15"/>
  <c r="AC115" i="15"/>
  <c r="Z115" i="15"/>
  <c r="F115" i="15" s="1"/>
  <c r="D115" i="15" s="1"/>
  <c r="V115" i="15"/>
  <c r="U115" i="15"/>
  <c r="T115" i="15"/>
  <c r="P115" i="15"/>
  <c r="G115" i="15"/>
  <c r="AL114" i="15"/>
  <c r="AC114" i="15"/>
  <c r="Z114" i="15"/>
  <c r="X114" i="15"/>
  <c r="U114" i="15"/>
  <c r="T114" i="15"/>
  <c r="V114" i="15" s="1"/>
  <c r="P114" i="15"/>
  <c r="G114" i="15"/>
  <c r="AL113" i="15"/>
  <c r="X113" i="15" s="1"/>
  <c r="Y113" i="15" s="1"/>
  <c r="AF113" i="15"/>
  <c r="AE113" i="15"/>
  <c r="AC113" i="15"/>
  <c r="Z113" i="15"/>
  <c r="F113" i="15" s="1"/>
  <c r="D113" i="15" s="1"/>
  <c r="V113" i="15"/>
  <c r="U113" i="15"/>
  <c r="T113" i="15"/>
  <c r="P113" i="15"/>
  <c r="G113" i="15"/>
  <c r="AL112" i="15"/>
  <c r="AC112" i="15"/>
  <c r="Z112" i="15"/>
  <c r="X112" i="15"/>
  <c r="U112" i="15"/>
  <c r="T112" i="15"/>
  <c r="V112" i="15" s="1"/>
  <c r="P112" i="15"/>
  <c r="G112" i="15"/>
  <c r="AL111" i="15"/>
  <c r="X111" i="15" s="1"/>
  <c r="AF111" i="15"/>
  <c r="AE111" i="15"/>
  <c r="AC111" i="15"/>
  <c r="AC134" i="15" s="1"/>
  <c r="Z111" i="15"/>
  <c r="V111" i="15"/>
  <c r="U111" i="15"/>
  <c r="U134" i="15" s="1"/>
  <c r="L522" i="15" s="1"/>
  <c r="T111" i="15"/>
  <c r="P111" i="15"/>
  <c r="G111" i="15"/>
  <c r="AN108" i="15"/>
  <c r="AM108" i="15"/>
  <c r="AB108" i="15"/>
  <c r="R521" i="15" s="1"/>
  <c r="AA108" i="15"/>
  <c r="Q521" i="15" s="1"/>
  <c r="P521" i="15" s="1"/>
  <c r="S108" i="15"/>
  <c r="R108" i="15"/>
  <c r="Q108" i="15"/>
  <c r="H521" i="15" s="1"/>
  <c r="O108" i="15"/>
  <c r="G521" i="15" s="1"/>
  <c r="AL107" i="15"/>
  <c r="X107" i="15" s="1"/>
  <c r="Y107" i="15" s="1"/>
  <c r="AG107" i="15"/>
  <c r="AC107" i="15"/>
  <c r="Z107" i="15"/>
  <c r="U107" i="15"/>
  <c r="T107" i="15"/>
  <c r="V107" i="15" s="1"/>
  <c r="P107" i="15"/>
  <c r="AE107" i="15" s="1"/>
  <c r="AF107" i="15" s="1"/>
  <c r="G107" i="15"/>
  <c r="F107" i="15"/>
  <c r="D107" i="15" s="1"/>
  <c r="AL106" i="15"/>
  <c r="AG106" i="15"/>
  <c r="AE106" i="15"/>
  <c r="AF106" i="15" s="1"/>
  <c r="AC106" i="15"/>
  <c r="F106" i="15" s="1"/>
  <c r="D106" i="15" s="1"/>
  <c r="Z106" i="15"/>
  <c r="X106" i="15"/>
  <c r="Y106" i="15" s="1"/>
  <c r="V106" i="15"/>
  <c r="U106" i="15"/>
  <c r="T106" i="15"/>
  <c r="P106" i="15"/>
  <c r="G106" i="15"/>
  <c r="AL105" i="15"/>
  <c r="AG105" i="15"/>
  <c r="AC105" i="15"/>
  <c r="Z105" i="15"/>
  <c r="X105" i="15"/>
  <c r="Y105" i="15" s="1"/>
  <c r="U105" i="15"/>
  <c r="T105" i="15"/>
  <c r="V105" i="15" s="1"/>
  <c r="F105" i="15" s="1"/>
  <c r="D105" i="15" s="1"/>
  <c r="P105" i="15"/>
  <c r="AE105" i="15" s="1"/>
  <c r="AF105" i="15" s="1"/>
  <c r="G105" i="15"/>
  <c r="AL104" i="15"/>
  <c r="AE104" i="15"/>
  <c r="AF104" i="15" s="1"/>
  <c r="AG104" i="15" s="1"/>
  <c r="AC104" i="15"/>
  <c r="F104" i="15" s="1"/>
  <c r="D104" i="15" s="1"/>
  <c r="Z104" i="15"/>
  <c r="X104" i="15"/>
  <c r="Y104" i="15" s="1"/>
  <c r="V104" i="15"/>
  <c r="U104" i="15"/>
  <c r="T104" i="15"/>
  <c r="P104" i="15"/>
  <c r="G104" i="15"/>
  <c r="AL103" i="15"/>
  <c r="AC103" i="15"/>
  <c r="Z103" i="15"/>
  <c r="X103" i="15"/>
  <c r="Y103" i="15" s="1"/>
  <c r="U103" i="15"/>
  <c r="T103" i="15"/>
  <c r="P103" i="15"/>
  <c r="AE103" i="15" s="1"/>
  <c r="G103" i="15"/>
  <c r="AL102" i="15"/>
  <c r="AG102" i="15"/>
  <c r="AE102" i="15"/>
  <c r="AF102" i="15" s="1"/>
  <c r="AC102" i="15"/>
  <c r="F102" i="15" s="1"/>
  <c r="D102" i="15" s="1"/>
  <c r="Z102" i="15"/>
  <c r="X102" i="15"/>
  <c r="Y102" i="15" s="1"/>
  <c r="V102" i="15"/>
  <c r="U102" i="15"/>
  <c r="T102" i="15"/>
  <c r="P102" i="15"/>
  <c r="G102" i="15"/>
  <c r="AL101" i="15"/>
  <c r="AC101" i="15"/>
  <c r="Z101" i="15"/>
  <c r="X101" i="15"/>
  <c r="Y101" i="15" s="1"/>
  <c r="U101" i="15"/>
  <c r="T101" i="15"/>
  <c r="P101" i="15"/>
  <c r="AE101" i="15" s="1"/>
  <c r="G101" i="15"/>
  <c r="AL100" i="15"/>
  <c r="AE100" i="15"/>
  <c r="AF100" i="15" s="1"/>
  <c r="AG100" i="15" s="1"/>
  <c r="AC100" i="15"/>
  <c r="Z100" i="15"/>
  <c r="X100" i="15"/>
  <c r="Y100" i="15" s="1"/>
  <c r="V100" i="15"/>
  <c r="U100" i="15"/>
  <c r="T100" i="15"/>
  <c r="P100" i="15"/>
  <c r="G100" i="15"/>
  <c r="F100" i="15"/>
  <c r="D100" i="15" s="1"/>
  <c r="AL99" i="15"/>
  <c r="AC99" i="15"/>
  <c r="Z99" i="15"/>
  <c r="X99" i="15"/>
  <c r="Y99" i="15" s="1"/>
  <c r="U99" i="15"/>
  <c r="T99" i="15"/>
  <c r="V99" i="15" s="1"/>
  <c r="F99" i="15" s="1"/>
  <c r="D99" i="15" s="1"/>
  <c r="P99" i="15"/>
  <c r="AE99" i="15" s="1"/>
  <c r="G99" i="15"/>
  <c r="AL98" i="15"/>
  <c r="AG98" i="15"/>
  <c r="AE98" i="15"/>
  <c r="AF98" i="15" s="1"/>
  <c r="AC98" i="15"/>
  <c r="F98" i="15" s="1"/>
  <c r="D98" i="15" s="1"/>
  <c r="Z98" i="15"/>
  <c r="X98" i="15"/>
  <c r="Y98" i="15" s="1"/>
  <c r="V98" i="15"/>
  <c r="U98" i="15"/>
  <c r="T98" i="15"/>
  <c r="P98" i="15"/>
  <c r="G98" i="15"/>
  <c r="AL97" i="15"/>
  <c r="AC97" i="15"/>
  <c r="Z97" i="15"/>
  <c r="X97" i="15"/>
  <c r="Y97" i="15" s="1"/>
  <c r="U97" i="15"/>
  <c r="T97" i="15"/>
  <c r="P97" i="15"/>
  <c r="AE97" i="15" s="1"/>
  <c r="G97" i="15"/>
  <c r="AL96" i="15"/>
  <c r="AE96" i="15"/>
  <c r="AF96" i="15" s="1"/>
  <c r="AG96" i="15" s="1"/>
  <c r="AC96" i="15"/>
  <c r="F96" i="15" s="1"/>
  <c r="D96" i="15" s="1"/>
  <c r="Z96" i="15"/>
  <c r="X96" i="15"/>
  <c r="Y96" i="15" s="1"/>
  <c r="V96" i="15"/>
  <c r="U96" i="15"/>
  <c r="T96" i="15"/>
  <c r="P96" i="15"/>
  <c r="G96" i="15"/>
  <c r="AL95" i="15"/>
  <c r="AC95" i="15"/>
  <c r="Z95" i="15"/>
  <c r="X95" i="15"/>
  <c r="Y95" i="15" s="1"/>
  <c r="U95" i="15"/>
  <c r="T95" i="15"/>
  <c r="V95" i="15" s="1"/>
  <c r="P95" i="15"/>
  <c r="AE95" i="15" s="1"/>
  <c r="G95" i="15"/>
  <c r="AL94" i="15"/>
  <c r="AE94" i="15"/>
  <c r="AF94" i="15" s="1"/>
  <c r="AG94" i="15" s="1"/>
  <c r="AC94" i="15"/>
  <c r="Z94" i="15"/>
  <c r="X94" i="15"/>
  <c r="Y94" i="15" s="1"/>
  <c r="V94" i="15"/>
  <c r="U94" i="15"/>
  <c r="T94" i="15"/>
  <c r="P94" i="15"/>
  <c r="G94" i="15"/>
  <c r="F94" i="15"/>
  <c r="D94" i="15" s="1"/>
  <c r="AL93" i="15"/>
  <c r="AC93" i="15"/>
  <c r="Z93" i="15"/>
  <c r="X93" i="15"/>
  <c r="Y93" i="15" s="1"/>
  <c r="U93" i="15"/>
  <c r="T93" i="15"/>
  <c r="V93" i="15" s="1"/>
  <c r="P93" i="15"/>
  <c r="AE93" i="15" s="1"/>
  <c r="AF93" i="15" s="1"/>
  <c r="G93" i="15"/>
  <c r="AL92" i="15"/>
  <c r="AE92" i="15"/>
  <c r="AF92" i="15" s="1"/>
  <c r="AG92" i="15" s="1"/>
  <c r="AC92" i="15"/>
  <c r="Z92" i="15"/>
  <c r="X92" i="15"/>
  <c r="Y92" i="15" s="1"/>
  <c r="V92" i="15"/>
  <c r="U92" i="15"/>
  <c r="T92" i="15"/>
  <c r="P92" i="15"/>
  <c r="G92" i="15"/>
  <c r="F92" i="15"/>
  <c r="D92" i="15" s="1"/>
  <c r="AL91" i="15"/>
  <c r="X91" i="15" s="1"/>
  <c r="Y91" i="15" s="1"/>
  <c r="AC91" i="15"/>
  <c r="Z91" i="15"/>
  <c r="U91" i="15"/>
  <c r="T91" i="15"/>
  <c r="P91" i="15"/>
  <c r="AE91" i="15" s="1"/>
  <c r="G91" i="15"/>
  <c r="AL90" i="15"/>
  <c r="AG90" i="15"/>
  <c r="AE90" i="15"/>
  <c r="AF90" i="15" s="1"/>
  <c r="AC90" i="15"/>
  <c r="Z90" i="15"/>
  <c r="X90" i="15"/>
  <c r="Y90" i="15" s="1"/>
  <c r="V90" i="15"/>
  <c r="U90" i="15"/>
  <c r="T90" i="15"/>
  <c r="P90" i="15"/>
  <c r="G90" i="15"/>
  <c r="F90" i="15"/>
  <c r="D90" i="15" s="1"/>
  <c r="AL89" i="15"/>
  <c r="X89" i="15" s="1"/>
  <c r="Y89" i="15" s="1"/>
  <c r="AC89" i="15"/>
  <c r="Z89" i="15"/>
  <c r="U89" i="15"/>
  <c r="T89" i="15"/>
  <c r="V89" i="15" s="1"/>
  <c r="P89" i="15"/>
  <c r="AE89" i="15" s="1"/>
  <c r="G89" i="15"/>
  <c r="F89" i="15"/>
  <c r="D89" i="15" s="1"/>
  <c r="AL88" i="15"/>
  <c r="AC88" i="15"/>
  <c r="Z88" i="15"/>
  <c r="X88" i="15"/>
  <c r="V88" i="15"/>
  <c r="U88" i="15"/>
  <c r="T88" i="15"/>
  <c r="P88" i="15"/>
  <c r="AE88" i="15" s="1"/>
  <c r="AF88" i="15" s="1"/>
  <c r="AG88" i="15" s="1"/>
  <c r="G88" i="15"/>
  <c r="F88" i="15"/>
  <c r="D88" i="15" s="1"/>
  <c r="AL87" i="15"/>
  <c r="X87" i="15" s="1"/>
  <c r="Y87" i="15" s="1"/>
  <c r="AC87" i="15"/>
  <c r="Z87" i="15"/>
  <c r="U87" i="15"/>
  <c r="T87" i="15"/>
  <c r="P87" i="15"/>
  <c r="AE87" i="15" s="1"/>
  <c r="G87" i="15"/>
  <c r="AL86" i="15"/>
  <c r="AC86" i="15"/>
  <c r="Z86" i="15"/>
  <c r="X86" i="15"/>
  <c r="V86" i="15"/>
  <c r="U86" i="15"/>
  <c r="T86" i="15"/>
  <c r="P86" i="15"/>
  <c r="AE86" i="15" s="1"/>
  <c r="AF86" i="15" s="1"/>
  <c r="G86" i="15"/>
  <c r="F86" i="15"/>
  <c r="D86" i="15" s="1"/>
  <c r="AL85" i="15"/>
  <c r="AC85" i="15"/>
  <c r="Z85" i="15"/>
  <c r="Z108" i="15" s="1"/>
  <c r="X85" i="15"/>
  <c r="Y85" i="15" s="1"/>
  <c r="U85" i="15"/>
  <c r="U108" i="15" s="1"/>
  <c r="T85" i="15"/>
  <c r="P85" i="15"/>
  <c r="AE85" i="15" s="1"/>
  <c r="G85" i="15"/>
  <c r="AN82" i="15"/>
  <c r="AM82" i="15"/>
  <c r="AA82" i="15"/>
  <c r="Q520" i="15" s="1"/>
  <c r="P520" i="15" s="1"/>
  <c r="S82" i="15"/>
  <c r="I520" i="15" s="1"/>
  <c r="R82" i="15"/>
  <c r="Q82" i="15"/>
  <c r="H520" i="15" s="1"/>
  <c r="O82" i="15"/>
  <c r="G520" i="15" s="1"/>
  <c r="AL81" i="15"/>
  <c r="AE81" i="15"/>
  <c r="AC81" i="15"/>
  <c r="AA81" i="15"/>
  <c r="Z81" i="15" s="1"/>
  <c r="X81" i="15"/>
  <c r="U81" i="15"/>
  <c r="T81" i="15"/>
  <c r="P81" i="15"/>
  <c r="Y81" i="15" s="1"/>
  <c r="G81" i="15"/>
  <c r="AL80" i="15"/>
  <c r="AE80" i="15"/>
  <c r="AC80" i="15"/>
  <c r="AB80" i="15"/>
  <c r="AA80" i="15"/>
  <c r="Z80" i="15"/>
  <c r="F80" i="15" s="1"/>
  <c r="X80" i="15"/>
  <c r="Y80" i="15" s="1"/>
  <c r="V80" i="15"/>
  <c r="U80" i="15"/>
  <c r="T80" i="15"/>
  <c r="P80" i="15"/>
  <c r="G80" i="15"/>
  <c r="AL79" i="15"/>
  <c r="AF79" i="15"/>
  <c r="AG79" i="15" s="1"/>
  <c r="AE79" i="15"/>
  <c r="AC79" i="15"/>
  <c r="Z79" i="15"/>
  <c r="X79" i="15"/>
  <c r="V79" i="15"/>
  <c r="AH79" i="15" s="1"/>
  <c r="U79" i="15"/>
  <c r="T79" i="15"/>
  <c r="P79" i="15"/>
  <c r="Y79" i="15" s="1"/>
  <c r="G79" i="15"/>
  <c r="F79" i="15"/>
  <c r="D79" i="15" s="1"/>
  <c r="AL78" i="15"/>
  <c r="X78" i="15" s="1"/>
  <c r="Y78" i="15" s="1"/>
  <c r="AC78" i="15"/>
  <c r="AB78" i="15"/>
  <c r="Z78" i="15"/>
  <c r="U78" i="15"/>
  <c r="V78" i="15" s="1"/>
  <c r="T78" i="15"/>
  <c r="P78" i="15"/>
  <c r="AE78" i="15" s="1"/>
  <c r="AF78" i="15" s="1"/>
  <c r="G78" i="15"/>
  <c r="AL77" i="15"/>
  <c r="AE77" i="15"/>
  <c r="AC77" i="15"/>
  <c r="Z77" i="15"/>
  <c r="X77" i="15"/>
  <c r="Y77" i="15" s="1"/>
  <c r="U77" i="15"/>
  <c r="T77" i="15"/>
  <c r="P77" i="15"/>
  <c r="G77" i="15"/>
  <c r="AL76" i="15"/>
  <c r="AE76" i="15"/>
  <c r="AC76" i="15"/>
  <c r="Z76" i="15"/>
  <c r="F76" i="15" s="1"/>
  <c r="D76" i="15" s="1"/>
  <c r="Y76" i="15"/>
  <c r="X76" i="15"/>
  <c r="U76" i="15"/>
  <c r="V76" i="15" s="1"/>
  <c r="T76" i="15"/>
  <c r="P76" i="15"/>
  <c r="G76" i="15"/>
  <c r="AL75" i="15"/>
  <c r="AC75" i="15"/>
  <c r="Z75" i="15"/>
  <c r="X75" i="15"/>
  <c r="Y75" i="15" s="1"/>
  <c r="U75" i="15"/>
  <c r="T75" i="15"/>
  <c r="V75" i="15" s="1"/>
  <c r="P75" i="15"/>
  <c r="AE75" i="15" s="1"/>
  <c r="AF75" i="15" s="1"/>
  <c r="AG75" i="15" s="1"/>
  <c r="G75" i="15"/>
  <c r="F75" i="15"/>
  <c r="D75" i="15" s="1"/>
  <c r="AL74" i="15"/>
  <c r="X74" i="15" s="1"/>
  <c r="Y74" i="15" s="1"/>
  <c r="AC74" i="15"/>
  <c r="Z74" i="15"/>
  <c r="U74" i="15"/>
  <c r="V74" i="15" s="1"/>
  <c r="T74" i="15"/>
  <c r="P74" i="15"/>
  <c r="AE74" i="15" s="1"/>
  <c r="G74" i="15"/>
  <c r="AL73" i="15"/>
  <c r="X73" i="15" s="1"/>
  <c r="AC73" i="15"/>
  <c r="AB73" i="15"/>
  <c r="Z73" i="15"/>
  <c r="Y73" i="15"/>
  <c r="V73" i="15"/>
  <c r="U73" i="15"/>
  <c r="T73" i="15"/>
  <c r="P73" i="15"/>
  <c r="AE73" i="15" s="1"/>
  <c r="AF73" i="15" s="1"/>
  <c r="G73" i="15"/>
  <c r="AL72" i="15"/>
  <c r="AE72" i="15"/>
  <c r="AF72" i="15" s="1"/>
  <c r="AC72" i="15"/>
  <c r="Z72" i="15"/>
  <c r="X72" i="15"/>
  <c r="Y72" i="15" s="1"/>
  <c r="U72" i="15"/>
  <c r="T72" i="15"/>
  <c r="V72" i="15" s="1"/>
  <c r="P72" i="15"/>
  <c r="G72" i="15"/>
  <c r="AL71" i="15"/>
  <c r="X71" i="15" s="1"/>
  <c r="Y71" i="15" s="1"/>
  <c r="AC71" i="15"/>
  <c r="AB71" i="15"/>
  <c r="Z71" i="15"/>
  <c r="U71" i="15"/>
  <c r="V71" i="15" s="1"/>
  <c r="T71" i="15"/>
  <c r="P71" i="15"/>
  <c r="AE71" i="15" s="1"/>
  <c r="G71" i="15"/>
  <c r="AL70" i="15"/>
  <c r="AE70" i="15"/>
  <c r="AC70" i="15"/>
  <c r="Z70" i="15"/>
  <c r="Y70" i="15"/>
  <c r="X70" i="15"/>
  <c r="U70" i="15"/>
  <c r="T70" i="15"/>
  <c r="P70" i="15"/>
  <c r="G70" i="15"/>
  <c r="AL69" i="15"/>
  <c r="AE69" i="15"/>
  <c r="AC69" i="15"/>
  <c r="Z69" i="15"/>
  <c r="X69" i="15"/>
  <c r="Y69" i="15" s="1"/>
  <c r="U69" i="15"/>
  <c r="T69" i="15"/>
  <c r="V69" i="15" s="1"/>
  <c r="P69" i="15"/>
  <c r="G69" i="15"/>
  <c r="AL68" i="15"/>
  <c r="X68" i="15" s="1"/>
  <c r="Y68" i="15" s="1"/>
  <c r="AF68" i="15"/>
  <c r="AG68" i="15" s="1"/>
  <c r="AE68" i="15"/>
  <c r="AC68" i="15"/>
  <c r="Z68" i="15"/>
  <c r="U68" i="15"/>
  <c r="T68" i="15"/>
  <c r="V68" i="15" s="1"/>
  <c r="P68" i="15"/>
  <c r="G68" i="15"/>
  <c r="F68" i="15"/>
  <c r="D68" i="15" s="1"/>
  <c r="AL67" i="15"/>
  <c r="X67" i="15" s="1"/>
  <c r="Y67" i="15" s="1"/>
  <c r="AC67" i="15"/>
  <c r="Z67" i="15"/>
  <c r="U67" i="15"/>
  <c r="V67" i="15" s="1"/>
  <c r="T67" i="15"/>
  <c r="P67" i="15"/>
  <c r="AE67" i="15" s="1"/>
  <c r="G67" i="15"/>
  <c r="AL66" i="15"/>
  <c r="AE66" i="15"/>
  <c r="AC66" i="15"/>
  <c r="Z66" i="15"/>
  <c r="Y66" i="15"/>
  <c r="X66" i="15"/>
  <c r="U66" i="15"/>
  <c r="T66" i="15"/>
  <c r="P66" i="15"/>
  <c r="G66" i="15"/>
  <c r="AL65" i="15"/>
  <c r="AE65" i="15"/>
  <c r="AC65" i="15"/>
  <c r="Z65" i="15"/>
  <c r="X65" i="15"/>
  <c r="Y65" i="15" s="1"/>
  <c r="U65" i="15"/>
  <c r="T65" i="15"/>
  <c r="V65" i="15" s="1"/>
  <c r="P65" i="15"/>
  <c r="G65" i="15"/>
  <c r="AL64" i="15"/>
  <c r="X64" i="15" s="1"/>
  <c r="Y64" i="15" s="1"/>
  <c r="AF64" i="15"/>
  <c r="AG64" i="15" s="1"/>
  <c r="AE64" i="15"/>
  <c r="AC64" i="15"/>
  <c r="Z64" i="15"/>
  <c r="U64" i="15"/>
  <c r="T64" i="15"/>
  <c r="V64" i="15" s="1"/>
  <c r="P64" i="15"/>
  <c r="G64" i="15"/>
  <c r="F64" i="15"/>
  <c r="D64" i="15" s="1"/>
  <c r="AL63" i="15"/>
  <c r="AE63" i="15"/>
  <c r="AC63" i="15"/>
  <c r="AB63" i="15"/>
  <c r="Z63" i="15"/>
  <c r="X63" i="15"/>
  <c r="Y63" i="15" s="1"/>
  <c r="U63" i="15"/>
  <c r="V63" i="15" s="1"/>
  <c r="T63" i="15"/>
  <c r="P63" i="15"/>
  <c r="G63" i="15"/>
  <c r="AL62" i="15"/>
  <c r="X62" i="15" s="1"/>
  <c r="AE62" i="15"/>
  <c r="AF62" i="15" s="1"/>
  <c r="AC62" i="15"/>
  <c r="Z62" i="15"/>
  <c r="Y62" i="15"/>
  <c r="U62" i="15"/>
  <c r="T62" i="15"/>
  <c r="V62" i="15" s="1"/>
  <c r="P62" i="15"/>
  <c r="G62" i="15"/>
  <c r="AL61" i="15"/>
  <c r="X61" i="15" s="1"/>
  <c r="Y61" i="15" s="1"/>
  <c r="AC61" i="15"/>
  <c r="Z61" i="15"/>
  <c r="U61" i="15"/>
  <c r="T61" i="15"/>
  <c r="V61" i="15" s="1"/>
  <c r="P61" i="15"/>
  <c r="AE61" i="15" s="1"/>
  <c r="G61" i="15"/>
  <c r="AL60" i="15"/>
  <c r="X60" i="15" s="1"/>
  <c r="AE60" i="15"/>
  <c r="AC60" i="15"/>
  <c r="Z60" i="15"/>
  <c r="F60" i="15" s="1"/>
  <c r="D60" i="15" s="1"/>
  <c r="Y60" i="15"/>
  <c r="V60" i="15"/>
  <c r="U60" i="15"/>
  <c r="T60" i="15"/>
  <c r="P60" i="15"/>
  <c r="G60" i="15"/>
  <c r="AL59" i="15"/>
  <c r="X59" i="15" s="1"/>
  <c r="AE59" i="15"/>
  <c r="AC59" i="15"/>
  <c r="Z59" i="15"/>
  <c r="U59" i="15"/>
  <c r="T59" i="15"/>
  <c r="T82" i="15" s="1"/>
  <c r="J520" i="15" s="1"/>
  <c r="P59" i="15"/>
  <c r="G59" i="15"/>
  <c r="AN56" i="15"/>
  <c r="AM56" i="15"/>
  <c r="AA56" i="15"/>
  <c r="Q519" i="15" s="1"/>
  <c r="P519" i="15" s="1"/>
  <c r="S56" i="15"/>
  <c r="I519" i="15" s="1"/>
  <c r="R56" i="15"/>
  <c r="Q56" i="15"/>
  <c r="H519" i="15" s="1"/>
  <c r="O56" i="15"/>
  <c r="G519" i="15" s="1"/>
  <c r="AL55" i="15"/>
  <c r="X55" i="15" s="1"/>
  <c r="Y55" i="15" s="1"/>
  <c r="AE55" i="15"/>
  <c r="AC55" i="15"/>
  <c r="Z55" i="15"/>
  <c r="U55" i="15"/>
  <c r="V55" i="15" s="1"/>
  <c r="T55" i="15"/>
  <c r="P55" i="15"/>
  <c r="G55" i="15"/>
  <c r="AL54" i="15"/>
  <c r="AE54" i="15"/>
  <c r="AF54" i="15" s="1"/>
  <c r="AC54" i="15"/>
  <c r="AB54" i="15"/>
  <c r="Z54" i="15"/>
  <c r="F54" i="15" s="1"/>
  <c r="D54" i="15" s="1"/>
  <c r="X54" i="15"/>
  <c r="Y54" i="15" s="1"/>
  <c r="V54" i="15"/>
  <c r="U54" i="15"/>
  <c r="T54" i="15"/>
  <c r="P54" i="15"/>
  <c r="G54" i="15"/>
  <c r="AL53" i="15"/>
  <c r="AF53" i="15"/>
  <c r="AG53" i="15" s="1"/>
  <c r="AE53" i="15"/>
  <c r="AC53" i="15"/>
  <c r="Z53" i="15"/>
  <c r="X53" i="15"/>
  <c r="V53" i="15"/>
  <c r="U53" i="15"/>
  <c r="T53" i="15"/>
  <c r="P53" i="15"/>
  <c r="Y53" i="15" s="1"/>
  <c r="G53" i="15"/>
  <c r="F53" i="15"/>
  <c r="D53" i="15"/>
  <c r="AL52" i="15"/>
  <c r="X52" i="15" s="1"/>
  <c r="Y52" i="15" s="1"/>
  <c r="AC52" i="15"/>
  <c r="AB52" i="15"/>
  <c r="Z52" i="15"/>
  <c r="U52" i="15"/>
  <c r="V52" i="15" s="1"/>
  <c r="T52" i="15"/>
  <c r="P52" i="15"/>
  <c r="AE52" i="15" s="1"/>
  <c r="G52" i="15"/>
  <c r="AL51" i="15"/>
  <c r="AE51" i="15"/>
  <c r="AF51" i="15" s="1"/>
  <c r="AG51" i="15" s="1"/>
  <c r="AC51" i="15"/>
  <c r="Z51" i="15"/>
  <c r="F51" i="15" s="1"/>
  <c r="D51" i="15" s="1"/>
  <c r="Y51" i="15"/>
  <c r="X51" i="15"/>
  <c r="U51" i="15"/>
  <c r="T51" i="15"/>
  <c r="V51" i="15" s="1"/>
  <c r="P51" i="15"/>
  <c r="G51" i="15"/>
  <c r="AL50" i="15"/>
  <c r="AE50" i="15"/>
  <c r="AF50" i="15" s="1"/>
  <c r="AG50" i="15" s="1"/>
  <c r="AC50" i="15"/>
  <c r="Z50" i="15"/>
  <c r="X50" i="15"/>
  <c r="Y50" i="15" s="1"/>
  <c r="V50" i="15"/>
  <c r="U50" i="15"/>
  <c r="T50" i="15"/>
  <c r="P50" i="15"/>
  <c r="G50" i="15"/>
  <c r="F50" i="15"/>
  <c r="D50" i="15" s="1"/>
  <c r="AL49" i="15"/>
  <c r="AC49" i="15"/>
  <c r="Z49" i="15"/>
  <c r="X49" i="15"/>
  <c r="Y49" i="15" s="1"/>
  <c r="U49" i="15"/>
  <c r="T49" i="15"/>
  <c r="P49" i="15"/>
  <c r="AE49" i="15" s="1"/>
  <c r="G49" i="15"/>
  <c r="AL48" i="15"/>
  <c r="AC48" i="15"/>
  <c r="Z48" i="15"/>
  <c r="F48" i="15" s="1"/>
  <c r="D48" i="15" s="1"/>
  <c r="X48" i="15"/>
  <c r="Y48" i="15" s="1"/>
  <c r="V48" i="15"/>
  <c r="U48" i="15"/>
  <c r="T48" i="15"/>
  <c r="P48" i="15"/>
  <c r="AE48" i="15" s="1"/>
  <c r="AF48" i="15" s="1"/>
  <c r="AG48" i="15" s="1"/>
  <c r="G48" i="15"/>
  <c r="AL47" i="15"/>
  <c r="X47" i="15" s="1"/>
  <c r="Y47" i="15" s="1"/>
  <c r="AC47" i="15"/>
  <c r="AB47" i="15"/>
  <c r="Z47" i="15"/>
  <c r="U47" i="15"/>
  <c r="T47" i="15"/>
  <c r="V47" i="15" s="1"/>
  <c r="P47" i="15"/>
  <c r="AE47" i="15" s="1"/>
  <c r="AF47" i="15" s="1"/>
  <c r="G47" i="15"/>
  <c r="AL46" i="15"/>
  <c r="AC46" i="15"/>
  <c r="Z46" i="15"/>
  <c r="X46" i="15"/>
  <c r="Y46" i="15" s="1"/>
  <c r="V46" i="15"/>
  <c r="U46" i="15"/>
  <c r="T46" i="15"/>
  <c r="P46" i="15"/>
  <c r="AE46" i="15" s="1"/>
  <c r="AF46" i="15" s="1"/>
  <c r="G46" i="15"/>
  <c r="AL45" i="15"/>
  <c r="X45" i="15" s="1"/>
  <c r="Y45" i="15" s="1"/>
  <c r="AC45" i="15"/>
  <c r="AB45" i="15"/>
  <c r="Z45" i="15"/>
  <c r="F45" i="15" s="1"/>
  <c r="D45" i="15" s="1"/>
  <c r="U45" i="15"/>
  <c r="T45" i="15"/>
  <c r="V45" i="15" s="1"/>
  <c r="P45" i="15"/>
  <c r="AE45" i="15" s="1"/>
  <c r="G45" i="15"/>
  <c r="AL44" i="15"/>
  <c r="X44" i="15" s="1"/>
  <c r="Y44" i="15" s="1"/>
  <c r="AC44" i="15"/>
  <c r="Z44" i="15"/>
  <c r="U44" i="15"/>
  <c r="T44" i="15"/>
  <c r="P44" i="15"/>
  <c r="AE44" i="15" s="1"/>
  <c r="G44" i="15"/>
  <c r="AL43" i="15"/>
  <c r="AC43" i="15"/>
  <c r="Z43" i="15"/>
  <c r="F43" i="15" s="1"/>
  <c r="D43" i="15" s="1"/>
  <c r="X43" i="15"/>
  <c r="Y43" i="15" s="1"/>
  <c r="V43" i="15"/>
  <c r="U43" i="15"/>
  <c r="T43" i="15"/>
  <c r="P43" i="15"/>
  <c r="AE43" i="15" s="1"/>
  <c r="AF43" i="15" s="1"/>
  <c r="G43" i="15"/>
  <c r="AL42" i="15"/>
  <c r="AE42" i="15"/>
  <c r="AF42" i="15" s="1"/>
  <c r="AG42" i="15" s="1"/>
  <c r="AC42" i="15"/>
  <c r="Z42" i="15"/>
  <c r="F42" i="15" s="1"/>
  <c r="D42" i="15" s="1"/>
  <c r="Y42" i="15"/>
  <c r="X42" i="15"/>
  <c r="U42" i="15"/>
  <c r="T42" i="15"/>
  <c r="V42" i="15" s="1"/>
  <c r="P42" i="15"/>
  <c r="G42" i="15"/>
  <c r="AL41" i="15"/>
  <c r="AE41" i="15"/>
  <c r="AC41" i="15"/>
  <c r="Z41" i="15"/>
  <c r="X41" i="15"/>
  <c r="Y41" i="15" s="1"/>
  <c r="U41" i="15"/>
  <c r="T41" i="15"/>
  <c r="V41" i="15" s="1"/>
  <c r="P41" i="15"/>
  <c r="G41" i="15"/>
  <c r="AL40" i="15"/>
  <c r="X40" i="15" s="1"/>
  <c r="Y40" i="15" s="1"/>
  <c r="AC40" i="15"/>
  <c r="Z40" i="15"/>
  <c r="U40" i="15"/>
  <c r="T40" i="15"/>
  <c r="V40" i="15" s="1"/>
  <c r="P40" i="15"/>
  <c r="AE40" i="15" s="1"/>
  <c r="AF40" i="15" s="1"/>
  <c r="G40" i="15"/>
  <c r="AL39" i="15"/>
  <c r="AE39" i="15"/>
  <c r="AC39" i="15"/>
  <c r="Z39" i="15"/>
  <c r="F39" i="15" s="1"/>
  <c r="D39" i="15" s="1"/>
  <c r="X39" i="15"/>
  <c r="Y39" i="15" s="1"/>
  <c r="V39" i="15"/>
  <c r="U39" i="15"/>
  <c r="T39" i="15"/>
  <c r="P39" i="15"/>
  <c r="G39" i="15"/>
  <c r="AL38" i="15"/>
  <c r="AF38" i="15"/>
  <c r="AG38" i="15" s="1"/>
  <c r="AE38" i="15"/>
  <c r="AC38" i="15"/>
  <c r="Z38" i="15"/>
  <c r="F38" i="15" s="1"/>
  <c r="D38" i="15" s="1"/>
  <c r="X38" i="15"/>
  <c r="Y38" i="15" s="1"/>
  <c r="U38" i="15"/>
  <c r="T38" i="15"/>
  <c r="V38" i="15" s="1"/>
  <c r="P38" i="15"/>
  <c r="G38" i="15"/>
  <c r="AL37" i="15"/>
  <c r="X37" i="15" s="1"/>
  <c r="Y37" i="15" s="1"/>
  <c r="AC37" i="15"/>
  <c r="AB37" i="15"/>
  <c r="AB56" i="15" s="1"/>
  <c r="R519" i="15" s="1"/>
  <c r="Z37" i="15"/>
  <c r="U37" i="15"/>
  <c r="V37" i="15" s="1"/>
  <c r="T37" i="15"/>
  <c r="P37" i="15"/>
  <c r="AE37" i="15" s="1"/>
  <c r="G37" i="15"/>
  <c r="AL36" i="15"/>
  <c r="X36" i="15" s="1"/>
  <c r="AE36" i="15"/>
  <c r="AC36" i="15"/>
  <c r="Z36" i="15"/>
  <c r="F36" i="15" s="1"/>
  <c r="D36" i="15" s="1"/>
  <c r="Y36" i="15"/>
  <c r="V36" i="15"/>
  <c r="U36" i="15"/>
  <c r="T36" i="15"/>
  <c r="P36" i="15"/>
  <c r="G36" i="15"/>
  <c r="AL35" i="15"/>
  <c r="X35" i="15" s="1"/>
  <c r="Y35" i="15" s="1"/>
  <c r="AE35" i="15"/>
  <c r="AC35" i="15"/>
  <c r="Z35" i="15"/>
  <c r="U35" i="15"/>
  <c r="T35" i="15"/>
  <c r="V35" i="15" s="1"/>
  <c r="P35" i="15"/>
  <c r="G35" i="15"/>
  <c r="AL34" i="15"/>
  <c r="X34" i="15" s="1"/>
  <c r="Y34" i="15" s="1"/>
  <c r="AE34" i="15"/>
  <c r="AF34" i="15" s="1"/>
  <c r="AC34" i="15"/>
  <c r="Z34" i="15"/>
  <c r="U34" i="15"/>
  <c r="U56" i="15" s="1"/>
  <c r="L519" i="15" s="1"/>
  <c r="T34" i="15"/>
  <c r="V34" i="15" s="1"/>
  <c r="P34" i="15"/>
  <c r="G34" i="15"/>
  <c r="AL33" i="15"/>
  <c r="AC33" i="15"/>
  <c r="AC56" i="15" s="1"/>
  <c r="Z33" i="15"/>
  <c r="F33" i="15" s="1"/>
  <c r="D33" i="15" s="1"/>
  <c r="X33" i="15"/>
  <c r="V33" i="15"/>
  <c r="U33" i="15"/>
  <c r="T33" i="15"/>
  <c r="P33" i="15"/>
  <c r="P56" i="15" s="1"/>
  <c r="G33" i="15"/>
  <c r="AN30" i="15"/>
  <c r="AM30" i="15"/>
  <c r="AA30" i="15"/>
  <c r="Q518" i="15" s="1"/>
  <c r="S30" i="15"/>
  <c r="I518" i="15" s="1"/>
  <c r="R30" i="15"/>
  <c r="Q30" i="15"/>
  <c r="H518" i="15" s="1"/>
  <c r="H549" i="15" s="1"/>
  <c r="H550" i="15" s="1"/>
  <c r="O30" i="15"/>
  <c r="G518" i="15" s="1"/>
  <c r="G549" i="15" s="1"/>
  <c r="G550" i="15" s="1"/>
  <c r="AL29" i="15"/>
  <c r="AE29" i="15"/>
  <c r="AF29" i="15" s="1"/>
  <c r="AG29" i="15" s="1"/>
  <c r="AH29" i="15" s="1"/>
  <c r="AC29" i="15"/>
  <c r="Z29" i="15"/>
  <c r="X29" i="15"/>
  <c r="Y29" i="15" s="1"/>
  <c r="V29" i="15"/>
  <c r="U29" i="15"/>
  <c r="T29" i="15"/>
  <c r="P29" i="15"/>
  <c r="J29" i="15"/>
  <c r="I29" i="15"/>
  <c r="G29" i="15"/>
  <c r="F29" i="15"/>
  <c r="D29" i="15"/>
  <c r="AL28" i="15"/>
  <c r="AC28" i="15"/>
  <c r="AB28" i="15"/>
  <c r="Z28" i="15"/>
  <c r="F28" i="15" s="1"/>
  <c r="D28" i="15" s="1"/>
  <c r="X28" i="15"/>
  <c r="Y28" i="15" s="1"/>
  <c r="V28" i="15"/>
  <c r="U28" i="15"/>
  <c r="T28" i="15"/>
  <c r="P28" i="15"/>
  <c r="AE28" i="15" s="1"/>
  <c r="AF28" i="15" s="1"/>
  <c r="J28" i="15"/>
  <c r="I28" i="15"/>
  <c r="G28" i="15"/>
  <c r="AL27" i="15"/>
  <c r="X27" i="15" s="1"/>
  <c r="Y27" i="15" s="1"/>
  <c r="AE27" i="15"/>
  <c r="AC27" i="15"/>
  <c r="Z27" i="15"/>
  <c r="U27" i="15"/>
  <c r="T27" i="15"/>
  <c r="V27" i="15" s="1"/>
  <c r="P27" i="15"/>
  <c r="J27" i="15"/>
  <c r="I27" i="15"/>
  <c r="G27" i="15"/>
  <c r="AL26" i="15"/>
  <c r="AC26" i="15"/>
  <c r="AB26" i="15"/>
  <c r="Z26" i="15"/>
  <c r="Y26" i="15"/>
  <c r="X26" i="15"/>
  <c r="U26" i="15"/>
  <c r="T26" i="15"/>
  <c r="V26" i="15" s="1"/>
  <c r="P26" i="15"/>
  <c r="AE26" i="15" s="1"/>
  <c r="J26" i="15"/>
  <c r="I26" i="15"/>
  <c r="G26" i="15"/>
  <c r="AL25" i="15"/>
  <c r="X25" i="15" s="1"/>
  <c r="Y25" i="15" s="1"/>
  <c r="AC25" i="15"/>
  <c r="F25" i="15" s="1"/>
  <c r="D25" i="15" s="1"/>
  <c r="Z25" i="15"/>
  <c r="U25" i="15"/>
  <c r="T25" i="15"/>
  <c r="V25" i="15" s="1"/>
  <c r="P25" i="15"/>
  <c r="AE25" i="15" s="1"/>
  <c r="AF25" i="15" s="1"/>
  <c r="J25" i="15"/>
  <c r="I25" i="15"/>
  <c r="G25" i="15"/>
  <c r="AL24" i="15"/>
  <c r="X24" i="15" s="1"/>
  <c r="Y24" i="15" s="1"/>
  <c r="AE24" i="15"/>
  <c r="AC24" i="15"/>
  <c r="Z24" i="15"/>
  <c r="U24" i="15"/>
  <c r="T24" i="15"/>
  <c r="V24" i="15" s="1"/>
  <c r="P24" i="15"/>
  <c r="J24" i="15"/>
  <c r="I24" i="15"/>
  <c r="G24" i="15"/>
  <c r="AL23" i="15"/>
  <c r="AC23" i="15"/>
  <c r="Z23" i="15"/>
  <c r="F23" i="15" s="1"/>
  <c r="D23" i="15" s="1"/>
  <c r="X23" i="15"/>
  <c r="Y23" i="15" s="1"/>
  <c r="U23" i="15"/>
  <c r="V23" i="15" s="1"/>
  <c r="T23" i="15"/>
  <c r="P23" i="15"/>
  <c r="AE23" i="15" s="1"/>
  <c r="AF23" i="15" s="1"/>
  <c r="J23" i="15"/>
  <c r="I23" i="15"/>
  <c r="G23" i="15"/>
  <c r="AL22" i="15"/>
  <c r="X22" i="15" s="1"/>
  <c r="Y22" i="15" s="1"/>
  <c r="AF22" i="15"/>
  <c r="AG22" i="15" s="1"/>
  <c r="AE22" i="15"/>
  <c r="AC22" i="15"/>
  <c r="Z22" i="15"/>
  <c r="U22" i="15"/>
  <c r="T22" i="15"/>
  <c r="V22" i="15" s="1"/>
  <c r="P22" i="15"/>
  <c r="J22" i="15"/>
  <c r="I22" i="15"/>
  <c r="G22" i="15"/>
  <c r="F22" i="15"/>
  <c r="D22" i="15" s="1"/>
  <c r="AL21" i="15"/>
  <c r="AE21" i="15"/>
  <c r="AF21" i="15" s="1"/>
  <c r="AC21" i="15"/>
  <c r="AB21" i="15"/>
  <c r="Z21" i="15"/>
  <c r="F21" i="15" s="1"/>
  <c r="D21" i="15" s="1"/>
  <c r="X21" i="15"/>
  <c r="Y21" i="15" s="1"/>
  <c r="V21" i="15"/>
  <c r="U21" i="15"/>
  <c r="T21" i="15"/>
  <c r="P21" i="15"/>
  <c r="J21" i="15"/>
  <c r="I21" i="15"/>
  <c r="G21" i="15"/>
  <c r="AL20" i="15"/>
  <c r="X20" i="15" s="1"/>
  <c r="Y20" i="15" s="1"/>
  <c r="AC20" i="15"/>
  <c r="Z20" i="15"/>
  <c r="U20" i="15"/>
  <c r="T20" i="15"/>
  <c r="V20" i="15" s="1"/>
  <c r="P20" i="15"/>
  <c r="AE20" i="15" s="1"/>
  <c r="J20" i="15"/>
  <c r="I20" i="15"/>
  <c r="G20" i="15"/>
  <c r="AL19" i="15"/>
  <c r="X19" i="15" s="1"/>
  <c r="Y19" i="15" s="1"/>
  <c r="AE19" i="15"/>
  <c r="AC19" i="15"/>
  <c r="AB19" i="15"/>
  <c r="Z19" i="15"/>
  <c r="U19" i="15"/>
  <c r="T19" i="15"/>
  <c r="V19" i="15" s="1"/>
  <c r="P19" i="15"/>
  <c r="J19" i="15"/>
  <c r="I19" i="15"/>
  <c r="G19" i="15"/>
  <c r="AL18" i="15"/>
  <c r="AC18" i="15"/>
  <c r="Z18" i="15"/>
  <c r="F18" i="15" s="1"/>
  <c r="D18" i="15" s="1"/>
  <c r="X18" i="15"/>
  <c r="Y18" i="15" s="1"/>
  <c r="V18" i="15"/>
  <c r="U18" i="15"/>
  <c r="T18" i="15"/>
  <c r="P18" i="15"/>
  <c r="AE18" i="15" s="1"/>
  <c r="AF18" i="15" s="1"/>
  <c r="J18" i="15"/>
  <c r="I18" i="15"/>
  <c r="G18" i="15"/>
  <c r="AL17" i="15"/>
  <c r="X17" i="15" s="1"/>
  <c r="Y17" i="15" s="1"/>
  <c r="AE17" i="15"/>
  <c r="AC17" i="15"/>
  <c r="Z17" i="15"/>
  <c r="U17" i="15"/>
  <c r="T17" i="15"/>
  <c r="V17" i="15" s="1"/>
  <c r="P17" i="15"/>
  <c r="J17" i="15"/>
  <c r="I17" i="15"/>
  <c r="G17" i="15"/>
  <c r="AL16" i="15"/>
  <c r="AE16" i="15"/>
  <c r="AC16" i="15"/>
  <c r="Z16" i="15"/>
  <c r="F16" i="15" s="1"/>
  <c r="D16" i="15" s="1"/>
  <c r="X16" i="15"/>
  <c r="Y16" i="15" s="1"/>
  <c r="V16" i="15"/>
  <c r="U16" i="15"/>
  <c r="T16" i="15"/>
  <c r="P16" i="15"/>
  <c r="J16" i="15"/>
  <c r="I16" i="15"/>
  <c r="G16" i="15"/>
  <c r="AL15" i="15"/>
  <c r="X15" i="15" s="1"/>
  <c r="Y15" i="15" s="1"/>
  <c r="AC15" i="15"/>
  <c r="Z15" i="15"/>
  <c r="F15" i="15" s="1"/>
  <c r="D15" i="15" s="1"/>
  <c r="V15" i="15"/>
  <c r="U15" i="15"/>
  <c r="T15" i="15"/>
  <c r="P15" i="15"/>
  <c r="AE15" i="15" s="1"/>
  <c r="AF15" i="15" s="1"/>
  <c r="AG15" i="15" s="1"/>
  <c r="J15" i="15"/>
  <c r="I15" i="15"/>
  <c r="G15" i="15"/>
  <c r="AL14" i="15"/>
  <c r="AE14" i="15"/>
  <c r="AC14" i="15"/>
  <c r="Z14" i="15"/>
  <c r="Y14" i="15"/>
  <c r="X14" i="15"/>
  <c r="U14" i="15"/>
  <c r="T14" i="15"/>
  <c r="V14" i="15" s="1"/>
  <c r="P14" i="15"/>
  <c r="J14" i="15"/>
  <c r="I14" i="15"/>
  <c r="G14" i="15"/>
  <c r="AL13" i="15"/>
  <c r="AC13" i="15"/>
  <c r="Z13" i="15"/>
  <c r="F13" i="15" s="1"/>
  <c r="D13" i="15" s="1"/>
  <c r="X13" i="15"/>
  <c r="Y13" i="15" s="1"/>
  <c r="V13" i="15"/>
  <c r="U13" i="15"/>
  <c r="T13" i="15"/>
  <c r="P13" i="15"/>
  <c r="AE13" i="15" s="1"/>
  <c r="AF13" i="15" s="1"/>
  <c r="J13" i="15"/>
  <c r="I13" i="15"/>
  <c r="G13" i="15"/>
  <c r="AL12" i="15"/>
  <c r="X12" i="15" s="1"/>
  <c r="Y12" i="15" s="1"/>
  <c r="AC12" i="15"/>
  <c r="Z12" i="15"/>
  <c r="U12" i="15"/>
  <c r="T12" i="15"/>
  <c r="V12" i="15" s="1"/>
  <c r="P12" i="15"/>
  <c r="AE12" i="15" s="1"/>
  <c r="AF12" i="15" s="1"/>
  <c r="I12" i="15"/>
  <c r="G12" i="15"/>
  <c r="AL11" i="15"/>
  <c r="AC11" i="15"/>
  <c r="AB11" i="15"/>
  <c r="AB30" i="15" s="1"/>
  <c r="R518" i="15" s="1"/>
  <c r="Z11" i="15"/>
  <c r="F11" i="15" s="1"/>
  <c r="D11" i="15" s="1"/>
  <c r="Y11" i="15"/>
  <c r="X11" i="15"/>
  <c r="U11" i="15"/>
  <c r="T11" i="15"/>
  <c r="V11" i="15" s="1"/>
  <c r="P11" i="15"/>
  <c r="AE11" i="15" s="1"/>
  <c r="I11" i="15"/>
  <c r="G11" i="15"/>
  <c r="AL10" i="15"/>
  <c r="X10" i="15" s="1"/>
  <c r="Y10" i="15" s="1"/>
  <c r="AC10" i="15"/>
  <c r="F10" i="15" s="1"/>
  <c r="D10" i="15" s="1"/>
  <c r="Z10" i="15"/>
  <c r="U10" i="15"/>
  <c r="V10" i="15" s="1"/>
  <c r="T10" i="15"/>
  <c r="T30" i="15" s="1"/>
  <c r="J518" i="15" s="1"/>
  <c r="P10" i="15"/>
  <c r="AE10" i="15" s="1"/>
  <c r="AF10" i="15" s="1"/>
  <c r="J10" i="15"/>
  <c r="I10" i="15"/>
  <c r="G10" i="15"/>
  <c r="AL9" i="15"/>
  <c r="AE9" i="15"/>
  <c r="AF9" i="15" s="1"/>
  <c r="AC9" i="15"/>
  <c r="Z9" i="15"/>
  <c r="X9" i="15"/>
  <c r="Y9" i="15" s="1"/>
  <c r="U9" i="15"/>
  <c r="T9" i="15"/>
  <c r="V9" i="15" s="1"/>
  <c r="P9" i="15"/>
  <c r="K9" i="15"/>
  <c r="J9" i="15"/>
  <c r="I9" i="15"/>
  <c r="G9" i="15"/>
  <c r="AL8" i="15"/>
  <c r="AE8" i="15"/>
  <c r="AF8" i="15" s="1"/>
  <c r="AC8" i="15"/>
  <c r="Z8" i="15"/>
  <c r="Y8" i="15"/>
  <c r="X8" i="15"/>
  <c r="U8" i="15"/>
  <c r="T8" i="15"/>
  <c r="V8" i="15" s="1"/>
  <c r="P8" i="15"/>
  <c r="K8" i="15"/>
  <c r="J8" i="15"/>
  <c r="I8" i="15"/>
  <c r="G8" i="15"/>
  <c r="AL7" i="15"/>
  <c r="AC7" i="15"/>
  <c r="AC30" i="15" s="1"/>
  <c r="Z7" i="15"/>
  <c r="Z30" i="15" s="1"/>
  <c r="X7" i="15"/>
  <c r="U7" i="15"/>
  <c r="U30" i="15" s="1"/>
  <c r="L518" i="15" s="1"/>
  <c r="T7" i="15"/>
  <c r="P7" i="15"/>
  <c r="P30" i="15" s="1"/>
  <c r="K7" i="15"/>
  <c r="J7" i="15"/>
  <c r="I7" i="15"/>
  <c r="G7" i="15"/>
  <c r="U25" i="8"/>
  <c r="T25" i="8"/>
  <c r="AB24" i="8"/>
  <c r="AA24" i="8"/>
  <c r="R24" i="8"/>
  <c r="Q24" i="8"/>
  <c r="G24" i="8"/>
  <c r="H24" i="8" s="1"/>
  <c r="I24" i="8" s="1"/>
  <c r="AB23" i="8"/>
  <c r="AA23" i="8"/>
  <c r="R23" i="8"/>
  <c r="S23" i="8" s="1"/>
  <c r="Q23" i="8"/>
  <c r="I23" i="8"/>
  <c r="G23" i="8"/>
  <c r="H23" i="8" s="1"/>
  <c r="AB22" i="8"/>
  <c r="AA22" i="8"/>
  <c r="R22" i="8"/>
  <c r="Q22" i="8"/>
  <c r="G22" i="8"/>
  <c r="H22" i="8" s="1"/>
  <c r="I22" i="8" s="1"/>
  <c r="AB21" i="8"/>
  <c r="AA21" i="8"/>
  <c r="R21" i="8"/>
  <c r="S21" i="8" s="1"/>
  <c r="Q21" i="8"/>
  <c r="G21" i="8"/>
  <c r="H21" i="8" s="1"/>
  <c r="I21" i="8" s="1"/>
  <c r="AB20" i="8"/>
  <c r="AA20" i="8"/>
  <c r="R20" i="8"/>
  <c r="Q20" i="8"/>
  <c r="G20" i="8"/>
  <c r="H20" i="8" s="1"/>
  <c r="I20" i="8" s="1"/>
  <c r="AB19" i="8"/>
  <c r="AA19" i="8"/>
  <c r="R19" i="8"/>
  <c r="S19" i="8" s="1"/>
  <c r="Q19" i="8"/>
  <c r="I19" i="8"/>
  <c r="G19" i="8"/>
  <c r="H19" i="8" s="1"/>
  <c r="AB18" i="8"/>
  <c r="AA18" i="8"/>
  <c r="R18" i="8"/>
  <c r="Q18" i="8"/>
  <c r="G18" i="8"/>
  <c r="H18" i="8" s="1"/>
  <c r="I18" i="8" s="1"/>
  <c r="AB17" i="8"/>
  <c r="AA17" i="8"/>
  <c r="R17" i="8"/>
  <c r="S17" i="8" s="1"/>
  <c r="Q17" i="8"/>
  <c r="G17" i="8"/>
  <c r="H17" i="8" s="1"/>
  <c r="I17" i="8" s="1"/>
  <c r="AB16" i="8"/>
  <c r="AA16" i="8"/>
  <c r="R16" i="8"/>
  <c r="Q16" i="8"/>
  <c r="G16" i="8"/>
  <c r="H16" i="8" s="1"/>
  <c r="I16" i="8" s="1"/>
  <c r="AB15" i="8"/>
  <c r="AA15" i="8"/>
  <c r="R15" i="8"/>
  <c r="X428" i="7" s="1"/>
  <c r="Q15" i="8"/>
  <c r="N15" i="8"/>
  <c r="H15" i="8"/>
  <c r="I15" i="8" s="1"/>
  <c r="K15" i="8" s="1"/>
  <c r="T15" i="8" s="1"/>
  <c r="G15" i="8"/>
  <c r="AA14" i="8"/>
  <c r="AB14" i="8" s="1"/>
  <c r="Q14" i="8"/>
  <c r="R14" i="8" s="1"/>
  <c r="N14" i="8"/>
  <c r="H14" i="8"/>
  <c r="I14" i="8" s="1"/>
  <c r="G14" i="8"/>
  <c r="AB13" i="8"/>
  <c r="AA13" i="8"/>
  <c r="Q13" i="8"/>
  <c r="R13" i="8" s="1"/>
  <c r="K13" i="8"/>
  <c r="T13" i="8" s="1"/>
  <c r="G13" i="8"/>
  <c r="H13" i="8" s="1"/>
  <c r="I13" i="8" s="1"/>
  <c r="J13" i="8" s="1"/>
  <c r="AA12" i="8"/>
  <c r="AB12" i="8" s="1"/>
  <c r="R12" i="8"/>
  <c r="X430" i="7" s="1"/>
  <c r="Q12" i="8"/>
  <c r="H12" i="8"/>
  <c r="I12" i="8" s="1"/>
  <c r="G12" i="8"/>
  <c r="AB11" i="8"/>
  <c r="AA11" i="8"/>
  <c r="Q11" i="8"/>
  <c r="R11" i="8" s="1"/>
  <c r="K11" i="8"/>
  <c r="T11" i="8" s="1"/>
  <c r="G11" i="8"/>
  <c r="H11" i="8" s="1"/>
  <c r="I11" i="8" s="1"/>
  <c r="J11" i="8" s="1"/>
  <c r="AA10" i="8"/>
  <c r="AB10" i="8" s="1"/>
  <c r="R10" i="8"/>
  <c r="X426" i="7" s="1"/>
  <c r="Q10" i="8"/>
  <c r="H10" i="8"/>
  <c r="I10" i="8" s="1"/>
  <c r="G10" i="8"/>
  <c r="AB9" i="8"/>
  <c r="AA9" i="8"/>
  <c r="Q9" i="8"/>
  <c r="R9" i="8" s="1"/>
  <c r="K9" i="8"/>
  <c r="T9" i="8" s="1"/>
  <c r="G9" i="8"/>
  <c r="H9" i="8" s="1"/>
  <c r="I9" i="8" s="1"/>
  <c r="J9" i="8" s="1"/>
  <c r="AA8" i="8"/>
  <c r="AB8" i="8" s="1"/>
  <c r="R8" i="8"/>
  <c r="X424" i="7" s="1"/>
  <c r="Q8" i="8"/>
  <c r="H8" i="8"/>
  <c r="I8" i="8" s="1"/>
  <c r="G8" i="8"/>
  <c r="AB7" i="8"/>
  <c r="AA7" i="8"/>
  <c r="Q7" i="8"/>
  <c r="R7" i="8" s="1"/>
  <c r="K7" i="8"/>
  <c r="T7" i="8" s="1"/>
  <c r="G7" i="8"/>
  <c r="H7" i="8" s="1"/>
  <c r="I7" i="8" s="1"/>
  <c r="J7" i="8" s="1"/>
  <c r="O507" i="7"/>
  <c r="O506" i="7"/>
  <c r="Y505" i="7"/>
  <c r="Z505" i="7" s="1"/>
  <c r="D505" i="7" s="1"/>
  <c r="V505" i="7"/>
  <c r="N505" i="7"/>
  <c r="L505" i="7"/>
  <c r="F505" i="7"/>
  <c r="E505" i="7"/>
  <c r="Y504" i="7"/>
  <c r="Z504" i="7" s="1"/>
  <c r="D504" i="7" s="1"/>
  <c r="N504" i="7"/>
  <c r="F504" i="7" s="1"/>
  <c r="L504" i="7"/>
  <c r="V504" i="7" s="1"/>
  <c r="E504" i="7"/>
  <c r="Y503" i="7"/>
  <c r="V503" i="7"/>
  <c r="N503" i="7"/>
  <c r="F503" i="7" s="1"/>
  <c r="L503" i="7"/>
  <c r="Y502" i="7"/>
  <c r="Z502" i="7" s="1"/>
  <c r="D502" i="7" s="1"/>
  <c r="V502" i="7"/>
  <c r="N502" i="7"/>
  <c r="L502" i="7"/>
  <c r="F502" i="7"/>
  <c r="E502" i="7"/>
  <c r="Y501" i="7"/>
  <c r="Z501" i="7" s="1"/>
  <c r="D501" i="7" s="1"/>
  <c r="N501" i="7"/>
  <c r="F501" i="7" s="1"/>
  <c r="L501" i="7"/>
  <c r="V501" i="7" s="1"/>
  <c r="E501" i="7"/>
  <c r="Y500" i="7"/>
  <c r="V500" i="7"/>
  <c r="N500" i="7"/>
  <c r="F500" i="7" s="1"/>
  <c r="L500" i="7"/>
  <c r="Y499" i="7"/>
  <c r="Z499" i="7" s="1"/>
  <c r="D499" i="7" s="1"/>
  <c r="V499" i="7"/>
  <c r="N499" i="7"/>
  <c r="L499" i="7"/>
  <c r="F499" i="7"/>
  <c r="E499" i="7"/>
  <c r="N498" i="7"/>
  <c r="G498" i="7"/>
  <c r="N497" i="7"/>
  <c r="N496" i="7"/>
  <c r="N495" i="7"/>
  <c r="P494" i="7"/>
  <c r="N494" i="7"/>
  <c r="N493" i="7"/>
  <c r="N492" i="7"/>
  <c r="N491" i="7"/>
  <c r="N490" i="7"/>
  <c r="N489" i="7"/>
  <c r="N488" i="7"/>
  <c r="N487" i="7"/>
  <c r="Y486" i="7"/>
  <c r="Z486" i="7" s="1"/>
  <c r="D486" i="7" s="1"/>
  <c r="N486" i="7"/>
  <c r="F486" i="7" s="1"/>
  <c r="L486" i="7"/>
  <c r="V486" i="7" s="1"/>
  <c r="E486" i="7"/>
  <c r="Y485" i="7"/>
  <c r="V485" i="7"/>
  <c r="N485" i="7"/>
  <c r="F485" i="7" s="1"/>
  <c r="L485" i="7"/>
  <c r="N484" i="7"/>
  <c r="N483" i="7"/>
  <c r="N482" i="7"/>
  <c r="N481" i="7"/>
  <c r="N480" i="7"/>
  <c r="N479" i="7"/>
  <c r="N478" i="7"/>
  <c r="N477" i="7"/>
  <c r="N476" i="7"/>
  <c r="N506" i="7" s="1"/>
  <c r="AP460" i="7"/>
  <c r="AO460" i="7"/>
  <c r="AA460" i="7"/>
  <c r="S460" i="7"/>
  <c r="I498" i="7" s="1"/>
  <c r="R460" i="7"/>
  <c r="Q460" i="7"/>
  <c r="H498" i="7" s="1"/>
  <c r="O460" i="7"/>
  <c r="AC459" i="7"/>
  <c r="AB459" i="7"/>
  <c r="AB460" i="7" s="1"/>
  <c r="P498" i="7" s="1"/>
  <c r="Z459" i="7"/>
  <c r="F459" i="7" s="1"/>
  <c r="U459" i="7"/>
  <c r="T459" i="7"/>
  <c r="V459" i="7" s="1"/>
  <c r="P459" i="7"/>
  <c r="AE459" i="7" s="1"/>
  <c r="AF459" i="7" s="1"/>
  <c r="G459" i="7"/>
  <c r="AE458" i="7"/>
  <c r="AF458" i="7" s="1"/>
  <c r="AC458" i="7"/>
  <c r="Z458" i="7"/>
  <c r="V458" i="7"/>
  <c r="U458" i="7"/>
  <c r="T458" i="7"/>
  <c r="P458" i="7"/>
  <c r="J458" i="7"/>
  <c r="I458" i="7"/>
  <c r="G458" i="7"/>
  <c r="AE457" i="7"/>
  <c r="AC457" i="7"/>
  <c r="Z457" i="7"/>
  <c r="X457" i="7"/>
  <c r="U457" i="7"/>
  <c r="V457" i="7" s="1"/>
  <c r="T457" i="7"/>
  <c r="P457" i="7"/>
  <c r="L457" i="7"/>
  <c r="J457" i="7"/>
  <c r="I457" i="7"/>
  <c r="G457" i="7"/>
  <c r="AE456" i="7"/>
  <c r="AC456" i="7"/>
  <c r="Z456" i="7"/>
  <c r="X456" i="7"/>
  <c r="U456" i="7"/>
  <c r="V456" i="7" s="1"/>
  <c r="T456" i="7"/>
  <c r="P456" i="7"/>
  <c r="L456" i="7"/>
  <c r="J456" i="7"/>
  <c r="I456" i="7"/>
  <c r="G456" i="7"/>
  <c r="AE455" i="7"/>
  <c r="AF455" i="7" s="1"/>
  <c r="AC455" i="7"/>
  <c r="AA455" i="7"/>
  <c r="Z455" i="7" s="1"/>
  <c r="F455" i="7" s="1"/>
  <c r="X455" i="7"/>
  <c r="V455" i="7"/>
  <c r="U455" i="7"/>
  <c r="T455" i="7"/>
  <c r="P455" i="7"/>
  <c r="J455" i="7"/>
  <c r="I455" i="7"/>
  <c r="G455" i="7"/>
  <c r="AE454" i="7"/>
  <c r="AC454" i="7"/>
  <c r="Z454" i="7"/>
  <c r="X454" i="7"/>
  <c r="V454" i="7"/>
  <c r="U454" i="7"/>
  <c r="T454" i="7"/>
  <c r="P454" i="7"/>
  <c r="J454" i="7"/>
  <c r="I454" i="7"/>
  <c r="G454" i="7"/>
  <c r="AE453" i="7"/>
  <c r="AC453" i="7"/>
  <c r="Z453" i="7"/>
  <c r="F453" i="7" s="1"/>
  <c r="V453" i="7"/>
  <c r="U453" i="7"/>
  <c r="T453" i="7"/>
  <c r="P453" i="7"/>
  <c r="J453" i="7"/>
  <c r="I453" i="7"/>
  <c r="G453" i="7"/>
  <c r="AC452" i="7"/>
  <c r="Z452" i="7"/>
  <c r="U452" i="7"/>
  <c r="T452" i="7"/>
  <c r="P452" i="7"/>
  <c r="AE452" i="7" s="1"/>
  <c r="J452" i="7"/>
  <c r="I452" i="7"/>
  <c r="G452" i="7"/>
  <c r="AC451" i="7"/>
  <c r="Z451" i="7"/>
  <c r="U451" i="7"/>
  <c r="T451" i="7"/>
  <c r="P451" i="7"/>
  <c r="AE451" i="7" s="1"/>
  <c r="J451" i="7"/>
  <c r="I451" i="7"/>
  <c r="G451" i="7"/>
  <c r="AG450" i="7"/>
  <c r="AC450" i="7"/>
  <c r="Z450" i="7"/>
  <c r="F450" i="7" s="1"/>
  <c r="V450" i="7"/>
  <c r="U450" i="7"/>
  <c r="T450" i="7"/>
  <c r="P450" i="7"/>
  <c r="AE450" i="7" s="1"/>
  <c r="AF450" i="7" s="1"/>
  <c r="L450" i="7"/>
  <c r="J450" i="7"/>
  <c r="I450" i="7"/>
  <c r="G450" i="7"/>
  <c r="AG449" i="7"/>
  <c r="AC449" i="7"/>
  <c r="Z449" i="7"/>
  <c r="F449" i="7" s="1"/>
  <c r="V449" i="7"/>
  <c r="U449" i="7"/>
  <c r="T449" i="7"/>
  <c r="P449" i="7"/>
  <c r="AE449" i="7" s="1"/>
  <c r="AF449" i="7" s="1"/>
  <c r="L449" i="7"/>
  <c r="J449" i="7"/>
  <c r="I449" i="7"/>
  <c r="G449" i="7"/>
  <c r="AC448" i="7"/>
  <c r="Z448" i="7"/>
  <c r="F448" i="7" s="1"/>
  <c r="X448" i="7"/>
  <c r="V448" i="7"/>
  <c r="U448" i="7"/>
  <c r="T448" i="7"/>
  <c r="P448" i="7"/>
  <c r="AE448" i="7" s="1"/>
  <c r="AF448" i="7" s="1"/>
  <c r="AG448" i="7" s="1"/>
  <c r="L448" i="7"/>
  <c r="J448" i="7"/>
  <c r="I448" i="7"/>
  <c r="G448" i="7"/>
  <c r="AC447" i="7"/>
  <c r="Z447" i="7"/>
  <c r="F447" i="7" s="1"/>
  <c r="V447" i="7"/>
  <c r="U447" i="7"/>
  <c r="T447" i="7"/>
  <c r="P447" i="7"/>
  <c r="AE447" i="7" s="1"/>
  <c r="AF447" i="7" s="1"/>
  <c r="AG447" i="7" s="1"/>
  <c r="L447" i="7"/>
  <c r="J447" i="7"/>
  <c r="I447" i="7"/>
  <c r="G447" i="7"/>
  <c r="AG446" i="7"/>
  <c r="AC446" i="7"/>
  <c r="Z446" i="7"/>
  <c r="X446" i="7"/>
  <c r="V446" i="7"/>
  <c r="U446" i="7"/>
  <c r="T446" i="7"/>
  <c r="P446" i="7"/>
  <c r="AE446" i="7" s="1"/>
  <c r="AF446" i="7" s="1"/>
  <c r="L446" i="7"/>
  <c r="J446" i="7"/>
  <c r="I446" i="7"/>
  <c r="G446" i="7"/>
  <c r="AL445" i="7"/>
  <c r="AC445" i="7"/>
  <c r="Z445" i="7"/>
  <c r="V445" i="7"/>
  <c r="U445" i="7"/>
  <c r="T445" i="7"/>
  <c r="P445" i="7"/>
  <c r="AE445" i="7" s="1"/>
  <c r="L445" i="7"/>
  <c r="J445" i="7"/>
  <c r="I445" i="7"/>
  <c r="G445" i="7"/>
  <c r="AC444" i="7"/>
  <c r="Z444" i="7"/>
  <c r="F444" i="7" s="1"/>
  <c r="X444" i="7"/>
  <c r="V444" i="7"/>
  <c r="U444" i="7"/>
  <c r="T444" i="7"/>
  <c r="P444" i="7"/>
  <c r="J444" i="7"/>
  <c r="I444" i="7"/>
  <c r="G444" i="7"/>
  <c r="AE443" i="7"/>
  <c r="AC443" i="7"/>
  <c r="AC460" i="7" s="1"/>
  <c r="Z443" i="7"/>
  <c r="U443" i="7"/>
  <c r="T443" i="7"/>
  <c r="P443" i="7"/>
  <c r="L443" i="7"/>
  <c r="J443" i="7"/>
  <c r="I443" i="7"/>
  <c r="G443" i="7"/>
  <c r="AP440" i="7"/>
  <c r="AO440" i="7"/>
  <c r="AA440" i="7"/>
  <c r="S440" i="7"/>
  <c r="I497" i="7" s="1"/>
  <c r="R440" i="7"/>
  <c r="Q440" i="7"/>
  <c r="H497" i="7" s="1"/>
  <c r="O440" i="7"/>
  <c r="G497" i="7" s="1"/>
  <c r="AC439" i="7"/>
  <c r="AB439" i="7"/>
  <c r="Z439" i="7"/>
  <c r="F439" i="7" s="1"/>
  <c r="U439" i="7"/>
  <c r="T439" i="7"/>
  <c r="V439" i="7" s="1"/>
  <c r="P439" i="7"/>
  <c r="AE439" i="7" s="1"/>
  <c r="G439" i="7"/>
  <c r="AF438" i="7"/>
  <c r="AG438" i="7" s="1"/>
  <c r="AC438" i="7"/>
  <c r="AB438" i="7"/>
  <c r="Z438" i="7"/>
  <c r="F438" i="7" s="1"/>
  <c r="X438" i="7"/>
  <c r="V438" i="7"/>
  <c r="U438" i="7"/>
  <c r="T438" i="7"/>
  <c r="P438" i="7"/>
  <c r="AE438" i="7" s="1"/>
  <c r="J438" i="7"/>
  <c r="I438" i="7"/>
  <c r="G438" i="7"/>
  <c r="AC437" i="7"/>
  <c r="Z437" i="7"/>
  <c r="U437" i="7"/>
  <c r="V437" i="7" s="1"/>
  <c r="T437" i="7"/>
  <c r="P437" i="7"/>
  <c r="AE437" i="7" s="1"/>
  <c r="L437" i="7"/>
  <c r="J437" i="7"/>
  <c r="I437" i="7"/>
  <c r="G437" i="7"/>
  <c r="AC436" i="7"/>
  <c r="Z436" i="7"/>
  <c r="V436" i="7"/>
  <c r="U436" i="7"/>
  <c r="T436" i="7"/>
  <c r="P436" i="7"/>
  <c r="AE436" i="7" s="1"/>
  <c r="L436" i="7"/>
  <c r="J436" i="7"/>
  <c r="I436" i="7"/>
  <c r="G436" i="7"/>
  <c r="AC435" i="7"/>
  <c r="AA435" i="7"/>
  <c r="Z435" i="7"/>
  <c r="X435" i="7"/>
  <c r="V435" i="7"/>
  <c r="U435" i="7"/>
  <c r="T435" i="7"/>
  <c r="P435" i="7"/>
  <c r="AE435" i="7" s="1"/>
  <c r="J435" i="7"/>
  <c r="I435" i="7"/>
  <c r="G435" i="7"/>
  <c r="AC434" i="7"/>
  <c r="Z434" i="7"/>
  <c r="U434" i="7"/>
  <c r="V434" i="7" s="1"/>
  <c r="T434" i="7"/>
  <c r="P434" i="7"/>
  <c r="AE434" i="7" s="1"/>
  <c r="J434" i="7"/>
  <c r="I434" i="7"/>
  <c r="G434" i="7"/>
  <c r="AE433" i="7"/>
  <c r="AC433" i="7"/>
  <c r="AB433" i="7"/>
  <c r="AB440" i="7" s="1"/>
  <c r="P497" i="7" s="1"/>
  <c r="Z433" i="7"/>
  <c r="U433" i="7"/>
  <c r="V433" i="7" s="1"/>
  <c r="T433" i="7"/>
  <c r="P433" i="7"/>
  <c r="J433" i="7"/>
  <c r="I433" i="7"/>
  <c r="G433" i="7"/>
  <c r="AE432" i="7"/>
  <c r="AC432" i="7"/>
  <c r="Z432" i="7"/>
  <c r="U432" i="7"/>
  <c r="T432" i="7"/>
  <c r="P432" i="7"/>
  <c r="J432" i="7"/>
  <c r="I432" i="7"/>
  <c r="G432" i="7"/>
  <c r="AE431" i="7"/>
  <c r="AF431" i="7" s="1"/>
  <c r="AC431" i="7"/>
  <c r="Z431" i="7"/>
  <c r="U431" i="7"/>
  <c r="T431" i="7"/>
  <c r="V431" i="7" s="1"/>
  <c r="P431" i="7"/>
  <c r="J431" i="7"/>
  <c r="I431" i="7"/>
  <c r="G431" i="7"/>
  <c r="AC430" i="7"/>
  <c r="Z430" i="7"/>
  <c r="U430" i="7"/>
  <c r="T430" i="7"/>
  <c r="V430" i="7" s="1"/>
  <c r="P430" i="7"/>
  <c r="AE430" i="7" s="1"/>
  <c r="AF430" i="7" s="1"/>
  <c r="L430" i="7"/>
  <c r="J430" i="7"/>
  <c r="I430" i="7"/>
  <c r="G430" i="7"/>
  <c r="F430" i="7"/>
  <c r="AE429" i="7"/>
  <c r="AC429" i="7"/>
  <c r="Z429" i="7"/>
  <c r="U429" i="7"/>
  <c r="T429" i="7"/>
  <c r="V429" i="7" s="1"/>
  <c r="P429" i="7"/>
  <c r="L429" i="7"/>
  <c r="J429" i="7"/>
  <c r="I429" i="7"/>
  <c r="G429" i="7"/>
  <c r="F429" i="7"/>
  <c r="AC428" i="7"/>
  <c r="Z428" i="7"/>
  <c r="F428" i="7" s="1"/>
  <c r="U428" i="7"/>
  <c r="T428" i="7"/>
  <c r="V428" i="7" s="1"/>
  <c r="P428" i="7"/>
  <c r="AE428" i="7" s="1"/>
  <c r="AF428" i="7" s="1"/>
  <c r="L428" i="7"/>
  <c r="J428" i="7"/>
  <c r="I428" i="7"/>
  <c r="G428" i="7"/>
  <c r="AC427" i="7"/>
  <c r="Z427" i="7"/>
  <c r="U427" i="7"/>
  <c r="T427" i="7"/>
  <c r="V427" i="7" s="1"/>
  <c r="P427" i="7"/>
  <c r="AE427" i="7" s="1"/>
  <c r="AF427" i="7" s="1"/>
  <c r="L427" i="7"/>
  <c r="J427" i="7"/>
  <c r="I427" i="7"/>
  <c r="G427" i="7"/>
  <c r="AC426" i="7"/>
  <c r="Z426" i="7"/>
  <c r="U426" i="7"/>
  <c r="T426" i="7"/>
  <c r="V426" i="7" s="1"/>
  <c r="F426" i="7" s="1"/>
  <c r="P426" i="7"/>
  <c r="AE426" i="7" s="1"/>
  <c r="AF426" i="7" s="1"/>
  <c r="L426" i="7"/>
  <c r="J426" i="7"/>
  <c r="I426" i="7"/>
  <c r="G426" i="7"/>
  <c r="AC425" i="7"/>
  <c r="Z425" i="7"/>
  <c r="F425" i="7" s="1"/>
  <c r="U425" i="7"/>
  <c r="T425" i="7"/>
  <c r="V425" i="7" s="1"/>
  <c r="P425" i="7"/>
  <c r="AE425" i="7" s="1"/>
  <c r="AF425" i="7" s="1"/>
  <c r="L425" i="7"/>
  <c r="J425" i="7"/>
  <c r="I425" i="7"/>
  <c r="G425" i="7"/>
  <c r="AC424" i="7"/>
  <c r="Z424" i="7"/>
  <c r="U424" i="7"/>
  <c r="T424" i="7"/>
  <c r="V424" i="7" s="1"/>
  <c r="P424" i="7"/>
  <c r="AE424" i="7" s="1"/>
  <c r="AF424" i="7" s="1"/>
  <c r="J424" i="7"/>
  <c r="I424" i="7"/>
  <c r="G424" i="7"/>
  <c r="F424" i="7"/>
  <c r="AC423" i="7"/>
  <c r="Z423" i="7"/>
  <c r="Z440" i="7" s="1"/>
  <c r="U423" i="7"/>
  <c r="U440" i="7" s="1"/>
  <c r="K497" i="7" s="1"/>
  <c r="T423" i="7"/>
  <c r="V423" i="7" s="1"/>
  <c r="P423" i="7"/>
  <c r="L423" i="7"/>
  <c r="J423" i="7"/>
  <c r="I423" i="7"/>
  <c r="G423" i="7"/>
  <c r="AP420" i="7"/>
  <c r="AO420" i="7"/>
  <c r="S420" i="7"/>
  <c r="I496" i="7" s="1"/>
  <c r="R420" i="7"/>
  <c r="Q420" i="7"/>
  <c r="H496" i="7" s="1"/>
  <c r="O420" i="7"/>
  <c r="G496" i="7" s="1"/>
  <c r="AE419" i="7"/>
  <c r="AC419" i="7"/>
  <c r="AB419" i="7"/>
  <c r="Z419" i="7"/>
  <c r="X419" i="7"/>
  <c r="U419" i="7"/>
  <c r="T419" i="7"/>
  <c r="P419" i="7"/>
  <c r="G419" i="7"/>
  <c r="AC418" i="7"/>
  <c r="AB418" i="7"/>
  <c r="AB420" i="7" s="1"/>
  <c r="P496" i="7" s="1"/>
  <c r="Z418" i="7"/>
  <c r="F418" i="7" s="1"/>
  <c r="U418" i="7"/>
  <c r="T418" i="7"/>
  <c r="V418" i="7" s="1"/>
  <c r="P418" i="7"/>
  <c r="AE418" i="7" s="1"/>
  <c r="J418" i="7"/>
  <c r="I418" i="7"/>
  <c r="G418" i="7"/>
  <c r="AC417" i="7"/>
  <c r="Z417" i="7"/>
  <c r="F417" i="7" s="1"/>
  <c r="U417" i="7"/>
  <c r="T417" i="7"/>
  <c r="V417" i="7" s="1"/>
  <c r="P417" i="7"/>
  <c r="AE417" i="7" s="1"/>
  <c r="L417" i="7"/>
  <c r="J417" i="7"/>
  <c r="I417" i="7"/>
  <c r="G417" i="7"/>
  <c r="AG416" i="7"/>
  <c r="AC416" i="7"/>
  <c r="Z416" i="7"/>
  <c r="F416" i="7" s="1"/>
  <c r="U416" i="7"/>
  <c r="T416" i="7"/>
  <c r="V416" i="7" s="1"/>
  <c r="P416" i="7"/>
  <c r="AE416" i="7" s="1"/>
  <c r="AF416" i="7" s="1"/>
  <c r="L416" i="7"/>
  <c r="J416" i="7"/>
  <c r="I416" i="7"/>
  <c r="G416" i="7"/>
  <c r="AC415" i="7"/>
  <c r="AA415" i="7"/>
  <c r="AA420" i="7" s="1"/>
  <c r="Z415" i="7"/>
  <c r="F415" i="7" s="1"/>
  <c r="X415" i="7"/>
  <c r="U415" i="7"/>
  <c r="T415" i="7"/>
  <c r="V415" i="7" s="1"/>
  <c r="P415" i="7"/>
  <c r="AE415" i="7" s="1"/>
  <c r="J415" i="7"/>
  <c r="I415" i="7"/>
  <c r="G415" i="7"/>
  <c r="AC414" i="7"/>
  <c r="Z414" i="7"/>
  <c r="F414" i="7" s="1"/>
  <c r="U414" i="7"/>
  <c r="T414" i="7"/>
  <c r="V414" i="7" s="1"/>
  <c r="P414" i="7"/>
  <c r="AE414" i="7" s="1"/>
  <c r="J414" i="7"/>
  <c r="I414" i="7"/>
  <c r="G414" i="7"/>
  <c r="AC413" i="7"/>
  <c r="Z413" i="7"/>
  <c r="F413" i="7" s="1"/>
  <c r="X413" i="7"/>
  <c r="U413" i="7"/>
  <c r="V413" i="7" s="1"/>
  <c r="T413" i="7"/>
  <c r="P413" i="7"/>
  <c r="AE413" i="7" s="1"/>
  <c r="AF413" i="7" s="1"/>
  <c r="AG413" i="7" s="1"/>
  <c r="J413" i="7"/>
  <c r="I413" i="7"/>
  <c r="G413" i="7"/>
  <c r="AE412" i="7"/>
  <c r="AF412" i="7" s="1"/>
  <c r="AC412" i="7"/>
  <c r="Z412" i="7"/>
  <c r="X412" i="7"/>
  <c r="V412" i="7"/>
  <c r="F412" i="7" s="1"/>
  <c r="U412" i="7"/>
  <c r="T412" i="7"/>
  <c r="P412" i="7"/>
  <c r="J412" i="7"/>
  <c r="I412" i="7"/>
  <c r="G412" i="7"/>
  <c r="AL411" i="7"/>
  <c r="AE411" i="7"/>
  <c r="AC411" i="7"/>
  <c r="Z411" i="7"/>
  <c r="X411" i="7"/>
  <c r="V411" i="7"/>
  <c r="U411" i="7"/>
  <c r="T411" i="7"/>
  <c r="P411" i="7"/>
  <c r="J411" i="7"/>
  <c r="I411" i="7"/>
  <c r="G411" i="7"/>
  <c r="F411" i="7"/>
  <c r="AF410" i="7"/>
  <c r="AE410" i="7"/>
  <c r="AC410" i="7"/>
  <c r="Z410" i="7"/>
  <c r="V410" i="7"/>
  <c r="U410" i="7"/>
  <c r="T410" i="7"/>
  <c r="P410" i="7"/>
  <c r="L410" i="7"/>
  <c r="J410" i="7"/>
  <c r="I410" i="7"/>
  <c r="G410" i="7"/>
  <c r="F410" i="7"/>
  <c r="AL409" i="7"/>
  <c r="AE409" i="7"/>
  <c r="AC409" i="7"/>
  <c r="Z409" i="7"/>
  <c r="F409" i="7" s="1"/>
  <c r="U409" i="7"/>
  <c r="V409" i="7" s="1"/>
  <c r="T409" i="7"/>
  <c r="P409" i="7"/>
  <c r="L409" i="7"/>
  <c r="J409" i="7"/>
  <c r="I409" i="7"/>
  <c r="G409" i="7"/>
  <c r="AL408" i="7"/>
  <c r="AE408" i="7"/>
  <c r="AC408" i="7"/>
  <c r="Z408" i="7"/>
  <c r="U408" i="7"/>
  <c r="T408" i="7"/>
  <c r="V408" i="7" s="1"/>
  <c r="P408" i="7"/>
  <c r="L408" i="7"/>
  <c r="J408" i="7"/>
  <c r="I408" i="7"/>
  <c r="G408" i="7"/>
  <c r="AE407" i="7"/>
  <c r="AC407" i="7"/>
  <c r="Z407" i="7"/>
  <c r="F407" i="7" s="1"/>
  <c r="V407" i="7"/>
  <c r="U407" i="7"/>
  <c r="T407" i="7"/>
  <c r="P407" i="7"/>
  <c r="L407" i="7"/>
  <c r="J407" i="7"/>
  <c r="I407" i="7"/>
  <c r="G407" i="7"/>
  <c r="AE406" i="7"/>
  <c r="AC406" i="7"/>
  <c r="Z406" i="7"/>
  <c r="V406" i="7"/>
  <c r="U406" i="7"/>
  <c r="T406" i="7"/>
  <c r="P406" i="7"/>
  <c r="L406" i="7"/>
  <c r="J406" i="7"/>
  <c r="I406" i="7"/>
  <c r="G406" i="7"/>
  <c r="AL405" i="7"/>
  <c r="AE405" i="7"/>
  <c r="AC405" i="7"/>
  <c r="Z405" i="7"/>
  <c r="F405" i="7" s="1"/>
  <c r="U405" i="7"/>
  <c r="T405" i="7"/>
  <c r="V405" i="7" s="1"/>
  <c r="P405" i="7"/>
  <c r="L405" i="7"/>
  <c r="J405" i="7"/>
  <c r="I405" i="7"/>
  <c r="G405" i="7"/>
  <c r="AE404" i="7"/>
  <c r="AC404" i="7"/>
  <c r="AC420" i="7" s="1"/>
  <c r="Z404" i="7"/>
  <c r="U404" i="7"/>
  <c r="T404" i="7"/>
  <c r="V404" i="7" s="1"/>
  <c r="P404" i="7"/>
  <c r="J404" i="7"/>
  <c r="I404" i="7"/>
  <c r="G404" i="7"/>
  <c r="AE403" i="7"/>
  <c r="AC403" i="7"/>
  <c r="Z403" i="7"/>
  <c r="U403" i="7"/>
  <c r="T403" i="7"/>
  <c r="P403" i="7"/>
  <c r="P420" i="7" s="1"/>
  <c r="L403" i="7"/>
  <c r="J403" i="7"/>
  <c r="I403" i="7"/>
  <c r="G403" i="7"/>
  <c r="AP400" i="7"/>
  <c r="AO400" i="7"/>
  <c r="AB400" i="7"/>
  <c r="P495" i="7" s="1"/>
  <c r="AA400" i="7"/>
  <c r="S400" i="7"/>
  <c r="I495" i="7" s="1"/>
  <c r="R400" i="7"/>
  <c r="Q400" i="7"/>
  <c r="H495" i="7" s="1"/>
  <c r="O400" i="7"/>
  <c r="G495" i="7" s="1"/>
  <c r="AE399" i="7"/>
  <c r="AC399" i="7"/>
  <c r="AB399" i="7"/>
  <c r="Z399" i="7"/>
  <c r="X399" i="7"/>
  <c r="U399" i="7"/>
  <c r="T399" i="7"/>
  <c r="V399" i="7" s="1"/>
  <c r="P399" i="7"/>
  <c r="J399" i="7"/>
  <c r="I399" i="7"/>
  <c r="G399" i="7"/>
  <c r="AE398" i="7"/>
  <c r="AC398" i="7"/>
  <c r="AB398" i="7"/>
  <c r="Z398" i="7"/>
  <c r="X398" i="7"/>
  <c r="V398" i="7"/>
  <c r="U398" i="7"/>
  <c r="T398" i="7"/>
  <c r="P398" i="7"/>
  <c r="J398" i="7"/>
  <c r="I398" i="7"/>
  <c r="G398" i="7"/>
  <c r="F398" i="7"/>
  <c r="AC397" i="7"/>
  <c r="Z397" i="7"/>
  <c r="X397" i="7"/>
  <c r="U397" i="7"/>
  <c r="V397" i="7" s="1"/>
  <c r="T397" i="7"/>
  <c r="P397" i="7"/>
  <c r="AE397" i="7" s="1"/>
  <c r="AF397" i="7" s="1"/>
  <c r="L397" i="7"/>
  <c r="J397" i="7"/>
  <c r="I397" i="7"/>
  <c r="G397" i="7"/>
  <c r="AE396" i="7"/>
  <c r="AC396" i="7"/>
  <c r="Z396" i="7"/>
  <c r="X396" i="7"/>
  <c r="U396" i="7"/>
  <c r="V396" i="7" s="1"/>
  <c r="T396" i="7"/>
  <c r="P396" i="7"/>
  <c r="L396" i="7"/>
  <c r="J396" i="7"/>
  <c r="I396" i="7"/>
  <c r="G396" i="7"/>
  <c r="AE395" i="7"/>
  <c r="AC395" i="7"/>
  <c r="AA395" i="7"/>
  <c r="Z395" i="7"/>
  <c r="X395" i="7"/>
  <c r="V395" i="7"/>
  <c r="U395" i="7"/>
  <c r="T395" i="7"/>
  <c r="P395" i="7"/>
  <c r="J395" i="7"/>
  <c r="I395" i="7"/>
  <c r="G395" i="7"/>
  <c r="AE394" i="7"/>
  <c r="AC394" i="7"/>
  <c r="Z394" i="7"/>
  <c r="X394" i="7"/>
  <c r="V394" i="7"/>
  <c r="U394" i="7"/>
  <c r="T394" i="7"/>
  <c r="P394" i="7"/>
  <c r="J394" i="7"/>
  <c r="I394" i="7"/>
  <c r="G394" i="7"/>
  <c r="F394" i="7"/>
  <c r="AE393" i="7"/>
  <c r="AC393" i="7"/>
  <c r="Z393" i="7"/>
  <c r="U393" i="7"/>
  <c r="T393" i="7"/>
  <c r="V393" i="7" s="1"/>
  <c r="P393" i="7"/>
  <c r="J393" i="7"/>
  <c r="I393" i="7"/>
  <c r="G393" i="7"/>
  <c r="AC392" i="7"/>
  <c r="Z392" i="7"/>
  <c r="U392" i="7"/>
  <c r="U400" i="7" s="1"/>
  <c r="K495" i="7" s="1"/>
  <c r="T392" i="7"/>
  <c r="P392" i="7"/>
  <c r="AE392" i="7" s="1"/>
  <c r="J392" i="7"/>
  <c r="I392" i="7"/>
  <c r="G392" i="7"/>
  <c r="AF391" i="7"/>
  <c r="AC391" i="7"/>
  <c r="Z391" i="7"/>
  <c r="X391" i="7"/>
  <c r="U391" i="7"/>
  <c r="T391" i="7"/>
  <c r="V391" i="7" s="1"/>
  <c r="P391" i="7"/>
  <c r="AE391" i="7" s="1"/>
  <c r="J391" i="7"/>
  <c r="I391" i="7"/>
  <c r="G391" i="7"/>
  <c r="AC390" i="7"/>
  <c r="Z390" i="7"/>
  <c r="X390" i="7"/>
  <c r="V390" i="7"/>
  <c r="U390" i="7"/>
  <c r="T390" i="7"/>
  <c r="P390" i="7"/>
  <c r="AE390" i="7" s="1"/>
  <c r="AF390" i="7" s="1"/>
  <c r="L390" i="7"/>
  <c r="J390" i="7"/>
  <c r="I390" i="7"/>
  <c r="G390" i="7"/>
  <c r="AL389" i="7"/>
  <c r="AC389" i="7"/>
  <c r="Z389" i="7"/>
  <c r="F389" i="7" s="1"/>
  <c r="X389" i="7"/>
  <c r="V389" i="7"/>
  <c r="U389" i="7"/>
  <c r="T389" i="7"/>
  <c r="P389" i="7"/>
  <c r="AE389" i="7" s="1"/>
  <c r="AF389" i="7" s="1"/>
  <c r="AG389" i="7" s="1"/>
  <c r="L389" i="7"/>
  <c r="J389" i="7"/>
  <c r="I389" i="7"/>
  <c r="G389" i="7"/>
  <c r="AL388" i="7"/>
  <c r="AC388" i="7"/>
  <c r="Z388" i="7"/>
  <c r="X388" i="7"/>
  <c r="V388" i="7"/>
  <c r="U388" i="7"/>
  <c r="T388" i="7"/>
  <c r="P388" i="7"/>
  <c r="AE388" i="7" s="1"/>
  <c r="AF388" i="7" s="1"/>
  <c r="L388" i="7"/>
  <c r="J388" i="7"/>
  <c r="I388" i="7"/>
  <c r="G388" i="7"/>
  <c r="AC387" i="7"/>
  <c r="Z387" i="7"/>
  <c r="F387" i="7" s="1"/>
  <c r="X387" i="7"/>
  <c r="V387" i="7"/>
  <c r="U387" i="7"/>
  <c r="T387" i="7"/>
  <c r="P387" i="7"/>
  <c r="AE387" i="7" s="1"/>
  <c r="AF387" i="7" s="1"/>
  <c r="AG387" i="7" s="1"/>
  <c r="L387" i="7"/>
  <c r="J387" i="7"/>
  <c r="I387" i="7"/>
  <c r="G387" i="7"/>
  <c r="AC386" i="7"/>
  <c r="Z386" i="7"/>
  <c r="X386" i="7"/>
  <c r="V386" i="7"/>
  <c r="U386" i="7"/>
  <c r="T386" i="7"/>
  <c r="P386" i="7"/>
  <c r="AE386" i="7" s="1"/>
  <c r="AF386" i="7" s="1"/>
  <c r="L386" i="7"/>
  <c r="J386" i="7"/>
  <c r="I386" i="7"/>
  <c r="G386" i="7"/>
  <c r="AL385" i="7"/>
  <c r="AC385" i="7"/>
  <c r="Z385" i="7"/>
  <c r="F385" i="7" s="1"/>
  <c r="X385" i="7"/>
  <c r="V385" i="7"/>
  <c r="U385" i="7"/>
  <c r="T385" i="7"/>
  <c r="P385" i="7"/>
  <c r="AE385" i="7" s="1"/>
  <c r="AF385" i="7" s="1"/>
  <c r="AG385" i="7" s="1"/>
  <c r="L385" i="7"/>
  <c r="J385" i="7"/>
  <c r="I385" i="7"/>
  <c r="G385" i="7"/>
  <c r="AC384" i="7"/>
  <c r="Z384" i="7"/>
  <c r="F384" i="7" s="1"/>
  <c r="X384" i="7"/>
  <c r="V384" i="7"/>
  <c r="U384" i="7"/>
  <c r="T384" i="7"/>
  <c r="P384" i="7"/>
  <c r="P400" i="7" s="1"/>
  <c r="J384" i="7"/>
  <c r="I384" i="7"/>
  <c r="G384" i="7"/>
  <c r="AL383" i="7"/>
  <c r="AC383" i="7"/>
  <c r="AC400" i="7" s="1"/>
  <c r="Z383" i="7"/>
  <c r="Z400" i="7" s="1"/>
  <c r="V383" i="7"/>
  <c r="U383" i="7"/>
  <c r="T383" i="7"/>
  <c r="P383" i="7"/>
  <c r="AE383" i="7" s="1"/>
  <c r="L383" i="7"/>
  <c r="J383" i="7"/>
  <c r="I383" i="7"/>
  <c r="G383" i="7"/>
  <c r="AP380" i="7"/>
  <c r="AO380" i="7"/>
  <c r="AB380" i="7"/>
  <c r="AA380" i="7"/>
  <c r="S380" i="7"/>
  <c r="I494" i="7" s="1"/>
  <c r="R380" i="7"/>
  <c r="Q380" i="7"/>
  <c r="H494" i="7" s="1"/>
  <c r="O380" i="7"/>
  <c r="G494" i="7" s="1"/>
  <c r="AC379" i="7"/>
  <c r="Z379" i="7"/>
  <c r="F379" i="7" s="1"/>
  <c r="X379" i="7"/>
  <c r="U379" i="7"/>
  <c r="T379" i="7"/>
  <c r="V379" i="7" s="1"/>
  <c r="P379" i="7"/>
  <c r="AE379" i="7" s="1"/>
  <c r="AF379" i="7" s="1"/>
  <c r="J379" i="7"/>
  <c r="I379" i="7"/>
  <c r="G379" i="7"/>
  <c r="AC378" i="7"/>
  <c r="Z378" i="7"/>
  <c r="F378" i="7" s="1"/>
  <c r="X378" i="7"/>
  <c r="V378" i="7"/>
  <c r="U378" i="7"/>
  <c r="T378" i="7"/>
  <c r="P378" i="7"/>
  <c r="AE378" i="7" s="1"/>
  <c r="AF378" i="7" s="1"/>
  <c r="J378" i="7"/>
  <c r="I378" i="7"/>
  <c r="G378" i="7"/>
  <c r="AC377" i="7"/>
  <c r="Z377" i="7"/>
  <c r="U377" i="7"/>
  <c r="V377" i="7" s="1"/>
  <c r="T377" i="7"/>
  <c r="P377" i="7"/>
  <c r="AE377" i="7" s="1"/>
  <c r="L377" i="7"/>
  <c r="J377" i="7"/>
  <c r="I377" i="7"/>
  <c r="G377" i="7"/>
  <c r="AC376" i="7"/>
  <c r="Z376" i="7"/>
  <c r="X376" i="7"/>
  <c r="V376" i="7"/>
  <c r="U376" i="7"/>
  <c r="T376" i="7"/>
  <c r="P376" i="7"/>
  <c r="AE376" i="7" s="1"/>
  <c r="AF376" i="7" s="1"/>
  <c r="L376" i="7"/>
  <c r="J376" i="7"/>
  <c r="I376" i="7"/>
  <c r="G376" i="7"/>
  <c r="AC375" i="7"/>
  <c r="AA375" i="7"/>
  <c r="Z375" i="7"/>
  <c r="F375" i="7" s="1"/>
  <c r="X375" i="7"/>
  <c r="V375" i="7"/>
  <c r="U375" i="7"/>
  <c r="T375" i="7"/>
  <c r="P375" i="7"/>
  <c r="AE375" i="7" s="1"/>
  <c r="AF375" i="7" s="1"/>
  <c r="AG375" i="7" s="1"/>
  <c r="J375" i="7"/>
  <c r="I375" i="7"/>
  <c r="G375" i="7"/>
  <c r="AC374" i="7"/>
  <c r="Z374" i="7"/>
  <c r="V374" i="7"/>
  <c r="U374" i="7"/>
  <c r="T374" i="7"/>
  <c r="P374" i="7"/>
  <c r="AE374" i="7" s="1"/>
  <c r="AF374" i="7" s="1"/>
  <c r="J374" i="7"/>
  <c r="I374" i="7"/>
  <c r="G374" i="7"/>
  <c r="AE373" i="7"/>
  <c r="AC373" i="7"/>
  <c r="Z373" i="7"/>
  <c r="X373" i="7"/>
  <c r="U373" i="7"/>
  <c r="V373" i="7" s="1"/>
  <c r="T373" i="7"/>
  <c r="P373" i="7"/>
  <c r="J373" i="7"/>
  <c r="I373" i="7"/>
  <c r="G373" i="7"/>
  <c r="AC372" i="7"/>
  <c r="Z372" i="7"/>
  <c r="U372" i="7"/>
  <c r="V372" i="7" s="1"/>
  <c r="T372" i="7"/>
  <c r="P372" i="7"/>
  <c r="AE372" i="7" s="1"/>
  <c r="J372" i="7"/>
  <c r="I372" i="7"/>
  <c r="G372" i="7"/>
  <c r="AE371" i="7"/>
  <c r="AC371" i="7"/>
  <c r="Z371" i="7"/>
  <c r="X371" i="7"/>
  <c r="U371" i="7"/>
  <c r="T371" i="7"/>
  <c r="V371" i="7" s="1"/>
  <c r="F371" i="7" s="1"/>
  <c r="P371" i="7"/>
  <c r="J371" i="7"/>
  <c r="I371" i="7"/>
  <c r="G371" i="7"/>
  <c r="AC370" i="7"/>
  <c r="Z370" i="7"/>
  <c r="V370" i="7"/>
  <c r="U370" i="7"/>
  <c r="T370" i="7"/>
  <c r="P370" i="7"/>
  <c r="AE370" i="7" s="1"/>
  <c r="L370" i="7"/>
  <c r="J370" i="7"/>
  <c r="I370" i="7"/>
  <c r="G370" i="7"/>
  <c r="AL369" i="7"/>
  <c r="AC369" i="7"/>
  <c r="Z369" i="7"/>
  <c r="F369" i="7" s="1"/>
  <c r="V369" i="7"/>
  <c r="U369" i="7"/>
  <c r="T369" i="7"/>
  <c r="P369" i="7"/>
  <c r="AE369" i="7" s="1"/>
  <c r="L369" i="7"/>
  <c r="J369" i="7"/>
  <c r="I369" i="7"/>
  <c r="G369" i="7"/>
  <c r="AL368" i="7"/>
  <c r="AC368" i="7"/>
  <c r="Z368" i="7"/>
  <c r="X368" i="7"/>
  <c r="U368" i="7"/>
  <c r="T368" i="7"/>
  <c r="V368" i="7" s="1"/>
  <c r="P368" i="7"/>
  <c r="AE368" i="7" s="1"/>
  <c r="L368" i="7"/>
  <c r="J368" i="7"/>
  <c r="I368" i="7"/>
  <c r="G368" i="7"/>
  <c r="AC367" i="7"/>
  <c r="Z367" i="7"/>
  <c r="U367" i="7"/>
  <c r="T367" i="7"/>
  <c r="V367" i="7" s="1"/>
  <c r="P367" i="7"/>
  <c r="AE367" i="7" s="1"/>
  <c r="L367" i="7"/>
  <c r="J367" i="7"/>
  <c r="I367" i="7"/>
  <c r="G367" i="7"/>
  <c r="AC366" i="7"/>
  <c r="Z366" i="7"/>
  <c r="X366" i="7"/>
  <c r="V366" i="7"/>
  <c r="F366" i="7" s="1"/>
  <c r="U366" i="7"/>
  <c r="T366" i="7"/>
  <c r="P366" i="7"/>
  <c r="AE366" i="7" s="1"/>
  <c r="L366" i="7"/>
  <c r="J366" i="7"/>
  <c r="I366" i="7"/>
  <c r="G366" i="7"/>
  <c r="AL365" i="7"/>
  <c r="AC365" i="7"/>
  <c r="Z365" i="7"/>
  <c r="F365" i="7" s="1"/>
  <c r="V365" i="7"/>
  <c r="U365" i="7"/>
  <c r="T365" i="7"/>
  <c r="P365" i="7"/>
  <c r="AE365" i="7" s="1"/>
  <c r="L365" i="7"/>
  <c r="J365" i="7"/>
  <c r="I365" i="7"/>
  <c r="G365" i="7"/>
  <c r="AC364" i="7"/>
  <c r="AC380" i="7" s="1"/>
  <c r="Z364" i="7"/>
  <c r="X364" i="7"/>
  <c r="U364" i="7"/>
  <c r="T364" i="7"/>
  <c r="T380" i="7" s="1"/>
  <c r="J494" i="7" s="1"/>
  <c r="P364" i="7"/>
  <c r="AE364" i="7" s="1"/>
  <c r="J364" i="7"/>
  <c r="I364" i="7"/>
  <c r="G364" i="7"/>
  <c r="AC363" i="7"/>
  <c r="Z363" i="7"/>
  <c r="X363" i="7"/>
  <c r="U363" i="7"/>
  <c r="T363" i="7"/>
  <c r="P363" i="7"/>
  <c r="AE363" i="7" s="1"/>
  <c r="L363" i="7"/>
  <c r="J363" i="7"/>
  <c r="I363" i="7"/>
  <c r="G363" i="7"/>
  <c r="AP360" i="7"/>
  <c r="AO360" i="7"/>
  <c r="AB360" i="7"/>
  <c r="P493" i="7" s="1"/>
  <c r="S360" i="7"/>
  <c r="I493" i="7" s="1"/>
  <c r="R360" i="7"/>
  <c r="Q360" i="7"/>
  <c r="H493" i="7" s="1"/>
  <c r="O360" i="7"/>
  <c r="G493" i="7" s="1"/>
  <c r="AC359" i="7"/>
  <c r="Z359" i="7"/>
  <c r="F359" i="7" s="1"/>
  <c r="X359" i="7"/>
  <c r="U359" i="7"/>
  <c r="T359" i="7"/>
  <c r="V359" i="7" s="1"/>
  <c r="P359" i="7"/>
  <c r="AE359" i="7" s="1"/>
  <c r="AF359" i="7" s="1"/>
  <c r="J359" i="7"/>
  <c r="I359" i="7"/>
  <c r="G359" i="7"/>
  <c r="AC358" i="7"/>
  <c r="Z358" i="7"/>
  <c r="U358" i="7"/>
  <c r="T358" i="7"/>
  <c r="V358" i="7" s="1"/>
  <c r="P358" i="7"/>
  <c r="AE358" i="7" s="1"/>
  <c r="J358" i="7"/>
  <c r="I358" i="7"/>
  <c r="G358" i="7"/>
  <c r="AC357" i="7"/>
  <c r="Z357" i="7"/>
  <c r="X357" i="7"/>
  <c r="V357" i="7"/>
  <c r="U357" i="7"/>
  <c r="T357" i="7"/>
  <c r="P357" i="7"/>
  <c r="AE357" i="7" s="1"/>
  <c r="L357" i="7"/>
  <c r="J357" i="7"/>
  <c r="I357" i="7"/>
  <c r="G357" i="7"/>
  <c r="AC356" i="7"/>
  <c r="Z356" i="7"/>
  <c r="X356" i="7"/>
  <c r="U356" i="7"/>
  <c r="V356" i="7" s="1"/>
  <c r="T356" i="7"/>
  <c r="P356" i="7"/>
  <c r="AE356" i="7" s="1"/>
  <c r="L356" i="7"/>
  <c r="J356" i="7"/>
  <c r="I356" i="7"/>
  <c r="G356" i="7"/>
  <c r="AG355" i="7"/>
  <c r="AF355" i="7"/>
  <c r="AC355" i="7"/>
  <c r="AA355" i="7"/>
  <c r="Z355" i="7"/>
  <c r="X355" i="7"/>
  <c r="V355" i="7"/>
  <c r="U355" i="7"/>
  <c r="T355" i="7"/>
  <c r="P355" i="7"/>
  <c r="AE355" i="7" s="1"/>
  <c r="J355" i="7"/>
  <c r="I355" i="7"/>
  <c r="G355" i="7"/>
  <c r="AC354" i="7"/>
  <c r="Z354" i="7"/>
  <c r="X354" i="7"/>
  <c r="U354" i="7"/>
  <c r="V354" i="7" s="1"/>
  <c r="T354" i="7"/>
  <c r="P354" i="7"/>
  <c r="AE354" i="7" s="1"/>
  <c r="AF354" i="7" s="1"/>
  <c r="J354" i="7"/>
  <c r="I354" i="7"/>
  <c r="G354" i="7"/>
  <c r="AE353" i="7"/>
  <c r="AC353" i="7"/>
  <c r="Z353" i="7"/>
  <c r="X353" i="7"/>
  <c r="U353" i="7"/>
  <c r="T353" i="7"/>
  <c r="V353" i="7" s="1"/>
  <c r="P353" i="7"/>
  <c r="J353" i="7"/>
  <c r="I353" i="7"/>
  <c r="G353" i="7"/>
  <c r="AE352" i="7"/>
  <c r="AF352" i="7" s="1"/>
  <c r="AG352" i="7" s="1"/>
  <c r="AC352" i="7"/>
  <c r="AA352" i="7"/>
  <c r="Z352" i="7"/>
  <c r="X352" i="7"/>
  <c r="V352" i="7"/>
  <c r="U352" i="7"/>
  <c r="T352" i="7"/>
  <c r="P352" i="7"/>
  <c r="J352" i="7"/>
  <c r="I352" i="7"/>
  <c r="G352" i="7"/>
  <c r="AL351" i="7"/>
  <c r="AC351" i="7"/>
  <c r="Z351" i="7"/>
  <c r="X351" i="7"/>
  <c r="U351" i="7"/>
  <c r="T351" i="7"/>
  <c r="V351" i="7" s="1"/>
  <c r="P351" i="7"/>
  <c r="AE351" i="7" s="1"/>
  <c r="J351" i="7"/>
  <c r="I351" i="7"/>
  <c r="G351" i="7"/>
  <c r="AE350" i="7"/>
  <c r="AF350" i="7" s="1"/>
  <c r="AC350" i="7"/>
  <c r="Z350" i="7"/>
  <c r="X350" i="7"/>
  <c r="U350" i="7"/>
  <c r="T350" i="7"/>
  <c r="V350" i="7" s="1"/>
  <c r="P350" i="7"/>
  <c r="L350" i="7"/>
  <c r="J350" i="7"/>
  <c r="I350" i="7"/>
  <c r="G350" i="7"/>
  <c r="AL349" i="7"/>
  <c r="AC349" i="7"/>
  <c r="Z349" i="7"/>
  <c r="U349" i="7"/>
  <c r="T349" i="7"/>
  <c r="V349" i="7" s="1"/>
  <c r="P349" i="7"/>
  <c r="AE349" i="7" s="1"/>
  <c r="AF349" i="7" s="1"/>
  <c r="L349" i="7"/>
  <c r="J349" i="7"/>
  <c r="I349" i="7"/>
  <c r="G349" i="7"/>
  <c r="AL348" i="7"/>
  <c r="AE348" i="7"/>
  <c r="AC348" i="7"/>
  <c r="Z348" i="7"/>
  <c r="F348" i="7" s="1"/>
  <c r="X348" i="7"/>
  <c r="U348" i="7"/>
  <c r="V348" i="7" s="1"/>
  <c r="T348" i="7"/>
  <c r="P348" i="7"/>
  <c r="L348" i="7"/>
  <c r="J348" i="7"/>
  <c r="I348" i="7"/>
  <c r="G348" i="7"/>
  <c r="AC347" i="7"/>
  <c r="Z347" i="7"/>
  <c r="X347" i="7"/>
  <c r="U347" i="7"/>
  <c r="T347" i="7"/>
  <c r="V347" i="7" s="1"/>
  <c r="P347" i="7"/>
  <c r="AE347" i="7" s="1"/>
  <c r="L347" i="7"/>
  <c r="J347" i="7"/>
  <c r="I347" i="7"/>
  <c r="G347" i="7"/>
  <c r="AE346" i="7"/>
  <c r="AC346" i="7"/>
  <c r="AA346" i="7"/>
  <c r="Z346" i="7" s="1"/>
  <c r="X346" i="7"/>
  <c r="U346" i="7"/>
  <c r="V346" i="7" s="1"/>
  <c r="T346" i="7"/>
  <c r="P346" i="7"/>
  <c r="L346" i="7"/>
  <c r="J346" i="7"/>
  <c r="I346" i="7"/>
  <c r="G346" i="7"/>
  <c r="AL345" i="7"/>
  <c r="AE345" i="7"/>
  <c r="AC345" i="7"/>
  <c r="Z345" i="7"/>
  <c r="X345" i="7"/>
  <c r="U345" i="7"/>
  <c r="T345" i="7"/>
  <c r="V345" i="7" s="1"/>
  <c r="P345" i="7"/>
  <c r="L345" i="7"/>
  <c r="J345" i="7"/>
  <c r="I345" i="7"/>
  <c r="G345" i="7"/>
  <c r="AC344" i="7"/>
  <c r="Z344" i="7"/>
  <c r="X344" i="7"/>
  <c r="U344" i="7"/>
  <c r="T344" i="7"/>
  <c r="V344" i="7" s="1"/>
  <c r="P344" i="7"/>
  <c r="AE344" i="7" s="1"/>
  <c r="AF344" i="7" s="1"/>
  <c r="J344" i="7"/>
  <c r="I344" i="7"/>
  <c r="G344" i="7"/>
  <c r="AL343" i="7"/>
  <c r="AC343" i="7"/>
  <c r="Z343" i="7"/>
  <c r="Z360" i="7" s="1"/>
  <c r="X343" i="7"/>
  <c r="U343" i="7"/>
  <c r="V343" i="7" s="1"/>
  <c r="T343" i="7"/>
  <c r="T360" i="7" s="1"/>
  <c r="J493" i="7" s="1"/>
  <c r="P343" i="7"/>
  <c r="AE343" i="7" s="1"/>
  <c r="L343" i="7"/>
  <c r="J343" i="7"/>
  <c r="I343" i="7"/>
  <c r="G343" i="7"/>
  <c r="AP340" i="7"/>
  <c r="AO340" i="7"/>
  <c r="AB340" i="7"/>
  <c r="P492" i="7" s="1"/>
  <c r="S340" i="7"/>
  <c r="I492" i="7" s="1"/>
  <c r="R340" i="7"/>
  <c r="Q340" i="7"/>
  <c r="H492" i="7" s="1"/>
  <c r="O340" i="7"/>
  <c r="G492" i="7" s="1"/>
  <c r="AE339" i="7"/>
  <c r="AC339" i="7"/>
  <c r="Z339" i="7"/>
  <c r="F339" i="7" s="1"/>
  <c r="X339" i="7"/>
  <c r="V339" i="7"/>
  <c r="U339" i="7"/>
  <c r="T339" i="7"/>
  <c r="P339" i="7"/>
  <c r="J339" i="7"/>
  <c r="I339" i="7"/>
  <c r="G339" i="7"/>
  <c r="AE338" i="7"/>
  <c r="AC338" i="7"/>
  <c r="Z338" i="7"/>
  <c r="X338" i="7"/>
  <c r="U338" i="7"/>
  <c r="T338" i="7"/>
  <c r="V338" i="7" s="1"/>
  <c r="P338" i="7"/>
  <c r="J338" i="7"/>
  <c r="I338" i="7"/>
  <c r="G338" i="7"/>
  <c r="AE337" i="7"/>
  <c r="AC337" i="7"/>
  <c r="Z337" i="7"/>
  <c r="X337" i="7"/>
  <c r="U337" i="7"/>
  <c r="V337" i="7" s="1"/>
  <c r="T337" i="7"/>
  <c r="P337" i="7"/>
  <c r="L337" i="7"/>
  <c r="J337" i="7"/>
  <c r="I337" i="7"/>
  <c r="G337" i="7"/>
  <c r="AE336" i="7"/>
  <c r="AF336" i="7" s="1"/>
  <c r="AC336" i="7"/>
  <c r="Z336" i="7"/>
  <c r="F336" i="7" s="1"/>
  <c r="X336" i="7"/>
  <c r="U336" i="7"/>
  <c r="T336" i="7"/>
  <c r="V336" i="7" s="1"/>
  <c r="P336" i="7"/>
  <c r="L336" i="7"/>
  <c r="J336" i="7"/>
  <c r="I336" i="7"/>
  <c r="G336" i="7"/>
  <c r="AC335" i="7"/>
  <c r="AA335" i="7"/>
  <c r="X335" i="7"/>
  <c r="V335" i="7"/>
  <c r="U335" i="7"/>
  <c r="T335" i="7"/>
  <c r="P335" i="7"/>
  <c r="AE335" i="7" s="1"/>
  <c r="AF335" i="7" s="1"/>
  <c r="J335" i="7"/>
  <c r="I335" i="7"/>
  <c r="G335" i="7"/>
  <c r="AE334" i="7"/>
  <c r="AC334" i="7"/>
  <c r="Z334" i="7"/>
  <c r="X334" i="7"/>
  <c r="U334" i="7"/>
  <c r="T334" i="7"/>
  <c r="V334" i="7" s="1"/>
  <c r="P334" i="7"/>
  <c r="J334" i="7"/>
  <c r="I334" i="7"/>
  <c r="G334" i="7"/>
  <c r="AE333" i="7"/>
  <c r="AC333" i="7"/>
  <c r="Z333" i="7"/>
  <c r="X333" i="7"/>
  <c r="U333" i="7"/>
  <c r="V333" i="7" s="1"/>
  <c r="T333" i="7"/>
  <c r="P333" i="7"/>
  <c r="J333" i="7"/>
  <c r="I333" i="7"/>
  <c r="G333" i="7"/>
  <c r="AC332" i="7"/>
  <c r="Z332" i="7"/>
  <c r="X332" i="7"/>
  <c r="U332" i="7"/>
  <c r="T332" i="7"/>
  <c r="V332" i="7" s="1"/>
  <c r="P332" i="7"/>
  <c r="AE332" i="7" s="1"/>
  <c r="AF332" i="7" s="1"/>
  <c r="J332" i="7"/>
  <c r="I332" i="7"/>
  <c r="G332" i="7"/>
  <c r="AL331" i="7"/>
  <c r="AC331" i="7"/>
  <c r="Z331" i="7"/>
  <c r="X331" i="7"/>
  <c r="U331" i="7"/>
  <c r="T331" i="7"/>
  <c r="V331" i="7" s="1"/>
  <c r="P331" i="7"/>
  <c r="AE331" i="7" s="1"/>
  <c r="J331" i="7"/>
  <c r="I331" i="7"/>
  <c r="G331" i="7"/>
  <c r="AC330" i="7"/>
  <c r="Z330" i="7"/>
  <c r="X330" i="7"/>
  <c r="U330" i="7"/>
  <c r="V330" i="7" s="1"/>
  <c r="T330" i="7"/>
  <c r="P330" i="7"/>
  <c r="AE330" i="7" s="1"/>
  <c r="AF330" i="7" s="1"/>
  <c r="L330" i="7"/>
  <c r="J330" i="7"/>
  <c r="I330" i="7"/>
  <c r="G330" i="7"/>
  <c r="AL329" i="7"/>
  <c r="AE329" i="7"/>
  <c r="AC329" i="7"/>
  <c r="Z329" i="7"/>
  <c r="X329" i="7"/>
  <c r="U329" i="7"/>
  <c r="V329" i="7" s="1"/>
  <c r="T329" i="7"/>
  <c r="P329" i="7"/>
  <c r="L329" i="7"/>
  <c r="J329" i="7"/>
  <c r="I329" i="7"/>
  <c r="G329" i="7"/>
  <c r="AL328" i="7"/>
  <c r="AC328" i="7"/>
  <c r="Z328" i="7"/>
  <c r="X328" i="7"/>
  <c r="U328" i="7"/>
  <c r="V328" i="7" s="1"/>
  <c r="T328" i="7"/>
  <c r="P328" i="7"/>
  <c r="AE328" i="7" s="1"/>
  <c r="L328" i="7"/>
  <c r="J328" i="7"/>
  <c r="I328" i="7"/>
  <c r="G328" i="7"/>
  <c r="AC327" i="7"/>
  <c r="Z327" i="7"/>
  <c r="X327" i="7"/>
  <c r="V327" i="7"/>
  <c r="U327" i="7"/>
  <c r="T327" i="7"/>
  <c r="P327" i="7"/>
  <c r="AE327" i="7" s="1"/>
  <c r="AF327" i="7" s="1"/>
  <c r="AG327" i="7" s="1"/>
  <c r="L327" i="7"/>
  <c r="J327" i="7"/>
  <c r="I327" i="7"/>
  <c r="G327" i="7"/>
  <c r="AE326" i="7"/>
  <c r="AC326" i="7"/>
  <c r="Z326" i="7"/>
  <c r="X326" i="7"/>
  <c r="U326" i="7"/>
  <c r="V326" i="7" s="1"/>
  <c r="T326" i="7"/>
  <c r="P326" i="7"/>
  <c r="L326" i="7"/>
  <c r="J326" i="7"/>
  <c r="I326" i="7"/>
  <c r="G326" i="7"/>
  <c r="AL325" i="7"/>
  <c r="AE325" i="7"/>
  <c r="AC325" i="7"/>
  <c r="Z325" i="7"/>
  <c r="X325" i="7"/>
  <c r="U325" i="7"/>
  <c r="V325" i="7" s="1"/>
  <c r="T325" i="7"/>
  <c r="P325" i="7"/>
  <c r="L325" i="7"/>
  <c r="J325" i="7"/>
  <c r="I325" i="7"/>
  <c r="G325" i="7"/>
  <c r="AC324" i="7"/>
  <c r="Z324" i="7"/>
  <c r="X324" i="7"/>
  <c r="U324" i="7"/>
  <c r="V324" i="7" s="1"/>
  <c r="T324" i="7"/>
  <c r="P324" i="7"/>
  <c r="AE324" i="7" s="1"/>
  <c r="AF324" i="7" s="1"/>
  <c r="J324" i="7"/>
  <c r="I324" i="7"/>
  <c r="G324" i="7"/>
  <c r="AL323" i="7"/>
  <c r="AE323" i="7"/>
  <c r="AC323" i="7"/>
  <c r="AC340" i="7" s="1"/>
  <c r="Z323" i="7"/>
  <c r="X323" i="7"/>
  <c r="X340" i="7" s="1"/>
  <c r="U323" i="7"/>
  <c r="U340" i="7" s="1"/>
  <c r="K492" i="7" s="1"/>
  <c r="T323" i="7"/>
  <c r="P323" i="7"/>
  <c r="L323" i="7"/>
  <c r="J323" i="7"/>
  <c r="I323" i="7"/>
  <c r="G323" i="7"/>
  <c r="AP320" i="7"/>
  <c r="AO320" i="7"/>
  <c r="S320" i="7"/>
  <c r="I491" i="7" s="1"/>
  <c r="R320" i="7"/>
  <c r="Q320" i="7"/>
  <c r="H491" i="7" s="1"/>
  <c r="O320" i="7"/>
  <c r="G491" i="7" s="1"/>
  <c r="AE319" i="7"/>
  <c r="AF319" i="7" s="1"/>
  <c r="AG319" i="7" s="1"/>
  <c r="AC319" i="7"/>
  <c r="Z319" i="7"/>
  <c r="X319" i="7"/>
  <c r="V319" i="7"/>
  <c r="U319" i="7"/>
  <c r="T319" i="7"/>
  <c r="P319" i="7"/>
  <c r="L319" i="7"/>
  <c r="J319" i="7"/>
  <c r="I319" i="7"/>
  <c r="G319" i="7"/>
  <c r="AE318" i="7"/>
  <c r="AC318" i="7"/>
  <c r="Z318" i="7"/>
  <c r="X318" i="7"/>
  <c r="U318" i="7"/>
  <c r="T318" i="7"/>
  <c r="V318" i="7" s="1"/>
  <c r="P318" i="7"/>
  <c r="L318" i="7"/>
  <c r="J318" i="7"/>
  <c r="I318" i="7"/>
  <c r="G318" i="7"/>
  <c r="AC317" i="7"/>
  <c r="AB317" i="7"/>
  <c r="AB320" i="7" s="1"/>
  <c r="P491" i="7" s="1"/>
  <c r="Z317" i="7"/>
  <c r="X317" i="7"/>
  <c r="U317" i="7"/>
  <c r="T317" i="7"/>
  <c r="P317" i="7"/>
  <c r="AE317" i="7" s="1"/>
  <c r="J317" i="7"/>
  <c r="I317" i="7"/>
  <c r="G317" i="7"/>
  <c r="AE316" i="7"/>
  <c r="AC316" i="7"/>
  <c r="Z316" i="7"/>
  <c r="X316" i="7"/>
  <c r="U316" i="7"/>
  <c r="T316" i="7"/>
  <c r="V316" i="7" s="1"/>
  <c r="P316" i="7"/>
  <c r="J316" i="7"/>
  <c r="I316" i="7"/>
  <c r="G316" i="7"/>
  <c r="AE315" i="7"/>
  <c r="AF315" i="7" s="1"/>
  <c r="AC315" i="7"/>
  <c r="AA315" i="7"/>
  <c r="Z315" i="7"/>
  <c r="F315" i="7" s="1"/>
  <c r="X315" i="7"/>
  <c r="U315" i="7"/>
  <c r="T315" i="7"/>
  <c r="V315" i="7" s="1"/>
  <c r="P315" i="7"/>
  <c r="J315" i="7"/>
  <c r="I315" i="7"/>
  <c r="G315" i="7"/>
  <c r="AE314" i="7"/>
  <c r="AC314" i="7"/>
  <c r="Z314" i="7"/>
  <c r="X314" i="7"/>
  <c r="U314" i="7"/>
  <c r="V314" i="7" s="1"/>
  <c r="T314" i="7"/>
  <c r="P314" i="7"/>
  <c r="J314" i="7"/>
  <c r="I314" i="7"/>
  <c r="G314" i="7"/>
  <c r="AE313" i="7"/>
  <c r="AC313" i="7"/>
  <c r="Z313" i="7"/>
  <c r="X313" i="7"/>
  <c r="U313" i="7"/>
  <c r="T313" i="7"/>
  <c r="V313" i="7" s="1"/>
  <c r="P313" i="7"/>
  <c r="J313" i="7"/>
  <c r="I313" i="7"/>
  <c r="G313" i="7"/>
  <c r="AE312" i="7"/>
  <c r="AC312" i="7"/>
  <c r="AA312" i="7"/>
  <c r="AA320" i="7" s="1"/>
  <c r="Z312" i="7"/>
  <c r="F312" i="7" s="1"/>
  <c r="X312" i="7"/>
  <c r="V312" i="7"/>
  <c r="U312" i="7"/>
  <c r="T312" i="7"/>
  <c r="P312" i="7"/>
  <c r="J312" i="7"/>
  <c r="I312" i="7"/>
  <c r="G312" i="7"/>
  <c r="AL311" i="7"/>
  <c r="AC311" i="7"/>
  <c r="Z311" i="7"/>
  <c r="F311" i="7" s="1"/>
  <c r="X311" i="7"/>
  <c r="U311" i="7"/>
  <c r="T311" i="7"/>
  <c r="V311" i="7" s="1"/>
  <c r="P311" i="7"/>
  <c r="AE311" i="7" s="1"/>
  <c r="AF311" i="7" s="1"/>
  <c r="L311" i="7"/>
  <c r="J311" i="7"/>
  <c r="I311" i="7"/>
  <c r="G311" i="7"/>
  <c r="AE310" i="7"/>
  <c r="AF310" i="7" s="1"/>
  <c r="AG310" i="7" s="1"/>
  <c r="AC310" i="7"/>
  <c r="Z310" i="7"/>
  <c r="V310" i="7"/>
  <c r="U310" i="7"/>
  <c r="T310" i="7"/>
  <c r="P310" i="7"/>
  <c r="L310" i="7"/>
  <c r="J310" i="7"/>
  <c r="I310" i="7"/>
  <c r="G310" i="7"/>
  <c r="F310" i="7"/>
  <c r="AL309" i="7"/>
  <c r="AC309" i="7"/>
  <c r="Z309" i="7"/>
  <c r="U309" i="7"/>
  <c r="T309" i="7"/>
  <c r="V309" i="7" s="1"/>
  <c r="P309" i="7"/>
  <c r="AE309" i="7" s="1"/>
  <c r="J309" i="7"/>
  <c r="I309" i="7"/>
  <c r="G309" i="7"/>
  <c r="AC308" i="7"/>
  <c r="Z308" i="7"/>
  <c r="X308" i="7"/>
  <c r="U308" i="7"/>
  <c r="T308" i="7"/>
  <c r="P308" i="7"/>
  <c r="AE308" i="7" s="1"/>
  <c r="L308" i="7"/>
  <c r="J308" i="7"/>
  <c r="I308" i="7"/>
  <c r="G308" i="7"/>
  <c r="AC307" i="7"/>
  <c r="Z307" i="7"/>
  <c r="F307" i="7" s="1"/>
  <c r="X307" i="7"/>
  <c r="U307" i="7"/>
  <c r="T307" i="7"/>
  <c r="V307" i="7" s="1"/>
  <c r="P307" i="7"/>
  <c r="AE307" i="7" s="1"/>
  <c r="AF307" i="7" s="1"/>
  <c r="L307" i="7"/>
  <c r="J307" i="7"/>
  <c r="I307" i="7"/>
  <c r="G307" i="7"/>
  <c r="AC306" i="7"/>
  <c r="Z306" i="7"/>
  <c r="X306" i="7"/>
  <c r="V306" i="7"/>
  <c r="U306" i="7"/>
  <c r="T306" i="7"/>
  <c r="P306" i="7"/>
  <c r="AE306" i="7" s="1"/>
  <c r="AF306" i="7" s="1"/>
  <c r="L306" i="7"/>
  <c r="J306" i="7"/>
  <c r="I306" i="7"/>
  <c r="G306" i="7"/>
  <c r="AL305" i="7"/>
  <c r="AE305" i="7"/>
  <c r="AC305" i="7"/>
  <c r="Z305" i="7"/>
  <c r="X305" i="7"/>
  <c r="U305" i="7"/>
  <c r="V305" i="7" s="1"/>
  <c r="T305" i="7"/>
  <c r="P305" i="7"/>
  <c r="L305" i="7"/>
  <c r="J305" i="7"/>
  <c r="I305" i="7"/>
  <c r="G305" i="7"/>
  <c r="AE304" i="7"/>
  <c r="AC304" i="7"/>
  <c r="Z304" i="7"/>
  <c r="X304" i="7"/>
  <c r="U304" i="7"/>
  <c r="T304" i="7"/>
  <c r="V304" i="7" s="1"/>
  <c r="P304" i="7"/>
  <c r="J304" i="7"/>
  <c r="I304" i="7"/>
  <c r="G304" i="7"/>
  <c r="AL303" i="7"/>
  <c r="AC303" i="7"/>
  <c r="AC320" i="7" s="1"/>
  <c r="Z303" i="7"/>
  <c r="Z320" i="7" s="1"/>
  <c r="X303" i="7"/>
  <c r="U303" i="7"/>
  <c r="T303" i="7"/>
  <c r="T320" i="7" s="1"/>
  <c r="J491" i="7" s="1"/>
  <c r="P303" i="7"/>
  <c r="AE303" i="7" s="1"/>
  <c r="L303" i="7"/>
  <c r="J303" i="7"/>
  <c r="I303" i="7"/>
  <c r="G303" i="7"/>
  <c r="AP300" i="7"/>
  <c r="AO300" i="7"/>
  <c r="AB300" i="7"/>
  <c r="P490" i="7" s="1"/>
  <c r="S300" i="7"/>
  <c r="I490" i="7" s="1"/>
  <c r="R300" i="7"/>
  <c r="Q300" i="7"/>
  <c r="H490" i="7" s="1"/>
  <c r="O300" i="7"/>
  <c r="G490" i="7" s="1"/>
  <c r="AC299" i="7"/>
  <c r="Z299" i="7"/>
  <c r="X299" i="7"/>
  <c r="U299" i="7"/>
  <c r="T299" i="7"/>
  <c r="V299" i="7" s="1"/>
  <c r="P299" i="7"/>
  <c r="AE299" i="7" s="1"/>
  <c r="AF299" i="7" s="1"/>
  <c r="L299" i="7"/>
  <c r="J299" i="7"/>
  <c r="I299" i="7"/>
  <c r="G299" i="7"/>
  <c r="AC298" i="7"/>
  <c r="Z298" i="7"/>
  <c r="F298" i="7" s="1"/>
  <c r="X298" i="7"/>
  <c r="U298" i="7"/>
  <c r="T298" i="7"/>
  <c r="V298" i="7" s="1"/>
  <c r="P298" i="7"/>
  <c r="AE298" i="7" s="1"/>
  <c r="AF298" i="7" s="1"/>
  <c r="L298" i="7"/>
  <c r="J298" i="7"/>
  <c r="I298" i="7"/>
  <c r="G298" i="7"/>
  <c r="AE297" i="7"/>
  <c r="AC297" i="7"/>
  <c r="AB297" i="7"/>
  <c r="Z297" i="7"/>
  <c r="F297" i="7" s="1"/>
  <c r="X297" i="7"/>
  <c r="U297" i="7"/>
  <c r="T297" i="7"/>
  <c r="V297" i="7" s="1"/>
  <c r="P297" i="7"/>
  <c r="J297" i="7"/>
  <c r="I297" i="7"/>
  <c r="G297" i="7"/>
  <c r="AE296" i="7"/>
  <c r="AC296" i="7"/>
  <c r="Z296" i="7"/>
  <c r="X296" i="7"/>
  <c r="U296" i="7"/>
  <c r="V296" i="7" s="1"/>
  <c r="T296" i="7"/>
  <c r="P296" i="7"/>
  <c r="J296" i="7"/>
  <c r="I296" i="7"/>
  <c r="G296" i="7"/>
  <c r="AE295" i="7"/>
  <c r="AF295" i="7" s="1"/>
  <c r="AC295" i="7"/>
  <c r="AA295" i="7"/>
  <c r="Z295" i="7" s="1"/>
  <c r="F295" i="7" s="1"/>
  <c r="X295" i="7"/>
  <c r="V295" i="7"/>
  <c r="U295" i="7"/>
  <c r="T295" i="7"/>
  <c r="P295" i="7"/>
  <c r="J295" i="7"/>
  <c r="I295" i="7"/>
  <c r="G295" i="7"/>
  <c r="AE294" i="7"/>
  <c r="AC294" i="7"/>
  <c r="Z294" i="7"/>
  <c r="F294" i="7" s="1"/>
  <c r="X294" i="7"/>
  <c r="U294" i="7"/>
  <c r="T294" i="7"/>
  <c r="V294" i="7" s="1"/>
  <c r="P294" i="7"/>
  <c r="J294" i="7"/>
  <c r="I294" i="7"/>
  <c r="G294" i="7"/>
  <c r="AC293" i="7"/>
  <c r="Z293" i="7"/>
  <c r="F293" i="7" s="1"/>
  <c r="X293" i="7"/>
  <c r="V293" i="7"/>
  <c r="U293" i="7"/>
  <c r="T293" i="7"/>
  <c r="P293" i="7"/>
  <c r="AE293" i="7" s="1"/>
  <c r="AF293" i="7" s="1"/>
  <c r="AG293" i="7" s="1"/>
  <c r="J293" i="7"/>
  <c r="I293" i="7"/>
  <c r="G293" i="7"/>
  <c r="AC292" i="7"/>
  <c r="AA292" i="7"/>
  <c r="Z292" i="7"/>
  <c r="X292" i="7"/>
  <c r="U292" i="7"/>
  <c r="V292" i="7" s="1"/>
  <c r="T292" i="7"/>
  <c r="P292" i="7"/>
  <c r="AE292" i="7" s="1"/>
  <c r="AF292" i="7" s="1"/>
  <c r="J292" i="7"/>
  <c r="I292" i="7"/>
  <c r="G292" i="7"/>
  <c r="AL291" i="7"/>
  <c r="AC291" i="7"/>
  <c r="Z291" i="7"/>
  <c r="F291" i="7" s="1"/>
  <c r="X291" i="7"/>
  <c r="U291" i="7"/>
  <c r="T291" i="7"/>
  <c r="V291" i="7" s="1"/>
  <c r="P291" i="7"/>
  <c r="AE291" i="7" s="1"/>
  <c r="L291" i="7"/>
  <c r="J291" i="7"/>
  <c r="I291" i="7"/>
  <c r="G291" i="7"/>
  <c r="AC290" i="7"/>
  <c r="Z290" i="7"/>
  <c r="X290" i="7"/>
  <c r="U290" i="7"/>
  <c r="T290" i="7"/>
  <c r="V290" i="7" s="1"/>
  <c r="P290" i="7"/>
  <c r="AE290" i="7" s="1"/>
  <c r="L290" i="7"/>
  <c r="J290" i="7"/>
  <c r="I290" i="7"/>
  <c r="G290" i="7"/>
  <c r="AL289" i="7"/>
  <c r="AC289" i="7"/>
  <c r="Z289" i="7"/>
  <c r="X289" i="7"/>
  <c r="U289" i="7"/>
  <c r="V289" i="7" s="1"/>
  <c r="T289" i="7"/>
  <c r="P289" i="7"/>
  <c r="AE289" i="7" s="1"/>
  <c r="J289" i="7"/>
  <c r="I289" i="7"/>
  <c r="G289" i="7"/>
  <c r="AE288" i="7"/>
  <c r="AF288" i="7" s="1"/>
  <c r="AC288" i="7"/>
  <c r="Z288" i="7"/>
  <c r="X288" i="7"/>
  <c r="U288" i="7"/>
  <c r="T288" i="7"/>
  <c r="V288" i="7" s="1"/>
  <c r="P288" i="7"/>
  <c r="L288" i="7"/>
  <c r="J288" i="7"/>
  <c r="I288" i="7"/>
  <c r="G288" i="7"/>
  <c r="AL287" i="7"/>
  <c r="AE287" i="7"/>
  <c r="AC287" i="7"/>
  <c r="Z287" i="7"/>
  <c r="X287" i="7"/>
  <c r="V287" i="7"/>
  <c r="U287" i="7"/>
  <c r="T287" i="7"/>
  <c r="P287" i="7"/>
  <c r="L287" i="7"/>
  <c r="J287" i="7"/>
  <c r="I287" i="7"/>
  <c r="G287" i="7"/>
  <c r="AC286" i="7"/>
  <c r="Z286" i="7"/>
  <c r="X286" i="7"/>
  <c r="U286" i="7"/>
  <c r="V286" i="7" s="1"/>
  <c r="T286" i="7"/>
  <c r="P286" i="7"/>
  <c r="AE286" i="7" s="1"/>
  <c r="AF286" i="7" s="1"/>
  <c r="L286" i="7"/>
  <c r="J286" i="7"/>
  <c r="I286" i="7"/>
  <c r="G286" i="7"/>
  <c r="AL285" i="7"/>
  <c r="AE285" i="7"/>
  <c r="AC285" i="7"/>
  <c r="Z285" i="7"/>
  <c r="X285" i="7"/>
  <c r="U285" i="7"/>
  <c r="T285" i="7"/>
  <c r="V285" i="7" s="1"/>
  <c r="P285" i="7"/>
  <c r="L285" i="7"/>
  <c r="J285" i="7"/>
  <c r="I285" i="7"/>
  <c r="G285" i="7"/>
  <c r="AC284" i="7"/>
  <c r="Z284" i="7"/>
  <c r="X284" i="7"/>
  <c r="U284" i="7"/>
  <c r="T284" i="7"/>
  <c r="V284" i="7" s="1"/>
  <c r="P284" i="7"/>
  <c r="AE284" i="7" s="1"/>
  <c r="J284" i="7"/>
  <c r="I284" i="7"/>
  <c r="G284" i="7"/>
  <c r="AL283" i="7"/>
  <c r="AE283" i="7"/>
  <c r="AE300" i="7" s="1"/>
  <c r="AC283" i="7"/>
  <c r="AC300" i="7" s="1"/>
  <c r="Z283" i="7"/>
  <c r="X283" i="7"/>
  <c r="X300" i="7" s="1"/>
  <c r="U283" i="7"/>
  <c r="U300" i="7" s="1"/>
  <c r="K490" i="7" s="1"/>
  <c r="T283" i="7"/>
  <c r="T300" i="7" s="1"/>
  <c r="J490" i="7" s="1"/>
  <c r="L490" i="7" s="1"/>
  <c r="P283" i="7"/>
  <c r="P300" i="7" s="1"/>
  <c r="L283" i="7"/>
  <c r="J283" i="7"/>
  <c r="I283" i="7"/>
  <c r="G283" i="7"/>
  <c r="AP280" i="7"/>
  <c r="AO280" i="7"/>
  <c r="AA280" i="7"/>
  <c r="S280" i="7"/>
  <c r="I489" i="7" s="1"/>
  <c r="R280" i="7"/>
  <c r="Q280" i="7"/>
  <c r="H489" i="7" s="1"/>
  <c r="O280" i="7"/>
  <c r="G489" i="7" s="1"/>
  <c r="AC279" i="7"/>
  <c r="Z279" i="7"/>
  <c r="X279" i="7"/>
  <c r="V279" i="7"/>
  <c r="U279" i="7"/>
  <c r="T279" i="7"/>
  <c r="P279" i="7"/>
  <c r="AE279" i="7" s="1"/>
  <c r="AF279" i="7" s="1"/>
  <c r="AG279" i="7" s="1"/>
  <c r="L279" i="7"/>
  <c r="J279" i="7"/>
  <c r="I279" i="7"/>
  <c r="G279" i="7"/>
  <c r="F279" i="7"/>
  <c r="AC278" i="7"/>
  <c r="Z278" i="7"/>
  <c r="X278" i="7"/>
  <c r="U278" i="7"/>
  <c r="T278" i="7"/>
  <c r="V278" i="7" s="1"/>
  <c r="P278" i="7"/>
  <c r="AE278" i="7" s="1"/>
  <c r="L278" i="7"/>
  <c r="J278" i="7"/>
  <c r="I278" i="7"/>
  <c r="G278" i="7"/>
  <c r="AC277" i="7"/>
  <c r="AB277" i="7"/>
  <c r="AB280" i="7" s="1"/>
  <c r="P489" i="7" s="1"/>
  <c r="Z277" i="7"/>
  <c r="X277" i="7"/>
  <c r="U277" i="7"/>
  <c r="T277" i="7"/>
  <c r="V277" i="7" s="1"/>
  <c r="P277" i="7"/>
  <c r="AE277" i="7" s="1"/>
  <c r="AF277" i="7" s="1"/>
  <c r="J277" i="7"/>
  <c r="I277" i="7"/>
  <c r="G277" i="7"/>
  <c r="AC276" i="7"/>
  <c r="Z276" i="7"/>
  <c r="F276" i="7" s="1"/>
  <c r="X276" i="7"/>
  <c r="V276" i="7"/>
  <c r="AG276" i="7" s="1"/>
  <c r="U276" i="7"/>
  <c r="T276" i="7"/>
  <c r="P276" i="7"/>
  <c r="AE276" i="7" s="1"/>
  <c r="AF276" i="7" s="1"/>
  <c r="J276" i="7"/>
  <c r="I276" i="7"/>
  <c r="G276" i="7"/>
  <c r="AE275" i="7"/>
  <c r="AF275" i="7" s="1"/>
  <c r="AC275" i="7"/>
  <c r="AA275" i="7"/>
  <c r="Z275" i="7" s="1"/>
  <c r="F275" i="7" s="1"/>
  <c r="X275" i="7"/>
  <c r="V275" i="7"/>
  <c r="U275" i="7"/>
  <c r="T275" i="7"/>
  <c r="P275" i="7"/>
  <c r="J275" i="7"/>
  <c r="I275" i="7"/>
  <c r="G275" i="7"/>
  <c r="AC274" i="7"/>
  <c r="Z274" i="7"/>
  <c r="X274" i="7"/>
  <c r="V274" i="7"/>
  <c r="U274" i="7"/>
  <c r="T274" i="7"/>
  <c r="P274" i="7"/>
  <c r="AE274" i="7" s="1"/>
  <c r="AF274" i="7" s="1"/>
  <c r="J274" i="7"/>
  <c r="I274" i="7"/>
  <c r="G274" i="7"/>
  <c r="AE273" i="7"/>
  <c r="AC273" i="7"/>
  <c r="Z273" i="7"/>
  <c r="X273" i="7"/>
  <c r="U273" i="7"/>
  <c r="T273" i="7"/>
  <c r="V273" i="7" s="1"/>
  <c r="P273" i="7"/>
  <c r="J273" i="7"/>
  <c r="I273" i="7"/>
  <c r="G273" i="7"/>
  <c r="AE272" i="7"/>
  <c r="AC272" i="7"/>
  <c r="Z272" i="7"/>
  <c r="X272" i="7"/>
  <c r="U272" i="7"/>
  <c r="V272" i="7" s="1"/>
  <c r="T272" i="7"/>
  <c r="P272" i="7"/>
  <c r="J272" i="7"/>
  <c r="I272" i="7"/>
  <c r="G272" i="7"/>
  <c r="AL271" i="7"/>
  <c r="AE271" i="7"/>
  <c r="AC271" i="7"/>
  <c r="Z271" i="7"/>
  <c r="X271" i="7"/>
  <c r="U271" i="7"/>
  <c r="T271" i="7"/>
  <c r="V271" i="7" s="1"/>
  <c r="P271" i="7"/>
  <c r="L271" i="7"/>
  <c r="J271" i="7"/>
  <c r="I271" i="7"/>
  <c r="G271" i="7"/>
  <c r="AE270" i="7"/>
  <c r="AC270" i="7"/>
  <c r="Z270" i="7"/>
  <c r="X270" i="7"/>
  <c r="U270" i="7"/>
  <c r="T270" i="7"/>
  <c r="V270" i="7" s="1"/>
  <c r="P270" i="7"/>
  <c r="L270" i="7"/>
  <c r="J270" i="7"/>
  <c r="I270" i="7"/>
  <c r="G270" i="7"/>
  <c r="AL269" i="7"/>
  <c r="AE269" i="7"/>
  <c r="AC269" i="7"/>
  <c r="Z269" i="7"/>
  <c r="X269" i="7"/>
  <c r="U269" i="7"/>
  <c r="T269" i="7"/>
  <c r="V269" i="7" s="1"/>
  <c r="P269" i="7"/>
  <c r="J269" i="7"/>
  <c r="I269" i="7"/>
  <c r="G269" i="7"/>
  <c r="AC268" i="7"/>
  <c r="Z268" i="7"/>
  <c r="X268" i="7"/>
  <c r="U268" i="7"/>
  <c r="T268" i="7"/>
  <c r="V268" i="7" s="1"/>
  <c r="P268" i="7"/>
  <c r="AE268" i="7" s="1"/>
  <c r="AF268" i="7" s="1"/>
  <c r="L268" i="7"/>
  <c r="J268" i="7"/>
  <c r="I268" i="7"/>
  <c r="G268" i="7"/>
  <c r="AL267" i="7"/>
  <c r="AC267" i="7"/>
  <c r="Z267" i="7"/>
  <c r="X267" i="7"/>
  <c r="U267" i="7"/>
  <c r="T267" i="7"/>
  <c r="V267" i="7" s="1"/>
  <c r="P267" i="7"/>
  <c r="AE267" i="7" s="1"/>
  <c r="L267" i="7"/>
  <c r="J267" i="7"/>
  <c r="I267" i="7"/>
  <c r="G267" i="7"/>
  <c r="AC266" i="7"/>
  <c r="Z266" i="7"/>
  <c r="X266" i="7"/>
  <c r="U266" i="7"/>
  <c r="T266" i="7"/>
  <c r="V266" i="7" s="1"/>
  <c r="P266" i="7"/>
  <c r="AE266" i="7" s="1"/>
  <c r="AF266" i="7" s="1"/>
  <c r="L266" i="7"/>
  <c r="J266" i="7"/>
  <c r="I266" i="7"/>
  <c r="G266" i="7"/>
  <c r="AL265" i="7"/>
  <c r="AC265" i="7"/>
  <c r="Z265" i="7"/>
  <c r="X265" i="7"/>
  <c r="U265" i="7"/>
  <c r="T265" i="7"/>
  <c r="V265" i="7" s="1"/>
  <c r="P265" i="7"/>
  <c r="AE265" i="7" s="1"/>
  <c r="AF265" i="7" s="1"/>
  <c r="L265" i="7"/>
  <c r="J265" i="7"/>
  <c r="I265" i="7"/>
  <c r="G265" i="7"/>
  <c r="AC264" i="7"/>
  <c r="AC280" i="7" s="1"/>
  <c r="Z264" i="7"/>
  <c r="X264" i="7"/>
  <c r="U264" i="7"/>
  <c r="T264" i="7"/>
  <c r="V264" i="7" s="1"/>
  <c r="P264" i="7"/>
  <c r="AE264" i="7" s="1"/>
  <c r="J264" i="7"/>
  <c r="I264" i="7"/>
  <c r="G264" i="7"/>
  <c r="AL263" i="7"/>
  <c r="AC263" i="7"/>
  <c r="Z263" i="7"/>
  <c r="F263" i="7" s="1"/>
  <c r="X263" i="7"/>
  <c r="X280" i="7" s="1"/>
  <c r="V263" i="7"/>
  <c r="U263" i="7"/>
  <c r="U280" i="7" s="1"/>
  <c r="K489" i="7" s="1"/>
  <c r="T263" i="7"/>
  <c r="T280" i="7" s="1"/>
  <c r="J489" i="7" s="1"/>
  <c r="L489" i="7" s="1"/>
  <c r="P263" i="7"/>
  <c r="AE263" i="7" s="1"/>
  <c r="L263" i="7"/>
  <c r="J263" i="7"/>
  <c r="I263" i="7"/>
  <c r="G263" i="7"/>
  <c r="AP260" i="7"/>
  <c r="AO260" i="7"/>
  <c r="AB260" i="7"/>
  <c r="P488" i="7" s="1"/>
  <c r="S260" i="7"/>
  <c r="I488" i="7" s="1"/>
  <c r="R260" i="7"/>
  <c r="Q260" i="7"/>
  <c r="H488" i="7" s="1"/>
  <c r="O260" i="7"/>
  <c r="G488" i="7" s="1"/>
  <c r="AE259" i="7"/>
  <c r="AC259" i="7"/>
  <c r="Z259" i="7"/>
  <c r="X259" i="7"/>
  <c r="U259" i="7"/>
  <c r="T259" i="7"/>
  <c r="V259" i="7" s="1"/>
  <c r="P259" i="7"/>
  <c r="L259" i="7"/>
  <c r="J259" i="7"/>
  <c r="I259" i="7"/>
  <c r="G259" i="7"/>
  <c r="AE258" i="7"/>
  <c r="AF258" i="7" s="1"/>
  <c r="AC258" i="7"/>
  <c r="Z258" i="7"/>
  <c r="X258" i="7"/>
  <c r="U258" i="7"/>
  <c r="T258" i="7"/>
  <c r="V258" i="7" s="1"/>
  <c r="P258" i="7"/>
  <c r="L258" i="7"/>
  <c r="J258" i="7"/>
  <c r="I258" i="7"/>
  <c r="G258" i="7"/>
  <c r="AE257" i="7"/>
  <c r="AC257" i="7"/>
  <c r="AB257" i="7"/>
  <c r="Z257" i="7"/>
  <c r="X257" i="7"/>
  <c r="U257" i="7"/>
  <c r="T257" i="7"/>
  <c r="V257" i="7" s="1"/>
  <c r="P257" i="7"/>
  <c r="J257" i="7"/>
  <c r="I257" i="7"/>
  <c r="G257" i="7"/>
  <c r="AE256" i="7"/>
  <c r="AF256" i="7" s="1"/>
  <c r="AC256" i="7"/>
  <c r="AA256" i="7"/>
  <c r="AA260" i="7" s="1"/>
  <c r="X256" i="7"/>
  <c r="U256" i="7"/>
  <c r="T256" i="7"/>
  <c r="V256" i="7" s="1"/>
  <c r="P256" i="7"/>
  <c r="J256" i="7"/>
  <c r="I256" i="7"/>
  <c r="G256" i="7"/>
  <c r="AE255" i="7"/>
  <c r="AC255" i="7"/>
  <c r="Z255" i="7"/>
  <c r="X255" i="7"/>
  <c r="U255" i="7"/>
  <c r="V255" i="7" s="1"/>
  <c r="T255" i="7"/>
  <c r="P255" i="7"/>
  <c r="J255" i="7"/>
  <c r="I255" i="7"/>
  <c r="G255" i="7"/>
  <c r="AC254" i="7"/>
  <c r="Z254" i="7"/>
  <c r="X254" i="7"/>
  <c r="V254" i="7"/>
  <c r="U254" i="7"/>
  <c r="T254" i="7"/>
  <c r="P254" i="7"/>
  <c r="AE254" i="7" s="1"/>
  <c r="AF254" i="7" s="1"/>
  <c r="J254" i="7"/>
  <c r="I254" i="7"/>
  <c r="G254" i="7"/>
  <c r="AC253" i="7"/>
  <c r="Z253" i="7"/>
  <c r="F253" i="7" s="1"/>
  <c r="X253" i="7"/>
  <c r="U253" i="7"/>
  <c r="V253" i="7" s="1"/>
  <c r="T253" i="7"/>
  <c r="P253" i="7"/>
  <c r="AE253" i="7" s="1"/>
  <c r="AF253" i="7" s="1"/>
  <c r="J253" i="7"/>
  <c r="I253" i="7"/>
  <c r="G253" i="7"/>
  <c r="AC252" i="7"/>
  <c r="Z252" i="7"/>
  <c r="F252" i="7" s="1"/>
  <c r="X252" i="7"/>
  <c r="V252" i="7"/>
  <c r="U252" i="7"/>
  <c r="T252" i="7"/>
  <c r="P252" i="7"/>
  <c r="AE252" i="7" s="1"/>
  <c r="AF252" i="7" s="1"/>
  <c r="J252" i="7"/>
  <c r="I252" i="7"/>
  <c r="G252" i="7"/>
  <c r="AL251" i="7"/>
  <c r="AC251" i="7"/>
  <c r="Z251" i="7"/>
  <c r="X251" i="7"/>
  <c r="U251" i="7"/>
  <c r="T251" i="7"/>
  <c r="V251" i="7" s="1"/>
  <c r="P251" i="7"/>
  <c r="AE251" i="7" s="1"/>
  <c r="AF251" i="7" s="1"/>
  <c r="L251" i="7"/>
  <c r="J251" i="7"/>
  <c r="I251" i="7"/>
  <c r="G251" i="7"/>
  <c r="AC250" i="7"/>
  <c r="Z250" i="7"/>
  <c r="F250" i="7" s="1"/>
  <c r="X250" i="7"/>
  <c r="U250" i="7"/>
  <c r="T250" i="7"/>
  <c r="V250" i="7" s="1"/>
  <c r="P250" i="7"/>
  <c r="AE250" i="7" s="1"/>
  <c r="L250" i="7"/>
  <c r="J250" i="7"/>
  <c r="I250" i="7"/>
  <c r="G250" i="7"/>
  <c r="AL249" i="7"/>
  <c r="AC249" i="7"/>
  <c r="Z249" i="7"/>
  <c r="X249" i="7"/>
  <c r="U249" i="7"/>
  <c r="T249" i="7"/>
  <c r="V249" i="7" s="1"/>
  <c r="P249" i="7"/>
  <c r="AE249" i="7" s="1"/>
  <c r="AF249" i="7" s="1"/>
  <c r="J249" i="7"/>
  <c r="I249" i="7"/>
  <c r="G249" i="7"/>
  <c r="AC248" i="7"/>
  <c r="Z248" i="7"/>
  <c r="X248" i="7"/>
  <c r="V248" i="7"/>
  <c r="F248" i="7" s="1"/>
  <c r="U248" i="7"/>
  <c r="T248" i="7"/>
  <c r="P248" i="7"/>
  <c r="AE248" i="7" s="1"/>
  <c r="AF248" i="7" s="1"/>
  <c r="L248" i="7"/>
  <c r="J248" i="7"/>
  <c r="I248" i="7"/>
  <c r="G248" i="7"/>
  <c r="AL247" i="7"/>
  <c r="AC247" i="7"/>
  <c r="Z247" i="7"/>
  <c r="X247" i="7"/>
  <c r="V247" i="7"/>
  <c r="U247" i="7"/>
  <c r="T247" i="7"/>
  <c r="P247" i="7"/>
  <c r="AE247" i="7" s="1"/>
  <c r="AF247" i="7" s="1"/>
  <c r="L247" i="7"/>
  <c r="J247" i="7"/>
  <c r="I247" i="7"/>
  <c r="G247" i="7"/>
  <c r="AC246" i="7"/>
  <c r="Z246" i="7"/>
  <c r="X246" i="7"/>
  <c r="V246" i="7"/>
  <c r="U246" i="7"/>
  <c r="T246" i="7"/>
  <c r="P246" i="7"/>
  <c r="AE246" i="7" s="1"/>
  <c r="AF246" i="7" s="1"/>
  <c r="L246" i="7"/>
  <c r="J246" i="7"/>
  <c r="I246" i="7"/>
  <c r="G246" i="7"/>
  <c r="AL245" i="7"/>
  <c r="AC245" i="7"/>
  <c r="Z245" i="7"/>
  <c r="X245" i="7"/>
  <c r="V245" i="7"/>
  <c r="U245" i="7"/>
  <c r="T245" i="7"/>
  <c r="P245" i="7"/>
  <c r="AE245" i="7" s="1"/>
  <c r="AF245" i="7" s="1"/>
  <c r="L245" i="7"/>
  <c r="J245" i="7"/>
  <c r="I245" i="7"/>
  <c r="G245" i="7"/>
  <c r="AC244" i="7"/>
  <c r="Z244" i="7"/>
  <c r="X244" i="7"/>
  <c r="X260" i="7" s="1"/>
  <c r="V244" i="7"/>
  <c r="U244" i="7"/>
  <c r="T244" i="7"/>
  <c r="T260" i="7" s="1"/>
  <c r="J488" i="7" s="1"/>
  <c r="P244" i="7"/>
  <c r="AE244" i="7" s="1"/>
  <c r="AF244" i="7" s="1"/>
  <c r="J244" i="7"/>
  <c r="I244" i="7"/>
  <c r="G244" i="7"/>
  <c r="AL243" i="7"/>
  <c r="AC243" i="7"/>
  <c r="AC260" i="7" s="1"/>
  <c r="Z243" i="7"/>
  <c r="X243" i="7"/>
  <c r="U243" i="7"/>
  <c r="T243" i="7"/>
  <c r="P243" i="7"/>
  <c r="P260" i="7" s="1"/>
  <c r="L243" i="7"/>
  <c r="J243" i="7"/>
  <c r="I243" i="7"/>
  <c r="G243" i="7"/>
  <c r="AP240" i="7"/>
  <c r="AO240" i="7"/>
  <c r="AB240" i="7"/>
  <c r="P487" i="7" s="1"/>
  <c r="S240" i="7"/>
  <c r="I487" i="7" s="1"/>
  <c r="R240" i="7"/>
  <c r="Q240" i="7"/>
  <c r="H487" i="7" s="1"/>
  <c r="O240" i="7"/>
  <c r="G487" i="7" s="1"/>
  <c r="AC239" i="7"/>
  <c r="Z239" i="7"/>
  <c r="X239" i="7"/>
  <c r="U239" i="7"/>
  <c r="T239" i="7"/>
  <c r="V239" i="7" s="1"/>
  <c r="P239" i="7"/>
  <c r="AE239" i="7" s="1"/>
  <c r="L239" i="7"/>
  <c r="J239" i="7"/>
  <c r="I239" i="7"/>
  <c r="G239" i="7"/>
  <c r="AC238" i="7"/>
  <c r="Z238" i="7"/>
  <c r="X238" i="7"/>
  <c r="U238" i="7"/>
  <c r="T238" i="7"/>
  <c r="V238" i="7" s="1"/>
  <c r="P238" i="7"/>
  <c r="AE238" i="7" s="1"/>
  <c r="L238" i="7"/>
  <c r="J238" i="7"/>
  <c r="I238" i="7"/>
  <c r="G238" i="7"/>
  <c r="AE237" i="7"/>
  <c r="AF237" i="7" s="1"/>
  <c r="AC237" i="7"/>
  <c r="AB237" i="7"/>
  <c r="Z237" i="7"/>
  <c r="F237" i="7" s="1"/>
  <c r="X237" i="7"/>
  <c r="U237" i="7"/>
  <c r="T237" i="7"/>
  <c r="V237" i="7" s="1"/>
  <c r="P237" i="7"/>
  <c r="J237" i="7"/>
  <c r="I237" i="7"/>
  <c r="G237" i="7"/>
  <c r="AP236" i="7"/>
  <c r="G236" i="7" s="1"/>
  <c r="AO236" i="7"/>
  <c r="AC236" i="7"/>
  <c r="Z236" i="7"/>
  <c r="X236" i="7"/>
  <c r="U236" i="7"/>
  <c r="V236" i="7" s="1"/>
  <c r="T236" i="7"/>
  <c r="P236" i="7"/>
  <c r="AE236" i="7" s="1"/>
  <c r="J236" i="7"/>
  <c r="I236" i="7"/>
  <c r="AC235" i="7"/>
  <c r="AA235" i="7"/>
  <c r="Z235" i="7"/>
  <c r="X235" i="7"/>
  <c r="U235" i="7"/>
  <c r="V235" i="7" s="1"/>
  <c r="T235" i="7"/>
  <c r="P235" i="7"/>
  <c r="AE235" i="7" s="1"/>
  <c r="AF235" i="7" s="1"/>
  <c r="J235" i="7"/>
  <c r="I235" i="7"/>
  <c r="G235" i="7"/>
  <c r="AC234" i="7"/>
  <c r="Z234" i="7"/>
  <c r="F234" i="7" s="1"/>
  <c r="X234" i="7"/>
  <c r="V234" i="7"/>
  <c r="U234" i="7"/>
  <c r="T234" i="7"/>
  <c r="P234" i="7"/>
  <c r="AE234" i="7" s="1"/>
  <c r="AF234" i="7" s="1"/>
  <c r="J234" i="7"/>
  <c r="I234" i="7"/>
  <c r="G234" i="7"/>
  <c r="AC233" i="7"/>
  <c r="Z233" i="7"/>
  <c r="X233" i="7"/>
  <c r="U233" i="7"/>
  <c r="T233" i="7"/>
  <c r="V233" i="7" s="1"/>
  <c r="P233" i="7"/>
  <c r="AE233" i="7" s="1"/>
  <c r="AF233" i="7" s="1"/>
  <c r="J233" i="7"/>
  <c r="I233" i="7"/>
  <c r="G233" i="7"/>
  <c r="AC232" i="7"/>
  <c r="Z232" i="7"/>
  <c r="X232" i="7"/>
  <c r="V232" i="7"/>
  <c r="U232" i="7"/>
  <c r="T232" i="7"/>
  <c r="P232" i="7"/>
  <c r="AE232" i="7" s="1"/>
  <c r="J232" i="7"/>
  <c r="I232" i="7"/>
  <c r="G232" i="7"/>
  <c r="AL231" i="7"/>
  <c r="AC231" i="7"/>
  <c r="Z231" i="7"/>
  <c r="X231" i="7"/>
  <c r="U231" i="7"/>
  <c r="V231" i="7" s="1"/>
  <c r="T231" i="7"/>
  <c r="P231" i="7"/>
  <c r="AE231" i="7" s="1"/>
  <c r="L231" i="7"/>
  <c r="J231" i="7"/>
  <c r="I231" i="7"/>
  <c r="G231" i="7"/>
  <c r="AC230" i="7"/>
  <c r="Z230" i="7"/>
  <c r="X230" i="7"/>
  <c r="U230" i="7"/>
  <c r="V230" i="7" s="1"/>
  <c r="T230" i="7"/>
  <c r="P230" i="7"/>
  <c r="AE230" i="7" s="1"/>
  <c r="AF230" i="7" s="1"/>
  <c r="L230" i="7"/>
  <c r="J230" i="7"/>
  <c r="I230" i="7"/>
  <c r="G230" i="7"/>
  <c r="AL229" i="7"/>
  <c r="AC229" i="7"/>
  <c r="Z229" i="7"/>
  <c r="X229" i="7"/>
  <c r="U229" i="7"/>
  <c r="V229" i="7" s="1"/>
  <c r="T229" i="7"/>
  <c r="P229" i="7"/>
  <c r="AE229" i="7" s="1"/>
  <c r="AF229" i="7" s="1"/>
  <c r="J229" i="7"/>
  <c r="I229" i="7"/>
  <c r="G229" i="7"/>
  <c r="AE228" i="7"/>
  <c r="AC228" i="7"/>
  <c r="Z228" i="7"/>
  <c r="X228" i="7"/>
  <c r="U228" i="7"/>
  <c r="T228" i="7"/>
  <c r="V228" i="7" s="1"/>
  <c r="P228" i="7"/>
  <c r="L228" i="7"/>
  <c r="J228" i="7"/>
  <c r="I228" i="7"/>
  <c r="G228" i="7"/>
  <c r="AL227" i="7"/>
  <c r="AE227" i="7"/>
  <c r="AC227" i="7"/>
  <c r="Z227" i="7"/>
  <c r="X227" i="7"/>
  <c r="U227" i="7"/>
  <c r="T227" i="7"/>
  <c r="V227" i="7" s="1"/>
  <c r="P227" i="7"/>
  <c r="L227" i="7"/>
  <c r="J227" i="7"/>
  <c r="I227" i="7"/>
  <c r="G227" i="7"/>
  <c r="AP226" i="7"/>
  <c r="AO226" i="7"/>
  <c r="AC226" i="7"/>
  <c r="AC240" i="7" s="1"/>
  <c r="AA226" i="7"/>
  <c r="Z226" i="7"/>
  <c r="F226" i="7" s="1"/>
  <c r="X226" i="7"/>
  <c r="U226" i="7"/>
  <c r="T226" i="7"/>
  <c r="V226" i="7" s="1"/>
  <c r="P226" i="7"/>
  <c r="AE226" i="7" s="1"/>
  <c r="L226" i="7"/>
  <c r="J226" i="7"/>
  <c r="I226" i="7"/>
  <c r="G226" i="7"/>
  <c r="AL225" i="7"/>
  <c r="AC225" i="7"/>
  <c r="Z225" i="7"/>
  <c r="F225" i="7" s="1"/>
  <c r="X225" i="7"/>
  <c r="U225" i="7"/>
  <c r="T225" i="7"/>
  <c r="V225" i="7" s="1"/>
  <c r="P225" i="7"/>
  <c r="AE225" i="7" s="1"/>
  <c r="L225" i="7"/>
  <c r="J225" i="7"/>
  <c r="I225" i="7"/>
  <c r="G225" i="7"/>
  <c r="AE224" i="7"/>
  <c r="AF224" i="7" s="1"/>
  <c r="AC224" i="7"/>
  <c r="AA224" i="7"/>
  <c r="AA240" i="7" s="1"/>
  <c r="Z224" i="7"/>
  <c r="F224" i="7" s="1"/>
  <c r="X224" i="7"/>
  <c r="V224" i="7"/>
  <c r="U224" i="7"/>
  <c r="T224" i="7"/>
  <c r="P224" i="7"/>
  <c r="J224" i="7"/>
  <c r="I224" i="7"/>
  <c r="G224" i="7"/>
  <c r="AL223" i="7"/>
  <c r="AC223" i="7"/>
  <c r="Z223" i="7"/>
  <c r="F223" i="7" s="1"/>
  <c r="X223" i="7"/>
  <c r="X240" i="7" s="1"/>
  <c r="U223" i="7"/>
  <c r="T223" i="7"/>
  <c r="V223" i="7" s="1"/>
  <c r="P223" i="7"/>
  <c r="AE223" i="7" s="1"/>
  <c r="L223" i="7"/>
  <c r="J223" i="7"/>
  <c r="I223" i="7"/>
  <c r="G223" i="7"/>
  <c r="AP220" i="7"/>
  <c r="AO220" i="7"/>
  <c r="AA220" i="7"/>
  <c r="Z220" i="7"/>
  <c r="S220" i="7"/>
  <c r="I484" i="7" s="1"/>
  <c r="R220" i="7"/>
  <c r="Q220" i="7"/>
  <c r="H484" i="7" s="1"/>
  <c r="O220" i="7"/>
  <c r="G484" i="7" s="1"/>
  <c r="AC219" i="7"/>
  <c r="Z219" i="7"/>
  <c r="F219" i="7" s="1"/>
  <c r="X219" i="7"/>
  <c r="U219" i="7"/>
  <c r="V219" i="7" s="1"/>
  <c r="T219" i="7"/>
  <c r="P219" i="7"/>
  <c r="AE219" i="7" s="1"/>
  <c r="AF219" i="7" s="1"/>
  <c r="L219" i="7"/>
  <c r="J219" i="7"/>
  <c r="I219" i="7"/>
  <c r="G219" i="7"/>
  <c r="AC218" i="7"/>
  <c r="Z218" i="7"/>
  <c r="F218" i="7" s="1"/>
  <c r="X218" i="7"/>
  <c r="U218" i="7"/>
  <c r="V218" i="7" s="1"/>
  <c r="T218" i="7"/>
  <c r="P218" i="7"/>
  <c r="AE218" i="7" s="1"/>
  <c r="AF218" i="7" s="1"/>
  <c r="L218" i="7"/>
  <c r="J218" i="7"/>
  <c r="I218" i="7"/>
  <c r="G218" i="7"/>
  <c r="AE217" i="7"/>
  <c r="AF217" i="7" s="1"/>
  <c r="AC217" i="7"/>
  <c r="AB217" i="7"/>
  <c r="Z217" i="7"/>
  <c r="X217" i="7"/>
  <c r="V217" i="7"/>
  <c r="U217" i="7"/>
  <c r="T217" i="7"/>
  <c r="P217" i="7"/>
  <c r="J217" i="7"/>
  <c r="I217" i="7"/>
  <c r="G217" i="7"/>
  <c r="AC216" i="7"/>
  <c r="Z216" i="7"/>
  <c r="F216" i="7" s="1"/>
  <c r="X216" i="7"/>
  <c r="V216" i="7"/>
  <c r="U216" i="7"/>
  <c r="T216" i="7"/>
  <c r="P216" i="7"/>
  <c r="AE216" i="7" s="1"/>
  <c r="AF216" i="7" s="1"/>
  <c r="J216" i="7"/>
  <c r="I216" i="7"/>
  <c r="G216" i="7"/>
  <c r="AC215" i="7"/>
  <c r="Z215" i="7"/>
  <c r="F215" i="7" s="1"/>
  <c r="X215" i="7"/>
  <c r="V215" i="7"/>
  <c r="U215" i="7"/>
  <c r="T215" i="7"/>
  <c r="P215" i="7"/>
  <c r="AE215" i="7" s="1"/>
  <c r="AF215" i="7" s="1"/>
  <c r="J215" i="7"/>
  <c r="I215" i="7"/>
  <c r="G215" i="7"/>
  <c r="AC214" i="7"/>
  <c r="Z214" i="7"/>
  <c r="X214" i="7"/>
  <c r="X220" i="7" s="1"/>
  <c r="U214" i="7"/>
  <c r="T214" i="7"/>
  <c r="V214" i="7" s="1"/>
  <c r="P214" i="7"/>
  <c r="AE214" i="7" s="1"/>
  <c r="AF214" i="7" s="1"/>
  <c r="J214" i="7"/>
  <c r="I214" i="7"/>
  <c r="G214" i="7"/>
  <c r="AC213" i="7"/>
  <c r="Z213" i="7"/>
  <c r="X213" i="7"/>
  <c r="V213" i="7"/>
  <c r="U213" i="7"/>
  <c r="T213" i="7"/>
  <c r="P213" i="7"/>
  <c r="AE213" i="7" s="1"/>
  <c r="J213" i="7"/>
  <c r="I213" i="7"/>
  <c r="G213" i="7"/>
  <c r="AC212" i="7"/>
  <c r="Z212" i="7"/>
  <c r="X212" i="7"/>
  <c r="U212" i="7"/>
  <c r="V212" i="7" s="1"/>
  <c r="T212" i="7"/>
  <c r="P212" i="7"/>
  <c r="AE212" i="7" s="1"/>
  <c r="J212" i="7"/>
  <c r="I212" i="7"/>
  <c r="G212" i="7"/>
  <c r="AL211" i="7"/>
  <c r="AC211" i="7"/>
  <c r="Z211" i="7"/>
  <c r="X211" i="7"/>
  <c r="U211" i="7"/>
  <c r="T211" i="7"/>
  <c r="V211" i="7" s="1"/>
  <c r="P211" i="7"/>
  <c r="AE211" i="7" s="1"/>
  <c r="AF211" i="7" s="1"/>
  <c r="L211" i="7"/>
  <c r="J211" i="7"/>
  <c r="I211" i="7"/>
  <c r="G211" i="7"/>
  <c r="AC210" i="7"/>
  <c r="Z210" i="7"/>
  <c r="X210" i="7"/>
  <c r="U210" i="7"/>
  <c r="T210" i="7"/>
  <c r="V210" i="7" s="1"/>
  <c r="P210" i="7"/>
  <c r="AE210" i="7" s="1"/>
  <c r="AF210" i="7" s="1"/>
  <c r="L210" i="7"/>
  <c r="J210" i="7"/>
  <c r="I210" i="7"/>
  <c r="G210" i="7"/>
  <c r="AL209" i="7"/>
  <c r="AC209" i="7"/>
  <c r="AB209" i="7"/>
  <c r="Z209" i="7"/>
  <c r="X209" i="7"/>
  <c r="U209" i="7"/>
  <c r="T209" i="7"/>
  <c r="P209" i="7"/>
  <c r="AE209" i="7" s="1"/>
  <c r="J209" i="7"/>
  <c r="I209" i="7"/>
  <c r="G209" i="7"/>
  <c r="AC208" i="7"/>
  <c r="Z208" i="7"/>
  <c r="X208" i="7"/>
  <c r="U208" i="7"/>
  <c r="T208" i="7"/>
  <c r="V208" i="7" s="1"/>
  <c r="P208" i="7"/>
  <c r="AE208" i="7" s="1"/>
  <c r="AF208" i="7" s="1"/>
  <c r="L208" i="7"/>
  <c r="J208" i="7"/>
  <c r="I208" i="7"/>
  <c r="G208" i="7"/>
  <c r="AL207" i="7"/>
  <c r="AC207" i="7"/>
  <c r="Z207" i="7"/>
  <c r="X207" i="7"/>
  <c r="U207" i="7"/>
  <c r="T207" i="7"/>
  <c r="V207" i="7" s="1"/>
  <c r="P207" i="7"/>
  <c r="AE207" i="7" s="1"/>
  <c r="AF207" i="7" s="1"/>
  <c r="L207" i="7"/>
  <c r="J207" i="7"/>
  <c r="I207" i="7"/>
  <c r="G207" i="7"/>
  <c r="AC206" i="7"/>
  <c r="Z206" i="7"/>
  <c r="X206" i="7"/>
  <c r="U206" i="7"/>
  <c r="T206" i="7"/>
  <c r="V206" i="7" s="1"/>
  <c r="P206" i="7"/>
  <c r="AE206" i="7" s="1"/>
  <c r="L206" i="7"/>
  <c r="J206" i="7"/>
  <c r="I206" i="7"/>
  <c r="G206" i="7"/>
  <c r="AL205" i="7"/>
  <c r="AC205" i="7"/>
  <c r="Z205" i="7"/>
  <c r="X205" i="7"/>
  <c r="U205" i="7"/>
  <c r="T205" i="7"/>
  <c r="V205" i="7" s="1"/>
  <c r="P205" i="7"/>
  <c r="AE205" i="7" s="1"/>
  <c r="L205" i="7"/>
  <c r="J205" i="7"/>
  <c r="I205" i="7"/>
  <c r="G205" i="7"/>
  <c r="AC204" i="7"/>
  <c r="Z204" i="7"/>
  <c r="X204" i="7"/>
  <c r="U204" i="7"/>
  <c r="T204" i="7"/>
  <c r="V204" i="7" s="1"/>
  <c r="P204" i="7"/>
  <c r="AE204" i="7" s="1"/>
  <c r="J204" i="7"/>
  <c r="I204" i="7"/>
  <c r="G204" i="7"/>
  <c r="AL203" i="7"/>
  <c r="AC203" i="7"/>
  <c r="AC220" i="7" s="1"/>
  <c r="Z203" i="7"/>
  <c r="X203" i="7"/>
  <c r="U203" i="7"/>
  <c r="T203" i="7"/>
  <c r="V203" i="7" s="1"/>
  <c r="P203" i="7"/>
  <c r="L203" i="7"/>
  <c r="J203" i="7"/>
  <c r="I203" i="7"/>
  <c r="G203" i="7"/>
  <c r="AP200" i="7"/>
  <c r="AO200" i="7"/>
  <c r="S200" i="7"/>
  <c r="I483" i="7" s="1"/>
  <c r="R200" i="7"/>
  <c r="Q200" i="7"/>
  <c r="H483" i="7" s="1"/>
  <c r="O200" i="7"/>
  <c r="G483" i="7" s="1"/>
  <c r="AC199" i="7"/>
  <c r="Z199" i="7"/>
  <c r="X199" i="7"/>
  <c r="U199" i="7"/>
  <c r="T199" i="7"/>
  <c r="P199" i="7"/>
  <c r="AE199" i="7" s="1"/>
  <c r="L199" i="7"/>
  <c r="J199" i="7"/>
  <c r="I199" i="7"/>
  <c r="G199" i="7"/>
  <c r="AC198" i="7"/>
  <c r="Z198" i="7"/>
  <c r="X198" i="7"/>
  <c r="U198" i="7"/>
  <c r="T198" i="7"/>
  <c r="V198" i="7" s="1"/>
  <c r="P198" i="7"/>
  <c r="AE198" i="7" s="1"/>
  <c r="L198" i="7"/>
  <c r="J198" i="7"/>
  <c r="I198" i="7"/>
  <c r="G198" i="7"/>
  <c r="AC197" i="7"/>
  <c r="AB197" i="7"/>
  <c r="Z197" i="7"/>
  <c r="X197" i="7"/>
  <c r="V197" i="7"/>
  <c r="U197" i="7"/>
  <c r="T197" i="7"/>
  <c r="P197" i="7"/>
  <c r="AE197" i="7" s="1"/>
  <c r="J197" i="7"/>
  <c r="I197" i="7"/>
  <c r="G197" i="7"/>
  <c r="AC196" i="7"/>
  <c r="Z196" i="7"/>
  <c r="X196" i="7"/>
  <c r="U196" i="7"/>
  <c r="V196" i="7" s="1"/>
  <c r="T196" i="7"/>
  <c r="P196" i="7"/>
  <c r="AE196" i="7" s="1"/>
  <c r="AF196" i="7" s="1"/>
  <c r="J196" i="7"/>
  <c r="I196" i="7"/>
  <c r="G196" i="7"/>
  <c r="AC195" i="7"/>
  <c r="AA195" i="7"/>
  <c r="AA200" i="7" s="1"/>
  <c r="Z195" i="7"/>
  <c r="F195" i="7" s="1"/>
  <c r="X195" i="7"/>
  <c r="U195" i="7"/>
  <c r="V195" i="7" s="1"/>
  <c r="T195" i="7"/>
  <c r="P195" i="7"/>
  <c r="AE195" i="7" s="1"/>
  <c r="AF195" i="7" s="1"/>
  <c r="J195" i="7"/>
  <c r="I195" i="7"/>
  <c r="G195" i="7"/>
  <c r="AC194" i="7"/>
  <c r="Z194" i="7"/>
  <c r="X194" i="7"/>
  <c r="U194" i="7"/>
  <c r="T194" i="7"/>
  <c r="V194" i="7" s="1"/>
  <c r="P194" i="7"/>
  <c r="AE194" i="7" s="1"/>
  <c r="J194" i="7"/>
  <c r="I194" i="7"/>
  <c r="G194" i="7"/>
  <c r="AC193" i="7"/>
  <c r="Z193" i="7"/>
  <c r="X193" i="7"/>
  <c r="U193" i="7"/>
  <c r="T193" i="7"/>
  <c r="V193" i="7" s="1"/>
  <c r="P193" i="7"/>
  <c r="AE193" i="7" s="1"/>
  <c r="AF193" i="7" s="1"/>
  <c r="J193" i="7"/>
  <c r="I193" i="7"/>
  <c r="G193" i="7"/>
  <c r="AE192" i="7"/>
  <c r="AC192" i="7"/>
  <c r="Z192" i="7"/>
  <c r="X192" i="7"/>
  <c r="U192" i="7"/>
  <c r="T192" i="7"/>
  <c r="V192" i="7" s="1"/>
  <c r="P192" i="7"/>
  <c r="J192" i="7"/>
  <c r="I192" i="7"/>
  <c r="G192" i="7"/>
  <c r="AL191" i="7"/>
  <c r="AE191" i="7"/>
  <c r="AF191" i="7" s="1"/>
  <c r="AG191" i="7" s="1"/>
  <c r="AC191" i="7"/>
  <c r="Z191" i="7"/>
  <c r="X191" i="7"/>
  <c r="U191" i="7"/>
  <c r="T191" i="7"/>
  <c r="V191" i="7" s="1"/>
  <c r="P191" i="7"/>
  <c r="L191" i="7"/>
  <c r="J191" i="7"/>
  <c r="I191" i="7"/>
  <c r="G191" i="7"/>
  <c r="AE190" i="7"/>
  <c r="AF190" i="7" s="1"/>
  <c r="AG190" i="7" s="1"/>
  <c r="AC190" i="7"/>
  <c r="Z190" i="7"/>
  <c r="X190" i="7"/>
  <c r="U190" i="7"/>
  <c r="T190" i="7"/>
  <c r="V190" i="7" s="1"/>
  <c r="P190" i="7"/>
  <c r="L190" i="7"/>
  <c r="J190" i="7"/>
  <c r="I190" i="7"/>
  <c r="G190" i="7"/>
  <c r="AL189" i="7"/>
  <c r="AE189" i="7"/>
  <c r="AC189" i="7"/>
  <c r="AB189" i="7"/>
  <c r="AB200" i="7" s="1"/>
  <c r="P483" i="7" s="1"/>
  <c r="Z189" i="7"/>
  <c r="X189" i="7"/>
  <c r="U189" i="7"/>
  <c r="T189" i="7"/>
  <c r="V189" i="7" s="1"/>
  <c r="P189" i="7"/>
  <c r="J189" i="7"/>
  <c r="I189" i="7"/>
  <c r="G189" i="7"/>
  <c r="AE188" i="7"/>
  <c r="AC188" i="7"/>
  <c r="Z188" i="7"/>
  <c r="X188" i="7"/>
  <c r="U188" i="7"/>
  <c r="T188" i="7"/>
  <c r="V188" i="7" s="1"/>
  <c r="P188" i="7"/>
  <c r="L188" i="7"/>
  <c r="J188" i="7"/>
  <c r="I188" i="7"/>
  <c r="G188" i="7"/>
  <c r="AL187" i="7"/>
  <c r="AE187" i="7"/>
  <c r="AC187" i="7"/>
  <c r="Z187" i="7"/>
  <c r="X187" i="7"/>
  <c r="U187" i="7"/>
  <c r="T187" i="7"/>
  <c r="V187" i="7" s="1"/>
  <c r="P187" i="7"/>
  <c r="L187" i="7"/>
  <c r="J187" i="7"/>
  <c r="I187" i="7"/>
  <c r="G187" i="7"/>
  <c r="AE186" i="7"/>
  <c r="AC186" i="7"/>
  <c r="Z186" i="7"/>
  <c r="X186" i="7"/>
  <c r="U186" i="7"/>
  <c r="T186" i="7"/>
  <c r="V186" i="7" s="1"/>
  <c r="P186" i="7"/>
  <c r="L186" i="7"/>
  <c r="J186" i="7"/>
  <c r="I186" i="7"/>
  <c r="G186" i="7"/>
  <c r="AL185" i="7"/>
  <c r="AE185" i="7"/>
  <c r="AC185" i="7"/>
  <c r="Z185" i="7"/>
  <c r="X185" i="7"/>
  <c r="U185" i="7"/>
  <c r="T185" i="7"/>
  <c r="V185" i="7" s="1"/>
  <c r="P185" i="7"/>
  <c r="L185" i="7"/>
  <c r="J185" i="7"/>
  <c r="I185" i="7"/>
  <c r="G185" i="7"/>
  <c r="AE184" i="7"/>
  <c r="AC184" i="7"/>
  <c r="Z184" i="7"/>
  <c r="X184" i="7"/>
  <c r="X200" i="7" s="1"/>
  <c r="U184" i="7"/>
  <c r="T184" i="7"/>
  <c r="V184" i="7" s="1"/>
  <c r="P184" i="7"/>
  <c r="J184" i="7"/>
  <c r="I184" i="7"/>
  <c r="G184" i="7"/>
  <c r="AL183" i="7"/>
  <c r="AF183" i="7"/>
  <c r="AE183" i="7"/>
  <c r="AC183" i="7"/>
  <c r="AC200" i="7" s="1"/>
  <c r="Z183" i="7"/>
  <c r="Z200" i="7" s="1"/>
  <c r="X183" i="7"/>
  <c r="V183" i="7"/>
  <c r="U183" i="7"/>
  <c r="T183" i="7"/>
  <c r="P183" i="7"/>
  <c r="L183" i="7"/>
  <c r="J183" i="7"/>
  <c r="I183" i="7"/>
  <c r="G183" i="7"/>
  <c r="F183" i="7"/>
  <c r="AP180" i="7"/>
  <c r="AO180" i="7"/>
  <c r="AB180" i="7"/>
  <c r="P482" i="7" s="1"/>
  <c r="S180" i="7"/>
  <c r="I482" i="7" s="1"/>
  <c r="R180" i="7"/>
  <c r="Q180" i="7"/>
  <c r="H482" i="7" s="1"/>
  <c r="O180" i="7"/>
  <c r="G482" i="7" s="1"/>
  <c r="AE179" i="7"/>
  <c r="AC179" i="7"/>
  <c r="Z179" i="7"/>
  <c r="X179" i="7"/>
  <c r="U179" i="7"/>
  <c r="T179" i="7"/>
  <c r="V179" i="7" s="1"/>
  <c r="P179" i="7"/>
  <c r="L179" i="7"/>
  <c r="J179" i="7"/>
  <c r="I179" i="7"/>
  <c r="G179" i="7"/>
  <c r="AE178" i="7"/>
  <c r="AC178" i="7"/>
  <c r="Z178" i="7"/>
  <c r="X178" i="7"/>
  <c r="U178" i="7"/>
  <c r="T178" i="7"/>
  <c r="V178" i="7" s="1"/>
  <c r="P178" i="7"/>
  <c r="L178" i="7"/>
  <c r="J178" i="7"/>
  <c r="I178" i="7"/>
  <c r="G178" i="7"/>
  <c r="AC177" i="7"/>
  <c r="AB177" i="7"/>
  <c r="Z177" i="7"/>
  <c r="X177" i="7"/>
  <c r="U177" i="7"/>
  <c r="T177" i="7"/>
  <c r="V177" i="7" s="1"/>
  <c r="P177" i="7"/>
  <c r="J177" i="7"/>
  <c r="I177" i="7"/>
  <c r="G177" i="7"/>
  <c r="AC176" i="7"/>
  <c r="Z176" i="7"/>
  <c r="X176" i="7"/>
  <c r="U176" i="7"/>
  <c r="T176" i="7"/>
  <c r="V176" i="7" s="1"/>
  <c r="P176" i="7"/>
  <c r="AE176" i="7" s="1"/>
  <c r="AF176" i="7" s="1"/>
  <c r="J176" i="7"/>
  <c r="I176" i="7"/>
  <c r="G176" i="7"/>
  <c r="AE175" i="7"/>
  <c r="AF175" i="7" s="1"/>
  <c r="AC175" i="7"/>
  <c r="AA175" i="7"/>
  <c r="AA180" i="7" s="1"/>
  <c r="X175" i="7"/>
  <c r="U175" i="7"/>
  <c r="T175" i="7"/>
  <c r="V175" i="7" s="1"/>
  <c r="P175" i="7"/>
  <c r="J175" i="7"/>
  <c r="I175" i="7"/>
  <c r="G175" i="7"/>
  <c r="AE174" i="7"/>
  <c r="AC174" i="7"/>
  <c r="Z174" i="7"/>
  <c r="X174" i="7"/>
  <c r="U174" i="7"/>
  <c r="V174" i="7" s="1"/>
  <c r="T174" i="7"/>
  <c r="P174" i="7"/>
  <c r="J174" i="7"/>
  <c r="I174" i="7"/>
  <c r="G174" i="7"/>
  <c r="AF173" i="7"/>
  <c r="AE173" i="7"/>
  <c r="AC173" i="7"/>
  <c r="Z173" i="7"/>
  <c r="F173" i="7" s="1"/>
  <c r="X173" i="7"/>
  <c r="V173" i="7"/>
  <c r="U173" i="7"/>
  <c r="T173" i="7"/>
  <c r="P173" i="7"/>
  <c r="J173" i="7"/>
  <c r="I173" i="7"/>
  <c r="G173" i="7"/>
  <c r="AE172" i="7"/>
  <c r="AF172" i="7" s="1"/>
  <c r="AC172" i="7"/>
  <c r="Z172" i="7"/>
  <c r="X172" i="7"/>
  <c r="U172" i="7"/>
  <c r="T172" i="7"/>
  <c r="V172" i="7" s="1"/>
  <c r="F172" i="7" s="1"/>
  <c r="P172" i="7"/>
  <c r="J172" i="7"/>
  <c r="I172" i="7"/>
  <c r="G172" i="7"/>
  <c r="AL171" i="7"/>
  <c r="AE171" i="7"/>
  <c r="AC171" i="7"/>
  <c r="Z171" i="7"/>
  <c r="X171" i="7"/>
  <c r="U171" i="7"/>
  <c r="T171" i="7"/>
  <c r="V171" i="7" s="1"/>
  <c r="P171" i="7"/>
  <c r="L171" i="7"/>
  <c r="J171" i="7"/>
  <c r="I171" i="7"/>
  <c r="G171" i="7"/>
  <c r="F171" i="7"/>
  <c r="AE170" i="7"/>
  <c r="AC170" i="7"/>
  <c r="Z170" i="7"/>
  <c r="X170" i="7"/>
  <c r="U170" i="7"/>
  <c r="T170" i="7"/>
  <c r="V170" i="7" s="1"/>
  <c r="P170" i="7"/>
  <c r="L170" i="7"/>
  <c r="J170" i="7"/>
  <c r="I170" i="7"/>
  <c r="G170" i="7"/>
  <c r="F170" i="7"/>
  <c r="AL169" i="7"/>
  <c r="AE169" i="7"/>
  <c r="AC169" i="7"/>
  <c r="AB169" i="7"/>
  <c r="Z169" i="7"/>
  <c r="X169" i="7"/>
  <c r="U169" i="7"/>
  <c r="T169" i="7"/>
  <c r="V169" i="7" s="1"/>
  <c r="P169" i="7"/>
  <c r="J169" i="7"/>
  <c r="I169" i="7"/>
  <c r="G169" i="7"/>
  <c r="F169" i="7"/>
  <c r="AC168" i="7"/>
  <c r="Z168" i="7"/>
  <c r="X168" i="7"/>
  <c r="U168" i="7"/>
  <c r="T168" i="7"/>
  <c r="V168" i="7" s="1"/>
  <c r="P168" i="7"/>
  <c r="AE168" i="7" s="1"/>
  <c r="L168" i="7"/>
  <c r="J168" i="7"/>
  <c r="I168" i="7"/>
  <c r="G168" i="7"/>
  <c r="F168" i="7"/>
  <c r="AL167" i="7"/>
  <c r="AC167" i="7"/>
  <c r="Z167" i="7"/>
  <c r="X167" i="7"/>
  <c r="U167" i="7"/>
  <c r="T167" i="7"/>
  <c r="V167" i="7" s="1"/>
  <c r="P167" i="7"/>
  <c r="AE167" i="7" s="1"/>
  <c r="L167" i="7"/>
  <c r="J167" i="7"/>
  <c r="I167" i="7"/>
  <c r="G167" i="7"/>
  <c r="F167" i="7"/>
  <c r="AC166" i="7"/>
  <c r="Z166" i="7"/>
  <c r="X166" i="7"/>
  <c r="U166" i="7"/>
  <c r="T166" i="7"/>
  <c r="V166" i="7" s="1"/>
  <c r="F166" i="7" s="1"/>
  <c r="P166" i="7"/>
  <c r="AE166" i="7" s="1"/>
  <c r="AF166" i="7" s="1"/>
  <c r="L166" i="7"/>
  <c r="J166" i="7"/>
  <c r="I166" i="7"/>
  <c r="G166" i="7"/>
  <c r="AL165" i="7"/>
  <c r="AC165" i="7"/>
  <c r="Z165" i="7"/>
  <c r="X165" i="7"/>
  <c r="U165" i="7"/>
  <c r="T165" i="7"/>
  <c r="V165" i="7" s="1"/>
  <c r="F165" i="7" s="1"/>
  <c r="P165" i="7"/>
  <c r="AE165" i="7" s="1"/>
  <c r="AF165" i="7" s="1"/>
  <c r="L165" i="7"/>
  <c r="J165" i="7"/>
  <c r="I165" i="7"/>
  <c r="G165" i="7"/>
  <c r="AC164" i="7"/>
  <c r="AC180" i="7" s="1"/>
  <c r="Z164" i="7"/>
  <c r="X164" i="7"/>
  <c r="U164" i="7"/>
  <c r="T164" i="7"/>
  <c r="T180" i="7" s="1"/>
  <c r="J482" i="7" s="1"/>
  <c r="P164" i="7"/>
  <c r="AE164" i="7" s="1"/>
  <c r="J164" i="7"/>
  <c r="I164" i="7"/>
  <c r="G164" i="7"/>
  <c r="AL163" i="7"/>
  <c r="AE163" i="7"/>
  <c r="AF163" i="7" s="1"/>
  <c r="AC163" i="7"/>
  <c r="Z163" i="7"/>
  <c r="X163" i="7"/>
  <c r="X180" i="7" s="1"/>
  <c r="V163" i="7"/>
  <c r="U163" i="7"/>
  <c r="U180" i="7" s="1"/>
  <c r="K482" i="7" s="1"/>
  <c r="T163" i="7"/>
  <c r="P163" i="7"/>
  <c r="L163" i="7"/>
  <c r="J163" i="7"/>
  <c r="I163" i="7"/>
  <c r="G163" i="7"/>
  <c r="AP160" i="7"/>
  <c r="AO160" i="7"/>
  <c r="AB160" i="7"/>
  <c r="P481" i="7" s="1"/>
  <c r="S160" i="7"/>
  <c r="I481" i="7" s="1"/>
  <c r="R160" i="7"/>
  <c r="Q160" i="7"/>
  <c r="H481" i="7" s="1"/>
  <c r="O160" i="7"/>
  <c r="G481" i="7" s="1"/>
  <c r="AE159" i="7"/>
  <c r="AC159" i="7"/>
  <c r="Z159" i="7"/>
  <c r="X159" i="7"/>
  <c r="U159" i="7"/>
  <c r="T159" i="7"/>
  <c r="V159" i="7" s="1"/>
  <c r="P159" i="7"/>
  <c r="L159" i="7"/>
  <c r="J159" i="7"/>
  <c r="I159" i="7"/>
  <c r="G159" i="7"/>
  <c r="AE158" i="7"/>
  <c r="AC158" i="7"/>
  <c r="Z158" i="7"/>
  <c r="X158" i="7"/>
  <c r="U158" i="7"/>
  <c r="T158" i="7"/>
  <c r="V158" i="7" s="1"/>
  <c r="P158" i="7"/>
  <c r="L158" i="7"/>
  <c r="J158" i="7"/>
  <c r="I158" i="7"/>
  <c r="G158" i="7"/>
  <c r="AE157" i="7"/>
  <c r="AF157" i="7" s="1"/>
  <c r="AG157" i="7" s="1"/>
  <c r="AC157" i="7"/>
  <c r="AB157" i="7"/>
  <c r="Z157" i="7"/>
  <c r="F157" i="7" s="1"/>
  <c r="X157" i="7"/>
  <c r="V157" i="7"/>
  <c r="U157" i="7"/>
  <c r="T157" i="7"/>
  <c r="P157" i="7"/>
  <c r="J157" i="7"/>
  <c r="I157" i="7"/>
  <c r="G157" i="7"/>
  <c r="AE156" i="7"/>
  <c r="AF156" i="7" s="1"/>
  <c r="AC156" i="7"/>
  <c r="Z156" i="7"/>
  <c r="F156" i="7" s="1"/>
  <c r="X156" i="7"/>
  <c r="U156" i="7"/>
  <c r="T156" i="7"/>
  <c r="V156" i="7" s="1"/>
  <c r="P156" i="7"/>
  <c r="J156" i="7"/>
  <c r="I156" i="7"/>
  <c r="G156" i="7"/>
  <c r="AC155" i="7"/>
  <c r="AA155" i="7"/>
  <c r="AA160" i="7" s="1"/>
  <c r="Z155" i="7"/>
  <c r="F155" i="7" s="1"/>
  <c r="X155" i="7"/>
  <c r="U155" i="7"/>
  <c r="T155" i="7"/>
  <c r="V155" i="7" s="1"/>
  <c r="P155" i="7"/>
  <c r="AE155" i="7" s="1"/>
  <c r="AF155" i="7" s="1"/>
  <c r="J155" i="7"/>
  <c r="I155" i="7"/>
  <c r="G155" i="7"/>
  <c r="AC154" i="7"/>
  <c r="Z154" i="7"/>
  <c r="X154" i="7"/>
  <c r="V154" i="7"/>
  <c r="U154" i="7"/>
  <c r="T154" i="7"/>
  <c r="P154" i="7"/>
  <c r="AE154" i="7" s="1"/>
  <c r="J154" i="7"/>
  <c r="I154" i="7"/>
  <c r="G154" i="7"/>
  <c r="AC153" i="7"/>
  <c r="Z153" i="7"/>
  <c r="F153" i="7" s="1"/>
  <c r="X153" i="7"/>
  <c r="V153" i="7"/>
  <c r="U153" i="7"/>
  <c r="T153" i="7"/>
  <c r="P153" i="7"/>
  <c r="AE153" i="7" s="1"/>
  <c r="J153" i="7"/>
  <c r="I153" i="7"/>
  <c r="G153" i="7"/>
  <c r="AC152" i="7"/>
  <c r="Z152" i="7"/>
  <c r="X152" i="7"/>
  <c r="U152" i="7"/>
  <c r="T152" i="7"/>
  <c r="V152" i="7" s="1"/>
  <c r="P152" i="7"/>
  <c r="AE152" i="7" s="1"/>
  <c r="J152" i="7"/>
  <c r="I152" i="7"/>
  <c r="G152" i="7"/>
  <c r="AL151" i="7"/>
  <c r="AC151" i="7"/>
  <c r="Z151" i="7"/>
  <c r="X151" i="7"/>
  <c r="U151" i="7"/>
  <c r="T151" i="7"/>
  <c r="P151" i="7"/>
  <c r="AE151" i="7" s="1"/>
  <c r="L151" i="7"/>
  <c r="J151" i="7"/>
  <c r="I151" i="7"/>
  <c r="G151" i="7"/>
  <c r="AC150" i="7"/>
  <c r="Z150" i="7"/>
  <c r="X150" i="7"/>
  <c r="U150" i="7"/>
  <c r="T150" i="7"/>
  <c r="V150" i="7" s="1"/>
  <c r="P150" i="7"/>
  <c r="AE150" i="7" s="1"/>
  <c r="AF150" i="7" s="1"/>
  <c r="L150" i="7"/>
  <c r="J150" i="7"/>
  <c r="I150" i="7"/>
  <c r="G150" i="7"/>
  <c r="AL149" i="7"/>
  <c r="AE149" i="7"/>
  <c r="AC149" i="7"/>
  <c r="AB149" i="7"/>
  <c r="Z149" i="7"/>
  <c r="X149" i="7"/>
  <c r="U149" i="7"/>
  <c r="T149" i="7"/>
  <c r="V149" i="7" s="1"/>
  <c r="P149" i="7"/>
  <c r="J149" i="7"/>
  <c r="I149" i="7"/>
  <c r="G149" i="7"/>
  <c r="AC148" i="7"/>
  <c r="Z148" i="7"/>
  <c r="X148" i="7"/>
  <c r="U148" i="7"/>
  <c r="T148" i="7"/>
  <c r="V148" i="7" s="1"/>
  <c r="P148" i="7"/>
  <c r="AE148" i="7" s="1"/>
  <c r="L148" i="7"/>
  <c r="J148" i="7"/>
  <c r="I148" i="7"/>
  <c r="G148" i="7"/>
  <c r="AL147" i="7"/>
  <c r="AC147" i="7"/>
  <c r="Z147" i="7"/>
  <c r="X147" i="7"/>
  <c r="U147" i="7"/>
  <c r="T147" i="7"/>
  <c r="P147" i="7"/>
  <c r="AE147" i="7" s="1"/>
  <c r="L147" i="7"/>
  <c r="J147" i="7"/>
  <c r="I147" i="7"/>
  <c r="G147" i="7"/>
  <c r="AC146" i="7"/>
  <c r="Z146" i="7"/>
  <c r="X146" i="7"/>
  <c r="U146" i="7"/>
  <c r="T146" i="7"/>
  <c r="V146" i="7" s="1"/>
  <c r="P146" i="7"/>
  <c r="AE146" i="7" s="1"/>
  <c r="AF146" i="7" s="1"/>
  <c r="L146" i="7"/>
  <c r="J146" i="7"/>
  <c r="I146" i="7"/>
  <c r="G146" i="7"/>
  <c r="AL145" i="7"/>
  <c r="AC145" i="7"/>
  <c r="Z145" i="7"/>
  <c r="X145" i="7"/>
  <c r="U145" i="7"/>
  <c r="T145" i="7"/>
  <c r="P145" i="7"/>
  <c r="AE145" i="7" s="1"/>
  <c r="L145" i="7"/>
  <c r="J145" i="7"/>
  <c r="I145" i="7"/>
  <c r="G145" i="7"/>
  <c r="AC144" i="7"/>
  <c r="Z144" i="7"/>
  <c r="X144" i="7"/>
  <c r="U144" i="7"/>
  <c r="T144" i="7"/>
  <c r="V144" i="7" s="1"/>
  <c r="P144" i="7"/>
  <c r="AE144" i="7" s="1"/>
  <c r="AF144" i="7" s="1"/>
  <c r="J144" i="7"/>
  <c r="I144" i="7"/>
  <c r="G144" i="7"/>
  <c r="AL143" i="7"/>
  <c r="AC143" i="7"/>
  <c r="AC160" i="7" s="1"/>
  <c r="Z143" i="7"/>
  <c r="X143" i="7"/>
  <c r="U143" i="7"/>
  <c r="T143" i="7"/>
  <c r="T160" i="7" s="1"/>
  <c r="J481" i="7" s="1"/>
  <c r="P143" i="7"/>
  <c r="L143" i="7"/>
  <c r="J143" i="7"/>
  <c r="I143" i="7"/>
  <c r="G143" i="7"/>
  <c r="AP140" i="7"/>
  <c r="AO140" i="7"/>
  <c r="S140" i="7"/>
  <c r="I480" i="7" s="1"/>
  <c r="R140" i="7"/>
  <c r="Q140" i="7"/>
  <c r="H480" i="7" s="1"/>
  <c r="O140" i="7"/>
  <c r="G480" i="7" s="1"/>
  <c r="AC139" i="7"/>
  <c r="Z139" i="7"/>
  <c r="X139" i="7"/>
  <c r="U139" i="7"/>
  <c r="T139" i="7"/>
  <c r="V139" i="7" s="1"/>
  <c r="P139" i="7"/>
  <c r="AE139" i="7" s="1"/>
  <c r="L139" i="7"/>
  <c r="J139" i="7"/>
  <c r="I139" i="7"/>
  <c r="G139" i="7"/>
  <c r="AC138" i="7"/>
  <c r="Z138" i="7"/>
  <c r="X138" i="7"/>
  <c r="U138" i="7"/>
  <c r="T138" i="7"/>
  <c r="V138" i="7" s="1"/>
  <c r="P138" i="7"/>
  <c r="AE138" i="7" s="1"/>
  <c r="L138" i="7"/>
  <c r="J138" i="7"/>
  <c r="I138" i="7"/>
  <c r="G138" i="7"/>
  <c r="AC137" i="7"/>
  <c r="AB137" i="7"/>
  <c r="Z137" i="7"/>
  <c r="X137" i="7"/>
  <c r="U137" i="7"/>
  <c r="V137" i="7" s="1"/>
  <c r="T137" i="7"/>
  <c r="P137" i="7"/>
  <c r="AE137" i="7" s="1"/>
  <c r="J137" i="7"/>
  <c r="I137" i="7"/>
  <c r="G137" i="7"/>
  <c r="AC136" i="7"/>
  <c r="Z136" i="7"/>
  <c r="X136" i="7"/>
  <c r="U136" i="7"/>
  <c r="T136" i="7"/>
  <c r="V136" i="7" s="1"/>
  <c r="P136" i="7"/>
  <c r="AE136" i="7" s="1"/>
  <c r="J136" i="7"/>
  <c r="I136" i="7"/>
  <c r="G136" i="7"/>
  <c r="AE135" i="7"/>
  <c r="AC135" i="7"/>
  <c r="AA135" i="7"/>
  <c r="AA140" i="7" s="1"/>
  <c r="X135" i="7"/>
  <c r="V135" i="7"/>
  <c r="U135" i="7"/>
  <c r="T135" i="7"/>
  <c r="P135" i="7"/>
  <c r="J135" i="7"/>
  <c r="I135" i="7"/>
  <c r="G135" i="7"/>
  <c r="AC134" i="7"/>
  <c r="Z134" i="7"/>
  <c r="X134" i="7"/>
  <c r="U134" i="7"/>
  <c r="T134" i="7"/>
  <c r="V134" i="7" s="1"/>
  <c r="P134" i="7"/>
  <c r="AE134" i="7" s="1"/>
  <c r="J134" i="7"/>
  <c r="I134" i="7"/>
  <c r="G134" i="7"/>
  <c r="AC133" i="7"/>
  <c r="Z133" i="7"/>
  <c r="X133" i="7"/>
  <c r="V133" i="7"/>
  <c r="U133" i="7"/>
  <c r="T133" i="7"/>
  <c r="P133" i="7"/>
  <c r="AE133" i="7" s="1"/>
  <c r="J133" i="7"/>
  <c r="I133" i="7"/>
  <c r="G133" i="7"/>
  <c r="AC132" i="7"/>
  <c r="Z132" i="7"/>
  <c r="X132" i="7"/>
  <c r="U132" i="7"/>
  <c r="T132" i="7"/>
  <c r="V132" i="7" s="1"/>
  <c r="F132" i="7" s="1"/>
  <c r="P132" i="7"/>
  <c r="AE132" i="7" s="1"/>
  <c r="AF132" i="7" s="1"/>
  <c r="AG132" i="7" s="1"/>
  <c r="J132" i="7"/>
  <c r="I132" i="7"/>
  <c r="G132" i="7"/>
  <c r="AL131" i="7"/>
  <c r="AC131" i="7"/>
  <c r="Z131" i="7"/>
  <c r="X131" i="7"/>
  <c r="V131" i="7"/>
  <c r="F131" i="7" s="1"/>
  <c r="U131" i="7"/>
  <c r="T131" i="7"/>
  <c r="P131" i="7"/>
  <c r="AE131" i="7" s="1"/>
  <c r="AF131" i="7" s="1"/>
  <c r="L131" i="7"/>
  <c r="J131" i="7"/>
  <c r="I131" i="7"/>
  <c r="G131" i="7"/>
  <c r="AC130" i="7"/>
  <c r="Z130" i="7"/>
  <c r="X130" i="7"/>
  <c r="V130" i="7"/>
  <c r="U130" i="7"/>
  <c r="T130" i="7"/>
  <c r="P130" i="7"/>
  <c r="AE130" i="7" s="1"/>
  <c r="AF130" i="7" s="1"/>
  <c r="L130" i="7"/>
  <c r="J130" i="7"/>
  <c r="I130" i="7"/>
  <c r="G130" i="7"/>
  <c r="AL129" i="7"/>
  <c r="AC129" i="7"/>
  <c r="AB129" i="7"/>
  <c r="AB140" i="7" s="1"/>
  <c r="P480" i="7" s="1"/>
  <c r="Z129" i="7"/>
  <c r="X129" i="7"/>
  <c r="U129" i="7"/>
  <c r="T129" i="7"/>
  <c r="P129" i="7"/>
  <c r="AE129" i="7" s="1"/>
  <c r="J129" i="7"/>
  <c r="I129" i="7"/>
  <c r="G129" i="7"/>
  <c r="AC128" i="7"/>
  <c r="Z128" i="7"/>
  <c r="X128" i="7"/>
  <c r="U128" i="7"/>
  <c r="T128" i="7"/>
  <c r="V128" i="7" s="1"/>
  <c r="P128" i="7"/>
  <c r="AE128" i="7" s="1"/>
  <c r="L128" i="7"/>
  <c r="J128" i="7"/>
  <c r="I128" i="7"/>
  <c r="G128" i="7"/>
  <c r="AL127" i="7"/>
  <c r="AF127" i="7"/>
  <c r="AG127" i="7" s="1"/>
  <c r="AC127" i="7"/>
  <c r="Z127" i="7"/>
  <c r="X127" i="7"/>
  <c r="V127" i="7"/>
  <c r="U127" i="7"/>
  <c r="T127" i="7"/>
  <c r="P127" i="7"/>
  <c r="AE127" i="7" s="1"/>
  <c r="L127" i="7"/>
  <c r="J127" i="7"/>
  <c r="I127" i="7"/>
  <c r="G127" i="7"/>
  <c r="F127" i="7"/>
  <c r="AC126" i="7"/>
  <c r="Z126" i="7"/>
  <c r="X126" i="7"/>
  <c r="U126" i="7"/>
  <c r="T126" i="7"/>
  <c r="V126" i="7" s="1"/>
  <c r="P126" i="7"/>
  <c r="AE126" i="7" s="1"/>
  <c r="AF126" i="7" s="1"/>
  <c r="L126" i="7"/>
  <c r="J126" i="7"/>
  <c r="I126" i="7"/>
  <c r="G126" i="7"/>
  <c r="AL125" i="7"/>
  <c r="AF125" i="7"/>
  <c r="AG125" i="7" s="1"/>
  <c r="AC125" i="7"/>
  <c r="Z125" i="7"/>
  <c r="X125" i="7"/>
  <c r="V125" i="7"/>
  <c r="U125" i="7"/>
  <c r="T125" i="7"/>
  <c r="P125" i="7"/>
  <c r="AE125" i="7" s="1"/>
  <c r="L125" i="7"/>
  <c r="J125" i="7"/>
  <c r="I125" i="7"/>
  <c r="G125" i="7"/>
  <c r="F125" i="7"/>
  <c r="AC124" i="7"/>
  <c r="Z124" i="7"/>
  <c r="X124" i="7"/>
  <c r="U124" i="7"/>
  <c r="T124" i="7"/>
  <c r="T140" i="7" s="1"/>
  <c r="J480" i="7" s="1"/>
  <c r="P124" i="7"/>
  <c r="AE124" i="7" s="1"/>
  <c r="J124" i="7"/>
  <c r="I124" i="7"/>
  <c r="G124" i="7"/>
  <c r="AL123" i="7"/>
  <c r="AE123" i="7"/>
  <c r="AE140" i="7" s="1"/>
  <c r="AC123" i="7"/>
  <c r="Z123" i="7"/>
  <c r="X123" i="7"/>
  <c r="U123" i="7"/>
  <c r="V123" i="7" s="1"/>
  <c r="T123" i="7"/>
  <c r="P123" i="7"/>
  <c r="L123" i="7"/>
  <c r="J123" i="7"/>
  <c r="I123" i="7"/>
  <c r="G123" i="7"/>
  <c r="AP120" i="7"/>
  <c r="AO120" i="7"/>
  <c r="S120" i="7"/>
  <c r="I479" i="7" s="1"/>
  <c r="R120" i="7"/>
  <c r="Q120" i="7"/>
  <c r="H479" i="7" s="1"/>
  <c r="O120" i="7"/>
  <c r="G479" i="7" s="1"/>
  <c r="AC119" i="7"/>
  <c r="Z119" i="7"/>
  <c r="F119" i="7" s="1"/>
  <c r="X119" i="7"/>
  <c r="U119" i="7"/>
  <c r="T119" i="7"/>
  <c r="V119" i="7" s="1"/>
  <c r="P119" i="7"/>
  <c r="AE119" i="7" s="1"/>
  <c r="AF119" i="7" s="1"/>
  <c r="L119" i="7"/>
  <c r="J119" i="7"/>
  <c r="I119" i="7"/>
  <c r="G119" i="7"/>
  <c r="AC118" i="7"/>
  <c r="Z118" i="7"/>
  <c r="X118" i="7"/>
  <c r="U118" i="7"/>
  <c r="T118" i="7"/>
  <c r="P118" i="7"/>
  <c r="AE118" i="7" s="1"/>
  <c r="L118" i="7"/>
  <c r="J118" i="7"/>
  <c r="I118" i="7"/>
  <c r="G118" i="7"/>
  <c r="AC117" i="7"/>
  <c r="AB117" i="7"/>
  <c r="Z117" i="7"/>
  <c r="X117" i="7"/>
  <c r="U117" i="7"/>
  <c r="T117" i="7"/>
  <c r="V117" i="7" s="1"/>
  <c r="P117" i="7"/>
  <c r="AE117" i="7" s="1"/>
  <c r="J117" i="7"/>
  <c r="I117" i="7"/>
  <c r="G117" i="7"/>
  <c r="AE116" i="7"/>
  <c r="AC116" i="7"/>
  <c r="Z116" i="7"/>
  <c r="X116" i="7"/>
  <c r="U116" i="7"/>
  <c r="T116" i="7"/>
  <c r="V116" i="7" s="1"/>
  <c r="P116" i="7"/>
  <c r="J116" i="7"/>
  <c r="I116" i="7"/>
  <c r="G116" i="7"/>
  <c r="AC115" i="7"/>
  <c r="AA115" i="7"/>
  <c r="AA120" i="7" s="1"/>
  <c r="Z115" i="7"/>
  <c r="X115" i="7"/>
  <c r="U115" i="7"/>
  <c r="T115" i="7"/>
  <c r="V115" i="7" s="1"/>
  <c r="P115" i="7"/>
  <c r="AE115" i="7" s="1"/>
  <c r="J115" i="7"/>
  <c r="I115" i="7"/>
  <c r="G115" i="7"/>
  <c r="AC114" i="7"/>
  <c r="Z114" i="7"/>
  <c r="X114" i="7"/>
  <c r="U114" i="7"/>
  <c r="T114" i="7"/>
  <c r="V114" i="7" s="1"/>
  <c r="P114" i="7"/>
  <c r="AE114" i="7" s="1"/>
  <c r="J114" i="7"/>
  <c r="I114" i="7"/>
  <c r="G114" i="7"/>
  <c r="AC113" i="7"/>
  <c r="Z113" i="7"/>
  <c r="F113" i="7" s="1"/>
  <c r="X113" i="7"/>
  <c r="U113" i="7"/>
  <c r="T113" i="7"/>
  <c r="V113" i="7" s="1"/>
  <c r="P113" i="7"/>
  <c r="AE113" i="7" s="1"/>
  <c r="AF113" i="7" s="1"/>
  <c r="J113" i="7"/>
  <c r="I113" i="7"/>
  <c r="G113" i="7"/>
  <c r="AC112" i="7"/>
  <c r="Z112" i="7"/>
  <c r="X112" i="7"/>
  <c r="V112" i="7"/>
  <c r="U112" i="7"/>
  <c r="T112" i="7"/>
  <c r="P112" i="7"/>
  <c r="AE112" i="7" s="1"/>
  <c r="AF112" i="7" s="1"/>
  <c r="J112" i="7"/>
  <c r="I112" i="7"/>
  <c r="G112" i="7"/>
  <c r="AL111" i="7"/>
  <c r="AE111" i="7"/>
  <c r="AC111" i="7"/>
  <c r="Z111" i="7"/>
  <c r="X111" i="7"/>
  <c r="U111" i="7"/>
  <c r="T111" i="7"/>
  <c r="P111" i="7"/>
  <c r="L111" i="7"/>
  <c r="J111" i="7"/>
  <c r="I111" i="7"/>
  <c r="G111" i="7"/>
  <c r="AC110" i="7"/>
  <c r="Z110" i="7"/>
  <c r="X110" i="7"/>
  <c r="U110" i="7"/>
  <c r="T110" i="7"/>
  <c r="V110" i="7" s="1"/>
  <c r="P110" i="7"/>
  <c r="AE110" i="7" s="1"/>
  <c r="AF110" i="7" s="1"/>
  <c r="L110" i="7"/>
  <c r="J110" i="7"/>
  <c r="I110" i="7"/>
  <c r="G110" i="7"/>
  <c r="AL109" i="7"/>
  <c r="AC109" i="7"/>
  <c r="AB109" i="7"/>
  <c r="AB120" i="7" s="1"/>
  <c r="P479" i="7" s="1"/>
  <c r="Z109" i="7"/>
  <c r="X109" i="7"/>
  <c r="U109" i="7"/>
  <c r="T109" i="7"/>
  <c r="V109" i="7" s="1"/>
  <c r="P109" i="7"/>
  <c r="AE109" i="7" s="1"/>
  <c r="AF109" i="7" s="1"/>
  <c r="J109" i="7"/>
  <c r="I109" i="7"/>
  <c r="G109" i="7"/>
  <c r="AE108" i="7"/>
  <c r="AC108" i="7"/>
  <c r="Z108" i="7"/>
  <c r="F108" i="7" s="1"/>
  <c r="X108" i="7"/>
  <c r="U108" i="7"/>
  <c r="T108" i="7"/>
  <c r="V108" i="7" s="1"/>
  <c r="P108" i="7"/>
  <c r="L108" i="7"/>
  <c r="J108" i="7"/>
  <c r="I108" i="7"/>
  <c r="G108" i="7"/>
  <c r="AL107" i="7"/>
  <c r="AC107" i="7"/>
  <c r="Z107" i="7"/>
  <c r="X107" i="7"/>
  <c r="U107" i="7"/>
  <c r="V107" i="7" s="1"/>
  <c r="T107" i="7"/>
  <c r="P107" i="7"/>
  <c r="AE107" i="7" s="1"/>
  <c r="L107" i="7"/>
  <c r="J107" i="7"/>
  <c r="I107" i="7"/>
  <c r="G107" i="7"/>
  <c r="AC106" i="7"/>
  <c r="Z106" i="7"/>
  <c r="X106" i="7"/>
  <c r="U106" i="7"/>
  <c r="T106" i="7"/>
  <c r="V106" i="7" s="1"/>
  <c r="P106" i="7"/>
  <c r="AE106" i="7" s="1"/>
  <c r="L106" i="7"/>
  <c r="J106" i="7"/>
  <c r="I106" i="7"/>
  <c r="G106" i="7"/>
  <c r="AL105" i="7"/>
  <c r="AE105" i="7"/>
  <c r="AC105" i="7"/>
  <c r="Z105" i="7"/>
  <c r="X105" i="7"/>
  <c r="U105" i="7"/>
  <c r="V105" i="7" s="1"/>
  <c r="T105" i="7"/>
  <c r="P105" i="7"/>
  <c r="L105" i="7"/>
  <c r="J105" i="7"/>
  <c r="I105" i="7"/>
  <c r="G105" i="7"/>
  <c r="AC104" i="7"/>
  <c r="Z104" i="7"/>
  <c r="F104" i="7" s="1"/>
  <c r="X104" i="7"/>
  <c r="X120" i="7" s="1"/>
  <c r="U104" i="7"/>
  <c r="T104" i="7"/>
  <c r="V104" i="7" s="1"/>
  <c r="P104" i="7"/>
  <c r="AE104" i="7" s="1"/>
  <c r="AF104" i="7" s="1"/>
  <c r="J104" i="7"/>
  <c r="I104" i="7"/>
  <c r="G104" i="7"/>
  <c r="AL103" i="7"/>
  <c r="AC103" i="7"/>
  <c r="Z103" i="7"/>
  <c r="X103" i="7"/>
  <c r="V103" i="7"/>
  <c r="U103" i="7"/>
  <c r="U120" i="7" s="1"/>
  <c r="K479" i="7" s="1"/>
  <c r="T103" i="7"/>
  <c r="T120" i="7" s="1"/>
  <c r="J479" i="7" s="1"/>
  <c r="L479" i="7" s="1"/>
  <c r="P103" i="7"/>
  <c r="AE103" i="7" s="1"/>
  <c r="L103" i="7"/>
  <c r="J103" i="7"/>
  <c r="I103" i="7"/>
  <c r="G103" i="7"/>
  <c r="AP100" i="7"/>
  <c r="AO100" i="7"/>
  <c r="S100" i="7"/>
  <c r="I478" i="7" s="1"/>
  <c r="R100" i="7"/>
  <c r="Q100" i="7"/>
  <c r="H478" i="7" s="1"/>
  <c r="O100" i="7"/>
  <c r="G478" i="7" s="1"/>
  <c r="AC99" i="7"/>
  <c r="Z99" i="7"/>
  <c r="X99" i="7"/>
  <c r="V99" i="7"/>
  <c r="U99" i="7"/>
  <c r="T99" i="7"/>
  <c r="P99" i="7"/>
  <c r="AE99" i="7" s="1"/>
  <c r="AF99" i="7" s="1"/>
  <c r="L99" i="7"/>
  <c r="J99" i="7"/>
  <c r="I99" i="7"/>
  <c r="G99" i="7"/>
  <c r="AC98" i="7"/>
  <c r="Z98" i="7"/>
  <c r="X98" i="7"/>
  <c r="V98" i="7"/>
  <c r="U98" i="7"/>
  <c r="T98" i="7"/>
  <c r="P98" i="7"/>
  <c r="AE98" i="7" s="1"/>
  <c r="AF98" i="7" s="1"/>
  <c r="L98" i="7"/>
  <c r="J98" i="7"/>
  <c r="I98" i="7"/>
  <c r="G98" i="7"/>
  <c r="AE97" i="7"/>
  <c r="AF97" i="7" s="1"/>
  <c r="AC97" i="7"/>
  <c r="AB97" i="7"/>
  <c r="Z97" i="7"/>
  <c r="F97" i="7" s="1"/>
  <c r="X97" i="7"/>
  <c r="V97" i="7"/>
  <c r="U97" i="7"/>
  <c r="T97" i="7"/>
  <c r="P97" i="7"/>
  <c r="J97" i="7"/>
  <c r="I97" i="7"/>
  <c r="G97" i="7"/>
  <c r="AC96" i="7"/>
  <c r="Z96" i="7"/>
  <c r="X96" i="7"/>
  <c r="U96" i="7"/>
  <c r="T96" i="7"/>
  <c r="V96" i="7" s="1"/>
  <c r="P96" i="7"/>
  <c r="AE96" i="7" s="1"/>
  <c r="J96" i="7"/>
  <c r="I96" i="7"/>
  <c r="G96" i="7"/>
  <c r="AC95" i="7"/>
  <c r="AA95" i="7"/>
  <c r="Z95" i="7" s="1"/>
  <c r="X95" i="7"/>
  <c r="U95" i="7"/>
  <c r="T95" i="7"/>
  <c r="V95" i="7" s="1"/>
  <c r="P95" i="7"/>
  <c r="AE95" i="7" s="1"/>
  <c r="AF95" i="7" s="1"/>
  <c r="J95" i="7"/>
  <c r="I95" i="7"/>
  <c r="G95" i="7"/>
  <c r="AE94" i="7"/>
  <c r="AC94" i="7"/>
  <c r="Z94" i="7"/>
  <c r="X94" i="7"/>
  <c r="U94" i="7"/>
  <c r="V94" i="7" s="1"/>
  <c r="T94" i="7"/>
  <c r="P94" i="7"/>
  <c r="J94" i="7"/>
  <c r="I94" i="7"/>
  <c r="G94" i="7"/>
  <c r="AC93" i="7"/>
  <c r="Z93" i="7"/>
  <c r="F93" i="7" s="1"/>
  <c r="X93" i="7"/>
  <c r="U93" i="7"/>
  <c r="V93" i="7" s="1"/>
  <c r="T93" i="7"/>
  <c r="P93" i="7"/>
  <c r="AE93" i="7" s="1"/>
  <c r="AF93" i="7" s="1"/>
  <c r="J93" i="7"/>
  <c r="I93" i="7"/>
  <c r="G93" i="7"/>
  <c r="AC92" i="7"/>
  <c r="Z92" i="7"/>
  <c r="X92" i="7"/>
  <c r="U92" i="7"/>
  <c r="T92" i="7"/>
  <c r="P92" i="7"/>
  <c r="AE92" i="7" s="1"/>
  <c r="J92" i="7"/>
  <c r="I92" i="7"/>
  <c r="G92" i="7"/>
  <c r="AL91" i="7"/>
  <c r="AC91" i="7"/>
  <c r="Z91" i="7"/>
  <c r="X91" i="7"/>
  <c r="U91" i="7"/>
  <c r="T91" i="7"/>
  <c r="V91" i="7" s="1"/>
  <c r="P91" i="7"/>
  <c r="AE91" i="7" s="1"/>
  <c r="AF91" i="7" s="1"/>
  <c r="L91" i="7"/>
  <c r="J91" i="7"/>
  <c r="I91" i="7"/>
  <c r="G91" i="7"/>
  <c r="AC90" i="7"/>
  <c r="Z90" i="7"/>
  <c r="X90" i="7"/>
  <c r="U90" i="7"/>
  <c r="T90" i="7"/>
  <c r="V90" i="7" s="1"/>
  <c r="P90" i="7"/>
  <c r="AE90" i="7" s="1"/>
  <c r="AF90" i="7" s="1"/>
  <c r="L90" i="7"/>
  <c r="J90" i="7"/>
  <c r="I90" i="7"/>
  <c r="G90" i="7"/>
  <c r="AL89" i="7"/>
  <c r="AE89" i="7"/>
  <c r="AC89" i="7"/>
  <c r="AB89" i="7"/>
  <c r="AB100" i="7" s="1"/>
  <c r="P478" i="7" s="1"/>
  <c r="Z89" i="7"/>
  <c r="X89" i="7"/>
  <c r="U89" i="7"/>
  <c r="T89" i="7"/>
  <c r="V89" i="7" s="1"/>
  <c r="P89" i="7"/>
  <c r="J89" i="7"/>
  <c r="I89" i="7"/>
  <c r="G89" i="7"/>
  <c r="AC88" i="7"/>
  <c r="Z88" i="7"/>
  <c r="X88" i="7"/>
  <c r="U88" i="7"/>
  <c r="T88" i="7"/>
  <c r="V88" i="7" s="1"/>
  <c r="P88" i="7"/>
  <c r="AE88" i="7" s="1"/>
  <c r="AF88" i="7" s="1"/>
  <c r="L88" i="7"/>
  <c r="J88" i="7"/>
  <c r="I88" i="7"/>
  <c r="G88" i="7"/>
  <c r="AL87" i="7"/>
  <c r="AC87" i="7"/>
  <c r="Z87" i="7"/>
  <c r="X87" i="7"/>
  <c r="U87" i="7"/>
  <c r="T87" i="7"/>
  <c r="V87" i="7" s="1"/>
  <c r="P87" i="7"/>
  <c r="AE87" i="7" s="1"/>
  <c r="AF87" i="7" s="1"/>
  <c r="L87" i="7"/>
  <c r="J87" i="7"/>
  <c r="I87" i="7"/>
  <c r="G87" i="7"/>
  <c r="AC86" i="7"/>
  <c r="Z86" i="7"/>
  <c r="X86" i="7"/>
  <c r="V86" i="7"/>
  <c r="U86" i="7"/>
  <c r="T86" i="7"/>
  <c r="P86" i="7"/>
  <c r="AE86" i="7" s="1"/>
  <c r="AF86" i="7" s="1"/>
  <c r="L86" i="7"/>
  <c r="J86" i="7"/>
  <c r="I86" i="7"/>
  <c r="G86" i="7"/>
  <c r="AL85" i="7"/>
  <c r="AC85" i="7"/>
  <c r="Z85" i="7"/>
  <c r="X85" i="7"/>
  <c r="V85" i="7"/>
  <c r="U85" i="7"/>
  <c r="T85" i="7"/>
  <c r="P85" i="7"/>
  <c r="AE85" i="7" s="1"/>
  <c r="AF85" i="7" s="1"/>
  <c r="L85" i="7"/>
  <c r="J85" i="7"/>
  <c r="I85" i="7"/>
  <c r="G85" i="7"/>
  <c r="AC84" i="7"/>
  <c r="Z84" i="7"/>
  <c r="X84" i="7"/>
  <c r="X100" i="7" s="1"/>
  <c r="V84" i="7"/>
  <c r="U84" i="7"/>
  <c r="T84" i="7"/>
  <c r="P84" i="7"/>
  <c r="AE84" i="7" s="1"/>
  <c r="AF84" i="7" s="1"/>
  <c r="J84" i="7"/>
  <c r="I84" i="7"/>
  <c r="G84" i="7"/>
  <c r="AL83" i="7"/>
  <c r="AC83" i="7"/>
  <c r="AC100" i="7" s="1"/>
  <c r="Z83" i="7"/>
  <c r="X83" i="7"/>
  <c r="V83" i="7"/>
  <c r="U83" i="7"/>
  <c r="U100" i="7" s="1"/>
  <c r="K478" i="7" s="1"/>
  <c r="T83" i="7"/>
  <c r="T100" i="7" s="1"/>
  <c r="J478" i="7" s="1"/>
  <c r="P83" i="7"/>
  <c r="AE83" i="7" s="1"/>
  <c r="L83" i="7"/>
  <c r="J83" i="7"/>
  <c r="I83" i="7"/>
  <c r="G83" i="7"/>
  <c r="AP80" i="7"/>
  <c r="AO80" i="7"/>
  <c r="S80" i="7"/>
  <c r="I477" i="7" s="1"/>
  <c r="R80" i="7"/>
  <c r="Q80" i="7"/>
  <c r="H477" i="7" s="1"/>
  <c r="O80" i="7"/>
  <c r="G477" i="7" s="1"/>
  <c r="AE79" i="7"/>
  <c r="AC79" i="7"/>
  <c r="Z79" i="7"/>
  <c r="X79" i="7"/>
  <c r="U79" i="7"/>
  <c r="T79" i="7"/>
  <c r="V79" i="7" s="1"/>
  <c r="P79" i="7"/>
  <c r="L79" i="7"/>
  <c r="J79" i="7"/>
  <c r="I79" i="7"/>
  <c r="G79" i="7"/>
  <c r="AE78" i="7"/>
  <c r="AF78" i="7" s="1"/>
  <c r="AC78" i="7"/>
  <c r="Z78" i="7"/>
  <c r="X78" i="7"/>
  <c r="U78" i="7"/>
  <c r="T78" i="7"/>
  <c r="V78" i="7" s="1"/>
  <c r="P78" i="7"/>
  <c r="L78" i="7"/>
  <c r="J78" i="7"/>
  <c r="I78" i="7"/>
  <c r="G78" i="7"/>
  <c r="AE77" i="7"/>
  <c r="AF77" i="7" s="1"/>
  <c r="AC77" i="7"/>
  <c r="AB77" i="7"/>
  <c r="Z77" i="7"/>
  <c r="X77" i="7"/>
  <c r="U77" i="7"/>
  <c r="V77" i="7" s="1"/>
  <c r="T77" i="7"/>
  <c r="P77" i="7"/>
  <c r="J77" i="7"/>
  <c r="I77" i="7"/>
  <c r="G77" i="7"/>
  <c r="AE76" i="7"/>
  <c r="AF76" i="7" s="1"/>
  <c r="AC76" i="7"/>
  <c r="Z76" i="7"/>
  <c r="X76" i="7"/>
  <c r="U76" i="7"/>
  <c r="T76" i="7"/>
  <c r="V76" i="7" s="1"/>
  <c r="P76" i="7"/>
  <c r="J76" i="7"/>
  <c r="I76" i="7"/>
  <c r="G76" i="7"/>
  <c r="AE75" i="7"/>
  <c r="AC75" i="7"/>
  <c r="AA75" i="7"/>
  <c r="AA80" i="7" s="1"/>
  <c r="X75" i="7"/>
  <c r="U75" i="7"/>
  <c r="T75" i="7"/>
  <c r="V75" i="7" s="1"/>
  <c r="P75" i="7"/>
  <c r="J75" i="7"/>
  <c r="I75" i="7"/>
  <c r="G75" i="7"/>
  <c r="AC74" i="7"/>
  <c r="Z74" i="7"/>
  <c r="X74" i="7"/>
  <c r="V74" i="7"/>
  <c r="U74" i="7"/>
  <c r="T74" i="7"/>
  <c r="P74" i="7"/>
  <c r="AE74" i="7" s="1"/>
  <c r="AF74" i="7" s="1"/>
  <c r="J74" i="7"/>
  <c r="I74" i="7"/>
  <c r="G74" i="7"/>
  <c r="AC73" i="7"/>
  <c r="Z73" i="7"/>
  <c r="F73" i="7" s="1"/>
  <c r="X73" i="7"/>
  <c r="V73" i="7"/>
  <c r="U73" i="7"/>
  <c r="T73" i="7"/>
  <c r="P73" i="7"/>
  <c r="AE73" i="7" s="1"/>
  <c r="AF73" i="7" s="1"/>
  <c r="J73" i="7"/>
  <c r="I73" i="7"/>
  <c r="G73" i="7"/>
  <c r="AC72" i="7"/>
  <c r="Z72" i="7"/>
  <c r="X72" i="7"/>
  <c r="U72" i="7"/>
  <c r="T72" i="7"/>
  <c r="V72" i="7" s="1"/>
  <c r="P72" i="7"/>
  <c r="AE72" i="7" s="1"/>
  <c r="J72" i="7"/>
  <c r="I72" i="7"/>
  <c r="G72" i="7"/>
  <c r="AL71" i="7"/>
  <c r="AC71" i="7"/>
  <c r="Z71" i="7"/>
  <c r="F71" i="7" s="1"/>
  <c r="X71" i="7"/>
  <c r="U71" i="7"/>
  <c r="T71" i="7"/>
  <c r="V71" i="7" s="1"/>
  <c r="P71" i="7"/>
  <c r="AE71" i="7" s="1"/>
  <c r="AF71" i="7" s="1"/>
  <c r="L71" i="7"/>
  <c r="J71" i="7"/>
  <c r="I71" i="7"/>
  <c r="G71" i="7"/>
  <c r="AC70" i="7"/>
  <c r="Z70" i="7"/>
  <c r="F70" i="7" s="1"/>
  <c r="X70" i="7"/>
  <c r="U70" i="7"/>
  <c r="T70" i="7"/>
  <c r="V70" i="7" s="1"/>
  <c r="P70" i="7"/>
  <c r="AE70" i="7" s="1"/>
  <c r="AF70" i="7" s="1"/>
  <c r="L70" i="7"/>
  <c r="J70" i="7"/>
  <c r="I70" i="7"/>
  <c r="G70" i="7"/>
  <c r="AL69" i="7"/>
  <c r="AC69" i="7"/>
  <c r="AB69" i="7"/>
  <c r="AB80" i="7" s="1"/>
  <c r="P477" i="7" s="1"/>
  <c r="Z69" i="7"/>
  <c r="F69" i="7" s="1"/>
  <c r="X69" i="7"/>
  <c r="U69" i="7"/>
  <c r="T69" i="7"/>
  <c r="V69" i="7" s="1"/>
  <c r="P69" i="7"/>
  <c r="AE69" i="7" s="1"/>
  <c r="AF69" i="7" s="1"/>
  <c r="J69" i="7"/>
  <c r="I69" i="7"/>
  <c r="G69" i="7"/>
  <c r="AC68" i="7"/>
  <c r="Z68" i="7"/>
  <c r="X68" i="7"/>
  <c r="U68" i="7"/>
  <c r="T68" i="7"/>
  <c r="V68" i="7" s="1"/>
  <c r="P68" i="7"/>
  <c r="AE68" i="7" s="1"/>
  <c r="L68" i="7"/>
  <c r="J68" i="7"/>
  <c r="I68" i="7"/>
  <c r="G68" i="7"/>
  <c r="AL67" i="7"/>
  <c r="AC67" i="7"/>
  <c r="Z67" i="7"/>
  <c r="X67" i="7"/>
  <c r="U67" i="7"/>
  <c r="T67" i="7"/>
  <c r="V67" i="7" s="1"/>
  <c r="P67" i="7"/>
  <c r="AE67" i="7" s="1"/>
  <c r="L67" i="7"/>
  <c r="J67" i="7"/>
  <c r="I67" i="7"/>
  <c r="G67" i="7"/>
  <c r="AC66" i="7"/>
  <c r="Z66" i="7"/>
  <c r="F66" i="7" s="1"/>
  <c r="X66" i="7"/>
  <c r="U66" i="7"/>
  <c r="T66" i="7"/>
  <c r="V66" i="7" s="1"/>
  <c r="P66" i="7"/>
  <c r="AE66" i="7" s="1"/>
  <c r="L66" i="7"/>
  <c r="J66" i="7"/>
  <c r="I66" i="7"/>
  <c r="G66" i="7"/>
  <c r="AL65" i="7"/>
  <c r="AC65" i="7"/>
  <c r="Z65" i="7"/>
  <c r="X65" i="7"/>
  <c r="U65" i="7"/>
  <c r="T65" i="7"/>
  <c r="V65" i="7" s="1"/>
  <c r="P65" i="7"/>
  <c r="AE65" i="7" s="1"/>
  <c r="AF65" i="7" s="1"/>
  <c r="L65" i="7"/>
  <c r="J65" i="7"/>
  <c r="I65" i="7"/>
  <c r="G65" i="7"/>
  <c r="AC64" i="7"/>
  <c r="Z64" i="7"/>
  <c r="X64" i="7"/>
  <c r="X80" i="7" s="1"/>
  <c r="U64" i="7"/>
  <c r="T64" i="7"/>
  <c r="T80" i="7" s="1"/>
  <c r="J477" i="7" s="1"/>
  <c r="P64" i="7"/>
  <c r="AE64" i="7" s="1"/>
  <c r="J64" i="7"/>
  <c r="I64" i="7"/>
  <c r="G64" i="7"/>
  <c r="AL63" i="7"/>
  <c r="AC63" i="7"/>
  <c r="AC80" i="7" s="1"/>
  <c r="Z63" i="7"/>
  <c r="F63" i="7" s="1"/>
  <c r="X63" i="7"/>
  <c r="V63" i="7"/>
  <c r="U63" i="7"/>
  <c r="U80" i="7" s="1"/>
  <c r="K477" i="7" s="1"/>
  <c r="T63" i="7"/>
  <c r="P63" i="7"/>
  <c r="AE63" i="7" s="1"/>
  <c r="L63" i="7"/>
  <c r="J63" i="7"/>
  <c r="I63" i="7"/>
  <c r="G63" i="7"/>
  <c r="AP60" i="7"/>
  <c r="AO60" i="7"/>
  <c r="AA60" i="7"/>
  <c r="S60" i="7"/>
  <c r="I476" i="7" s="1"/>
  <c r="I506" i="7" s="1"/>
  <c r="I507" i="7" s="1"/>
  <c r="R60" i="7"/>
  <c r="Q60" i="7"/>
  <c r="H476" i="7" s="1"/>
  <c r="H506" i="7" s="1"/>
  <c r="H507" i="7" s="1"/>
  <c r="O60" i="7"/>
  <c r="G476" i="7" s="1"/>
  <c r="G506" i="7" s="1"/>
  <c r="G507" i="7" s="1"/>
  <c r="AC59" i="7"/>
  <c r="Z59" i="7"/>
  <c r="F59" i="7" s="1"/>
  <c r="X59" i="7"/>
  <c r="U59" i="7"/>
  <c r="T59" i="7"/>
  <c r="V59" i="7" s="1"/>
  <c r="P59" i="7"/>
  <c r="AE59" i="7" s="1"/>
  <c r="AF59" i="7" s="1"/>
  <c r="L59" i="7"/>
  <c r="J59" i="7"/>
  <c r="I59" i="7"/>
  <c r="G59" i="7"/>
  <c r="AC58" i="7"/>
  <c r="Z58" i="7"/>
  <c r="X58" i="7"/>
  <c r="U58" i="7"/>
  <c r="T58" i="7"/>
  <c r="V58" i="7" s="1"/>
  <c r="P58" i="7"/>
  <c r="AE58" i="7" s="1"/>
  <c r="AF58" i="7" s="1"/>
  <c r="L58" i="7"/>
  <c r="J58" i="7"/>
  <c r="I58" i="7"/>
  <c r="G58" i="7"/>
  <c r="AC57" i="7"/>
  <c r="Z57" i="7"/>
  <c r="X57" i="7"/>
  <c r="U57" i="7"/>
  <c r="T57" i="7"/>
  <c r="V57" i="7" s="1"/>
  <c r="P57" i="7"/>
  <c r="AE57" i="7" s="1"/>
  <c r="J57" i="7"/>
  <c r="I57" i="7"/>
  <c r="G57" i="7"/>
  <c r="AC56" i="7"/>
  <c r="Z56" i="7"/>
  <c r="F56" i="7" s="1"/>
  <c r="X56" i="7"/>
  <c r="U56" i="7"/>
  <c r="T56" i="7"/>
  <c r="V56" i="7" s="1"/>
  <c r="P56" i="7"/>
  <c r="AE56" i="7" s="1"/>
  <c r="AF56" i="7" s="1"/>
  <c r="J56" i="7"/>
  <c r="I56" i="7"/>
  <c r="G56" i="7"/>
  <c r="AC55" i="7"/>
  <c r="Z55" i="7"/>
  <c r="X55" i="7"/>
  <c r="V55" i="7"/>
  <c r="AG55" i="7" s="1"/>
  <c r="U55" i="7"/>
  <c r="T55" i="7"/>
  <c r="P55" i="7"/>
  <c r="AE55" i="7" s="1"/>
  <c r="AF55" i="7" s="1"/>
  <c r="J55" i="7"/>
  <c r="I55" i="7"/>
  <c r="G55" i="7"/>
  <c r="AE54" i="7"/>
  <c r="AC54" i="7"/>
  <c r="Z54" i="7"/>
  <c r="X54" i="7"/>
  <c r="U54" i="7"/>
  <c r="U60" i="7" s="1"/>
  <c r="K476" i="7" s="1"/>
  <c r="T54" i="7"/>
  <c r="V54" i="7" s="1"/>
  <c r="P54" i="7"/>
  <c r="J54" i="7"/>
  <c r="I54" i="7"/>
  <c r="G54" i="7"/>
  <c r="AC53" i="7"/>
  <c r="Z53" i="7"/>
  <c r="X53" i="7"/>
  <c r="U53" i="7"/>
  <c r="T53" i="7"/>
  <c r="V53" i="7" s="1"/>
  <c r="P53" i="7"/>
  <c r="AE53" i="7" s="1"/>
  <c r="AF53" i="7" s="1"/>
  <c r="J53" i="7"/>
  <c r="I53" i="7"/>
  <c r="G53" i="7"/>
  <c r="AE52" i="7"/>
  <c r="AC52" i="7"/>
  <c r="Z52" i="7"/>
  <c r="X52" i="7"/>
  <c r="U52" i="7"/>
  <c r="T52" i="7"/>
  <c r="V52" i="7" s="1"/>
  <c r="P52" i="7"/>
  <c r="J52" i="7"/>
  <c r="I52" i="7"/>
  <c r="G52" i="7"/>
  <c r="AL51" i="7"/>
  <c r="AE51" i="7"/>
  <c r="AF51" i="7" s="1"/>
  <c r="AC51" i="7"/>
  <c r="Z51" i="7"/>
  <c r="X51" i="7"/>
  <c r="U51" i="7"/>
  <c r="T51" i="7"/>
  <c r="V51" i="7" s="1"/>
  <c r="P51" i="7"/>
  <c r="L51" i="7"/>
  <c r="J51" i="7"/>
  <c r="I51" i="7"/>
  <c r="G51" i="7"/>
  <c r="AE50" i="7"/>
  <c r="AF50" i="7" s="1"/>
  <c r="AC50" i="7"/>
  <c r="Z50" i="7"/>
  <c r="X50" i="7"/>
  <c r="U50" i="7"/>
  <c r="T50" i="7"/>
  <c r="V50" i="7" s="1"/>
  <c r="P50" i="7"/>
  <c r="L50" i="7"/>
  <c r="J50" i="7"/>
  <c r="I50" i="7"/>
  <c r="G50" i="7"/>
  <c r="AL49" i="7"/>
  <c r="AE49" i="7"/>
  <c r="AF49" i="7" s="1"/>
  <c r="AC49" i="7"/>
  <c r="AB49" i="7"/>
  <c r="AB60" i="7" s="1"/>
  <c r="P476" i="7" s="1"/>
  <c r="Z49" i="7"/>
  <c r="X49" i="7"/>
  <c r="U49" i="7"/>
  <c r="T49" i="7"/>
  <c r="V49" i="7" s="1"/>
  <c r="P49" i="7"/>
  <c r="J49" i="7"/>
  <c r="I49" i="7"/>
  <c r="G49" i="7"/>
  <c r="AE48" i="7"/>
  <c r="AF48" i="7" s="1"/>
  <c r="AG48" i="7" s="1"/>
  <c r="AC48" i="7"/>
  <c r="Z48" i="7"/>
  <c r="X48" i="7"/>
  <c r="V48" i="7"/>
  <c r="U48" i="7"/>
  <c r="T48" i="7"/>
  <c r="P48" i="7"/>
  <c r="L48" i="7"/>
  <c r="J48" i="7"/>
  <c r="I48" i="7"/>
  <c r="G48" i="7"/>
  <c r="F48" i="7"/>
  <c r="AL47" i="7"/>
  <c r="AE47" i="7"/>
  <c r="AF47" i="7" s="1"/>
  <c r="AG47" i="7" s="1"/>
  <c r="AC47" i="7"/>
  <c r="Z47" i="7"/>
  <c r="X47" i="7"/>
  <c r="V47" i="7"/>
  <c r="U47" i="7"/>
  <c r="T47" i="7"/>
  <c r="P47" i="7"/>
  <c r="L47" i="7"/>
  <c r="J47" i="7"/>
  <c r="I47" i="7"/>
  <c r="G47" i="7"/>
  <c r="F47" i="7"/>
  <c r="AE46" i="7"/>
  <c r="AF46" i="7" s="1"/>
  <c r="AG46" i="7" s="1"/>
  <c r="AC46" i="7"/>
  <c r="Z46" i="7"/>
  <c r="X46" i="7"/>
  <c r="V46" i="7"/>
  <c r="U46" i="7"/>
  <c r="T46" i="7"/>
  <c r="P46" i="7"/>
  <c r="L46" i="7"/>
  <c r="J46" i="7"/>
  <c r="I46" i="7"/>
  <c r="G46" i="7"/>
  <c r="F46" i="7"/>
  <c r="AL45" i="7"/>
  <c r="AE45" i="7"/>
  <c r="AF45" i="7" s="1"/>
  <c r="AG45" i="7" s="1"/>
  <c r="AC45" i="7"/>
  <c r="Z45" i="7"/>
  <c r="X45" i="7"/>
  <c r="V45" i="7"/>
  <c r="U45" i="7"/>
  <c r="T45" i="7"/>
  <c r="P45" i="7"/>
  <c r="L45" i="7"/>
  <c r="J45" i="7"/>
  <c r="I45" i="7"/>
  <c r="G45" i="7"/>
  <c r="F45" i="7"/>
  <c r="AE44" i="7"/>
  <c r="AF44" i="7" s="1"/>
  <c r="AG44" i="7" s="1"/>
  <c r="AC44" i="7"/>
  <c r="Z44" i="7"/>
  <c r="X44" i="7"/>
  <c r="V44" i="7"/>
  <c r="U44" i="7"/>
  <c r="T44" i="7"/>
  <c r="P44" i="7"/>
  <c r="J44" i="7"/>
  <c r="I44" i="7"/>
  <c r="G44" i="7"/>
  <c r="F44" i="7"/>
  <c r="AL43" i="7"/>
  <c r="AC43" i="7"/>
  <c r="AC60" i="7" s="1"/>
  <c r="Z43" i="7"/>
  <c r="Z60" i="7" s="1"/>
  <c r="X43" i="7"/>
  <c r="X60" i="7" s="1"/>
  <c r="V43" i="7"/>
  <c r="U43" i="7"/>
  <c r="T43" i="7"/>
  <c r="P43" i="7"/>
  <c r="P60" i="7" s="1"/>
  <c r="L43" i="7"/>
  <c r="J43" i="7"/>
  <c r="I43" i="7"/>
  <c r="G43" i="7"/>
  <c r="AP40" i="7"/>
  <c r="AO40" i="7"/>
  <c r="AB40" i="7"/>
  <c r="AA40" i="7"/>
  <c r="S40" i="7"/>
  <c r="R40" i="7"/>
  <c r="Q40" i="7"/>
  <c r="O40" i="7"/>
  <c r="AE39" i="7"/>
  <c r="AF39" i="7" s="1"/>
  <c r="AC39" i="7"/>
  <c r="Z39" i="7"/>
  <c r="X39" i="7"/>
  <c r="U39" i="7"/>
  <c r="T39" i="7"/>
  <c r="V39" i="7" s="1"/>
  <c r="P39" i="7"/>
  <c r="M39" i="7"/>
  <c r="J39" i="7"/>
  <c r="I39" i="7"/>
  <c r="G39" i="7"/>
  <c r="AE38" i="7"/>
  <c r="AF38" i="7" s="1"/>
  <c r="AC38" i="7"/>
  <c r="Z38" i="7"/>
  <c r="X38" i="7"/>
  <c r="U38" i="7"/>
  <c r="T38" i="7"/>
  <c r="V38" i="7" s="1"/>
  <c r="P38" i="7"/>
  <c r="M38" i="7"/>
  <c r="J38" i="7"/>
  <c r="I38" i="7"/>
  <c r="G38" i="7"/>
  <c r="AE37" i="7"/>
  <c r="AC37" i="7"/>
  <c r="Z37" i="7"/>
  <c r="X37" i="7"/>
  <c r="U37" i="7"/>
  <c r="T37" i="7"/>
  <c r="V37" i="7" s="1"/>
  <c r="P37" i="7"/>
  <c r="J37" i="7"/>
  <c r="I37" i="7"/>
  <c r="G37" i="7"/>
  <c r="AE36" i="7"/>
  <c r="AF36" i="7" s="1"/>
  <c r="AC36" i="7"/>
  <c r="Z36" i="7"/>
  <c r="X36" i="7"/>
  <c r="V36" i="7"/>
  <c r="U36" i="7"/>
  <c r="T36" i="7"/>
  <c r="P36" i="7"/>
  <c r="J36" i="7"/>
  <c r="I36" i="7"/>
  <c r="G36" i="7"/>
  <c r="F36" i="7"/>
  <c r="AC35" i="7"/>
  <c r="Z35" i="7"/>
  <c r="F35" i="7" s="1"/>
  <c r="X35" i="7"/>
  <c r="V35" i="7"/>
  <c r="U35" i="7"/>
  <c r="T35" i="7"/>
  <c r="P35" i="7"/>
  <c r="AE35" i="7" s="1"/>
  <c r="AF35" i="7" s="1"/>
  <c r="J35" i="7"/>
  <c r="I35" i="7"/>
  <c r="G35" i="7"/>
  <c r="AE34" i="7"/>
  <c r="AC34" i="7"/>
  <c r="Z34" i="7"/>
  <c r="X34" i="7"/>
  <c r="U34" i="7"/>
  <c r="T34" i="7"/>
  <c r="V34" i="7" s="1"/>
  <c r="P34" i="7"/>
  <c r="J34" i="7"/>
  <c r="I34" i="7"/>
  <c r="G34" i="7"/>
  <c r="AE33" i="7"/>
  <c r="AF33" i="7" s="1"/>
  <c r="AC33" i="7"/>
  <c r="Z33" i="7"/>
  <c r="X33" i="7"/>
  <c r="U33" i="7"/>
  <c r="T33" i="7"/>
  <c r="V33" i="7" s="1"/>
  <c r="P33" i="7"/>
  <c r="J33" i="7"/>
  <c r="I33" i="7"/>
  <c r="G33" i="7"/>
  <c r="AC32" i="7"/>
  <c r="AC40" i="7" s="1"/>
  <c r="Z32" i="7"/>
  <c r="F32" i="7" s="1"/>
  <c r="X32" i="7"/>
  <c r="V32" i="7"/>
  <c r="U32" i="7"/>
  <c r="T32" i="7"/>
  <c r="P32" i="7"/>
  <c r="AE32" i="7" s="1"/>
  <c r="AF32" i="7" s="1"/>
  <c r="J32" i="7"/>
  <c r="I32" i="7"/>
  <c r="G32" i="7"/>
  <c r="AL31" i="7"/>
  <c r="AC31" i="7"/>
  <c r="Z31" i="7"/>
  <c r="X31" i="7"/>
  <c r="U31" i="7"/>
  <c r="V31" i="7" s="1"/>
  <c r="T31" i="7"/>
  <c r="P31" i="7"/>
  <c r="AE31" i="7" s="1"/>
  <c r="M31" i="7"/>
  <c r="J31" i="7"/>
  <c r="I31" i="7"/>
  <c r="G31" i="7"/>
  <c r="AC30" i="7"/>
  <c r="Z30" i="7"/>
  <c r="F30" i="7" s="1"/>
  <c r="X30" i="7"/>
  <c r="U30" i="7"/>
  <c r="V30" i="7" s="1"/>
  <c r="T30" i="7"/>
  <c r="P30" i="7"/>
  <c r="AE30" i="7" s="1"/>
  <c r="AF30" i="7" s="1"/>
  <c r="M30" i="7"/>
  <c r="J30" i="7"/>
  <c r="I30" i="7"/>
  <c r="G30" i="7"/>
  <c r="AL29" i="7"/>
  <c r="AC29" i="7"/>
  <c r="AB29" i="7"/>
  <c r="Z29" i="7"/>
  <c r="F29" i="7" s="1"/>
  <c r="X29" i="7"/>
  <c r="V29" i="7"/>
  <c r="U29" i="7"/>
  <c r="T29" i="7"/>
  <c r="P29" i="7"/>
  <c r="AE29" i="7" s="1"/>
  <c r="J29" i="7"/>
  <c r="I29" i="7"/>
  <c r="G29" i="7"/>
  <c r="AC28" i="7"/>
  <c r="Z28" i="7"/>
  <c r="X28" i="7"/>
  <c r="U28" i="7"/>
  <c r="V28" i="7" s="1"/>
  <c r="T28" i="7"/>
  <c r="P28" i="7"/>
  <c r="AE28" i="7" s="1"/>
  <c r="M28" i="7"/>
  <c r="J28" i="7"/>
  <c r="I28" i="7"/>
  <c r="G28" i="7"/>
  <c r="AL27" i="7"/>
  <c r="AC27" i="7"/>
  <c r="Z27" i="7"/>
  <c r="F27" i="7" s="1"/>
  <c r="X27" i="7"/>
  <c r="V27" i="7"/>
  <c r="U27" i="7"/>
  <c r="T27" i="7"/>
  <c r="P27" i="7"/>
  <c r="AE27" i="7" s="1"/>
  <c r="AF27" i="7" s="1"/>
  <c r="M27" i="7"/>
  <c r="J27" i="7"/>
  <c r="I27" i="7"/>
  <c r="G27" i="7"/>
  <c r="AC26" i="7"/>
  <c r="Z26" i="7"/>
  <c r="F26" i="7" s="1"/>
  <c r="X26" i="7"/>
  <c r="V26" i="7"/>
  <c r="U26" i="7"/>
  <c r="T26" i="7"/>
  <c r="P26" i="7"/>
  <c r="AE26" i="7" s="1"/>
  <c r="AF26" i="7" s="1"/>
  <c r="M26" i="7"/>
  <c r="J26" i="7"/>
  <c r="I26" i="7"/>
  <c r="G26" i="7"/>
  <c r="AL25" i="7"/>
  <c r="AC25" i="7"/>
  <c r="Z25" i="7"/>
  <c r="F25" i="7" s="1"/>
  <c r="X25" i="7"/>
  <c r="V25" i="7"/>
  <c r="U25" i="7"/>
  <c r="T25" i="7"/>
  <c r="P25" i="7"/>
  <c r="AE25" i="7" s="1"/>
  <c r="AF25" i="7" s="1"/>
  <c r="M25" i="7"/>
  <c r="J25" i="7"/>
  <c r="I25" i="7"/>
  <c r="G25" i="7"/>
  <c r="AC24" i="7"/>
  <c r="Z24" i="7"/>
  <c r="F24" i="7" s="1"/>
  <c r="X24" i="7"/>
  <c r="V24" i="7"/>
  <c r="U24" i="7"/>
  <c r="T24" i="7"/>
  <c r="P24" i="7"/>
  <c r="AE24" i="7" s="1"/>
  <c r="AF24" i="7" s="1"/>
  <c r="J24" i="7"/>
  <c r="I24" i="7"/>
  <c r="G24" i="7"/>
  <c r="AL23" i="7"/>
  <c r="AC23" i="7"/>
  <c r="Z23" i="7"/>
  <c r="Z40" i="7" s="1"/>
  <c r="X23" i="7"/>
  <c r="X40" i="7" s="1"/>
  <c r="U23" i="7"/>
  <c r="U40" i="7" s="1"/>
  <c r="T23" i="7"/>
  <c r="T40" i="7" s="1"/>
  <c r="P23" i="7"/>
  <c r="AE23" i="7" s="1"/>
  <c r="M23" i="7"/>
  <c r="J23" i="7"/>
  <c r="I23" i="7"/>
  <c r="G23" i="7"/>
  <c r="AP20" i="7"/>
  <c r="AO20" i="7"/>
  <c r="AB20" i="7"/>
  <c r="AA20" i="7"/>
  <c r="S20" i="7"/>
  <c r="R20" i="7"/>
  <c r="Q20" i="7"/>
  <c r="O20" i="7"/>
  <c r="AC19" i="7"/>
  <c r="Z19" i="7"/>
  <c r="F19" i="7" s="1"/>
  <c r="X19" i="7"/>
  <c r="V19" i="7"/>
  <c r="U19" i="7"/>
  <c r="T19" i="7"/>
  <c r="P19" i="7"/>
  <c r="AE19" i="7" s="1"/>
  <c r="J19" i="7"/>
  <c r="I19" i="7"/>
  <c r="G19" i="7"/>
  <c r="AC18" i="7"/>
  <c r="Z18" i="7"/>
  <c r="F18" i="7" s="1"/>
  <c r="X18" i="7"/>
  <c r="V18" i="7"/>
  <c r="U18" i="7"/>
  <c r="T18" i="7"/>
  <c r="P18" i="7"/>
  <c r="AE18" i="7" s="1"/>
  <c r="J18" i="7"/>
  <c r="I18" i="7"/>
  <c r="G18" i="7"/>
  <c r="AC17" i="7"/>
  <c r="Z17" i="7"/>
  <c r="X17" i="7"/>
  <c r="U17" i="7"/>
  <c r="T17" i="7"/>
  <c r="V17" i="7" s="1"/>
  <c r="P17" i="7"/>
  <c r="AE17" i="7" s="1"/>
  <c r="J17" i="7"/>
  <c r="I17" i="7"/>
  <c r="G17" i="7"/>
  <c r="AE16" i="7"/>
  <c r="AC16" i="7"/>
  <c r="AB16" i="7"/>
  <c r="Z16" i="7"/>
  <c r="F16" i="7" s="1"/>
  <c r="X16" i="7"/>
  <c r="U16" i="7"/>
  <c r="T16" i="7"/>
  <c r="V16" i="7" s="1"/>
  <c r="P16" i="7"/>
  <c r="J16" i="7"/>
  <c r="I16" i="7"/>
  <c r="G16" i="7"/>
  <c r="AC15" i="7"/>
  <c r="Z15" i="7"/>
  <c r="X15" i="7"/>
  <c r="U15" i="7"/>
  <c r="T15" i="7"/>
  <c r="V15" i="7" s="1"/>
  <c r="P15" i="7"/>
  <c r="AE15" i="7" s="1"/>
  <c r="J15" i="7"/>
  <c r="I15" i="7"/>
  <c r="G15" i="7"/>
  <c r="AC14" i="7"/>
  <c r="Z14" i="7"/>
  <c r="X14" i="7"/>
  <c r="V14" i="7"/>
  <c r="U14" i="7"/>
  <c r="T14" i="7"/>
  <c r="P14" i="7"/>
  <c r="AE14" i="7" s="1"/>
  <c r="J14" i="7"/>
  <c r="I14" i="7"/>
  <c r="G14" i="7"/>
  <c r="F14" i="7"/>
  <c r="AC13" i="7"/>
  <c r="Z13" i="7"/>
  <c r="X13" i="7"/>
  <c r="U13" i="7"/>
  <c r="T13" i="7"/>
  <c r="V13" i="7" s="1"/>
  <c r="P13" i="7"/>
  <c r="AE13" i="7" s="1"/>
  <c r="J13" i="7"/>
  <c r="I13" i="7"/>
  <c r="G13" i="7"/>
  <c r="AO12" i="7"/>
  <c r="AC12" i="7"/>
  <c r="AA12" i="7"/>
  <c r="Z12" i="7" s="1"/>
  <c r="X12" i="7"/>
  <c r="V12" i="7"/>
  <c r="U12" i="7"/>
  <c r="T12" i="7"/>
  <c r="P12" i="7"/>
  <c r="AE12" i="7" s="1"/>
  <c r="M12" i="7"/>
  <c r="J12" i="7"/>
  <c r="I12" i="7"/>
  <c r="G12" i="7"/>
  <c r="AL11" i="7"/>
  <c r="AC11" i="7"/>
  <c r="Z11" i="7"/>
  <c r="X11" i="7"/>
  <c r="V11" i="7"/>
  <c r="U11" i="7"/>
  <c r="T11" i="7"/>
  <c r="P11" i="7"/>
  <c r="AE11" i="7" s="1"/>
  <c r="M11" i="7"/>
  <c r="J11" i="7"/>
  <c r="I11" i="7"/>
  <c r="G11" i="7"/>
  <c r="AC10" i="7"/>
  <c r="Z10" i="7"/>
  <c r="X10" i="7"/>
  <c r="V10" i="7"/>
  <c r="U10" i="7"/>
  <c r="T10" i="7"/>
  <c r="P10" i="7"/>
  <c r="AE10" i="7" s="1"/>
  <c r="M10" i="7"/>
  <c r="J10" i="7"/>
  <c r="I10" i="7"/>
  <c r="G10" i="7"/>
  <c r="AL9" i="7"/>
  <c r="AE9" i="7"/>
  <c r="AC9" i="7"/>
  <c r="AB9" i="7"/>
  <c r="Z9" i="7"/>
  <c r="F9" i="7" s="1"/>
  <c r="X9" i="7"/>
  <c r="U9" i="7"/>
  <c r="T9" i="7"/>
  <c r="V9" i="7" s="1"/>
  <c r="P9" i="7"/>
  <c r="M9" i="7"/>
  <c r="J9" i="7"/>
  <c r="I9" i="7"/>
  <c r="G9" i="7"/>
  <c r="AC8" i="7"/>
  <c r="Z8" i="7"/>
  <c r="X8" i="7"/>
  <c r="U8" i="7"/>
  <c r="T8" i="7"/>
  <c r="V8" i="7" s="1"/>
  <c r="P8" i="7"/>
  <c r="AE8" i="7" s="1"/>
  <c r="M8" i="7"/>
  <c r="J8" i="7"/>
  <c r="I8" i="7"/>
  <c r="G8" i="7"/>
  <c r="AL7" i="7"/>
  <c r="AC7" i="7"/>
  <c r="Z7" i="7"/>
  <c r="X7" i="7"/>
  <c r="U7" i="7"/>
  <c r="T7" i="7"/>
  <c r="V7" i="7" s="1"/>
  <c r="P7" i="7"/>
  <c r="AE7" i="7" s="1"/>
  <c r="M7" i="7"/>
  <c r="J7" i="7"/>
  <c r="I7" i="7"/>
  <c r="G7" i="7"/>
  <c r="AC6" i="7"/>
  <c r="Z6" i="7"/>
  <c r="F6" i="7" s="1"/>
  <c r="X6" i="7"/>
  <c r="U6" i="7"/>
  <c r="T6" i="7"/>
  <c r="V6" i="7" s="1"/>
  <c r="P6" i="7"/>
  <c r="AE6" i="7" s="1"/>
  <c r="M6" i="7"/>
  <c r="J6" i="7"/>
  <c r="I6" i="7"/>
  <c r="G6" i="7"/>
  <c r="AL5" i="7"/>
  <c r="AC5" i="7"/>
  <c r="Z5" i="7"/>
  <c r="X5" i="7"/>
  <c r="U5" i="7"/>
  <c r="T5" i="7"/>
  <c r="V5" i="7" s="1"/>
  <c r="P5" i="7"/>
  <c r="AE5" i="7" s="1"/>
  <c r="M5" i="7"/>
  <c r="J5" i="7"/>
  <c r="I5" i="7"/>
  <c r="G5" i="7"/>
  <c r="AC4" i="7"/>
  <c r="Z4" i="7"/>
  <c r="X4" i="7"/>
  <c r="X20" i="7" s="1"/>
  <c r="U4" i="7"/>
  <c r="T4" i="7"/>
  <c r="V4" i="7" s="1"/>
  <c r="P4" i="7"/>
  <c r="AE4" i="7" s="1"/>
  <c r="J4" i="7"/>
  <c r="I4" i="7"/>
  <c r="G4" i="7"/>
  <c r="AL3" i="7"/>
  <c r="AC3" i="7"/>
  <c r="AC20" i="7" s="1"/>
  <c r="Z3" i="7"/>
  <c r="X3" i="7"/>
  <c r="V3" i="7"/>
  <c r="U3" i="7"/>
  <c r="U20" i="7" s="1"/>
  <c r="T3" i="7"/>
  <c r="T20" i="7" s="1"/>
  <c r="P3" i="7"/>
  <c r="AE3" i="7" s="1"/>
  <c r="M3" i="7"/>
  <c r="J3" i="7"/>
  <c r="I3" i="7"/>
  <c r="G3" i="7"/>
  <c r="V127" i="6"/>
  <c r="I127" i="6"/>
  <c r="V126" i="6"/>
  <c r="T126" i="6"/>
  <c r="T127" i="6" s="1"/>
  <c r="K126" i="6"/>
  <c r="K127" i="6" s="1"/>
  <c r="I126" i="6"/>
  <c r="H126" i="6"/>
  <c r="H127" i="6" s="1"/>
  <c r="AA125" i="6"/>
  <c r="D125" i="6" s="1"/>
  <c r="W125" i="6"/>
  <c r="R125" i="6"/>
  <c r="J125" i="6"/>
  <c r="F125" i="6"/>
  <c r="E125" i="6"/>
  <c r="W124" i="6"/>
  <c r="R124" i="6"/>
  <c r="F124" i="6" s="1"/>
  <c r="O124" i="6"/>
  <c r="J124" i="6"/>
  <c r="E124" i="6"/>
  <c r="W123" i="6"/>
  <c r="R123" i="6"/>
  <c r="AA123" i="6" s="1"/>
  <c r="D123" i="6" s="1"/>
  <c r="J123" i="6"/>
  <c r="E123" i="6"/>
  <c r="Z122" i="6"/>
  <c r="AA122" i="6" s="1"/>
  <c r="D122" i="6" s="1"/>
  <c r="Y122" i="6"/>
  <c r="Y126" i="6" s="1"/>
  <c r="X122" i="6"/>
  <c r="V122" i="6"/>
  <c r="W122" i="6" s="1"/>
  <c r="T122" i="6"/>
  <c r="S122" i="6"/>
  <c r="R122" i="6" s="1"/>
  <c r="Q122" i="6"/>
  <c r="Q126" i="6" s="1"/>
  <c r="Q127" i="6" s="1"/>
  <c r="P122" i="6"/>
  <c r="P126" i="6" s="1"/>
  <c r="P127" i="6" s="1"/>
  <c r="O122" i="6"/>
  <c r="O126" i="6" s="1"/>
  <c r="N122" i="6"/>
  <c r="N126" i="6" s="1"/>
  <c r="N127" i="6" s="1"/>
  <c r="O127" i="6" s="1"/>
  <c r="M122" i="6"/>
  <c r="M126" i="6" s="1"/>
  <c r="M127" i="6" s="1"/>
  <c r="L122" i="6"/>
  <c r="L126" i="6" s="1"/>
  <c r="L127" i="6" s="1"/>
  <c r="K122" i="6"/>
  <c r="I122" i="6"/>
  <c r="H122" i="6"/>
  <c r="J122" i="6" s="1"/>
  <c r="J126" i="6" s="1"/>
  <c r="J127" i="6" s="1"/>
  <c r="AA121" i="6"/>
  <c r="D121" i="6" s="1"/>
  <c r="R121" i="6"/>
  <c r="F121" i="6" s="1"/>
  <c r="E121" i="6"/>
  <c r="AA120" i="6"/>
  <c r="W120" i="6"/>
  <c r="R120" i="6"/>
  <c r="F120" i="6"/>
  <c r="E120" i="6"/>
  <c r="D120" i="6"/>
  <c r="X99" i="6"/>
  <c r="Y99" i="6" s="1"/>
  <c r="V99" i="6"/>
  <c r="U99" i="6"/>
  <c r="T99" i="6"/>
  <c r="S99" i="6"/>
  <c r="O99" i="6"/>
  <c r="F99" i="6" s="1"/>
  <c r="N99" i="6"/>
  <c r="M99" i="6"/>
  <c r="L99" i="6"/>
  <c r="K99" i="6"/>
  <c r="J99" i="6"/>
  <c r="H99" i="6"/>
  <c r="I99" i="6" s="1"/>
  <c r="G99" i="6"/>
  <c r="X98" i="6"/>
  <c r="Y98" i="6" s="1"/>
  <c r="V98" i="6"/>
  <c r="U98" i="6"/>
  <c r="F98" i="6" s="1"/>
  <c r="T98" i="6"/>
  <c r="S98" i="6"/>
  <c r="O98" i="6"/>
  <c r="P98" i="6" s="1"/>
  <c r="N98" i="6"/>
  <c r="M98" i="6"/>
  <c r="L98" i="6"/>
  <c r="K98" i="6"/>
  <c r="J98" i="6"/>
  <c r="I98" i="6"/>
  <c r="H98" i="6"/>
  <c r="G98" i="6" s="1"/>
  <c r="Y97" i="6"/>
  <c r="X97" i="6"/>
  <c r="V97" i="6"/>
  <c r="U97" i="6"/>
  <c r="T97" i="6"/>
  <c r="O97" i="6"/>
  <c r="N97" i="6"/>
  <c r="M97" i="6"/>
  <c r="L97" i="6"/>
  <c r="K97" i="6"/>
  <c r="J97" i="6"/>
  <c r="P97" i="6" s="1"/>
  <c r="I97" i="6"/>
  <c r="H97" i="6"/>
  <c r="G97" i="6" s="1"/>
  <c r="X96" i="6"/>
  <c r="V96" i="6"/>
  <c r="U96" i="6"/>
  <c r="T96" i="6"/>
  <c r="S96" i="6"/>
  <c r="N96" i="6"/>
  <c r="M96" i="6"/>
  <c r="L96" i="6"/>
  <c r="K96" i="6"/>
  <c r="J96" i="6"/>
  <c r="I96" i="6"/>
  <c r="H96" i="6"/>
  <c r="G96" i="6" s="1"/>
  <c r="X95" i="6"/>
  <c r="Y95" i="6" s="1"/>
  <c r="V95" i="6"/>
  <c r="U95" i="6"/>
  <c r="T95" i="6"/>
  <c r="O95" i="6"/>
  <c r="P95" i="6" s="1"/>
  <c r="N95" i="6"/>
  <c r="M95" i="6"/>
  <c r="L95" i="6"/>
  <c r="K95" i="6"/>
  <c r="J95" i="6"/>
  <c r="H95" i="6"/>
  <c r="I95" i="6" s="1"/>
  <c r="G95" i="6"/>
  <c r="X94" i="6"/>
  <c r="Y94" i="6" s="1"/>
  <c r="V94" i="6"/>
  <c r="U94" i="6"/>
  <c r="T94" i="6"/>
  <c r="S94" i="6"/>
  <c r="O94" i="6"/>
  <c r="P94" i="6" s="1"/>
  <c r="N94" i="6"/>
  <c r="M94" i="6"/>
  <c r="L94" i="6"/>
  <c r="K94" i="6"/>
  <c r="J94" i="6"/>
  <c r="I94" i="6"/>
  <c r="H94" i="6"/>
  <c r="G94" i="6" s="1"/>
  <c r="F94" i="6"/>
  <c r="Y93" i="6"/>
  <c r="X93" i="6"/>
  <c r="V93" i="6"/>
  <c r="U93" i="6"/>
  <c r="F93" i="6" s="1"/>
  <c r="T93" i="6"/>
  <c r="S93" i="6"/>
  <c r="O93" i="6"/>
  <c r="N93" i="6"/>
  <c r="M93" i="6"/>
  <c r="L93" i="6"/>
  <c r="K93" i="6"/>
  <c r="J93" i="6"/>
  <c r="P93" i="6" s="1"/>
  <c r="I93" i="6"/>
  <c r="H93" i="6"/>
  <c r="G93" i="6" s="1"/>
  <c r="X92" i="6"/>
  <c r="Y92" i="6" s="1"/>
  <c r="V92" i="6"/>
  <c r="U92" i="6"/>
  <c r="T92" i="6"/>
  <c r="S92" i="6"/>
  <c r="F92" i="6" s="1"/>
  <c r="O92" i="6"/>
  <c r="P92" i="6" s="1"/>
  <c r="N92" i="6"/>
  <c r="M92" i="6"/>
  <c r="L92" i="6"/>
  <c r="K92" i="6"/>
  <c r="J92" i="6"/>
  <c r="H92" i="6"/>
  <c r="I92" i="6" s="1"/>
  <c r="AE91" i="6"/>
  <c r="X91" i="6"/>
  <c r="Y91" i="6" s="1"/>
  <c r="V91" i="6"/>
  <c r="U91" i="6"/>
  <c r="T91" i="6"/>
  <c r="S91" i="6"/>
  <c r="O91" i="6"/>
  <c r="F91" i="6" s="1"/>
  <c r="N91" i="6"/>
  <c r="M91" i="6"/>
  <c r="L91" i="6"/>
  <c r="K91" i="6"/>
  <c r="J91" i="6"/>
  <c r="H91" i="6"/>
  <c r="I91" i="6" s="1"/>
  <c r="G91" i="6"/>
  <c r="X90" i="6"/>
  <c r="Y90" i="6" s="1"/>
  <c r="V90" i="6"/>
  <c r="U90" i="6"/>
  <c r="F90" i="6" s="1"/>
  <c r="T90" i="6"/>
  <c r="S90" i="6"/>
  <c r="O90" i="6"/>
  <c r="P90" i="6" s="1"/>
  <c r="N90" i="6"/>
  <c r="M90" i="6"/>
  <c r="L90" i="6"/>
  <c r="K90" i="6"/>
  <c r="J90" i="6"/>
  <c r="I90" i="6"/>
  <c r="H90" i="6"/>
  <c r="G90" i="6" s="1"/>
  <c r="Y89" i="6"/>
  <c r="X89" i="6"/>
  <c r="V89" i="6"/>
  <c r="U89" i="6"/>
  <c r="F89" i="6" s="1"/>
  <c r="T89" i="6"/>
  <c r="S89" i="6"/>
  <c r="O89" i="6"/>
  <c r="N89" i="6"/>
  <c r="M89" i="6"/>
  <c r="L89" i="6"/>
  <c r="K89" i="6"/>
  <c r="J89" i="6"/>
  <c r="P89" i="6" s="1"/>
  <c r="H89" i="6"/>
  <c r="G89" i="6" s="1"/>
  <c r="X88" i="6"/>
  <c r="V88" i="6"/>
  <c r="U88" i="6"/>
  <c r="T88" i="6"/>
  <c r="S88" i="6"/>
  <c r="N88" i="6"/>
  <c r="M88" i="6"/>
  <c r="L88" i="6"/>
  <c r="K88" i="6"/>
  <c r="J88" i="6"/>
  <c r="H88" i="6"/>
  <c r="I88" i="6" s="1"/>
  <c r="X87" i="6"/>
  <c r="Y87" i="6" s="1"/>
  <c r="V87" i="6"/>
  <c r="U87" i="6"/>
  <c r="T87" i="6"/>
  <c r="S87" i="6"/>
  <c r="O87" i="6"/>
  <c r="F87" i="6" s="1"/>
  <c r="N87" i="6"/>
  <c r="M87" i="6"/>
  <c r="L87" i="6"/>
  <c r="K87" i="6"/>
  <c r="J87" i="6"/>
  <c r="H87" i="6"/>
  <c r="I87" i="6" s="1"/>
  <c r="X86" i="6"/>
  <c r="Y86" i="6" s="1"/>
  <c r="V86" i="6"/>
  <c r="U86" i="6"/>
  <c r="F86" i="6" s="1"/>
  <c r="T86" i="6"/>
  <c r="S86" i="6"/>
  <c r="O86" i="6"/>
  <c r="P86" i="6" s="1"/>
  <c r="N86" i="6"/>
  <c r="M86" i="6"/>
  <c r="L86" i="6"/>
  <c r="K86" i="6"/>
  <c r="J86" i="6"/>
  <c r="I86" i="6"/>
  <c r="H86" i="6"/>
  <c r="G86" i="6" s="1"/>
  <c r="AE85" i="6"/>
  <c r="X85" i="6"/>
  <c r="Y85" i="6" s="1"/>
  <c r="V85" i="6"/>
  <c r="U85" i="6"/>
  <c r="F85" i="6" s="1"/>
  <c r="T85" i="6"/>
  <c r="S85" i="6"/>
  <c r="O85" i="6"/>
  <c r="N85" i="6"/>
  <c r="M85" i="6"/>
  <c r="L85" i="6"/>
  <c r="K85" i="6"/>
  <c r="J85" i="6"/>
  <c r="P85" i="6" s="1"/>
  <c r="H85" i="6"/>
  <c r="G85" i="6" s="1"/>
  <c r="X84" i="6"/>
  <c r="V84" i="6"/>
  <c r="U84" i="6"/>
  <c r="T84" i="6"/>
  <c r="S84" i="6"/>
  <c r="N84" i="6"/>
  <c r="M84" i="6"/>
  <c r="L84" i="6"/>
  <c r="K84" i="6"/>
  <c r="J84" i="6"/>
  <c r="H84" i="6"/>
  <c r="I84" i="6" s="1"/>
  <c r="V83" i="6"/>
  <c r="V100" i="6" s="1"/>
  <c r="U83" i="6"/>
  <c r="U100" i="6" s="1"/>
  <c r="T83" i="6"/>
  <c r="T100" i="6" s="1"/>
  <c r="F100" i="6" s="1"/>
  <c r="S83" i="6"/>
  <c r="N83" i="6"/>
  <c r="N100" i="6" s="1"/>
  <c r="M83" i="6"/>
  <c r="M100" i="6" s="1"/>
  <c r="L83" i="6"/>
  <c r="L100" i="6" s="1"/>
  <c r="K83" i="6"/>
  <c r="K100" i="6" s="1"/>
  <c r="J83" i="6"/>
  <c r="J100" i="6" s="1"/>
  <c r="H83" i="6"/>
  <c r="H100" i="6" s="1"/>
  <c r="X79" i="6"/>
  <c r="V79" i="6"/>
  <c r="U79" i="6"/>
  <c r="T79" i="6"/>
  <c r="S79" i="6"/>
  <c r="F79" i="6" s="1"/>
  <c r="O79" i="6"/>
  <c r="Y79" i="6" s="1"/>
  <c r="N79" i="6"/>
  <c r="M79" i="6"/>
  <c r="L79" i="6"/>
  <c r="K79" i="6"/>
  <c r="J79" i="6"/>
  <c r="H79" i="6"/>
  <c r="I79" i="6" s="1"/>
  <c r="G79" i="6"/>
  <c r="X78" i="6"/>
  <c r="Y78" i="6" s="1"/>
  <c r="V78" i="6"/>
  <c r="U78" i="6"/>
  <c r="T78" i="6"/>
  <c r="S78" i="6"/>
  <c r="O78" i="6"/>
  <c r="P78" i="6" s="1"/>
  <c r="N78" i="6"/>
  <c r="M78" i="6"/>
  <c r="L78" i="6"/>
  <c r="K78" i="6"/>
  <c r="J78" i="6"/>
  <c r="I78" i="6"/>
  <c r="H78" i="6"/>
  <c r="G78" i="6"/>
  <c r="Y77" i="6"/>
  <c r="X77" i="6"/>
  <c r="V77" i="6"/>
  <c r="U77" i="6"/>
  <c r="T77" i="6"/>
  <c r="O77" i="6"/>
  <c r="P77" i="6" s="1"/>
  <c r="N77" i="6"/>
  <c r="M77" i="6"/>
  <c r="L77" i="6"/>
  <c r="K77" i="6"/>
  <c r="J77" i="6"/>
  <c r="I77" i="6"/>
  <c r="H77" i="6"/>
  <c r="G77" i="6" s="1"/>
  <c r="X76" i="6"/>
  <c r="V76" i="6"/>
  <c r="U76" i="6"/>
  <c r="T76" i="6"/>
  <c r="S76" i="6"/>
  <c r="N76" i="6"/>
  <c r="M76" i="6"/>
  <c r="L76" i="6"/>
  <c r="K76" i="6"/>
  <c r="J76" i="6"/>
  <c r="I76" i="6"/>
  <c r="H76" i="6"/>
  <c r="G76" i="6" s="1"/>
  <c r="X75" i="6"/>
  <c r="V75" i="6"/>
  <c r="U75" i="6"/>
  <c r="T75" i="6"/>
  <c r="O75" i="6"/>
  <c r="Y75" i="6" s="1"/>
  <c r="N75" i="6"/>
  <c r="M75" i="6"/>
  <c r="L75" i="6"/>
  <c r="K75" i="6"/>
  <c r="J75" i="6"/>
  <c r="H75" i="6"/>
  <c r="I75" i="6" s="1"/>
  <c r="G75" i="6"/>
  <c r="X74" i="6"/>
  <c r="Y74" i="6" s="1"/>
  <c r="V74" i="6"/>
  <c r="U74" i="6"/>
  <c r="T74" i="6"/>
  <c r="S74" i="6"/>
  <c r="O74" i="6"/>
  <c r="P74" i="6" s="1"/>
  <c r="N74" i="6"/>
  <c r="M74" i="6"/>
  <c r="L74" i="6"/>
  <c r="K74" i="6"/>
  <c r="J74" i="6"/>
  <c r="I74" i="6"/>
  <c r="H74" i="6"/>
  <c r="G74" i="6"/>
  <c r="Y73" i="6"/>
  <c r="X73" i="6"/>
  <c r="V73" i="6"/>
  <c r="U73" i="6"/>
  <c r="F73" i="6" s="1"/>
  <c r="T73" i="6"/>
  <c r="S73" i="6"/>
  <c r="O73" i="6"/>
  <c r="P73" i="6" s="1"/>
  <c r="N73" i="6"/>
  <c r="M73" i="6"/>
  <c r="L73" i="6"/>
  <c r="K73" i="6"/>
  <c r="J73" i="6"/>
  <c r="I73" i="6"/>
  <c r="H73" i="6"/>
  <c r="G73" i="6" s="1"/>
  <c r="Y72" i="6"/>
  <c r="X72" i="6"/>
  <c r="V72" i="6"/>
  <c r="U72" i="6"/>
  <c r="F72" i="6" s="1"/>
  <c r="T72" i="6"/>
  <c r="S72" i="6"/>
  <c r="P72" i="6"/>
  <c r="O72" i="6"/>
  <c r="N72" i="6"/>
  <c r="M72" i="6"/>
  <c r="L72" i="6"/>
  <c r="K72" i="6"/>
  <c r="J72" i="6"/>
  <c r="I72" i="6"/>
  <c r="H72" i="6"/>
  <c r="G72" i="6" s="1"/>
  <c r="AE71" i="6"/>
  <c r="X71" i="6"/>
  <c r="V71" i="6"/>
  <c r="U71" i="6"/>
  <c r="T71" i="6"/>
  <c r="S71" i="6"/>
  <c r="F71" i="6" s="1"/>
  <c r="O71" i="6"/>
  <c r="Y71" i="6" s="1"/>
  <c r="N71" i="6"/>
  <c r="M71" i="6"/>
  <c r="L71" i="6"/>
  <c r="K71" i="6"/>
  <c r="J71" i="6"/>
  <c r="H71" i="6"/>
  <c r="I71" i="6" s="1"/>
  <c r="G71" i="6"/>
  <c r="X70" i="6"/>
  <c r="Y70" i="6" s="1"/>
  <c r="V70" i="6"/>
  <c r="U70" i="6"/>
  <c r="T70" i="6"/>
  <c r="S70" i="6"/>
  <c r="O70" i="6"/>
  <c r="P70" i="6" s="1"/>
  <c r="N70" i="6"/>
  <c r="M70" i="6"/>
  <c r="L70" i="6"/>
  <c r="K70" i="6"/>
  <c r="J70" i="6"/>
  <c r="I70" i="6"/>
  <c r="H70" i="6"/>
  <c r="G70" i="6"/>
  <c r="Y69" i="6"/>
  <c r="X69" i="6"/>
  <c r="V69" i="6"/>
  <c r="U69" i="6"/>
  <c r="T69" i="6"/>
  <c r="S69" i="6"/>
  <c r="O69" i="6"/>
  <c r="P69" i="6" s="1"/>
  <c r="N69" i="6"/>
  <c r="M69" i="6"/>
  <c r="L69" i="6"/>
  <c r="K69" i="6"/>
  <c r="J69" i="6"/>
  <c r="I69" i="6"/>
  <c r="H69" i="6"/>
  <c r="G69" i="6" s="1"/>
  <c r="F69" i="6"/>
  <c r="X68" i="6"/>
  <c r="V68" i="6"/>
  <c r="U68" i="6"/>
  <c r="T68" i="6"/>
  <c r="S68" i="6"/>
  <c r="N68" i="6"/>
  <c r="M68" i="6"/>
  <c r="L68" i="6"/>
  <c r="K68" i="6"/>
  <c r="J68" i="6"/>
  <c r="I68" i="6"/>
  <c r="H68" i="6"/>
  <c r="G68" i="6" s="1"/>
  <c r="X67" i="6"/>
  <c r="V67" i="6"/>
  <c r="U67" i="6"/>
  <c r="T67" i="6"/>
  <c r="S67" i="6"/>
  <c r="F67" i="6" s="1"/>
  <c r="O67" i="6"/>
  <c r="Y67" i="6" s="1"/>
  <c r="N67" i="6"/>
  <c r="M67" i="6"/>
  <c r="L67" i="6"/>
  <c r="K67" i="6"/>
  <c r="J67" i="6"/>
  <c r="H67" i="6"/>
  <c r="I67" i="6" s="1"/>
  <c r="G67" i="6"/>
  <c r="X66" i="6"/>
  <c r="Y66" i="6" s="1"/>
  <c r="V66" i="6"/>
  <c r="U66" i="6"/>
  <c r="T66" i="6"/>
  <c r="S66" i="6"/>
  <c r="O66" i="6"/>
  <c r="P66" i="6" s="1"/>
  <c r="N66" i="6"/>
  <c r="M66" i="6"/>
  <c r="L66" i="6"/>
  <c r="K66" i="6"/>
  <c r="J66" i="6"/>
  <c r="H66" i="6"/>
  <c r="I66" i="6" s="1"/>
  <c r="G66" i="6"/>
  <c r="AE65" i="6"/>
  <c r="X65" i="6"/>
  <c r="Y65" i="6" s="1"/>
  <c r="V65" i="6"/>
  <c r="U65" i="6"/>
  <c r="T65" i="6"/>
  <c r="S65" i="6"/>
  <c r="O65" i="6"/>
  <c r="P65" i="6" s="1"/>
  <c r="N65" i="6"/>
  <c r="M65" i="6"/>
  <c r="L65" i="6"/>
  <c r="K65" i="6"/>
  <c r="J65" i="6"/>
  <c r="I65" i="6"/>
  <c r="H65" i="6"/>
  <c r="G65" i="6" s="1"/>
  <c r="F65" i="6"/>
  <c r="X64" i="6"/>
  <c r="V64" i="6"/>
  <c r="U64" i="6"/>
  <c r="T64" i="6"/>
  <c r="S64" i="6"/>
  <c r="N64" i="6"/>
  <c r="M64" i="6"/>
  <c r="L64" i="6"/>
  <c r="K64" i="6"/>
  <c r="J64" i="6"/>
  <c r="I64" i="6"/>
  <c r="H64" i="6"/>
  <c r="G64" i="6" s="1"/>
  <c r="V63" i="6"/>
  <c r="V80" i="6" s="1"/>
  <c r="U63" i="6"/>
  <c r="U80" i="6" s="1"/>
  <c r="T63" i="6"/>
  <c r="T80" i="6" s="1"/>
  <c r="F80" i="6" s="1"/>
  <c r="S63" i="6"/>
  <c r="N63" i="6"/>
  <c r="N80" i="6" s="1"/>
  <c r="M63" i="6"/>
  <c r="M80" i="6" s="1"/>
  <c r="L63" i="6"/>
  <c r="L80" i="6" s="1"/>
  <c r="K63" i="6"/>
  <c r="K80" i="6" s="1"/>
  <c r="J63" i="6"/>
  <c r="J80" i="6" s="1"/>
  <c r="H63" i="6"/>
  <c r="H80" i="6" s="1"/>
  <c r="X59" i="6"/>
  <c r="V59" i="6"/>
  <c r="U59" i="6"/>
  <c r="T59" i="6"/>
  <c r="S59" i="6"/>
  <c r="N59" i="6"/>
  <c r="M59" i="6"/>
  <c r="L59" i="6"/>
  <c r="K59" i="6"/>
  <c r="J59" i="6"/>
  <c r="H59" i="6"/>
  <c r="I59" i="6" s="1"/>
  <c r="X58" i="6"/>
  <c r="Y58" i="6" s="1"/>
  <c r="V58" i="6"/>
  <c r="U58" i="6"/>
  <c r="T58" i="6"/>
  <c r="S58" i="6"/>
  <c r="F58" i="6" s="1"/>
  <c r="P58" i="6"/>
  <c r="O58" i="6"/>
  <c r="N58" i="6"/>
  <c r="M58" i="6"/>
  <c r="L58" i="6"/>
  <c r="K58" i="6"/>
  <c r="J58" i="6"/>
  <c r="H58" i="6"/>
  <c r="I58" i="6" s="1"/>
  <c r="G58" i="6"/>
  <c r="X57" i="6"/>
  <c r="Y57" i="6" s="1"/>
  <c r="V57" i="6"/>
  <c r="U57" i="6"/>
  <c r="T57" i="6"/>
  <c r="S57" i="6"/>
  <c r="F57" i="6" s="1"/>
  <c r="O57" i="6"/>
  <c r="P57" i="6" s="1"/>
  <c r="N57" i="6"/>
  <c r="M57" i="6"/>
  <c r="L57" i="6"/>
  <c r="K57" i="6"/>
  <c r="J57" i="6"/>
  <c r="I57" i="6"/>
  <c r="H57" i="6"/>
  <c r="G57" i="6"/>
  <c r="V56" i="6"/>
  <c r="U56" i="6"/>
  <c r="T56" i="6"/>
  <c r="S56" i="6"/>
  <c r="O56" i="6"/>
  <c r="P56" i="6" s="1"/>
  <c r="N56" i="6"/>
  <c r="M56" i="6"/>
  <c r="L56" i="6"/>
  <c r="K56" i="6"/>
  <c r="J56" i="6"/>
  <c r="I56" i="6" s="1"/>
  <c r="H56" i="6"/>
  <c r="G56" i="6"/>
  <c r="F56" i="6"/>
  <c r="Y55" i="6"/>
  <c r="X55" i="6"/>
  <c r="V55" i="6"/>
  <c r="U55" i="6"/>
  <c r="T55" i="6"/>
  <c r="P55" i="6"/>
  <c r="O55" i="6"/>
  <c r="N55" i="6"/>
  <c r="M55" i="6"/>
  <c r="L55" i="6"/>
  <c r="K55" i="6"/>
  <c r="J55" i="6"/>
  <c r="H55" i="6"/>
  <c r="I55" i="6" s="1"/>
  <c r="X54" i="6"/>
  <c r="Y54" i="6" s="1"/>
  <c r="V54" i="6"/>
  <c r="U54" i="6"/>
  <c r="T54" i="6"/>
  <c r="S54" i="6"/>
  <c r="F54" i="6" s="1"/>
  <c r="P54" i="6"/>
  <c r="O54" i="6"/>
  <c r="N54" i="6"/>
  <c r="M54" i="6"/>
  <c r="L54" i="6"/>
  <c r="K54" i="6"/>
  <c r="J54" i="6"/>
  <c r="H54" i="6"/>
  <c r="I54" i="6" s="1"/>
  <c r="X53" i="6"/>
  <c r="Y53" i="6" s="1"/>
  <c r="V53" i="6"/>
  <c r="U53" i="6"/>
  <c r="T53" i="6"/>
  <c r="S53" i="6"/>
  <c r="F53" i="6" s="1"/>
  <c r="O53" i="6"/>
  <c r="P53" i="6" s="1"/>
  <c r="N53" i="6"/>
  <c r="M53" i="6"/>
  <c r="L53" i="6"/>
  <c r="K53" i="6"/>
  <c r="J53" i="6"/>
  <c r="I53" i="6"/>
  <c r="H53" i="6"/>
  <c r="G53" i="6"/>
  <c r="X52" i="6"/>
  <c r="V52" i="6"/>
  <c r="U52" i="6"/>
  <c r="T52" i="6"/>
  <c r="S52" i="6"/>
  <c r="N52" i="6"/>
  <c r="M52" i="6"/>
  <c r="L52" i="6"/>
  <c r="K52" i="6"/>
  <c r="J52" i="6"/>
  <c r="I52" i="6"/>
  <c r="H52" i="6"/>
  <c r="G52" i="6"/>
  <c r="AE51" i="6"/>
  <c r="X51" i="6"/>
  <c r="V51" i="6"/>
  <c r="U51" i="6"/>
  <c r="T51" i="6"/>
  <c r="S51" i="6"/>
  <c r="N51" i="6"/>
  <c r="M51" i="6"/>
  <c r="L51" i="6"/>
  <c r="K51" i="6"/>
  <c r="J51" i="6"/>
  <c r="H51" i="6"/>
  <c r="I51" i="6" s="1"/>
  <c r="X50" i="6"/>
  <c r="Y50" i="6" s="1"/>
  <c r="V50" i="6"/>
  <c r="U50" i="6"/>
  <c r="T50" i="6"/>
  <c r="S50" i="6"/>
  <c r="F50" i="6" s="1"/>
  <c r="P50" i="6"/>
  <c r="O50" i="6"/>
  <c r="N50" i="6"/>
  <c r="M50" i="6"/>
  <c r="L50" i="6"/>
  <c r="K50" i="6"/>
  <c r="J50" i="6"/>
  <c r="H50" i="6"/>
  <c r="I50" i="6" s="1"/>
  <c r="AE49" i="6"/>
  <c r="X49" i="6"/>
  <c r="V49" i="6"/>
  <c r="U49" i="6"/>
  <c r="T49" i="6"/>
  <c r="S49" i="6"/>
  <c r="N49" i="6"/>
  <c r="M49" i="6"/>
  <c r="L49" i="6"/>
  <c r="K49" i="6"/>
  <c r="J49" i="6"/>
  <c r="I49" i="6"/>
  <c r="H49" i="6"/>
  <c r="G49" i="6"/>
  <c r="X48" i="6"/>
  <c r="V48" i="6"/>
  <c r="U48" i="6"/>
  <c r="F48" i="6" s="1"/>
  <c r="T48" i="6"/>
  <c r="S48" i="6"/>
  <c r="O48" i="6"/>
  <c r="Y48" i="6" s="1"/>
  <c r="N48" i="6"/>
  <c r="M48" i="6"/>
  <c r="L48" i="6"/>
  <c r="K48" i="6"/>
  <c r="J48" i="6"/>
  <c r="I48" i="6"/>
  <c r="H48" i="6"/>
  <c r="G48" i="6"/>
  <c r="AE47" i="6"/>
  <c r="X47" i="6"/>
  <c r="V47" i="6"/>
  <c r="U47" i="6"/>
  <c r="T47" i="6"/>
  <c r="S47" i="6"/>
  <c r="N47" i="6"/>
  <c r="M47" i="6"/>
  <c r="L47" i="6"/>
  <c r="K47" i="6"/>
  <c r="J47" i="6"/>
  <c r="H47" i="6"/>
  <c r="I47" i="6" s="1"/>
  <c r="X46" i="6"/>
  <c r="Y46" i="6" s="1"/>
  <c r="V46" i="6"/>
  <c r="U46" i="6"/>
  <c r="T46" i="6"/>
  <c r="S46" i="6"/>
  <c r="F46" i="6" s="1"/>
  <c r="P46" i="6"/>
  <c r="O46" i="6"/>
  <c r="N46" i="6"/>
  <c r="M46" i="6"/>
  <c r="L46" i="6"/>
  <c r="K46" i="6"/>
  <c r="J46" i="6"/>
  <c r="H46" i="6"/>
  <c r="I46" i="6" s="1"/>
  <c r="AE45" i="6"/>
  <c r="X45" i="6"/>
  <c r="V45" i="6"/>
  <c r="U45" i="6"/>
  <c r="T45" i="6"/>
  <c r="S45" i="6"/>
  <c r="N45" i="6"/>
  <c r="M45" i="6"/>
  <c r="L45" i="6"/>
  <c r="K45" i="6"/>
  <c r="J45" i="6"/>
  <c r="H45" i="6"/>
  <c r="I45" i="6" s="1"/>
  <c r="G45" i="6"/>
  <c r="X44" i="6"/>
  <c r="V44" i="6"/>
  <c r="U44" i="6"/>
  <c r="T44" i="6"/>
  <c r="S44" i="6"/>
  <c r="N44" i="6"/>
  <c r="M44" i="6"/>
  <c r="L44" i="6"/>
  <c r="K44" i="6"/>
  <c r="J44" i="6"/>
  <c r="I44" i="6"/>
  <c r="H44" i="6"/>
  <c r="G44" i="6"/>
  <c r="AE43" i="6"/>
  <c r="V43" i="6"/>
  <c r="V60" i="6" s="1"/>
  <c r="U43" i="6"/>
  <c r="U60" i="6" s="1"/>
  <c r="T43" i="6"/>
  <c r="T60" i="6" s="1"/>
  <c r="F60" i="6" s="1"/>
  <c r="S43" i="6"/>
  <c r="N43" i="6"/>
  <c r="N60" i="6" s="1"/>
  <c r="M43" i="6"/>
  <c r="M60" i="6" s="1"/>
  <c r="L43" i="6"/>
  <c r="L60" i="6" s="1"/>
  <c r="K43" i="6"/>
  <c r="K60" i="6" s="1"/>
  <c r="J43" i="6"/>
  <c r="J60" i="6" s="1"/>
  <c r="H43" i="6"/>
  <c r="H60" i="6" s="1"/>
  <c r="V39" i="6"/>
  <c r="U39" i="6"/>
  <c r="T39" i="6"/>
  <c r="S39" i="6"/>
  <c r="N39" i="6"/>
  <c r="M39" i="6"/>
  <c r="L39" i="6"/>
  <c r="K39" i="6"/>
  <c r="J39" i="6"/>
  <c r="I39" i="6"/>
  <c r="H39" i="6"/>
  <c r="G39" i="6" s="1"/>
  <c r="V38" i="6"/>
  <c r="U38" i="6"/>
  <c r="T38" i="6"/>
  <c r="S38" i="6"/>
  <c r="N38" i="6"/>
  <c r="M38" i="6"/>
  <c r="L38" i="6"/>
  <c r="K38" i="6"/>
  <c r="J38" i="6"/>
  <c r="I38" i="6"/>
  <c r="H38" i="6"/>
  <c r="G38" i="6" s="1"/>
  <c r="V37" i="6"/>
  <c r="U37" i="6"/>
  <c r="T37" i="6"/>
  <c r="S37" i="6"/>
  <c r="N37" i="6"/>
  <c r="M37" i="6"/>
  <c r="L37" i="6"/>
  <c r="K37" i="6"/>
  <c r="J37" i="6"/>
  <c r="H37" i="6"/>
  <c r="I37" i="6" s="1"/>
  <c r="V36" i="6"/>
  <c r="U36" i="6"/>
  <c r="T36" i="6"/>
  <c r="S36" i="6"/>
  <c r="N36" i="6"/>
  <c r="M36" i="6"/>
  <c r="L36" i="6"/>
  <c r="K36" i="6"/>
  <c r="J36" i="6"/>
  <c r="H36" i="6"/>
  <c r="I36" i="6" s="1"/>
  <c r="G36" i="6"/>
  <c r="V35" i="6"/>
  <c r="U35" i="6"/>
  <c r="T35" i="6"/>
  <c r="N35" i="6"/>
  <c r="M35" i="6"/>
  <c r="L35" i="6"/>
  <c r="K35" i="6"/>
  <c r="J35" i="6"/>
  <c r="I35" i="6"/>
  <c r="H35" i="6"/>
  <c r="G35" i="6" s="1"/>
  <c r="V34" i="6"/>
  <c r="U34" i="6"/>
  <c r="T34" i="6"/>
  <c r="S34" i="6"/>
  <c r="N34" i="6"/>
  <c r="M34" i="6"/>
  <c r="L34" i="6"/>
  <c r="K34" i="6"/>
  <c r="J34" i="6"/>
  <c r="H34" i="6"/>
  <c r="G34" i="6" s="1"/>
  <c r="V33" i="6"/>
  <c r="U33" i="6"/>
  <c r="T33" i="6"/>
  <c r="S33" i="6"/>
  <c r="N33" i="6"/>
  <c r="M33" i="6"/>
  <c r="L33" i="6"/>
  <c r="K33" i="6"/>
  <c r="J33" i="6"/>
  <c r="H33" i="6"/>
  <c r="I33" i="6" s="1"/>
  <c r="V32" i="6"/>
  <c r="U32" i="6"/>
  <c r="T32" i="6"/>
  <c r="N32" i="6"/>
  <c r="M32" i="6"/>
  <c r="L32" i="6"/>
  <c r="K32" i="6"/>
  <c r="J32" i="6"/>
  <c r="H32" i="6"/>
  <c r="I32" i="6" s="1"/>
  <c r="G32" i="6"/>
  <c r="AE31" i="6"/>
  <c r="V31" i="6"/>
  <c r="U31" i="6"/>
  <c r="T31" i="6"/>
  <c r="S31" i="6"/>
  <c r="N31" i="6"/>
  <c r="M31" i="6"/>
  <c r="L31" i="6"/>
  <c r="K31" i="6"/>
  <c r="J31" i="6"/>
  <c r="I31" i="6"/>
  <c r="H31" i="6"/>
  <c r="G31" i="6" s="1"/>
  <c r="V30" i="6"/>
  <c r="U30" i="6"/>
  <c r="T30" i="6"/>
  <c r="S30" i="6"/>
  <c r="N30" i="6"/>
  <c r="M30" i="6"/>
  <c r="L30" i="6"/>
  <c r="K30" i="6"/>
  <c r="J30" i="6"/>
  <c r="H30" i="6"/>
  <c r="G30" i="6" s="1"/>
  <c r="AE29" i="6"/>
  <c r="V29" i="6"/>
  <c r="U29" i="6"/>
  <c r="T29" i="6"/>
  <c r="S29" i="6"/>
  <c r="N29" i="6"/>
  <c r="M29" i="6"/>
  <c r="L29" i="6"/>
  <c r="K29" i="6"/>
  <c r="J29" i="6"/>
  <c r="H29" i="6"/>
  <c r="I29" i="6" s="1"/>
  <c r="V28" i="6"/>
  <c r="U28" i="6"/>
  <c r="T28" i="6"/>
  <c r="S28" i="6"/>
  <c r="N28" i="6"/>
  <c r="M28" i="6"/>
  <c r="L28" i="6"/>
  <c r="K28" i="6"/>
  <c r="J28" i="6"/>
  <c r="H28" i="6"/>
  <c r="I28" i="6" s="1"/>
  <c r="G28" i="6"/>
  <c r="AE27" i="6"/>
  <c r="V27" i="6"/>
  <c r="U27" i="6"/>
  <c r="T27" i="6"/>
  <c r="S27" i="6"/>
  <c r="N27" i="6"/>
  <c r="M27" i="6"/>
  <c r="L27" i="6"/>
  <c r="K27" i="6"/>
  <c r="J27" i="6"/>
  <c r="I27" i="6"/>
  <c r="H27" i="6"/>
  <c r="G27" i="6" s="1"/>
  <c r="V26" i="6"/>
  <c r="U26" i="6"/>
  <c r="T26" i="6"/>
  <c r="S26" i="6"/>
  <c r="N26" i="6"/>
  <c r="M26" i="6"/>
  <c r="L26" i="6"/>
  <c r="K26" i="6"/>
  <c r="J26" i="6"/>
  <c r="H26" i="6"/>
  <c r="G26" i="6" s="1"/>
  <c r="AE25" i="6"/>
  <c r="V25" i="6"/>
  <c r="U25" i="6"/>
  <c r="T25" i="6"/>
  <c r="S25" i="6"/>
  <c r="N25" i="6"/>
  <c r="M25" i="6"/>
  <c r="L25" i="6"/>
  <c r="K25" i="6"/>
  <c r="J25" i="6"/>
  <c r="H25" i="6"/>
  <c r="I25" i="6" s="1"/>
  <c r="V24" i="6"/>
  <c r="U24" i="6"/>
  <c r="T24" i="6"/>
  <c r="S24" i="6"/>
  <c r="N24" i="6"/>
  <c r="M24" i="6"/>
  <c r="L24" i="6"/>
  <c r="K24" i="6"/>
  <c r="J24" i="6"/>
  <c r="H24" i="6"/>
  <c r="I24" i="6" s="1"/>
  <c r="G24" i="6"/>
  <c r="AE23" i="6"/>
  <c r="V23" i="6"/>
  <c r="V40" i="6" s="1"/>
  <c r="U23" i="6"/>
  <c r="U40" i="6" s="1"/>
  <c r="T23" i="6"/>
  <c r="T40" i="6" s="1"/>
  <c r="F40" i="6" s="1"/>
  <c r="S23" i="6"/>
  <c r="N23" i="6"/>
  <c r="N40" i="6" s="1"/>
  <c r="M23" i="6"/>
  <c r="M40" i="6" s="1"/>
  <c r="L23" i="6"/>
  <c r="L40" i="6" s="1"/>
  <c r="K23" i="6"/>
  <c r="K40" i="6" s="1"/>
  <c r="J23" i="6"/>
  <c r="J40" i="6" s="1"/>
  <c r="H23" i="6"/>
  <c r="H40" i="6" s="1"/>
  <c r="Z21" i="6"/>
  <c r="V19" i="6"/>
  <c r="U19" i="6"/>
  <c r="T19" i="6"/>
  <c r="S19" i="6"/>
  <c r="Q19" i="6"/>
  <c r="N19" i="6"/>
  <c r="M19" i="6"/>
  <c r="L19" i="6"/>
  <c r="K19" i="6"/>
  <c r="J19" i="6"/>
  <c r="I19" i="6"/>
  <c r="H19" i="6"/>
  <c r="G19" i="6" s="1"/>
  <c r="V18" i="6"/>
  <c r="U18" i="6"/>
  <c r="T18" i="6"/>
  <c r="S18" i="6"/>
  <c r="Q18" i="6"/>
  <c r="N18" i="6"/>
  <c r="M18" i="6"/>
  <c r="L18" i="6"/>
  <c r="K18" i="6"/>
  <c r="J18" i="6"/>
  <c r="I18" i="6"/>
  <c r="H18" i="6"/>
  <c r="G18" i="6" s="1"/>
  <c r="V17" i="6"/>
  <c r="U17" i="6"/>
  <c r="T17" i="6"/>
  <c r="S17" i="6"/>
  <c r="Q17" i="6"/>
  <c r="N17" i="6"/>
  <c r="M17" i="6"/>
  <c r="L17" i="6"/>
  <c r="K17" i="6"/>
  <c r="J17" i="6"/>
  <c r="I17" i="6"/>
  <c r="H17" i="6"/>
  <c r="G17" i="6" s="1"/>
  <c r="X16" i="6"/>
  <c r="V16" i="6"/>
  <c r="U16" i="6"/>
  <c r="T16" i="6"/>
  <c r="S16" i="6"/>
  <c r="Q16" i="6"/>
  <c r="N16" i="6"/>
  <c r="M16" i="6"/>
  <c r="L16" i="6"/>
  <c r="K16" i="6"/>
  <c r="J16" i="6"/>
  <c r="H16" i="6"/>
  <c r="I16" i="6" s="1"/>
  <c r="V15" i="6"/>
  <c r="U15" i="6"/>
  <c r="T15" i="6"/>
  <c r="S15" i="6"/>
  <c r="Q15" i="6"/>
  <c r="O15" i="6"/>
  <c r="N15" i="6"/>
  <c r="M15" i="6"/>
  <c r="L15" i="6"/>
  <c r="K15" i="6"/>
  <c r="J15" i="6"/>
  <c r="H15" i="6"/>
  <c r="I15" i="6" s="1"/>
  <c r="V14" i="6"/>
  <c r="U14" i="6"/>
  <c r="T14" i="6"/>
  <c r="S14" i="6"/>
  <c r="Q14" i="6"/>
  <c r="N14" i="6"/>
  <c r="M14" i="6"/>
  <c r="L14" i="6"/>
  <c r="K14" i="6"/>
  <c r="J14" i="6"/>
  <c r="I14" i="6"/>
  <c r="H14" i="6"/>
  <c r="G14" i="6" s="1"/>
  <c r="V13" i="6"/>
  <c r="U13" i="6"/>
  <c r="T13" i="6"/>
  <c r="S13" i="6"/>
  <c r="Q13" i="6"/>
  <c r="N13" i="6"/>
  <c r="M13" i="6"/>
  <c r="L13" i="6"/>
  <c r="K13" i="6"/>
  <c r="J13" i="6"/>
  <c r="I13" i="6"/>
  <c r="H13" i="6"/>
  <c r="G13" i="6" s="1"/>
  <c r="V12" i="6"/>
  <c r="U12" i="6"/>
  <c r="T12" i="6"/>
  <c r="Q12" i="6"/>
  <c r="O12" i="6"/>
  <c r="P12" i="6" s="1"/>
  <c r="N12" i="6"/>
  <c r="M12" i="6"/>
  <c r="L12" i="6"/>
  <c r="K12" i="6"/>
  <c r="J12" i="6"/>
  <c r="H12" i="6"/>
  <c r="I12" i="6" s="1"/>
  <c r="AE11" i="6"/>
  <c r="V11" i="6"/>
  <c r="U11" i="6"/>
  <c r="T11" i="6"/>
  <c r="S11" i="6"/>
  <c r="Q11" i="6"/>
  <c r="O11" i="6"/>
  <c r="N11" i="6"/>
  <c r="M11" i="6"/>
  <c r="L11" i="6"/>
  <c r="K11" i="6"/>
  <c r="J11" i="6"/>
  <c r="H11" i="6"/>
  <c r="I11" i="6" s="1"/>
  <c r="V10" i="6"/>
  <c r="U10" i="6"/>
  <c r="T10" i="6"/>
  <c r="S10" i="6"/>
  <c r="Q10" i="6"/>
  <c r="N10" i="6"/>
  <c r="M10" i="6"/>
  <c r="L10" i="6"/>
  <c r="K10" i="6"/>
  <c r="J10" i="6"/>
  <c r="I10" i="6"/>
  <c r="H10" i="6"/>
  <c r="G10" i="6" s="1"/>
  <c r="AE9" i="6"/>
  <c r="V9" i="6"/>
  <c r="U9" i="6"/>
  <c r="T9" i="6"/>
  <c r="S9" i="6"/>
  <c r="Q9" i="6"/>
  <c r="N9" i="6"/>
  <c r="M9" i="6"/>
  <c r="L9" i="6"/>
  <c r="K9" i="6"/>
  <c r="J9" i="6"/>
  <c r="H9" i="6"/>
  <c r="G9" i="6" s="1"/>
  <c r="X8" i="6"/>
  <c r="V8" i="6"/>
  <c r="U8" i="6"/>
  <c r="T8" i="6"/>
  <c r="S8" i="6"/>
  <c r="Q8" i="6"/>
  <c r="N8" i="6"/>
  <c r="M8" i="6"/>
  <c r="L8" i="6"/>
  <c r="K8" i="6"/>
  <c r="J8" i="6"/>
  <c r="H8" i="6"/>
  <c r="AE7" i="6"/>
  <c r="X7" i="6"/>
  <c r="V7" i="6"/>
  <c r="U7" i="6"/>
  <c r="T7" i="6"/>
  <c r="S7" i="6"/>
  <c r="Q7" i="6"/>
  <c r="N7" i="6"/>
  <c r="M7" i="6"/>
  <c r="L7" i="6"/>
  <c r="K7" i="6"/>
  <c r="J7" i="6"/>
  <c r="H7" i="6"/>
  <c r="X6" i="6"/>
  <c r="V6" i="6"/>
  <c r="U6" i="6"/>
  <c r="T6" i="6"/>
  <c r="S6" i="6"/>
  <c r="Q6" i="6"/>
  <c r="N6" i="6"/>
  <c r="M6" i="6"/>
  <c r="L6" i="6"/>
  <c r="K6" i="6"/>
  <c r="J6" i="6"/>
  <c r="I6" i="6"/>
  <c r="H6" i="6"/>
  <c r="G6" i="6" s="1"/>
  <c r="AE5" i="6"/>
  <c r="V5" i="6"/>
  <c r="U5" i="6"/>
  <c r="T5" i="6"/>
  <c r="S5" i="6"/>
  <c r="Q5" i="6"/>
  <c r="N5" i="6"/>
  <c r="M5" i="6"/>
  <c r="M20" i="6" s="1"/>
  <c r="L5" i="6"/>
  <c r="K5" i="6"/>
  <c r="J5" i="6"/>
  <c r="H5" i="6"/>
  <c r="G5" i="6" s="1"/>
  <c r="X4" i="6"/>
  <c r="Y4" i="6" s="1"/>
  <c r="V4" i="6"/>
  <c r="U4" i="6"/>
  <c r="T4" i="6"/>
  <c r="S4" i="6"/>
  <c r="Q4" i="6"/>
  <c r="O4" i="6"/>
  <c r="P4" i="6" s="1"/>
  <c r="N4" i="6"/>
  <c r="M4" i="6"/>
  <c r="L4" i="6"/>
  <c r="K4" i="6"/>
  <c r="J4" i="6"/>
  <c r="H4" i="6"/>
  <c r="I4" i="6" s="1"/>
  <c r="F4" i="6"/>
  <c r="AE3" i="6"/>
  <c r="X3" i="6"/>
  <c r="V3" i="6"/>
  <c r="V20" i="6" s="1"/>
  <c r="U3" i="6"/>
  <c r="T3" i="6"/>
  <c r="S3" i="6"/>
  <c r="Q3" i="6"/>
  <c r="N3" i="6"/>
  <c r="M3" i="6"/>
  <c r="L3" i="6"/>
  <c r="K3" i="6"/>
  <c r="K20" i="6" s="1"/>
  <c r="J3" i="6"/>
  <c r="J20" i="6" s="1"/>
  <c r="H3" i="6"/>
  <c r="I3" i="6" s="1"/>
  <c r="G3" i="6"/>
  <c r="AF7" i="7" l="1"/>
  <c r="AG7" i="7" s="1"/>
  <c r="X27" i="6"/>
  <c r="Y27" i="6" s="1"/>
  <c r="O28" i="6"/>
  <c r="O8" i="6"/>
  <c r="P8" i="6" s="1"/>
  <c r="X17" i="6"/>
  <c r="AF17" i="7"/>
  <c r="X37" i="6"/>
  <c r="AF67" i="7"/>
  <c r="AG67" i="7" s="1"/>
  <c r="AF96" i="7"/>
  <c r="AG96" i="7" s="1"/>
  <c r="O27" i="6"/>
  <c r="P27" i="6" s="1"/>
  <c r="AG17" i="7"/>
  <c r="O37" i="6"/>
  <c r="P37" i="6" s="1"/>
  <c r="O17" i="6"/>
  <c r="P17" i="6" s="1"/>
  <c r="O34" i="6"/>
  <c r="P34" i="6" s="1"/>
  <c r="O14" i="6"/>
  <c r="AG34" i="7"/>
  <c r="AF34" i="7"/>
  <c r="AF54" i="7"/>
  <c r="AG54" i="7" s="1"/>
  <c r="F54" i="7"/>
  <c r="F96" i="7"/>
  <c r="AF105" i="7"/>
  <c r="AG105" i="7" s="1"/>
  <c r="F105" i="7"/>
  <c r="AF149" i="7"/>
  <c r="AG149" i="7" s="1"/>
  <c r="O7" i="6"/>
  <c r="I8" i="6"/>
  <c r="G8" i="6"/>
  <c r="F9" i="6"/>
  <c r="AF6" i="7"/>
  <c r="X26" i="6"/>
  <c r="F12" i="7"/>
  <c r="S32" i="6"/>
  <c r="S12" i="6"/>
  <c r="F12" i="6" s="1"/>
  <c r="Z20" i="7"/>
  <c r="AF16" i="7"/>
  <c r="AG16" i="7" s="1"/>
  <c r="O36" i="6"/>
  <c r="O16" i="6"/>
  <c r="AE40" i="7"/>
  <c r="F28" i="7"/>
  <c r="AF37" i="7"/>
  <c r="AG59" i="7"/>
  <c r="AF66" i="7"/>
  <c r="AG66" i="7" s="1"/>
  <c r="AG91" i="7"/>
  <c r="F91" i="7"/>
  <c r="AE120" i="7"/>
  <c r="AF103" i="7"/>
  <c r="AG104" i="7"/>
  <c r="AF118" i="7"/>
  <c r="L20" i="6"/>
  <c r="P11" i="6"/>
  <c r="F11" i="6"/>
  <c r="X5" i="6"/>
  <c r="AF5" i="7"/>
  <c r="X25" i="6"/>
  <c r="Y25" i="6" s="1"/>
  <c r="AG6" i="7"/>
  <c r="O26" i="6"/>
  <c r="P26" i="6" s="1"/>
  <c r="O6" i="6"/>
  <c r="F8" i="7"/>
  <c r="AG33" i="7"/>
  <c r="F33" i="7"/>
  <c r="F68" i="7"/>
  <c r="AF89" i="7"/>
  <c r="AG89" i="7" s="1"/>
  <c r="F89" i="7"/>
  <c r="F106" i="7"/>
  <c r="AF117" i="7"/>
  <c r="AG117" i="7" s="1"/>
  <c r="AG5" i="7"/>
  <c r="O25" i="6"/>
  <c r="P25" i="6" s="1"/>
  <c r="O5" i="6"/>
  <c r="P5" i="6" s="1"/>
  <c r="F7" i="7"/>
  <c r="AF9" i="7"/>
  <c r="AF15" i="7"/>
  <c r="X35" i="6"/>
  <c r="X15" i="6"/>
  <c r="Y15" i="6" s="1"/>
  <c r="F17" i="7"/>
  <c r="F34" i="7"/>
  <c r="AG53" i="7"/>
  <c r="AG58" i="7"/>
  <c r="AG65" i="7"/>
  <c r="F67" i="7"/>
  <c r="AF72" i="7"/>
  <c r="AG90" i="7"/>
  <c r="F90" i="7"/>
  <c r="AG95" i="7"/>
  <c r="F95" i="7"/>
  <c r="L480" i="7"/>
  <c r="AG126" i="7"/>
  <c r="F126" i="7"/>
  <c r="AG128" i="7"/>
  <c r="AF128" i="7"/>
  <c r="F128" i="7"/>
  <c r="N20" i="6"/>
  <c r="I9" i="6"/>
  <c r="AF4" i="7"/>
  <c r="X24" i="6"/>
  <c r="AG15" i="7"/>
  <c r="O35" i="6"/>
  <c r="P35" i="6" s="1"/>
  <c r="F15" i="7"/>
  <c r="X36" i="6"/>
  <c r="AF57" i="7"/>
  <c r="AG57" i="7" s="1"/>
  <c r="AG72" i="7"/>
  <c r="F79" i="7"/>
  <c r="AG189" i="7"/>
  <c r="W127" i="6"/>
  <c r="X127" i="6" s="1"/>
  <c r="Z127" i="6" s="1"/>
  <c r="AF3" i="7"/>
  <c r="AG3" i="7" s="1"/>
  <c r="AE20" i="7"/>
  <c r="AG4" i="7"/>
  <c r="F4" i="7"/>
  <c r="O24" i="6"/>
  <c r="AF14" i="7"/>
  <c r="AG14" i="7" s="1"/>
  <c r="X34" i="6"/>
  <c r="Y34" i="6" s="1"/>
  <c r="X14" i="6"/>
  <c r="AF31" i="7"/>
  <c r="AG52" i="7"/>
  <c r="F52" i="7"/>
  <c r="AF63" i="7"/>
  <c r="AE80" i="7"/>
  <c r="L477" i="7"/>
  <c r="AG78" i="7"/>
  <c r="F78" i="7"/>
  <c r="AG88" i="7"/>
  <c r="F88" i="7"/>
  <c r="F116" i="7"/>
  <c r="Q20" i="6"/>
  <c r="I5" i="6"/>
  <c r="I20" i="6" s="1"/>
  <c r="F26" i="6"/>
  <c r="Z126" i="6"/>
  <c r="X126" i="6"/>
  <c r="W126" i="6"/>
  <c r="F5" i="7"/>
  <c r="AF19" i="7"/>
  <c r="X39" i="6"/>
  <c r="Y39" i="6" s="1"/>
  <c r="X19" i="6"/>
  <c r="Y19" i="6" s="1"/>
  <c r="X9" i="6"/>
  <c r="Y9" i="6" s="1"/>
  <c r="AF29" i="7"/>
  <c r="AG29" i="7" s="1"/>
  <c r="X29" i="6"/>
  <c r="F39" i="7"/>
  <c r="O39" i="6"/>
  <c r="P39" i="6" s="1"/>
  <c r="O19" i="6"/>
  <c r="AG39" i="7"/>
  <c r="AG49" i="7"/>
  <c r="F49" i="7"/>
  <c r="AG51" i="7"/>
  <c r="F51" i="7"/>
  <c r="F53" i="7"/>
  <c r="F58" i="7"/>
  <c r="F65" i="7"/>
  <c r="AG71" i="7"/>
  <c r="AG77" i="7"/>
  <c r="AG87" i="7"/>
  <c r="F87" i="7"/>
  <c r="AF94" i="7"/>
  <c r="AG94" i="7" s="1"/>
  <c r="F94" i="7"/>
  <c r="AG109" i="7"/>
  <c r="F109" i="7"/>
  <c r="AG110" i="7"/>
  <c r="AF115" i="7"/>
  <c r="AG188" i="7"/>
  <c r="I7" i="6"/>
  <c r="G7" i="6"/>
  <c r="P15" i="6"/>
  <c r="F15" i="6"/>
  <c r="F25" i="6"/>
  <c r="F27" i="6"/>
  <c r="AF13" i="7"/>
  <c r="AG13" i="7" s="1"/>
  <c r="X13" i="6"/>
  <c r="X33" i="6"/>
  <c r="Y33" i="6" s="1"/>
  <c r="AG31" i="7"/>
  <c r="F38" i="7"/>
  <c r="O18" i="6"/>
  <c r="AG38" i="7"/>
  <c r="AG50" i="7"/>
  <c r="F50" i="7"/>
  <c r="F72" i="7"/>
  <c r="AG76" i="7"/>
  <c r="F76" i="7"/>
  <c r="AG115" i="7"/>
  <c r="F115" i="7"/>
  <c r="F139" i="7"/>
  <c r="AG139" i="7"/>
  <c r="AG186" i="7"/>
  <c r="S20" i="6"/>
  <c r="G4" i="6"/>
  <c r="Y7" i="6"/>
  <c r="AF11" i="7"/>
  <c r="AG11" i="7" s="1"/>
  <c r="X31" i="6"/>
  <c r="X11" i="6"/>
  <c r="Y11" i="6" s="1"/>
  <c r="AF12" i="7"/>
  <c r="AG12" i="7" s="1"/>
  <c r="X32" i="6"/>
  <c r="X12" i="6"/>
  <c r="Y12" i="6" s="1"/>
  <c r="F13" i="7"/>
  <c r="O33" i="6"/>
  <c r="P33" i="6" s="1"/>
  <c r="O13" i="6"/>
  <c r="P13" i="6" s="1"/>
  <c r="AF18" i="7"/>
  <c r="X38" i="6"/>
  <c r="X18" i="6"/>
  <c r="AG37" i="7"/>
  <c r="F37" i="7"/>
  <c r="AG56" i="7"/>
  <c r="F57" i="7"/>
  <c r="AG69" i="7"/>
  <c r="AG70" i="7"/>
  <c r="F77" i="7"/>
  <c r="AF83" i="7"/>
  <c r="AE100" i="7"/>
  <c r="AF107" i="7"/>
  <c r="AG108" i="7"/>
  <c r="AF108" i="7"/>
  <c r="T20" i="6"/>
  <c r="F20" i="6" s="1"/>
  <c r="R126" i="6"/>
  <c r="F122" i="6"/>
  <c r="AG9" i="7"/>
  <c r="O29" i="6"/>
  <c r="P29" i="6" s="1"/>
  <c r="O9" i="6"/>
  <c r="P9" i="6" s="1"/>
  <c r="AF10" i="7"/>
  <c r="AG10" i="7" s="1"/>
  <c r="X30" i="6"/>
  <c r="X10" i="6"/>
  <c r="AF28" i="7"/>
  <c r="AG28" i="7" s="1"/>
  <c r="AG30" i="7"/>
  <c r="O30" i="6"/>
  <c r="P30" i="6" s="1"/>
  <c r="O10" i="6"/>
  <c r="F31" i="7"/>
  <c r="AF75" i="7"/>
  <c r="AG75" i="7" s="1"/>
  <c r="AF79" i="7"/>
  <c r="AG79" i="7" s="1"/>
  <c r="L478" i="7"/>
  <c r="AG93" i="7"/>
  <c r="F110" i="7"/>
  <c r="F138" i="7"/>
  <c r="AG138" i="7"/>
  <c r="O52" i="6"/>
  <c r="H20" i="6"/>
  <c r="U20" i="6"/>
  <c r="F34" i="6"/>
  <c r="AF8" i="7"/>
  <c r="AG8" i="7" s="1"/>
  <c r="X28" i="6"/>
  <c r="Y28" i="6" s="1"/>
  <c r="P506" i="7"/>
  <c r="P507" i="7" s="1"/>
  <c r="AF52" i="7"/>
  <c r="AF68" i="7"/>
  <c r="AG68" i="7" s="1"/>
  <c r="AF106" i="7"/>
  <c r="AG106" i="7" s="1"/>
  <c r="AG107" i="7"/>
  <c r="F107" i="7"/>
  <c r="AF114" i="7"/>
  <c r="AG114" i="7" s="1"/>
  <c r="G46" i="6"/>
  <c r="G50" i="6"/>
  <c r="G54" i="6"/>
  <c r="F66" i="6"/>
  <c r="F70" i="6"/>
  <c r="F74" i="6"/>
  <c r="F78" i="6"/>
  <c r="S126" i="6"/>
  <c r="S127" i="6" s="1"/>
  <c r="V20" i="7"/>
  <c r="T60" i="7"/>
  <c r="J476" i="7" s="1"/>
  <c r="Z120" i="7"/>
  <c r="V124" i="7"/>
  <c r="AF124" i="7" s="1"/>
  <c r="AF138" i="7"/>
  <c r="V143" i="7"/>
  <c r="AG144" i="7"/>
  <c r="AF153" i="7"/>
  <c r="AG153" i="7" s="1"/>
  <c r="Z53" i="6" s="1"/>
  <c r="F158" i="7"/>
  <c r="F159" i="7"/>
  <c r="F200" i="7"/>
  <c r="F190" i="7"/>
  <c r="F191" i="7"/>
  <c r="AF192" i="7"/>
  <c r="AG192" i="7" s="1"/>
  <c r="F192" i="7"/>
  <c r="AG228" i="7"/>
  <c r="AF228" i="7"/>
  <c r="F228" i="7"/>
  <c r="AG229" i="7"/>
  <c r="AG230" i="7"/>
  <c r="AG263" i="7"/>
  <c r="AG269" i="7"/>
  <c r="F269" i="7"/>
  <c r="AF278" i="7"/>
  <c r="AG278" i="7" s="1"/>
  <c r="AG289" i="7"/>
  <c r="F296" i="7"/>
  <c r="L491" i="7"/>
  <c r="F305" i="7"/>
  <c r="AG356" i="7"/>
  <c r="AF373" i="7"/>
  <c r="F373" i="7"/>
  <c r="AG373" i="7"/>
  <c r="G11" i="6"/>
  <c r="G15" i="6"/>
  <c r="I26" i="6"/>
  <c r="I30" i="6"/>
  <c r="I34" i="6"/>
  <c r="P67" i="6"/>
  <c r="P71" i="6"/>
  <c r="P75" i="6"/>
  <c r="P79" i="6"/>
  <c r="I85" i="6"/>
  <c r="I89" i="6"/>
  <c r="P40" i="7"/>
  <c r="F43" i="7"/>
  <c r="F99" i="7"/>
  <c r="F103" i="7"/>
  <c r="AC120" i="7"/>
  <c r="AG119" i="7"/>
  <c r="F137" i="7"/>
  <c r="U160" i="7"/>
  <c r="K481" i="7" s="1"/>
  <c r="F148" i="7"/>
  <c r="AG176" i="7"/>
  <c r="F176" i="7"/>
  <c r="AG217" i="7"/>
  <c r="AG219" i="7"/>
  <c r="F231" i="7"/>
  <c r="V243" i="7"/>
  <c r="U260" i="7"/>
  <c r="K488" i="7" s="1"/>
  <c r="AG244" i="7"/>
  <c r="F244" i="7"/>
  <c r="F245" i="7"/>
  <c r="AG245" i="7"/>
  <c r="F246" i="7"/>
  <c r="AG246" i="7"/>
  <c r="F247" i="7"/>
  <c r="AG247" i="7"/>
  <c r="AG277" i="7"/>
  <c r="F277" i="7"/>
  <c r="AG288" i="7"/>
  <c r="AG311" i="7"/>
  <c r="AE340" i="7"/>
  <c r="AG336" i="7"/>
  <c r="AF337" i="7"/>
  <c r="AG337" i="7" s="1"/>
  <c r="AG344" i="7"/>
  <c r="F344" i="7"/>
  <c r="F347" i="7"/>
  <c r="AG354" i="7"/>
  <c r="F367" i="7"/>
  <c r="F368" i="7"/>
  <c r="K17" i="8"/>
  <c r="T17" i="8" s="1"/>
  <c r="J17" i="8"/>
  <c r="L17" i="8" s="1"/>
  <c r="U17" i="8" s="1"/>
  <c r="G23" i="6"/>
  <c r="P87" i="6"/>
  <c r="P91" i="6"/>
  <c r="P99" i="6"/>
  <c r="F123" i="6"/>
  <c r="AA124" i="6"/>
  <c r="D124" i="6" s="1"/>
  <c r="V23" i="7"/>
  <c r="F23" i="7" s="1"/>
  <c r="AE43" i="7"/>
  <c r="V60" i="7"/>
  <c r="Z75" i="7"/>
  <c r="Z80" i="7"/>
  <c r="F98" i="7"/>
  <c r="P100" i="7"/>
  <c r="AG113" i="7"/>
  <c r="V118" i="7"/>
  <c r="F124" i="7"/>
  <c r="X160" i="7"/>
  <c r="V145" i="7"/>
  <c r="AF154" i="7"/>
  <c r="AF158" i="7"/>
  <c r="AF159" i="7"/>
  <c r="F177" i="7"/>
  <c r="AF184" i="7"/>
  <c r="AG184" i="7" s="1"/>
  <c r="AF185" i="7"/>
  <c r="AG185" i="7" s="1"/>
  <c r="U200" i="7"/>
  <c r="K483" i="7" s="1"/>
  <c r="F203" i="7"/>
  <c r="AF213" i="7"/>
  <c r="AG213" i="7" s="1"/>
  <c r="F214" i="7"/>
  <c r="AG214" i="7"/>
  <c r="AG216" i="7"/>
  <c r="AG218" i="7"/>
  <c r="F229" i="7"/>
  <c r="F230" i="7"/>
  <c r="AF255" i="7"/>
  <c r="F271" i="7"/>
  <c r="AF285" i="7"/>
  <c r="AG285" i="7" s="1"/>
  <c r="Z300" i="7"/>
  <c r="AF294" i="7"/>
  <c r="AG294" i="7" s="1"/>
  <c r="AF305" i="7"/>
  <c r="AG305" i="7" s="1"/>
  <c r="AF309" i="7"/>
  <c r="AG309" i="7" s="1"/>
  <c r="AF314" i="7"/>
  <c r="AF328" i="7"/>
  <c r="AE360" i="7"/>
  <c r="AF343" i="7"/>
  <c r="AG343" i="7" s="1"/>
  <c r="F346" i="7"/>
  <c r="AG353" i="7"/>
  <c r="F353" i="7"/>
  <c r="AF372" i="7"/>
  <c r="AG372" i="7" s="1"/>
  <c r="AG397" i="7"/>
  <c r="F397" i="7"/>
  <c r="AF405" i="7"/>
  <c r="AG405" i="7" s="1"/>
  <c r="G43" i="6"/>
  <c r="G47" i="6"/>
  <c r="P48" i="6"/>
  <c r="G51" i="6"/>
  <c r="G55" i="6"/>
  <c r="G59" i="6"/>
  <c r="E122" i="6"/>
  <c r="Y127" i="6"/>
  <c r="AG36" i="7"/>
  <c r="V64" i="7"/>
  <c r="V111" i="7"/>
  <c r="AC140" i="7"/>
  <c r="V129" i="7"/>
  <c r="V140" i="7" s="1"/>
  <c r="F130" i="7"/>
  <c r="F134" i="7"/>
  <c r="F144" i="7"/>
  <c r="F152" i="7"/>
  <c r="AF169" i="7"/>
  <c r="AG169" i="7" s="1"/>
  <c r="AF186" i="7"/>
  <c r="AF187" i="7"/>
  <c r="AG187" i="7" s="1"/>
  <c r="AF197" i="7"/>
  <c r="AF236" i="7"/>
  <c r="AG236" i="7" s="1"/>
  <c r="AG237" i="7"/>
  <c r="AF239" i="7"/>
  <c r="AG239" i="7" s="1"/>
  <c r="AG253" i="7"/>
  <c r="AF267" i="7"/>
  <c r="AG268" i="7"/>
  <c r="F268" i="7"/>
  <c r="F270" i="7"/>
  <c r="F278" i="7"/>
  <c r="AF284" i="7"/>
  <c r="AG284" i="7" s="1"/>
  <c r="AG286" i="7"/>
  <c r="F309" i="7"/>
  <c r="AG318" i="7"/>
  <c r="F329" i="7"/>
  <c r="AG329" i="7"/>
  <c r="AG330" i="7"/>
  <c r="F330" i="7"/>
  <c r="F337" i="7"/>
  <c r="AF338" i="7"/>
  <c r="L493" i="7"/>
  <c r="AF351" i="7"/>
  <c r="F396" i="7"/>
  <c r="AF434" i="7"/>
  <c r="AG434" i="7" s="1"/>
  <c r="G12" i="6"/>
  <c r="G16" i="6"/>
  <c r="I23" i="6"/>
  <c r="I40" i="6" s="1"/>
  <c r="G63" i="6"/>
  <c r="AG35" i="7"/>
  <c r="Z100" i="7"/>
  <c r="F85" i="7"/>
  <c r="F86" i="7"/>
  <c r="AG99" i="7"/>
  <c r="AG103" i="7"/>
  <c r="F114" i="7"/>
  <c r="P140" i="7"/>
  <c r="AG130" i="7"/>
  <c r="AF135" i="7"/>
  <c r="AG135" i="7" s="1"/>
  <c r="AF139" i="7"/>
  <c r="F149" i="7"/>
  <c r="AF167" i="7"/>
  <c r="AF168" i="7"/>
  <c r="F174" i="7"/>
  <c r="AF188" i="7"/>
  <c r="AF189" i="7"/>
  <c r="AF198" i="7"/>
  <c r="V199" i="7"/>
  <c r="AF199" i="7" s="1"/>
  <c r="AF212" i="7"/>
  <c r="AB220" i="7"/>
  <c r="P484" i="7" s="1"/>
  <c r="F217" i="7"/>
  <c r="AF238" i="7"/>
  <c r="AG267" i="7"/>
  <c r="F267" i="7"/>
  <c r="AF271" i="7"/>
  <c r="AF296" i="7"/>
  <c r="AG296" i="7" s="1"/>
  <c r="AG328" i="7"/>
  <c r="F328" i="7"/>
  <c r="AG334" i="7"/>
  <c r="V360" i="7"/>
  <c r="F343" i="7"/>
  <c r="AF345" i="7"/>
  <c r="AF346" i="7"/>
  <c r="AG346" i="7" s="1"/>
  <c r="AG351" i="7"/>
  <c r="F351" i="7"/>
  <c r="F372" i="7"/>
  <c r="AF393" i="7"/>
  <c r="AG393" i="7" s="1"/>
  <c r="AF404" i="7"/>
  <c r="AG404" i="7" s="1"/>
  <c r="I43" i="6"/>
  <c r="I60" i="6" s="1"/>
  <c r="G83" i="6"/>
  <c r="G87" i="6"/>
  <c r="F74" i="7"/>
  <c r="P80" i="7"/>
  <c r="F83" i="7"/>
  <c r="F84" i="7"/>
  <c r="AG98" i="7"/>
  <c r="F118" i="7"/>
  <c r="AF136" i="7"/>
  <c r="AG136" i="7" s="1"/>
  <c r="F145" i="7"/>
  <c r="AG146" i="7"/>
  <c r="AG154" i="7"/>
  <c r="F154" i="7"/>
  <c r="AG167" i="7"/>
  <c r="AG168" i="7"/>
  <c r="AF170" i="7"/>
  <c r="AG170" i="7" s="1"/>
  <c r="AF171" i="7"/>
  <c r="AG171" i="7" s="1"/>
  <c r="AG172" i="7"/>
  <c r="AG198" i="7"/>
  <c r="F213" i="7"/>
  <c r="AG238" i="7"/>
  <c r="AG258" i="7"/>
  <c r="AF269" i="7"/>
  <c r="AF270" i="7"/>
  <c r="AG270" i="7" s="1"/>
  <c r="F489" i="7"/>
  <c r="L494" i="7"/>
  <c r="AG433" i="7"/>
  <c r="AF433" i="7"/>
  <c r="I63" i="6"/>
  <c r="I80" i="6" s="1"/>
  <c r="P20" i="7"/>
  <c r="AG97" i="7"/>
  <c r="P120" i="7"/>
  <c r="F112" i="7"/>
  <c r="AF147" i="7"/>
  <c r="AG150" i="7"/>
  <c r="AG155" i="7"/>
  <c r="AF164" i="7"/>
  <c r="AG165" i="7"/>
  <c r="AG166" i="7"/>
  <c r="AG197" i="7"/>
  <c r="AG211" i="7"/>
  <c r="F211" i="7"/>
  <c r="AG212" i="7"/>
  <c r="F212" i="7"/>
  <c r="AE240" i="7"/>
  <c r="AF223" i="7"/>
  <c r="AG223" i="7" s="1"/>
  <c r="AG251" i="7"/>
  <c r="AG266" i="7"/>
  <c r="F266" i="7"/>
  <c r="AF316" i="7"/>
  <c r="AG316" i="7" s="1"/>
  <c r="F316" i="7"/>
  <c r="F325" i="7"/>
  <c r="F326" i="7"/>
  <c r="F360" i="7"/>
  <c r="AG350" i="7"/>
  <c r="AF377" i="7"/>
  <c r="AG377" i="7" s="1"/>
  <c r="F377" i="7"/>
  <c r="I83" i="6"/>
  <c r="I100" i="6" s="1"/>
  <c r="AG19" i="7"/>
  <c r="AG32" i="7"/>
  <c r="AG74" i="7"/>
  <c r="AG84" i="7"/>
  <c r="AG85" i="7"/>
  <c r="AG86" i="7"/>
  <c r="AF116" i="7"/>
  <c r="AG116" i="7" s="1"/>
  <c r="X140" i="7"/>
  <c r="AF133" i="7"/>
  <c r="AG133" i="7" s="1"/>
  <c r="V147" i="7"/>
  <c r="L482" i="7"/>
  <c r="P200" i="7"/>
  <c r="AG196" i="7"/>
  <c r="V209" i="7"/>
  <c r="U220" i="7"/>
  <c r="K484" i="7" s="1"/>
  <c r="AG210" i="7"/>
  <c r="F210" i="7"/>
  <c r="V240" i="7"/>
  <c r="AG235" i="7"/>
  <c r="F236" i="7"/>
  <c r="F239" i="7"/>
  <c r="AF250" i="7"/>
  <c r="AG250" i="7" s="1"/>
  <c r="AG256" i="7"/>
  <c r="F259" i="7"/>
  <c r="AG265" i="7"/>
  <c r="F265" i="7"/>
  <c r="F284" i="7"/>
  <c r="AG292" i="7"/>
  <c r="F292" i="7"/>
  <c r="AG299" i="7"/>
  <c r="F299" i="7"/>
  <c r="AG315" i="7"/>
  <c r="AF329" i="7"/>
  <c r="F333" i="7"/>
  <c r="AG333" i="7"/>
  <c r="F334" i="7"/>
  <c r="AF353" i="7"/>
  <c r="AF392" i="7"/>
  <c r="F497" i="7"/>
  <c r="AF437" i="7"/>
  <c r="AG437" i="7" s="1"/>
  <c r="G25" i="6"/>
  <c r="G29" i="6"/>
  <c r="G33" i="6"/>
  <c r="G37" i="6"/>
  <c r="G84" i="6"/>
  <c r="G88" i="6"/>
  <c r="G92" i="6"/>
  <c r="F3" i="7"/>
  <c r="F10" i="7"/>
  <c r="F11" i="7"/>
  <c r="AG18" i="7"/>
  <c r="AG24" i="7"/>
  <c r="AG25" i="7"/>
  <c r="AG26" i="7"/>
  <c r="AG27" i="7"/>
  <c r="AG73" i="7"/>
  <c r="AG83" i="7"/>
  <c r="V92" i="7"/>
  <c r="AF92" i="7" s="1"/>
  <c r="V100" i="7"/>
  <c r="AG112" i="7"/>
  <c r="F123" i="7"/>
  <c r="AF137" i="7"/>
  <c r="AG137" i="7" s="1"/>
  <c r="F146" i="7"/>
  <c r="V151" i="7"/>
  <c r="AG156" i="7"/>
  <c r="Z160" i="7"/>
  <c r="V180" i="7"/>
  <c r="AF174" i="7"/>
  <c r="AG174" i="7" s="1"/>
  <c r="AG175" i="7"/>
  <c r="T200" i="7"/>
  <c r="J483" i="7" s="1"/>
  <c r="AF194" i="7"/>
  <c r="AG194" i="7" s="1"/>
  <c r="AG195" i="7"/>
  <c r="F197" i="7"/>
  <c r="F198" i="7"/>
  <c r="AF205" i="7"/>
  <c r="AF206" i="7"/>
  <c r="AG207" i="7"/>
  <c r="F207" i="7"/>
  <c r="AG208" i="7"/>
  <c r="F208" i="7"/>
  <c r="U240" i="7"/>
  <c r="K487" i="7" s="1"/>
  <c r="AF225" i="7"/>
  <c r="AG225" i="7" s="1"/>
  <c r="AF226" i="7"/>
  <c r="AG226" i="7" s="1"/>
  <c r="AF232" i="7"/>
  <c r="F233" i="7"/>
  <c r="AG233" i="7"/>
  <c r="F238" i="7"/>
  <c r="F257" i="7"/>
  <c r="F258" i="7"/>
  <c r="AF264" i="7"/>
  <c r="AG264" i="7" s="1"/>
  <c r="AF273" i="7"/>
  <c r="AG273" i="7" s="1"/>
  <c r="F273" i="7"/>
  <c r="AF291" i="7"/>
  <c r="AG291" i="7" s="1"/>
  <c r="AG307" i="7"/>
  <c r="F491" i="7"/>
  <c r="AF318" i="7"/>
  <c r="AG324" i="7"/>
  <c r="F324" i="7"/>
  <c r="AG349" i="7"/>
  <c r="F349" i="7"/>
  <c r="F55" i="7"/>
  <c r="AG131" i="7"/>
  <c r="U140" i="7"/>
  <c r="K480" i="7" s="1"/>
  <c r="K506" i="7" s="1"/>
  <c r="K507" i="7" s="1"/>
  <c r="P160" i="7"/>
  <c r="AE143" i="7"/>
  <c r="AF148" i="7"/>
  <c r="AG148" i="7" s="1"/>
  <c r="Z48" i="6" s="1"/>
  <c r="F150" i="7"/>
  <c r="AF152" i="7"/>
  <c r="AG152" i="7" s="1"/>
  <c r="Z52" i="6" s="1"/>
  <c r="AG158" i="7"/>
  <c r="AG159" i="7"/>
  <c r="F184" i="7"/>
  <c r="F185" i="7"/>
  <c r="F194" i="7"/>
  <c r="F196" i="7"/>
  <c r="AF204" i="7"/>
  <c r="AG205" i="7"/>
  <c r="F205" i="7"/>
  <c r="AG206" i="7"/>
  <c r="F206" i="7"/>
  <c r="AF231" i="7"/>
  <c r="F235" i="7"/>
  <c r="F249" i="7"/>
  <c r="AG249" i="7"/>
  <c r="F251" i="7"/>
  <c r="AF259" i="7"/>
  <c r="AG259" i="7" s="1"/>
  <c r="AF263" i="7"/>
  <c r="AE280" i="7"/>
  <c r="F264" i="7"/>
  <c r="AF290" i="7"/>
  <c r="AG290" i="7" s="1"/>
  <c r="AF297" i="7"/>
  <c r="AG297" i="7" s="1"/>
  <c r="AG298" i="7"/>
  <c r="AF334" i="7"/>
  <c r="AF347" i="7"/>
  <c r="AF348" i="7"/>
  <c r="AG348" i="7" s="1"/>
  <c r="F350" i="7"/>
  <c r="F437" i="7"/>
  <c r="U480" i="7"/>
  <c r="F133" i="7"/>
  <c r="AF134" i="7"/>
  <c r="AG134" i="7" s="1"/>
  <c r="L481" i="7"/>
  <c r="F147" i="7"/>
  <c r="F163" i="7"/>
  <c r="P180" i="7"/>
  <c r="AE177" i="7"/>
  <c r="F186" i="7"/>
  <c r="F187" i="7"/>
  <c r="F189" i="7"/>
  <c r="P220" i="7"/>
  <c r="AE203" i="7"/>
  <c r="AG204" i="7"/>
  <c r="F204" i="7"/>
  <c r="AG255" i="7"/>
  <c r="F255" i="7"/>
  <c r="U490" i="7"/>
  <c r="V490" i="7" s="1"/>
  <c r="AF289" i="7"/>
  <c r="F290" i="7"/>
  <c r="AF304" i="7"/>
  <c r="AG304" i="7" s="1"/>
  <c r="F304" i="7"/>
  <c r="AG314" i="7"/>
  <c r="F314" i="7"/>
  <c r="AF325" i="7"/>
  <c r="AG325" i="7" s="1"/>
  <c r="AF326" i="7"/>
  <c r="AG326" i="7" s="1"/>
  <c r="AF331" i="7"/>
  <c r="AG331" i="7" s="1"/>
  <c r="AG338" i="7"/>
  <c r="F338" i="7"/>
  <c r="AG347" i="7"/>
  <c r="AF356" i="7"/>
  <c r="AG368" i="7"/>
  <c r="K21" i="8"/>
  <c r="T21" i="8" s="1"/>
  <c r="J21" i="8"/>
  <c r="L21" i="8" s="1"/>
  <c r="U21" i="8" s="1"/>
  <c r="AG63" i="7"/>
  <c r="AA100" i="7"/>
  <c r="F117" i="7"/>
  <c r="AF123" i="7"/>
  <c r="AG123" i="7" s="1"/>
  <c r="F136" i="7"/>
  <c r="F151" i="7"/>
  <c r="AG178" i="7"/>
  <c r="AF178" i="7"/>
  <c r="F178" i="7"/>
  <c r="AG179" i="7"/>
  <c r="AF179" i="7"/>
  <c r="F179" i="7"/>
  <c r="F188" i="7"/>
  <c r="AG193" i="7"/>
  <c r="F193" i="7"/>
  <c r="AG227" i="7"/>
  <c r="AF227" i="7"/>
  <c r="F227" i="7"/>
  <c r="AG231" i="7"/>
  <c r="AG232" i="7"/>
  <c r="F232" i="7"/>
  <c r="L488" i="7"/>
  <c r="AF257" i="7"/>
  <c r="AG257" i="7" s="1"/>
  <c r="AG271" i="7"/>
  <c r="AG272" i="7"/>
  <c r="AF272" i="7"/>
  <c r="F272" i="7"/>
  <c r="AF303" i="7"/>
  <c r="AE320" i="7"/>
  <c r="AG313" i="7"/>
  <c r="AF313" i="7"/>
  <c r="F313" i="7"/>
  <c r="F331" i="7"/>
  <c r="AG345" i="7"/>
  <c r="F345" i="7"/>
  <c r="AG369" i="7"/>
  <c r="F399" i="7"/>
  <c r="F495" i="7"/>
  <c r="AF408" i="7"/>
  <c r="AG408" i="7" s="1"/>
  <c r="F408" i="7"/>
  <c r="AF409" i="7"/>
  <c r="AG409" i="7" s="1"/>
  <c r="AG215" i="7"/>
  <c r="AG234" i="7"/>
  <c r="P240" i="7"/>
  <c r="F243" i="7"/>
  <c r="AG252" i="7"/>
  <c r="F274" i="7"/>
  <c r="V280" i="7"/>
  <c r="V283" i="7"/>
  <c r="F285" i="7"/>
  <c r="F332" i="7"/>
  <c r="AF357" i="7"/>
  <c r="AG357" i="7" s="1"/>
  <c r="AF358" i="7"/>
  <c r="AG358" i="7" s="1"/>
  <c r="Z380" i="7"/>
  <c r="AF367" i="7"/>
  <c r="AG367" i="7" s="1"/>
  <c r="F386" i="7"/>
  <c r="F388" i="7"/>
  <c r="F390" i="7"/>
  <c r="V403" i="7"/>
  <c r="T420" i="7"/>
  <c r="J496" i="7" s="1"/>
  <c r="AG427" i="7"/>
  <c r="F433" i="7"/>
  <c r="AF436" i="7"/>
  <c r="AG436" i="7" s="1"/>
  <c r="AF439" i="7"/>
  <c r="F445" i="7"/>
  <c r="F479" i="7"/>
  <c r="K24" i="8"/>
  <c r="T24" i="8" s="1"/>
  <c r="J24" i="8"/>
  <c r="L24" i="8" s="1"/>
  <c r="U24" i="8" s="1"/>
  <c r="AG224" i="7"/>
  <c r="AE243" i="7"/>
  <c r="AG275" i="7"/>
  <c r="AF287" i="7"/>
  <c r="AG287" i="7" s="1"/>
  <c r="AF312" i="7"/>
  <c r="F356" i="7"/>
  <c r="U360" i="7"/>
  <c r="K493" i="7" s="1"/>
  <c r="AF364" i="7"/>
  <c r="AG391" i="7"/>
  <c r="F393" i="7"/>
  <c r="U420" i="7"/>
  <c r="K496" i="7" s="1"/>
  <c r="AG410" i="7"/>
  <c r="AG439" i="7"/>
  <c r="K22" i="8"/>
  <c r="T22" i="8" s="1"/>
  <c r="J22" i="8"/>
  <c r="L22" i="8" s="1"/>
  <c r="U22" i="8" s="1"/>
  <c r="Z175" i="7"/>
  <c r="T220" i="7"/>
  <c r="J484" i="7" s="1"/>
  <c r="L484" i="7" s="1"/>
  <c r="AG248" i="7"/>
  <c r="AG274" i="7"/>
  <c r="U320" i="7"/>
  <c r="K491" i="7" s="1"/>
  <c r="AG312" i="7"/>
  <c r="V317" i="7"/>
  <c r="F317" i="7" s="1"/>
  <c r="F327" i="7"/>
  <c r="AA340" i="7"/>
  <c r="Z335" i="7"/>
  <c r="AG379" i="7"/>
  <c r="AE384" i="7"/>
  <c r="AF407" i="7"/>
  <c r="AG428" i="7"/>
  <c r="F431" i="7"/>
  <c r="AG445" i="7"/>
  <c r="AG459" i="7"/>
  <c r="F480" i="7"/>
  <c r="K20" i="8"/>
  <c r="T20" i="8" s="1"/>
  <c r="J20" i="8"/>
  <c r="X437" i="7"/>
  <c r="X377" i="7"/>
  <c r="S24" i="8"/>
  <c r="V24" i="8" s="1"/>
  <c r="X417" i="7"/>
  <c r="V164" i="7"/>
  <c r="AE200" i="7"/>
  <c r="Z280" i="7"/>
  <c r="F280" i="7" s="1"/>
  <c r="V303" i="7"/>
  <c r="F306" i="7"/>
  <c r="F319" i="7"/>
  <c r="AG332" i="7"/>
  <c r="P340" i="7"/>
  <c r="F355" i="7"/>
  <c r="AF369" i="7"/>
  <c r="F376" i="7"/>
  <c r="AG386" i="7"/>
  <c r="AG388" i="7"/>
  <c r="AG390" i="7"/>
  <c r="F395" i="7"/>
  <c r="F403" i="7"/>
  <c r="Z420" i="7"/>
  <c r="AF414" i="7"/>
  <c r="AF417" i="7"/>
  <c r="P440" i="7"/>
  <c r="F434" i="7"/>
  <c r="T440" i="7"/>
  <c r="J497" i="7" s="1"/>
  <c r="L497" i="7" s="1"/>
  <c r="F446" i="7"/>
  <c r="E500" i="7"/>
  <c r="Z500" i="7"/>
  <c r="D500" i="7" s="1"/>
  <c r="K8" i="8"/>
  <c r="T8" i="8" s="1"/>
  <c r="J8" i="8"/>
  <c r="L8" i="8" s="1"/>
  <c r="U8" i="8" s="1"/>
  <c r="V8" i="8" s="1"/>
  <c r="K10" i="8"/>
  <c r="T10" i="8" s="1"/>
  <c r="J10" i="8"/>
  <c r="L10" i="8" s="1"/>
  <c r="U10" i="8" s="1"/>
  <c r="K12" i="8"/>
  <c r="T12" i="8" s="1"/>
  <c r="J12" i="8"/>
  <c r="K14" i="8"/>
  <c r="T14" i="8" s="1"/>
  <c r="J14" i="8"/>
  <c r="L14" i="8" s="1"/>
  <c r="U14" i="8" s="1"/>
  <c r="K18" i="8"/>
  <c r="T18" i="8" s="1"/>
  <c r="J18" i="8"/>
  <c r="X459" i="7"/>
  <c r="AC22" i="8"/>
  <c r="X439" i="7"/>
  <c r="S22" i="8"/>
  <c r="T240" i="7"/>
  <c r="J487" i="7" s="1"/>
  <c r="L487" i="7" s="1"/>
  <c r="Z256" i="7"/>
  <c r="P320" i="7"/>
  <c r="F352" i="7"/>
  <c r="AA360" i="7"/>
  <c r="V364" i="7"/>
  <c r="AF366" i="7"/>
  <c r="AG366" i="7" s="1"/>
  <c r="AG374" i="7"/>
  <c r="AG378" i="7"/>
  <c r="P380" i="7"/>
  <c r="AF395" i="7"/>
  <c r="AG395" i="7" s="1"/>
  <c r="AF451" i="7"/>
  <c r="V452" i="7"/>
  <c r="AG453" i="7"/>
  <c r="AF453" i="7"/>
  <c r="F454" i="7"/>
  <c r="N507" i="7"/>
  <c r="K16" i="8"/>
  <c r="T16" i="8" s="1"/>
  <c r="J16" i="8"/>
  <c r="X418" i="7"/>
  <c r="AC20" i="8"/>
  <c r="S20" i="8"/>
  <c r="X458" i="7"/>
  <c r="X358" i="7"/>
  <c r="F318" i="7"/>
  <c r="AF339" i="7"/>
  <c r="P360" i="7"/>
  <c r="F358" i="7"/>
  <c r="F370" i="7"/>
  <c r="AG376" i="7"/>
  <c r="F391" i="7"/>
  <c r="AE420" i="7"/>
  <c r="AE444" i="7"/>
  <c r="P460" i="7"/>
  <c r="T460" i="7"/>
  <c r="J498" i="7" s="1"/>
  <c r="L498" i="7" s="1"/>
  <c r="V451" i="7"/>
  <c r="F498" i="7"/>
  <c r="E485" i="7"/>
  <c r="Z485" i="7"/>
  <c r="D485" i="7" s="1"/>
  <c r="E503" i="7"/>
  <c r="Z503" i="7"/>
  <c r="D503" i="7" s="1"/>
  <c r="X427" i="7"/>
  <c r="X310" i="7"/>
  <c r="X447" i="7"/>
  <c r="V14" i="8"/>
  <c r="X407" i="7"/>
  <c r="X367" i="7"/>
  <c r="X434" i="7"/>
  <c r="X374" i="7"/>
  <c r="S18" i="8"/>
  <c r="X414" i="7"/>
  <c r="AE180" i="7"/>
  <c r="P280" i="7"/>
  <c r="AF283" i="7"/>
  <c r="AA300" i="7"/>
  <c r="V308" i="7"/>
  <c r="AG339" i="7"/>
  <c r="V392" i="7"/>
  <c r="V400" i="7" s="1"/>
  <c r="AF399" i="7"/>
  <c r="AG399" i="7" s="1"/>
  <c r="AF415" i="7"/>
  <c r="AG415" i="7" s="1"/>
  <c r="AF418" i="7"/>
  <c r="AG418" i="7" s="1"/>
  <c r="AG424" i="7"/>
  <c r="F427" i="7"/>
  <c r="AG430" i="7"/>
  <c r="F435" i="7"/>
  <c r="U460" i="7"/>
  <c r="K498" i="7" s="1"/>
  <c r="V443" i="7"/>
  <c r="AG456" i="7"/>
  <c r="F456" i="7"/>
  <c r="AG457" i="7"/>
  <c r="F457" i="7"/>
  <c r="S14" i="8"/>
  <c r="X372" i="7"/>
  <c r="X432" i="7"/>
  <c r="X452" i="7"/>
  <c r="X392" i="7"/>
  <c r="S16" i="8"/>
  <c r="F289" i="7"/>
  <c r="AG295" i="7"/>
  <c r="F490" i="7"/>
  <c r="T340" i="7"/>
  <c r="J492" i="7" s="1"/>
  <c r="L492" i="7" s="1"/>
  <c r="F354" i="7"/>
  <c r="AG359" i="7"/>
  <c r="AE380" i="7"/>
  <c r="F364" i="7"/>
  <c r="AF368" i="7"/>
  <c r="F404" i="7"/>
  <c r="AG431" i="7"/>
  <c r="F477" i="7"/>
  <c r="F482" i="7"/>
  <c r="K23" i="8"/>
  <c r="T23" i="8" s="1"/>
  <c r="J23" i="8"/>
  <c r="Z135" i="7"/>
  <c r="F135" i="7" s="1"/>
  <c r="AG173" i="7"/>
  <c r="AG183" i="7"/>
  <c r="V200" i="7"/>
  <c r="F254" i="7"/>
  <c r="V323" i="7"/>
  <c r="T400" i="7"/>
  <c r="J495" i="7" s="1"/>
  <c r="L495" i="7" s="1"/>
  <c r="V419" i="7"/>
  <c r="AC440" i="7"/>
  <c r="AG425" i="7"/>
  <c r="AF429" i="7"/>
  <c r="AG429" i="7" s="1"/>
  <c r="V432" i="7"/>
  <c r="V440" i="7" s="1"/>
  <c r="AF445" i="7"/>
  <c r="AF454" i="7"/>
  <c r="AG454" i="7" s="1"/>
  <c r="L7" i="8"/>
  <c r="U7" i="8" s="1"/>
  <c r="L9" i="8"/>
  <c r="U9" i="8" s="1"/>
  <c r="L11" i="8"/>
  <c r="U11" i="8" s="1"/>
  <c r="L13" i="8"/>
  <c r="U13" i="8" s="1"/>
  <c r="Z240" i="7"/>
  <c r="F288" i="7"/>
  <c r="U380" i="7"/>
  <c r="K494" i="7" s="1"/>
  <c r="V363" i="7"/>
  <c r="AF365" i="7"/>
  <c r="AG365" i="7" s="1"/>
  <c r="F383" i="7"/>
  <c r="AF383" i="7"/>
  <c r="AG383" i="7" s="1"/>
  <c r="AF394" i="7"/>
  <c r="AG394" i="7" s="1"/>
  <c r="F406" i="7"/>
  <c r="AF406" i="7"/>
  <c r="AG406" i="7" s="1"/>
  <c r="AF411" i="7"/>
  <c r="AG411" i="7" s="1"/>
  <c r="AG412" i="7"/>
  <c r="AG414" i="7"/>
  <c r="AG417" i="7"/>
  <c r="AF435" i="7"/>
  <c r="AG435" i="7" s="1"/>
  <c r="F436" i="7"/>
  <c r="AL423" i="7"/>
  <c r="AL443" i="7"/>
  <c r="M7" i="8"/>
  <c r="AL403" i="7"/>
  <c r="AL363" i="7"/>
  <c r="AL425" i="7"/>
  <c r="M9" i="8"/>
  <c r="AL429" i="7"/>
  <c r="AL307" i="7"/>
  <c r="AL449" i="7"/>
  <c r="M11" i="8"/>
  <c r="AL371" i="7"/>
  <c r="AL431" i="7"/>
  <c r="M13" i="8"/>
  <c r="AL451" i="7"/>
  <c r="AL391" i="7"/>
  <c r="AL428" i="7"/>
  <c r="M15" i="8"/>
  <c r="AL448" i="7"/>
  <c r="K19" i="8"/>
  <c r="T19" i="8" s="1"/>
  <c r="J19" i="8"/>
  <c r="L19" i="8" s="1"/>
  <c r="U19" i="8" s="1"/>
  <c r="AG254" i="7"/>
  <c r="F287" i="7"/>
  <c r="F357" i="7"/>
  <c r="AF370" i="7"/>
  <c r="AG370" i="7" s="1"/>
  <c r="AF371" i="7"/>
  <c r="AG371" i="7" s="1"/>
  <c r="AF396" i="7"/>
  <c r="AG396" i="7" s="1"/>
  <c r="AG407" i="7"/>
  <c r="F423" i="7"/>
  <c r="AG426" i="7"/>
  <c r="AF456" i="7"/>
  <c r="AF457" i="7"/>
  <c r="S7" i="8"/>
  <c r="V7" i="8" s="1"/>
  <c r="X443" i="7"/>
  <c r="X383" i="7"/>
  <c r="X400" i="7" s="1"/>
  <c r="X403" i="7"/>
  <c r="AC7" i="8"/>
  <c r="X423" i="7"/>
  <c r="X425" i="7"/>
  <c r="S9" i="8"/>
  <c r="X445" i="7"/>
  <c r="X405" i="7"/>
  <c r="X365" i="7"/>
  <c r="X429" i="7"/>
  <c r="S11" i="8"/>
  <c r="V11" i="8" s="1"/>
  <c r="X449" i="7"/>
  <c r="X409" i="7"/>
  <c r="X349" i="7"/>
  <c r="X360" i="7" s="1"/>
  <c r="X369" i="7"/>
  <c r="X380" i="7" s="1"/>
  <c r="V13" i="8"/>
  <c r="X431" i="7"/>
  <c r="X309" i="7"/>
  <c r="X320" i="7" s="1"/>
  <c r="S13" i="8"/>
  <c r="AC13" i="8" s="1"/>
  <c r="X451" i="7"/>
  <c r="J15" i="8"/>
  <c r="L15" i="8" s="1"/>
  <c r="U15" i="8" s="1"/>
  <c r="V21" i="8"/>
  <c r="AG163" i="7"/>
  <c r="F286" i="7"/>
  <c r="AG306" i="7"/>
  <c r="AF333" i="7"/>
  <c r="AG335" i="7"/>
  <c r="AC360" i="7"/>
  <c r="F374" i="7"/>
  <c r="AF398" i="7"/>
  <c r="AG398" i="7" s="1"/>
  <c r="X370" i="7"/>
  <c r="X416" i="7"/>
  <c r="Z460" i="7"/>
  <c r="S8" i="8"/>
  <c r="S10" i="8"/>
  <c r="S12" i="8"/>
  <c r="X393" i="7"/>
  <c r="X404" i="7"/>
  <c r="X406" i="7"/>
  <c r="X408" i="7"/>
  <c r="X410" i="7"/>
  <c r="AE423" i="7"/>
  <c r="X453" i="7"/>
  <c r="AC21" i="8"/>
  <c r="F458" i="7"/>
  <c r="X450" i="7"/>
  <c r="X433" i="7"/>
  <c r="X436" i="7"/>
  <c r="AG458" i="7"/>
  <c r="AC8" i="8"/>
  <c r="AG455" i="7"/>
  <c r="S15" i="8"/>
  <c r="V15" i="8" s="1"/>
  <c r="AF24" i="15"/>
  <c r="F52" i="15"/>
  <c r="D52" i="15" s="1"/>
  <c r="X82" i="15"/>
  <c r="Y59" i="15"/>
  <c r="Y82" i="15" s="1"/>
  <c r="O520" i="15" s="1"/>
  <c r="AF61" i="15"/>
  <c r="AG61" i="15" s="1"/>
  <c r="F74" i="15"/>
  <c r="D74" i="15" s="1"/>
  <c r="F19" i="15"/>
  <c r="D19" i="15" s="1"/>
  <c r="AH35" i="15"/>
  <c r="AI35" i="15" s="1"/>
  <c r="AJ35" i="15" s="1"/>
  <c r="AI51" i="15"/>
  <c r="AJ51" i="15" s="1"/>
  <c r="AF26" i="15"/>
  <c r="AG124" i="15"/>
  <c r="AF124" i="15"/>
  <c r="AG8" i="15"/>
  <c r="F8" i="15"/>
  <c r="D8" i="15" s="1"/>
  <c r="M518" i="15"/>
  <c r="AG26" i="15"/>
  <c r="F26" i="15"/>
  <c r="D26" i="15" s="1"/>
  <c r="F27" i="15"/>
  <c r="D27" i="15" s="1"/>
  <c r="AI27" i="15"/>
  <c r="AJ27" i="15" s="1"/>
  <c r="AH27" i="15"/>
  <c r="AI42" i="15"/>
  <c r="AJ42" i="15" s="1"/>
  <c r="AI50" i="15"/>
  <c r="AJ50" i="15" s="1"/>
  <c r="AH50" i="15"/>
  <c r="F9" i="15"/>
  <c r="D9" i="15" s="1"/>
  <c r="AG9" i="15"/>
  <c r="AG10" i="15"/>
  <c r="F17" i="15"/>
  <c r="D17" i="15" s="1"/>
  <c r="F65" i="15"/>
  <c r="D65" i="15" s="1"/>
  <c r="F69" i="15"/>
  <c r="D69" i="15" s="1"/>
  <c r="AG72" i="15"/>
  <c r="AH72" i="15" s="1"/>
  <c r="AI72" i="15" s="1"/>
  <c r="AJ72" i="15" s="1"/>
  <c r="AI22" i="15"/>
  <c r="AJ22" i="15" s="1"/>
  <c r="AH22" i="15"/>
  <c r="AI29" i="15"/>
  <c r="AJ29" i="15" s="1"/>
  <c r="F34" i="15"/>
  <c r="D34" i="15" s="1"/>
  <c r="AG34" i="15"/>
  <c r="AF35" i="15"/>
  <c r="AG35" i="15" s="1"/>
  <c r="AF45" i="15"/>
  <c r="AG45" i="15" s="1"/>
  <c r="F55" i="15"/>
  <c r="D55" i="15" s="1"/>
  <c r="X30" i="15"/>
  <c r="AF19" i="15"/>
  <c r="AG19" i="15" s="1"/>
  <c r="AF37" i="15"/>
  <c r="F41" i="15"/>
  <c r="D41" i="15" s="1"/>
  <c r="AH75" i="15"/>
  <c r="AI75" i="15" s="1"/>
  <c r="AJ75" i="15" s="1"/>
  <c r="AI79" i="15"/>
  <c r="AJ79" i="15" s="1"/>
  <c r="AF27" i="15"/>
  <c r="AG27" i="15" s="1"/>
  <c r="AF52" i="15"/>
  <c r="AF67" i="15"/>
  <c r="AF71" i="15"/>
  <c r="AG71" i="15" s="1"/>
  <c r="AH71" i="15" s="1"/>
  <c r="AI24" i="15"/>
  <c r="AJ24" i="15" s="1"/>
  <c r="AG24" i="15"/>
  <c r="AH24" i="15" s="1"/>
  <c r="F24" i="15"/>
  <c r="D24" i="15" s="1"/>
  <c r="AI37" i="15"/>
  <c r="AJ37" i="15" s="1"/>
  <c r="AH37" i="15"/>
  <c r="AG37" i="15"/>
  <c r="AI48" i="15"/>
  <c r="AJ48" i="15" s="1"/>
  <c r="AH53" i="15"/>
  <c r="AI53" i="15" s="1"/>
  <c r="AJ53" i="15" s="1"/>
  <c r="AF55" i="15"/>
  <c r="AG55" i="15" s="1"/>
  <c r="AH55" i="15" s="1"/>
  <c r="AH62" i="15"/>
  <c r="AG62" i="15"/>
  <c r="AI62" i="15" s="1"/>
  <c r="AJ62" i="15" s="1"/>
  <c r="AG122" i="15"/>
  <c r="AH122" i="15" s="1"/>
  <c r="AF126" i="15"/>
  <c r="AG126" i="15" s="1"/>
  <c r="AI13" i="15"/>
  <c r="AJ13" i="15" s="1"/>
  <c r="AH52" i="15"/>
  <c r="AG52" i="15"/>
  <c r="AI52" i="15" s="1"/>
  <c r="AJ52" i="15" s="1"/>
  <c r="AH67" i="15"/>
  <c r="AG67" i="15"/>
  <c r="AI67" i="15" s="1"/>
  <c r="AJ67" i="15" s="1"/>
  <c r="AI71" i="15"/>
  <c r="AJ71" i="15" s="1"/>
  <c r="AF11" i="15"/>
  <c r="F12" i="15"/>
  <c r="D12" i="15" s="1"/>
  <c r="AG12" i="15"/>
  <c r="AG47" i="15"/>
  <c r="AH47" i="15" s="1"/>
  <c r="AI47" i="15" s="1"/>
  <c r="AJ47" i="15" s="1"/>
  <c r="F47" i="15"/>
  <c r="D47" i="15" s="1"/>
  <c r="AH51" i="15"/>
  <c r="AI64" i="15"/>
  <c r="AJ64" i="15" s="1"/>
  <c r="F67" i="15"/>
  <c r="D67" i="15" s="1"/>
  <c r="AI68" i="15"/>
  <c r="AJ68" i="15" s="1"/>
  <c r="F71" i="15"/>
  <c r="D71" i="15" s="1"/>
  <c r="AF74" i="15"/>
  <c r="AG74" i="15" s="1"/>
  <c r="AG11" i="15"/>
  <c r="F14" i="15"/>
  <c r="D14" i="15" s="1"/>
  <c r="AH15" i="15"/>
  <c r="AI15" i="15" s="1"/>
  <c r="AJ15" i="15" s="1"/>
  <c r="AF20" i="15"/>
  <c r="AG20" i="15" s="1"/>
  <c r="AI23" i="15"/>
  <c r="AJ23" i="15" s="1"/>
  <c r="AG23" i="15"/>
  <c r="AH23" i="15" s="1"/>
  <c r="X56" i="15"/>
  <c r="AE82" i="15"/>
  <c r="F62" i="15"/>
  <c r="D62" i="15" s="1"/>
  <c r="AG78" i="15"/>
  <c r="AH78" i="15" s="1"/>
  <c r="AI78" i="15" s="1"/>
  <c r="AJ78" i="15" s="1"/>
  <c r="F78" i="15"/>
  <c r="D78" i="15" s="1"/>
  <c r="V7" i="15"/>
  <c r="Y33" i="15"/>
  <c r="AG46" i="15"/>
  <c r="AH46" i="15" s="1"/>
  <c r="AI46" i="15" s="1"/>
  <c r="AJ46" i="15" s="1"/>
  <c r="V49" i="15"/>
  <c r="AF49" i="15" s="1"/>
  <c r="T56" i="15"/>
  <c r="J519" i="15" s="1"/>
  <c r="M519" i="15" s="1"/>
  <c r="AC82" i="15"/>
  <c r="AF65" i="15"/>
  <c r="AG65" i="15" s="1"/>
  <c r="AF69" i="15"/>
  <c r="AG69" i="15" s="1"/>
  <c r="AH69" i="15" s="1"/>
  <c r="AI69" i="15" s="1"/>
  <c r="AJ69" i="15" s="1"/>
  <c r="AE108" i="15"/>
  <c r="AF95" i="15"/>
  <c r="V97" i="15"/>
  <c r="F112" i="15"/>
  <c r="D112" i="15" s="1"/>
  <c r="F114" i="15"/>
  <c r="D114" i="15" s="1"/>
  <c r="F116" i="15"/>
  <c r="D116" i="15" s="1"/>
  <c r="F118" i="15"/>
  <c r="D118" i="15" s="1"/>
  <c r="F120" i="15"/>
  <c r="D120" i="15" s="1"/>
  <c r="F122" i="15"/>
  <c r="D122" i="15" s="1"/>
  <c r="F124" i="15"/>
  <c r="D124" i="15" s="1"/>
  <c r="AG132" i="15"/>
  <c r="F132" i="15"/>
  <c r="D132" i="15" s="1"/>
  <c r="AG133" i="15"/>
  <c r="AF133" i="15"/>
  <c r="AF141" i="15"/>
  <c r="AG141" i="15" s="1"/>
  <c r="AG152" i="15"/>
  <c r="F153" i="15"/>
  <c r="D153" i="15" s="1"/>
  <c r="X186" i="15"/>
  <c r="Y163" i="15"/>
  <c r="AG176" i="15"/>
  <c r="F177" i="15"/>
  <c r="D177" i="15" s="1"/>
  <c r="AI183" i="15"/>
  <c r="AJ183" i="15" s="1"/>
  <c r="AH183" i="15"/>
  <c r="AG183" i="15"/>
  <c r="AF189" i="15"/>
  <c r="AE212" i="15"/>
  <c r="AF229" i="15"/>
  <c r="AG229" i="15" s="1"/>
  <c r="AG259" i="15"/>
  <c r="AF274" i="15"/>
  <c r="AG274" i="15" s="1"/>
  <c r="AH274" i="15" s="1"/>
  <c r="AI274" i="15"/>
  <c r="AJ274" i="15" s="1"/>
  <c r="AG284" i="15"/>
  <c r="AH298" i="15"/>
  <c r="AI306" i="15"/>
  <c r="AJ306" i="15" s="1"/>
  <c r="AH306" i="15"/>
  <c r="AF306" i="15"/>
  <c r="AG306" i="15" s="1"/>
  <c r="AG331" i="15"/>
  <c r="AH331" i="15" s="1"/>
  <c r="AI331" i="15" s="1"/>
  <c r="AJ331" i="15" s="1"/>
  <c r="AG349" i="15"/>
  <c r="AH349" i="15" s="1"/>
  <c r="AI349" i="15" s="1"/>
  <c r="AJ349" i="15" s="1"/>
  <c r="AF349" i="15"/>
  <c r="AH40" i="15"/>
  <c r="AG80" i="15"/>
  <c r="Z82" i="15"/>
  <c r="T108" i="15"/>
  <c r="J521" i="15" s="1"/>
  <c r="V85" i="15"/>
  <c r="AH95" i="15"/>
  <c r="AI95" i="15" s="1"/>
  <c r="AJ95" i="15" s="1"/>
  <c r="F133" i="15"/>
  <c r="D133" i="15" s="1"/>
  <c r="V138" i="15"/>
  <c r="F138" i="15" s="1"/>
  <c r="D138" i="15" s="1"/>
  <c r="X160" i="15"/>
  <c r="AF169" i="15"/>
  <c r="AG189" i="15"/>
  <c r="V212" i="15"/>
  <c r="AF193" i="15"/>
  <c r="AG193" i="15"/>
  <c r="AG200" i="15"/>
  <c r="AH200" i="15" s="1"/>
  <c r="AF200" i="15"/>
  <c r="AI200" i="15"/>
  <c r="AJ200" i="15" s="1"/>
  <c r="AF204" i="15"/>
  <c r="AG204" i="15" s="1"/>
  <c r="F226" i="15"/>
  <c r="D226" i="15" s="1"/>
  <c r="AI233" i="15"/>
  <c r="AJ233" i="15" s="1"/>
  <c r="AG233" i="15"/>
  <c r="AH233" i="15" s="1"/>
  <c r="AE264" i="15"/>
  <c r="AF248" i="15"/>
  <c r="AG252" i="15"/>
  <c r="AF255" i="15"/>
  <c r="F278" i="15"/>
  <c r="D278" i="15" s="1"/>
  <c r="AH309" i="15"/>
  <c r="AF309" i="15"/>
  <c r="AG309" i="15" s="1"/>
  <c r="F310" i="15"/>
  <c r="D310" i="15" s="1"/>
  <c r="AI313" i="15"/>
  <c r="AJ313" i="15" s="1"/>
  <c r="AH313" i="15"/>
  <c r="AG313" i="15"/>
  <c r="X340" i="15"/>
  <c r="Y318" i="15"/>
  <c r="AH326" i="15"/>
  <c r="AG326" i="15"/>
  <c r="AI326" i="15" s="1"/>
  <c r="AJ326" i="15" s="1"/>
  <c r="F326" i="15"/>
  <c r="D326" i="15" s="1"/>
  <c r="AF334" i="15"/>
  <c r="AF335" i="15"/>
  <c r="AG335" i="15" s="1"/>
  <c r="AH335" i="15" s="1"/>
  <c r="AI335" i="15" s="1"/>
  <c r="AJ335" i="15" s="1"/>
  <c r="AH356" i="15"/>
  <c r="AG356" i="15"/>
  <c r="F356" i="15"/>
  <c r="D356" i="15" s="1"/>
  <c r="AI356" i="15"/>
  <c r="AJ356" i="15" s="1"/>
  <c r="Y7" i="15"/>
  <c r="Y30" i="15" s="1"/>
  <c r="O518" i="15" s="1"/>
  <c r="AF14" i="15"/>
  <c r="AG14" i="15" s="1"/>
  <c r="AF59" i="15"/>
  <c r="AF76" i="15"/>
  <c r="AG76" i="15" s="1"/>
  <c r="AF91" i="15"/>
  <c r="AF145" i="15"/>
  <c r="AG145" i="15" s="1"/>
  <c r="F145" i="15"/>
  <c r="D145" i="15" s="1"/>
  <c r="AG156" i="15"/>
  <c r="AG169" i="15"/>
  <c r="AF208" i="15"/>
  <c r="AH208" i="15"/>
  <c r="AI208" i="15" s="1"/>
  <c r="AJ208" i="15" s="1"/>
  <c r="AG208" i="15"/>
  <c r="M526" i="15"/>
  <c r="AI225" i="15"/>
  <c r="AJ225" i="15" s="1"/>
  <c r="AG248" i="15"/>
  <c r="AG255" i="15"/>
  <c r="AI297" i="15"/>
  <c r="AJ297" i="15" s="1"/>
  <c r="AG297" i="15"/>
  <c r="AH297" i="15" s="1"/>
  <c r="AF297" i="15"/>
  <c r="F297" i="15"/>
  <c r="D297" i="15" s="1"/>
  <c r="AF302" i="15"/>
  <c r="AG302" i="15" s="1"/>
  <c r="AG334" i="15"/>
  <c r="AH334" i="15"/>
  <c r="AI334" i="15" s="1"/>
  <c r="AJ334" i="15" s="1"/>
  <c r="AF360" i="15"/>
  <c r="AG360" i="15" s="1"/>
  <c r="AE33" i="15"/>
  <c r="AF39" i="15"/>
  <c r="V44" i="15"/>
  <c r="F46" i="15"/>
  <c r="D46" i="15" s="1"/>
  <c r="F63" i="15"/>
  <c r="D63" i="15" s="1"/>
  <c r="V87" i="15"/>
  <c r="AF89" i="15"/>
  <c r="V91" i="15"/>
  <c r="Y111" i="15"/>
  <c r="X134" i="15"/>
  <c r="AF144" i="15"/>
  <c r="AG144" i="15" s="1"/>
  <c r="AF157" i="15"/>
  <c r="V159" i="15"/>
  <c r="AG164" i="15"/>
  <c r="AE168" i="15"/>
  <c r="AF168" i="15" s="1"/>
  <c r="P186" i="15"/>
  <c r="AF177" i="15"/>
  <c r="V179" i="15"/>
  <c r="AF180" i="15"/>
  <c r="AG180" i="15" s="1"/>
  <c r="AG199" i="15"/>
  <c r="AH199" i="15" s="1"/>
  <c r="AI199" i="15" s="1"/>
  <c r="AJ199" i="15" s="1"/>
  <c r="AI221" i="15"/>
  <c r="AJ221" i="15" s="1"/>
  <c r="AH221" i="15"/>
  <c r="AG221" i="15"/>
  <c r="AF221" i="15"/>
  <c r="F222" i="15"/>
  <c r="D222" i="15" s="1"/>
  <c r="U238" i="15"/>
  <c r="L526" i="15" s="1"/>
  <c r="Z264" i="15"/>
  <c r="F264" i="15" s="1"/>
  <c r="F245" i="15"/>
  <c r="D245" i="15" s="1"/>
  <c r="F252" i="15"/>
  <c r="D252" i="15" s="1"/>
  <c r="AG262" i="15"/>
  <c r="AI273" i="15"/>
  <c r="AJ273" i="15" s="1"/>
  <c r="AH273" i="15"/>
  <c r="AG273" i="15"/>
  <c r="F274" i="15"/>
  <c r="D274" i="15" s="1"/>
  <c r="AG280" i="15"/>
  <c r="AI280" i="15"/>
  <c r="AJ280" i="15" s="1"/>
  <c r="AH280" i="15"/>
  <c r="F284" i="15"/>
  <c r="D284" i="15" s="1"/>
  <c r="AH288" i="15"/>
  <c r="AI288" i="15" s="1"/>
  <c r="AJ288" i="15" s="1"/>
  <c r="F303" i="15"/>
  <c r="D303" i="15" s="1"/>
  <c r="AF305" i="15"/>
  <c r="AG305" i="15" s="1"/>
  <c r="F313" i="15"/>
  <c r="D313" i="15" s="1"/>
  <c r="AF330" i="15"/>
  <c r="Y343" i="15"/>
  <c r="X365" i="15"/>
  <c r="AH352" i="15"/>
  <c r="AG352" i="15"/>
  <c r="AI352" i="15" s="1"/>
  <c r="AJ352" i="15" s="1"/>
  <c r="AF352" i="15"/>
  <c r="AF16" i="15"/>
  <c r="AF36" i="15"/>
  <c r="AG39" i="15"/>
  <c r="AI39" i="15" s="1"/>
  <c r="AJ39" i="15" s="1"/>
  <c r="Z56" i="15"/>
  <c r="AB82" i="15"/>
  <c r="R520" i="15" s="1"/>
  <c r="R549" i="15" s="1"/>
  <c r="R550" i="15" s="1"/>
  <c r="AH64" i="15"/>
  <c r="AH68" i="15"/>
  <c r="Y86" i="15"/>
  <c r="AG99" i="15"/>
  <c r="AI99" i="15" s="1"/>
  <c r="AJ99" i="15" s="1"/>
  <c r="AG130" i="15"/>
  <c r="F130" i="15"/>
  <c r="D130" i="15" s="1"/>
  <c r="AG131" i="15"/>
  <c r="AH131" i="15" s="1"/>
  <c r="AI131" i="15" s="1"/>
  <c r="AJ131" i="15" s="1"/>
  <c r="AF131" i="15"/>
  <c r="F141" i="15"/>
  <c r="D141" i="15" s="1"/>
  <c r="F152" i="15"/>
  <c r="D152" i="15" s="1"/>
  <c r="F165" i="15"/>
  <c r="D165" i="15" s="1"/>
  <c r="AF174" i="15"/>
  <c r="AG182" i="15"/>
  <c r="AH182" i="15" s="1"/>
  <c r="F183" i="15"/>
  <c r="D183" i="15" s="1"/>
  <c r="F189" i="15"/>
  <c r="D189" i="15" s="1"/>
  <c r="Z212" i="15"/>
  <c r="F193" i="15"/>
  <c r="D193" i="15" s="1"/>
  <c r="F200" i="15"/>
  <c r="D200" i="15" s="1"/>
  <c r="AH220" i="15"/>
  <c r="AG220" i="15"/>
  <c r="F225" i="15"/>
  <c r="D225" i="15" s="1"/>
  <c r="AG258" i="15"/>
  <c r="AF258" i="15"/>
  <c r="F259" i="15"/>
  <c r="D259" i="15" s="1"/>
  <c r="F330" i="15"/>
  <c r="D330" i="15" s="1"/>
  <c r="AG330" i="15"/>
  <c r="AG348" i="15"/>
  <c r="AF348" i="15"/>
  <c r="AG355" i="15"/>
  <c r="F355" i="15"/>
  <c r="D355" i="15" s="1"/>
  <c r="AH372" i="15"/>
  <c r="AG372" i="15"/>
  <c r="AI372" i="15" s="1"/>
  <c r="AJ372" i="15" s="1"/>
  <c r="AE7" i="15"/>
  <c r="AG16" i="15"/>
  <c r="AH16" i="15" s="1"/>
  <c r="AG36" i="15"/>
  <c r="F37" i="15"/>
  <c r="D37" i="15" s="1"/>
  <c r="AH39" i="15"/>
  <c r="AH48" i="15"/>
  <c r="P82" i="15"/>
  <c r="F73" i="15"/>
  <c r="D73" i="15" s="1"/>
  <c r="AG73" i="15"/>
  <c r="V81" i="15"/>
  <c r="AC108" i="15"/>
  <c r="AI90" i="15"/>
  <c r="AJ90" i="15" s="1"/>
  <c r="F131" i="15"/>
  <c r="D131" i="15" s="1"/>
  <c r="T160" i="15"/>
  <c r="J523" i="15" s="1"/>
  <c r="M523" i="15" s="1"/>
  <c r="V140" i="15"/>
  <c r="AI149" i="15"/>
  <c r="AJ149" i="15" s="1"/>
  <c r="AH149" i="15"/>
  <c r="AG149" i="15"/>
  <c r="AI150" i="15"/>
  <c r="AJ150" i="15" s="1"/>
  <c r="AH150" i="15"/>
  <c r="AF165" i="15"/>
  <c r="AG165" i="15" s="1"/>
  <c r="F169" i="15"/>
  <c r="D169" i="15" s="1"/>
  <c r="AF185" i="15"/>
  <c r="AC212" i="15"/>
  <c r="F204" i="15"/>
  <c r="D204" i="15" s="1"/>
  <c r="F208" i="15"/>
  <c r="D208" i="15" s="1"/>
  <c r="AF227" i="15"/>
  <c r="AH228" i="15"/>
  <c r="AI228" i="15" s="1"/>
  <c r="AJ228" i="15" s="1"/>
  <c r="AG228" i="15"/>
  <c r="AF228" i="15"/>
  <c r="F229" i="15"/>
  <c r="D229" i="15" s="1"/>
  <c r="AF232" i="15"/>
  <c r="AG232" i="15" s="1"/>
  <c r="AH232" i="15" s="1"/>
  <c r="F233" i="15"/>
  <c r="D233" i="15" s="1"/>
  <c r="AF236" i="15"/>
  <c r="Y237" i="15"/>
  <c r="AF276" i="15"/>
  <c r="AF286" i="15"/>
  <c r="AG286" i="15" s="1"/>
  <c r="AH286" i="15"/>
  <c r="AG300" i="15"/>
  <c r="AH300" i="15" s="1"/>
  <c r="AF300" i="15"/>
  <c r="F308" i="15"/>
  <c r="D308" i="15" s="1"/>
  <c r="AG308" i="15"/>
  <c r="AH321" i="15"/>
  <c r="AI321" i="15" s="1"/>
  <c r="AJ321" i="15" s="1"/>
  <c r="AG324" i="15"/>
  <c r="AF324" i="15"/>
  <c r="AF331" i="15"/>
  <c r="AF344" i="15"/>
  <c r="F352" i="15"/>
  <c r="D352" i="15" s="1"/>
  <c r="AF378" i="15"/>
  <c r="F20" i="15"/>
  <c r="D20" i="15" s="1"/>
  <c r="AG21" i="15"/>
  <c r="AH38" i="15"/>
  <c r="AI38" i="15" s="1"/>
  <c r="AJ38" i="15" s="1"/>
  <c r="AG43" i="15"/>
  <c r="AH43" i="15" s="1"/>
  <c r="AF60" i="15"/>
  <c r="AG60" i="15" s="1"/>
  <c r="AF63" i="15"/>
  <c r="AG63" i="15" s="1"/>
  <c r="AH73" i="15"/>
  <c r="AF85" i="15"/>
  <c r="Y88" i="15"/>
  <c r="AG95" i="15"/>
  <c r="P134" i="15"/>
  <c r="AE112" i="15"/>
  <c r="AF112" i="15" s="1"/>
  <c r="AG112" i="15" s="1"/>
  <c r="AH112" i="15" s="1"/>
  <c r="Y112" i="15"/>
  <c r="AE114" i="15"/>
  <c r="AF114" i="15" s="1"/>
  <c r="AG114" i="15" s="1"/>
  <c r="Y114" i="15"/>
  <c r="AE116" i="15"/>
  <c r="AF116" i="15" s="1"/>
  <c r="AG116" i="15" s="1"/>
  <c r="Y116" i="15"/>
  <c r="AH116" i="15" s="1"/>
  <c r="AE118" i="15"/>
  <c r="AF118" i="15" s="1"/>
  <c r="AG118" i="15" s="1"/>
  <c r="Y118" i="15"/>
  <c r="AE120" i="15"/>
  <c r="AF120" i="15" s="1"/>
  <c r="AG120" i="15" s="1"/>
  <c r="Y120" i="15"/>
  <c r="AE122" i="15"/>
  <c r="AF122" i="15" s="1"/>
  <c r="Y122" i="15"/>
  <c r="U160" i="15"/>
  <c r="L523" i="15" s="1"/>
  <c r="AG155" i="15"/>
  <c r="AF155" i="15"/>
  <c r="F156" i="15"/>
  <c r="D156" i="15" s="1"/>
  <c r="AG185" i="15"/>
  <c r="Y192" i="15"/>
  <c r="X238" i="15"/>
  <c r="Y215" i="15"/>
  <c r="AH215" i="15" s="1"/>
  <c r="AI215" i="15" s="1"/>
  <c r="AJ215" i="15" s="1"/>
  <c r="AF225" i="15"/>
  <c r="AG225" i="15" s="1"/>
  <c r="AH225" i="15" s="1"/>
  <c r="AI227" i="15"/>
  <c r="AJ227" i="15" s="1"/>
  <c r="AH227" i="15"/>
  <c r="AG227" i="15"/>
  <c r="AG236" i="15"/>
  <c r="F248" i="15"/>
  <c r="D248" i="15" s="1"/>
  <c r="F251" i="15"/>
  <c r="D251" i="15" s="1"/>
  <c r="AF254" i="15"/>
  <c r="AG254" i="15" s="1"/>
  <c r="F255" i="15"/>
  <c r="D255" i="15" s="1"/>
  <c r="AG276" i="15"/>
  <c r="F295" i="15"/>
  <c r="D295" i="15" s="1"/>
  <c r="AG359" i="15"/>
  <c r="AG378" i="15"/>
  <c r="U82" i="15"/>
  <c r="L520" i="15" s="1"/>
  <c r="M520" i="15" s="1"/>
  <c r="F61" i="15"/>
  <c r="D61" i="15" s="1"/>
  <c r="AG93" i="15"/>
  <c r="AI107" i="15"/>
  <c r="AJ107" i="15" s="1"/>
  <c r="AH107" i="15"/>
  <c r="L521" i="15"/>
  <c r="L549" i="15" s="1"/>
  <c r="L550" i="15" s="1"/>
  <c r="I521" i="15"/>
  <c r="I549" i="15" s="1"/>
  <c r="I550" i="15" s="1"/>
  <c r="AG128" i="15"/>
  <c r="F128" i="15"/>
  <c r="D128" i="15" s="1"/>
  <c r="AH129" i="15"/>
  <c r="AG129" i="15"/>
  <c r="F140" i="15"/>
  <c r="D140" i="15" s="1"/>
  <c r="AG154" i="15"/>
  <c r="F155" i="15"/>
  <c r="D155" i="15" s="1"/>
  <c r="AF156" i="15"/>
  <c r="M524" i="15"/>
  <c r="AF167" i="15"/>
  <c r="AG167" i="15" s="1"/>
  <c r="AH167" i="15" s="1"/>
  <c r="AI167" i="15" s="1"/>
  <c r="AJ167" i="15" s="1"/>
  <c r="F167" i="15"/>
  <c r="D167" i="15" s="1"/>
  <c r="AI173" i="15"/>
  <c r="AJ173" i="15" s="1"/>
  <c r="AF179" i="15"/>
  <c r="AH181" i="15"/>
  <c r="AI181" i="15" s="1"/>
  <c r="AJ181" i="15" s="1"/>
  <c r="AG181" i="15"/>
  <c r="AG191" i="15"/>
  <c r="AF198" i="15"/>
  <c r="AG198" i="15" s="1"/>
  <c r="AF202" i="15"/>
  <c r="AF206" i="15"/>
  <c r="AG224" i="15"/>
  <c r="AH224" i="15" s="1"/>
  <c r="AH231" i="15"/>
  <c r="AG231" i="15"/>
  <c r="AH257" i="15"/>
  <c r="AG257" i="15"/>
  <c r="AI257" i="15" s="1"/>
  <c r="AJ257" i="15" s="1"/>
  <c r="F258" i="15"/>
  <c r="D258" i="15" s="1"/>
  <c r="AG272" i="15"/>
  <c r="AH272" i="15" s="1"/>
  <c r="AF272" i="15"/>
  <c r="AI272" i="15"/>
  <c r="AJ272" i="15" s="1"/>
  <c r="AF275" i="15"/>
  <c r="AG282" i="15"/>
  <c r="F302" i="15"/>
  <c r="D302" i="15" s="1"/>
  <c r="AF304" i="15"/>
  <c r="AG304" i="15" s="1"/>
  <c r="AI304" i="15" s="1"/>
  <c r="AJ304" i="15" s="1"/>
  <c r="AG333" i="15"/>
  <c r="AF354" i="15"/>
  <c r="AG354" i="15" s="1"/>
  <c r="AG13" i="15"/>
  <c r="AH13" i="15" s="1"/>
  <c r="AG18" i="15"/>
  <c r="AH42" i="15"/>
  <c r="V59" i="15"/>
  <c r="AF80" i="15"/>
  <c r="AG86" i="15"/>
  <c r="AF103" i="15"/>
  <c r="AH105" i="15"/>
  <c r="AI105" i="15" s="1"/>
  <c r="AJ105" i="15" s="1"/>
  <c r="T134" i="15"/>
  <c r="J522" i="15" s="1"/>
  <c r="M522" i="15" s="1"/>
  <c r="AH127" i="15"/>
  <c r="AI127" i="15" s="1"/>
  <c r="AJ127" i="15" s="1"/>
  <c r="AG127" i="15"/>
  <c r="F129" i="15"/>
  <c r="D129" i="15" s="1"/>
  <c r="AC160" i="15"/>
  <c r="AF143" i="15"/>
  <c r="AG143" i="15" s="1"/>
  <c r="F144" i="15"/>
  <c r="D144" i="15" s="1"/>
  <c r="AI158" i="15"/>
  <c r="AJ158" i="15" s="1"/>
  <c r="AH158" i="15"/>
  <c r="AG158" i="15"/>
  <c r="U186" i="15"/>
  <c r="L524" i="15" s="1"/>
  <c r="Z186" i="15"/>
  <c r="AG171" i="15"/>
  <c r="AG178" i="15"/>
  <c r="AG197" i="15"/>
  <c r="AG202" i="15"/>
  <c r="AG206" i="15"/>
  <c r="T212" i="15"/>
  <c r="J525" i="15" s="1"/>
  <c r="M525" i="15" s="1"/>
  <c r="AC238" i="15"/>
  <c r="F220" i="15"/>
  <c r="D220" i="15" s="1"/>
  <c r="F228" i="15"/>
  <c r="D228" i="15" s="1"/>
  <c r="F232" i="15"/>
  <c r="D232" i="15" s="1"/>
  <c r="V264" i="15"/>
  <c r="AF251" i="15"/>
  <c r="AG251" i="15" s="1"/>
  <c r="AH253" i="15"/>
  <c r="AG253" i="15"/>
  <c r="AH275" i="15"/>
  <c r="AI275" i="15" s="1"/>
  <c r="AJ275" i="15" s="1"/>
  <c r="AG275" i="15"/>
  <c r="M529" i="15"/>
  <c r="F304" i="15"/>
  <c r="D304" i="15" s="1"/>
  <c r="AF318" i="15"/>
  <c r="AE340" i="15"/>
  <c r="F359" i="15"/>
  <c r="D359" i="15" s="1"/>
  <c r="AH371" i="15"/>
  <c r="AG25" i="15"/>
  <c r="AH25" i="15" s="1"/>
  <c r="AI25" i="15" s="1"/>
  <c r="AJ25" i="15" s="1"/>
  <c r="AG28" i="15"/>
  <c r="F35" i="15"/>
  <c r="D35" i="15" s="1"/>
  <c r="AG40" i="15"/>
  <c r="AG54" i="15"/>
  <c r="AH54" i="15" s="1"/>
  <c r="F72" i="15"/>
  <c r="D72" i="15" s="1"/>
  <c r="AH80" i="15"/>
  <c r="AG89" i="15"/>
  <c r="AF101" i="15"/>
  <c r="V103" i="15"/>
  <c r="X108" i="15"/>
  <c r="AI125" i="15"/>
  <c r="AJ125" i="15" s="1"/>
  <c r="AH125" i="15"/>
  <c r="AG125" i="15"/>
  <c r="F127" i="15"/>
  <c r="D127" i="15" s="1"/>
  <c r="AE160" i="15"/>
  <c r="AF140" i="15"/>
  <c r="AF142" i="15"/>
  <c r="AG142" i="15" s="1"/>
  <c r="F149" i="15"/>
  <c r="D149" i="15" s="1"/>
  <c r="AG150" i="15"/>
  <c r="F158" i="15"/>
  <c r="D158" i="15" s="1"/>
  <c r="AG166" i="15"/>
  <c r="AG174" i="15"/>
  <c r="F178" i="15"/>
  <c r="D178" i="15" s="1"/>
  <c r="F181" i="15"/>
  <c r="D181" i="15" s="1"/>
  <c r="AG201" i="15"/>
  <c r="AE238" i="15"/>
  <c r="AI218" i="15"/>
  <c r="AJ218" i="15" s="1"/>
  <c r="AH218" i="15"/>
  <c r="F224" i="15"/>
  <c r="D224" i="15" s="1"/>
  <c r="F236" i="15"/>
  <c r="D236" i="15" s="1"/>
  <c r="X264" i="15"/>
  <c r="AI246" i="15"/>
  <c r="AJ246" i="15" s="1"/>
  <c r="AH246" i="15"/>
  <c r="AG246" i="15"/>
  <c r="AG250" i="15"/>
  <c r="AH250" i="15" s="1"/>
  <c r="AI250" i="15" s="1"/>
  <c r="AJ250" i="15" s="1"/>
  <c r="F254" i="15"/>
  <c r="D254" i="15" s="1"/>
  <c r="AG260" i="15"/>
  <c r="AF260" i="15"/>
  <c r="F260" i="15"/>
  <c r="D260" i="15" s="1"/>
  <c r="F276" i="15"/>
  <c r="D276" i="15" s="1"/>
  <c r="F300" i="15"/>
  <c r="D300" i="15" s="1"/>
  <c r="AG307" i="15"/>
  <c r="AF310" i="15"/>
  <c r="AG310" i="15" s="1"/>
  <c r="F322" i="15"/>
  <c r="D322" i="15" s="1"/>
  <c r="AF322" i="15"/>
  <c r="AG322" i="15" s="1"/>
  <c r="AF355" i="15"/>
  <c r="AF361" i="15"/>
  <c r="AG361" i="15" s="1"/>
  <c r="AH361" i="15" s="1"/>
  <c r="AI361" i="15" s="1"/>
  <c r="AJ361" i="15" s="1"/>
  <c r="V56" i="15"/>
  <c r="F40" i="15"/>
  <c r="D40" i="15" s="1"/>
  <c r="AI40" i="15"/>
  <c r="AJ40" i="15" s="1"/>
  <c r="AF41" i="15"/>
  <c r="AG41" i="15" s="1"/>
  <c r="V66" i="15"/>
  <c r="AF66" i="15" s="1"/>
  <c r="V70" i="15"/>
  <c r="AF70" i="15" s="1"/>
  <c r="V77" i="15"/>
  <c r="AI80" i="15"/>
  <c r="F95" i="15"/>
  <c r="D95" i="15" s="1"/>
  <c r="AF99" i="15"/>
  <c r="V101" i="15"/>
  <c r="V134" i="15"/>
  <c r="AI111" i="15"/>
  <c r="AJ111" i="15" s="1"/>
  <c r="AH111" i="15"/>
  <c r="AG111" i="15"/>
  <c r="AI113" i="15"/>
  <c r="AJ113" i="15" s="1"/>
  <c r="AH113" i="15"/>
  <c r="AG113" i="15"/>
  <c r="AI115" i="15"/>
  <c r="AJ115" i="15" s="1"/>
  <c r="AG115" i="15"/>
  <c r="AH115" i="15" s="1"/>
  <c r="AG117" i="15"/>
  <c r="AG119" i="15"/>
  <c r="AG121" i="15"/>
  <c r="AI123" i="15"/>
  <c r="AJ123" i="15" s="1"/>
  <c r="AG123" i="15"/>
  <c r="AH123" i="15" s="1"/>
  <c r="F125" i="15"/>
  <c r="D125" i="15" s="1"/>
  <c r="AH139" i="15"/>
  <c r="AI139" i="15" s="1"/>
  <c r="AJ139" i="15" s="1"/>
  <c r="AG139" i="15"/>
  <c r="AF147" i="15"/>
  <c r="AI147" i="15"/>
  <c r="AJ147" i="15" s="1"/>
  <c r="AG147" i="15"/>
  <c r="AH147" i="15" s="1"/>
  <c r="F163" i="15"/>
  <c r="D163" i="15" s="1"/>
  <c r="AC186" i="15"/>
  <c r="AF184" i="15"/>
  <c r="AG184" i="15" s="1"/>
  <c r="F185" i="15"/>
  <c r="D185" i="15" s="1"/>
  <c r="AB238" i="15"/>
  <c r="R526" i="15" s="1"/>
  <c r="AI223" i="15"/>
  <c r="AJ223" i="15" s="1"/>
  <c r="AG223" i="15"/>
  <c r="AH223" i="15" s="1"/>
  <c r="F227" i="15"/>
  <c r="D227" i="15" s="1"/>
  <c r="AH235" i="15"/>
  <c r="AF295" i="15"/>
  <c r="AG295" i="15" s="1"/>
  <c r="AH310" i="15"/>
  <c r="F353" i="15"/>
  <c r="D353" i="15" s="1"/>
  <c r="AF353" i="15"/>
  <c r="AG353" i="15" s="1"/>
  <c r="AF17" i="15"/>
  <c r="AG17" i="15" s="1"/>
  <c r="F59" i="15"/>
  <c r="D59" i="15" s="1"/>
  <c r="F93" i="15"/>
  <c r="D93" i="15" s="1"/>
  <c r="AF97" i="15"/>
  <c r="AH99" i="15"/>
  <c r="Z134" i="15"/>
  <c r="F134" i="15" s="1"/>
  <c r="F111" i="15"/>
  <c r="D111" i="15" s="1"/>
  <c r="F126" i="15"/>
  <c r="D126" i="15" s="1"/>
  <c r="AH153" i="15"/>
  <c r="AI153" i="15" s="1"/>
  <c r="AJ153" i="15" s="1"/>
  <c r="AF153" i="15"/>
  <c r="AG153" i="15" s="1"/>
  <c r="AG157" i="15"/>
  <c r="AH157" i="15" s="1"/>
  <c r="AE186" i="15"/>
  <c r="AH177" i="15"/>
  <c r="AG177" i="15"/>
  <c r="AI177" i="15" s="1"/>
  <c r="AJ177" i="15" s="1"/>
  <c r="AG222" i="15"/>
  <c r="AG226" i="15"/>
  <c r="AF230" i="15"/>
  <c r="AG230" i="15" s="1"/>
  <c r="AF234" i="15"/>
  <c r="AG234" i="15" s="1"/>
  <c r="F234" i="15"/>
  <c r="D234" i="15" s="1"/>
  <c r="AF256" i="15"/>
  <c r="AG256" i="15" s="1"/>
  <c r="AF259" i="15"/>
  <c r="Z290" i="15"/>
  <c r="F290" i="15" s="1"/>
  <c r="F271" i="15"/>
  <c r="D271" i="15" s="1"/>
  <c r="AG278" i="15"/>
  <c r="AH278" i="15"/>
  <c r="AG303" i="15"/>
  <c r="AH303" i="15" s="1"/>
  <c r="AI303" i="15" s="1"/>
  <c r="AJ303" i="15" s="1"/>
  <c r="AF303" i="15"/>
  <c r="Y190" i="15"/>
  <c r="AG195" i="15"/>
  <c r="AH195" i="15" s="1"/>
  <c r="AG210" i="15"/>
  <c r="AH210" i="15" s="1"/>
  <c r="AI210" i="15" s="1"/>
  <c r="AJ210" i="15" s="1"/>
  <c r="AF215" i="15"/>
  <c r="AG215" i="15" s="1"/>
  <c r="V216" i="15"/>
  <c r="F526" i="15"/>
  <c r="AG241" i="15"/>
  <c r="AG243" i="15"/>
  <c r="AA264" i="15"/>
  <c r="Q527" i="15" s="1"/>
  <c r="P527" i="15" s="1"/>
  <c r="F527" i="15" s="1"/>
  <c r="AG267" i="15"/>
  <c r="AG269" i="15"/>
  <c r="AG288" i="15"/>
  <c r="AA290" i="15"/>
  <c r="Q528" i="15" s="1"/>
  <c r="P528" i="15" s="1"/>
  <c r="AG319" i="15"/>
  <c r="T365" i="15"/>
  <c r="V343" i="15"/>
  <c r="Z350" i="15"/>
  <c r="AH358" i="15"/>
  <c r="AI358" i="15" s="1"/>
  <c r="AJ358" i="15" s="1"/>
  <c r="F361" i="15"/>
  <c r="D361" i="15" s="1"/>
  <c r="AI371" i="15"/>
  <c r="AJ371" i="15" s="1"/>
  <c r="AF372" i="15"/>
  <c r="AG374" i="15"/>
  <c r="AG375" i="15"/>
  <c r="F378" i="15"/>
  <c r="D378" i="15" s="1"/>
  <c r="Y380" i="15"/>
  <c r="AF388" i="15"/>
  <c r="F407" i="15"/>
  <c r="D407" i="15" s="1"/>
  <c r="AF450" i="15"/>
  <c r="AG450" i="15" s="1"/>
  <c r="AH452" i="15"/>
  <c r="AI452" i="15" s="1"/>
  <c r="AJ452" i="15" s="1"/>
  <c r="F525" i="15"/>
  <c r="F215" i="15"/>
  <c r="D215" i="15" s="1"/>
  <c r="AH241" i="15"/>
  <c r="AF247" i="15"/>
  <c r="AH267" i="15"/>
  <c r="P315" i="15"/>
  <c r="AF296" i="15"/>
  <c r="F298" i="15"/>
  <c r="D298" i="15" s="1"/>
  <c r="U340" i="15"/>
  <c r="L530" i="15" s="1"/>
  <c r="M530" i="15" s="1"/>
  <c r="F332" i="15"/>
  <c r="D332" i="15" s="1"/>
  <c r="F380" i="15"/>
  <c r="D380" i="15" s="1"/>
  <c r="F389" i="15"/>
  <c r="D389" i="15" s="1"/>
  <c r="F425" i="15"/>
  <c r="D425" i="15" s="1"/>
  <c r="AF435" i="15"/>
  <c r="AH447" i="15"/>
  <c r="AG447" i="15"/>
  <c r="AI447" i="15"/>
  <c r="AJ447" i="15" s="1"/>
  <c r="AH90" i="15"/>
  <c r="AH92" i="15"/>
  <c r="AI92" i="15" s="1"/>
  <c r="AJ92" i="15" s="1"/>
  <c r="AH94" i="15"/>
  <c r="AI94" i="15" s="1"/>
  <c r="AJ94" i="15" s="1"/>
  <c r="AH96" i="15"/>
  <c r="AI96" i="15" s="1"/>
  <c r="AJ96" i="15" s="1"/>
  <c r="AH98" i="15"/>
  <c r="AI98" i="15" s="1"/>
  <c r="AJ98" i="15" s="1"/>
  <c r="AH100" i="15"/>
  <c r="AI100" i="15" s="1"/>
  <c r="AJ100" i="15" s="1"/>
  <c r="AH102" i="15"/>
  <c r="AI102" i="15" s="1"/>
  <c r="AJ102" i="15" s="1"/>
  <c r="AH104" i="15"/>
  <c r="AI104" i="15" s="1"/>
  <c r="AJ104" i="15" s="1"/>
  <c r="AH106" i="15"/>
  <c r="AI106" i="15" s="1"/>
  <c r="AJ106" i="15" s="1"/>
  <c r="V137" i="15"/>
  <c r="AG151" i="15"/>
  <c r="AH151" i="15" s="1"/>
  <c r="AH173" i="15"/>
  <c r="AG175" i="15"/>
  <c r="AH217" i="15"/>
  <c r="AI217" i="15" s="1"/>
  <c r="AJ217" i="15" s="1"/>
  <c r="AG219" i="15"/>
  <c r="AI219" i="15" s="1"/>
  <c r="AJ219" i="15" s="1"/>
  <c r="F221" i="15"/>
  <c r="D221" i="15" s="1"/>
  <c r="AI241" i="15"/>
  <c r="AJ241" i="15" s="1"/>
  <c r="AG245" i="15"/>
  <c r="AH245" i="15" s="1"/>
  <c r="AG247" i="15"/>
  <c r="AI247" i="15" s="1"/>
  <c r="AJ247" i="15" s="1"/>
  <c r="AI267" i="15"/>
  <c r="AJ267" i="15" s="1"/>
  <c r="AG271" i="15"/>
  <c r="AI271" i="15" s="1"/>
  <c r="AJ271" i="15" s="1"/>
  <c r="AG296" i="15"/>
  <c r="AH296" i="15" s="1"/>
  <c r="Y304" i="15"/>
  <c r="AH304" i="15" s="1"/>
  <c r="Y310" i="15"/>
  <c r="AI310" i="15" s="1"/>
  <c r="AJ310" i="15" s="1"/>
  <c r="V318" i="15"/>
  <c r="AG325" i="15"/>
  <c r="AH325" i="15" s="1"/>
  <c r="AI325" i="15" s="1"/>
  <c r="AJ325" i="15" s="1"/>
  <c r="V344" i="15"/>
  <c r="P390" i="15"/>
  <c r="AG397" i="15"/>
  <c r="AH402" i="15"/>
  <c r="AI402" i="15" s="1"/>
  <c r="AJ402" i="15" s="1"/>
  <c r="AG402" i="15"/>
  <c r="AH405" i="15"/>
  <c r="AG405" i="15"/>
  <c r="AI405" i="15"/>
  <c r="AJ405" i="15" s="1"/>
  <c r="AG412" i="15"/>
  <c r="AF418" i="15"/>
  <c r="AE440" i="15"/>
  <c r="AG419" i="15"/>
  <c r="AH419" i="15" s="1"/>
  <c r="AI419" i="15" s="1"/>
  <c r="AJ419" i="15" s="1"/>
  <c r="V435" i="15"/>
  <c r="AF453" i="15"/>
  <c r="E538" i="15"/>
  <c r="AB538" i="15"/>
  <c r="D538" i="15" s="1"/>
  <c r="Y124" i="15"/>
  <c r="Y126" i="15"/>
  <c r="Y128" i="15"/>
  <c r="Y130" i="15"/>
  <c r="Y132" i="15"/>
  <c r="Y152" i="15"/>
  <c r="Y154" i="15"/>
  <c r="V163" i="15"/>
  <c r="AH175" i="15"/>
  <c r="Y176" i="15"/>
  <c r="AH176" i="15" s="1"/>
  <c r="P212" i="15"/>
  <c r="AH219" i="15"/>
  <c r="Y220" i="15"/>
  <c r="AI220" i="15" s="1"/>
  <c r="AJ220" i="15" s="1"/>
  <c r="Y222" i="15"/>
  <c r="AH222" i="15" s="1"/>
  <c r="Y246" i="15"/>
  <c r="AH247" i="15"/>
  <c r="Y248" i="15"/>
  <c r="AG249" i="15"/>
  <c r="AH271" i="15"/>
  <c r="F307" i="15"/>
  <c r="D307" i="15" s="1"/>
  <c r="AG320" i="15"/>
  <c r="AF323" i="15"/>
  <c r="AG328" i="15"/>
  <c r="AG336" i="15"/>
  <c r="AH336" i="15" s="1"/>
  <c r="AH339" i="15"/>
  <c r="AI339" i="15" s="1"/>
  <c r="AJ339" i="15" s="1"/>
  <c r="Y348" i="15"/>
  <c r="Y351" i="15"/>
  <c r="AG357" i="15"/>
  <c r="AI357" i="15" s="1"/>
  <c r="AJ357" i="15" s="1"/>
  <c r="F363" i="15"/>
  <c r="D363" i="15" s="1"/>
  <c r="AG369" i="15"/>
  <c r="AF384" i="15"/>
  <c r="AG384" i="15" s="1"/>
  <c r="AG394" i="15"/>
  <c r="F401" i="15"/>
  <c r="D401" i="15" s="1"/>
  <c r="Y422" i="15"/>
  <c r="X440" i="15"/>
  <c r="AI431" i="15"/>
  <c r="AJ431" i="15" s="1"/>
  <c r="AH431" i="15"/>
  <c r="AG431" i="15"/>
  <c r="AF431" i="15"/>
  <c r="F431" i="15"/>
  <c r="D431" i="15" s="1"/>
  <c r="AG438" i="15"/>
  <c r="F450" i="15"/>
  <c r="D450" i="15" s="1"/>
  <c r="AH453" i="15"/>
  <c r="AI453" i="15" s="1"/>
  <c r="AJ453" i="15" s="1"/>
  <c r="AG453" i="15"/>
  <c r="P518" i="15"/>
  <c r="F519" i="15"/>
  <c r="P108" i="15"/>
  <c r="AH249" i="15"/>
  <c r="AI249" i="15" s="1"/>
  <c r="AJ249" i="15" s="1"/>
  <c r="V293" i="15"/>
  <c r="AG294" i="15"/>
  <c r="AH294" i="15" s="1"/>
  <c r="AH312" i="15"/>
  <c r="AI312" i="15" s="1"/>
  <c r="AJ312" i="15" s="1"/>
  <c r="AG323" i="15"/>
  <c r="AH323" i="15" s="1"/>
  <c r="AI323" i="15" s="1"/>
  <c r="AJ323" i="15" s="1"/>
  <c r="F333" i="15"/>
  <c r="D333" i="15" s="1"/>
  <c r="AC365" i="15"/>
  <c r="V345" i="15"/>
  <c r="F348" i="15"/>
  <c r="D348" i="15" s="1"/>
  <c r="AG350" i="15"/>
  <c r="AH350" i="15" s="1"/>
  <c r="U390" i="15"/>
  <c r="AG371" i="15"/>
  <c r="AG388" i="15"/>
  <c r="T415" i="15"/>
  <c r="AH395" i="15"/>
  <c r="AF395" i="15"/>
  <c r="AG395" i="15" s="1"/>
  <c r="AI395" i="15" s="1"/>
  <c r="AJ395" i="15" s="1"/>
  <c r="F405" i="15"/>
  <c r="D405" i="15" s="1"/>
  <c r="AF406" i="15"/>
  <c r="AG406" i="15" s="1"/>
  <c r="AF408" i="15"/>
  <c r="F409" i="15"/>
  <c r="D409" i="15" s="1"/>
  <c r="AG411" i="15"/>
  <c r="AH424" i="15"/>
  <c r="AI424" i="15" s="1"/>
  <c r="AJ424" i="15" s="1"/>
  <c r="F438" i="15"/>
  <c r="D438" i="15" s="1"/>
  <c r="AF446" i="15"/>
  <c r="AG446" i="15" s="1"/>
  <c r="AF449" i="15"/>
  <c r="F168" i="15"/>
  <c r="D168" i="15" s="1"/>
  <c r="AG168" i="15"/>
  <c r="AG170" i="15"/>
  <c r="AH170" i="15" s="1"/>
  <c r="AG190" i="15"/>
  <c r="AG192" i="15"/>
  <c r="AG203" i="15"/>
  <c r="AG205" i="15"/>
  <c r="AH205" i="15" s="1"/>
  <c r="AG207" i="15"/>
  <c r="AH207" i="15" s="1"/>
  <c r="AG235" i="15"/>
  <c r="AG237" i="15"/>
  <c r="AG261" i="15"/>
  <c r="AG263" i="15"/>
  <c r="AG277" i="15"/>
  <c r="AG279" i="15"/>
  <c r="AG281" i="15"/>
  <c r="AH281" i="15" s="1"/>
  <c r="AG283" i="15"/>
  <c r="AH283" i="15" s="1"/>
  <c r="AG285" i="15"/>
  <c r="AH285" i="15" s="1"/>
  <c r="X315" i="15"/>
  <c r="AF299" i="15"/>
  <c r="AG299" i="15" s="1"/>
  <c r="Z340" i="15"/>
  <c r="P340" i="15"/>
  <c r="AE343" i="15"/>
  <c r="Y359" i="15"/>
  <c r="AH359" i="15" s="1"/>
  <c r="AF363" i="15"/>
  <c r="AG363" i="15" s="1"/>
  <c r="V390" i="15"/>
  <c r="F384" i="15"/>
  <c r="D384" i="15" s="1"/>
  <c r="F386" i="15"/>
  <c r="D386" i="15" s="1"/>
  <c r="F396" i="15"/>
  <c r="D396" i="15" s="1"/>
  <c r="AF398" i="15"/>
  <c r="AG398" i="15" s="1"/>
  <c r="AG408" i="15"/>
  <c r="F447" i="15"/>
  <c r="D447" i="15" s="1"/>
  <c r="AG449" i="15"/>
  <c r="AH449" i="15" s="1"/>
  <c r="F449" i="15"/>
  <c r="D449" i="15" s="1"/>
  <c r="F453" i="15"/>
  <c r="D453" i="15" s="1"/>
  <c r="AG146" i="15"/>
  <c r="F148" i="15"/>
  <c r="D148" i="15" s="1"/>
  <c r="AG148" i="15"/>
  <c r="Y169" i="15"/>
  <c r="Y171" i="15"/>
  <c r="AH171" i="15" s="1"/>
  <c r="F172" i="15"/>
  <c r="D172" i="15" s="1"/>
  <c r="AF172" i="15"/>
  <c r="AG172" i="15" s="1"/>
  <c r="Y189" i="15"/>
  <c r="Y212" i="15" s="1"/>
  <c r="O525" i="15" s="1"/>
  <c r="Y191" i="15"/>
  <c r="F194" i="15"/>
  <c r="D194" i="15" s="1"/>
  <c r="AG194" i="15"/>
  <c r="AH194" i="15" s="1"/>
  <c r="AF196" i="15"/>
  <c r="AG196" i="15" s="1"/>
  <c r="Y202" i="15"/>
  <c r="AH202" i="15" s="1"/>
  <c r="Y204" i="15"/>
  <c r="Y206" i="15"/>
  <c r="F209" i="15"/>
  <c r="D209" i="15" s="1"/>
  <c r="AG209" i="15"/>
  <c r="AH209" i="15" s="1"/>
  <c r="F211" i="15"/>
  <c r="D211" i="15" s="1"/>
  <c r="AG211" i="15"/>
  <c r="AH211" i="15" s="1"/>
  <c r="Y236" i="15"/>
  <c r="F242" i="15"/>
  <c r="D242" i="15" s="1"/>
  <c r="AG242" i="15"/>
  <c r="F244" i="15"/>
  <c r="D244" i="15" s="1"/>
  <c r="AG244" i="15"/>
  <c r="AH244" i="15" s="1"/>
  <c r="Y262" i="15"/>
  <c r="X290" i="15"/>
  <c r="F268" i="15"/>
  <c r="D268" i="15" s="1"/>
  <c r="AG268" i="15"/>
  <c r="F270" i="15"/>
  <c r="D270" i="15" s="1"/>
  <c r="AG270" i="15"/>
  <c r="AH270" i="15" s="1"/>
  <c r="Y276" i="15"/>
  <c r="Y290" i="15" s="1"/>
  <c r="Y282" i="15"/>
  <c r="Y284" i="15"/>
  <c r="F287" i="15"/>
  <c r="D287" i="15" s="1"/>
  <c r="AG287" i="15"/>
  <c r="AH287" i="15" s="1"/>
  <c r="F289" i="15"/>
  <c r="D289" i="15" s="1"/>
  <c r="AG289" i="15"/>
  <c r="Y293" i="15"/>
  <c r="AI298" i="15"/>
  <c r="AJ298" i="15" s="1"/>
  <c r="F299" i="15"/>
  <c r="D299" i="15" s="1"/>
  <c r="Y305" i="15"/>
  <c r="AH305" i="15" s="1"/>
  <c r="Y308" i="15"/>
  <c r="AH308" i="15" s="1"/>
  <c r="Y322" i="15"/>
  <c r="F334" i="15"/>
  <c r="D334" i="15" s="1"/>
  <c r="AG337" i="15"/>
  <c r="AH337" i="15" s="1"/>
  <c r="AH346" i="15"/>
  <c r="AI346" i="15" s="1"/>
  <c r="AJ346" i="15" s="1"/>
  <c r="AG370" i="15"/>
  <c r="AH370" i="15" s="1"/>
  <c r="AH376" i="15"/>
  <c r="AG376" i="15"/>
  <c r="AH393" i="15"/>
  <c r="AF393" i="15"/>
  <c r="F455" i="15"/>
  <c r="D455" i="15" s="1"/>
  <c r="F459" i="15"/>
  <c r="D459" i="15" s="1"/>
  <c r="AG459" i="15"/>
  <c r="AH459" i="15" s="1"/>
  <c r="Z542" i="15"/>
  <c r="AA542" i="15"/>
  <c r="T290" i="15"/>
  <c r="J528" i="15" s="1"/>
  <c r="M528" i="15" s="1"/>
  <c r="F305" i="15"/>
  <c r="D305" i="15" s="1"/>
  <c r="F311" i="15"/>
  <c r="D311" i="15" s="1"/>
  <c r="Y327" i="15"/>
  <c r="AH327" i="15" s="1"/>
  <c r="AG329" i="15"/>
  <c r="AG338" i="15"/>
  <c r="AH338" i="15" s="1"/>
  <c r="Z390" i="15"/>
  <c r="F390" i="15" s="1"/>
  <c r="F368" i="15"/>
  <c r="D368" i="15" s="1"/>
  <c r="AH374" i="15"/>
  <c r="AI374" i="15" s="1"/>
  <c r="AJ374" i="15" s="1"/>
  <c r="AF380" i="15"/>
  <c r="AG380" i="15" s="1"/>
  <c r="AF382" i="15"/>
  <c r="AG382" i="15" s="1"/>
  <c r="AF385" i="15"/>
  <c r="AG385" i="15" s="1"/>
  <c r="F394" i="15"/>
  <c r="D394" i="15" s="1"/>
  <c r="AF396" i="15"/>
  <c r="AG396" i="15" s="1"/>
  <c r="F408" i="15"/>
  <c r="D408" i="15" s="1"/>
  <c r="Y440" i="15"/>
  <c r="AI428" i="15"/>
  <c r="AJ428" i="15" s="1"/>
  <c r="AH428" i="15"/>
  <c r="AG428" i="15"/>
  <c r="F429" i="15"/>
  <c r="D429" i="15" s="1"/>
  <c r="AF429" i="15"/>
  <c r="AG429" i="15" s="1"/>
  <c r="F430" i="15"/>
  <c r="D430" i="15" s="1"/>
  <c r="V301" i="15"/>
  <c r="AF301" i="15" s="1"/>
  <c r="V347" i="15"/>
  <c r="F347" i="15" s="1"/>
  <c r="D347" i="15" s="1"/>
  <c r="AC390" i="15"/>
  <c r="F370" i="15"/>
  <c r="D370" i="15" s="1"/>
  <c r="Y375" i="15"/>
  <c r="AH375" i="15" s="1"/>
  <c r="AF401" i="15"/>
  <c r="AG401" i="15" s="1"/>
  <c r="F404" i="15"/>
  <c r="D404" i="15" s="1"/>
  <c r="AG407" i="15"/>
  <c r="AF410" i="15"/>
  <c r="AG410" i="15" s="1"/>
  <c r="F437" i="15"/>
  <c r="D437" i="15" s="1"/>
  <c r="AH445" i="15"/>
  <c r="AI445" i="15" s="1"/>
  <c r="AJ445" i="15" s="1"/>
  <c r="AG445" i="15"/>
  <c r="F445" i="15"/>
  <c r="D445" i="15" s="1"/>
  <c r="AF445" i="15"/>
  <c r="F446" i="15"/>
  <c r="D446" i="15" s="1"/>
  <c r="Y468" i="15"/>
  <c r="X490" i="15"/>
  <c r="F522" i="15"/>
  <c r="F137" i="15"/>
  <c r="D137" i="15" s="1"/>
  <c r="AE293" i="15"/>
  <c r="AH328" i="15"/>
  <c r="F335" i="15"/>
  <c r="D335" i="15" s="1"/>
  <c r="AF345" i="15"/>
  <c r="AG351" i="15"/>
  <c r="AH351" i="15" s="1"/>
  <c r="AH357" i="15"/>
  <c r="AE390" i="15"/>
  <c r="AF390" i="15" s="1"/>
  <c r="F372" i="15"/>
  <c r="D372" i="15" s="1"/>
  <c r="Y373" i="15"/>
  <c r="Y390" i="15" s="1"/>
  <c r="AG377" i="15"/>
  <c r="F382" i="15"/>
  <c r="D382" i="15" s="1"/>
  <c r="AG389" i="15"/>
  <c r="AG403" i="15"/>
  <c r="AH403" i="15" s="1"/>
  <c r="AF430" i="15"/>
  <c r="AG430" i="15" s="1"/>
  <c r="AG433" i="15"/>
  <c r="F433" i="15"/>
  <c r="D433" i="15" s="1"/>
  <c r="F523" i="15"/>
  <c r="AE290" i="15"/>
  <c r="AF311" i="15"/>
  <c r="AG311" i="15" s="1"/>
  <c r="V362" i="15"/>
  <c r="AH369" i="15"/>
  <c r="AI369" i="15" s="1"/>
  <c r="AJ369" i="15" s="1"/>
  <c r="AF370" i="15"/>
  <c r="AB390" i="15"/>
  <c r="AG393" i="15"/>
  <c r="P415" i="15"/>
  <c r="V399" i="15"/>
  <c r="V415" i="15" s="1"/>
  <c r="AF404" i="15"/>
  <c r="AG404" i="15" s="1"/>
  <c r="Y407" i="15"/>
  <c r="AH407" i="15" s="1"/>
  <c r="AH411" i="15"/>
  <c r="AI411" i="15" s="1"/>
  <c r="AJ411" i="15" s="1"/>
  <c r="AG414" i="15"/>
  <c r="AG421" i="15"/>
  <c r="AG426" i="15"/>
  <c r="AF437" i="15"/>
  <c r="AG437" i="15" s="1"/>
  <c r="AG439" i="15"/>
  <c r="AH439" i="15" s="1"/>
  <c r="AG448" i="15"/>
  <c r="AG458" i="15"/>
  <c r="AH458" i="15" s="1"/>
  <c r="F524" i="15"/>
  <c r="F293" i="15"/>
  <c r="D293" i="15" s="1"/>
  <c r="Y301" i="15"/>
  <c r="F309" i="15"/>
  <c r="D309" i="15" s="1"/>
  <c r="AA315" i="15"/>
  <c r="Q529" i="15" s="1"/>
  <c r="P529" i="15" s="1"/>
  <c r="F529" i="15" s="1"/>
  <c r="AG332" i="15"/>
  <c r="V364" i="15"/>
  <c r="X390" i="15"/>
  <c r="F377" i="15"/>
  <c r="D377" i="15" s="1"/>
  <c r="Y378" i="15"/>
  <c r="AH378" i="15" s="1"/>
  <c r="AF383" i="15"/>
  <c r="AG383" i="15" s="1"/>
  <c r="F385" i="15"/>
  <c r="D385" i="15" s="1"/>
  <c r="AF386" i="15"/>
  <c r="AG386" i="15" s="1"/>
  <c r="AG387" i="15"/>
  <c r="X415" i="15"/>
  <c r="Y393" i="15"/>
  <c r="F403" i="15"/>
  <c r="D403" i="15" s="1"/>
  <c r="AF409" i="15"/>
  <c r="AG409" i="15" s="1"/>
  <c r="F410" i="15"/>
  <c r="D410" i="15" s="1"/>
  <c r="AF425" i="15"/>
  <c r="AG425" i="15" s="1"/>
  <c r="AG427" i="15"/>
  <c r="F427" i="15"/>
  <c r="D427" i="15" s="1"/>
  <c r="AF427" i="15"/>
  <c r="F428" i="15"/>
  <c r="D428" i="15" s="1"/>
  <c r="AG379" i="15"/>
  <c r="AG413" i="15"/>
  <c r="AH413" i="15" s="1"/>
  <c r="F418" i="15"/>
  <c r="D418" i="15" s="1"/>
  <c r="AG418" i="15"/>
  <c r="AH418" i="15" s="1"/>
  <c r="AG420" i="15"/>
  <c r="V423" i="15"/>
  <c r="AF423" i="15" s="1"/>
  <c r="V440" i="15"/>
  <c r="Y446" i="15"/>
  <c r="AH446" i="15" s="1"/>
  <c r="AF459" i="15"/>
  <c r="V476" i="15"/>
  <c r="AF476" i="15" s="1"/>
  <c r="F479" i="15"/>
  <c r="D479" i="15" s="1"/>
  <c r="AF480" i="15"/>
  <c r="AG480" i="15" s="1"/>
  <c r="V488" i="15"/>
  <c r="AF488" i="15" s="1"/>
  <c r="P515" i="15"/>
  <c r="V494" i="15"/>
  <c r="Y496" i="15"/>
  <c r="AH475" i="15"/>
  <c r="AG475" i="15"/>
  <c r="AG487" i="15"/>
  <c r="AH487" i="15" s="1"/>
  <c r="AI487" i="15" s="1"/>
  <c r="AJ487" i="15" s="1"/>
  <c r="T515" i="15"/>
  <c r="V493" i="15"/>
  <c r="AB536" i="15"/>
  <c r="D536" i="15" s="1"/>
  <c r="E536" i="15"/>
  <c r="AA547" i="15"/>
  <c r="Z547" i="15"/>
  <c r="AH381" i="15"/>
  <c r="AI381" i="15" s="1"/>
  <c r="AJ381" i="15" s="1"/>
  <c r="AH422" i="15"/>
  <c r="AI422" i="15" s="1"/>
  <c r="AJ422" i="15" s="1"/>
  <c r="AF443" i="15"/>
  <c r="AG443" i="15" s="1"/>
  <c r="AH462" i="15"/>
  <c r="U490" i="15"/>
  <c r="Y482" i="15"/>
  <c r="U515" i="15"/>
  <c r="AG497" i="15"/>
  <c r="AG504" i="15"/>
  <c r="AH504" i="15" s="1"/>
  <c r="AG512" i="15"/>
  <c r="AF368" i="15"/>
  <c r="AG368" i="15" s="1"/>
  <c r="F398" i="15"/>
  <c r="D398" i="15" s="1"/>
  <c r="AG400" i="15"/>
  <c r="AH400" i="15" s="1"/>
  <c r="AG432" i="15"/>
  <c r="AI432" i="15" s="1"/>
  <c r="AJ432" i="15" s="1"/>
  <c r="AG434" i="15"/>
  <c r="AI434" i="15" s="1"/>
  <c r="AJ434" i="15" s="1"/>
  <c r="AG456" i="15"/>
  <c r="AI456" i="15" s="1"/>
  <c r="AJ456" i="15" s="1"/>
  <c r="V468" i="15"/>
  <c r="AH469" i="15"/>
  <c r="AH470" i="15"/>
  <c r="AH473" i="15"/>
  <c r="AG473" i="15"/>
  <c r="AG485" i="15"/>
  <c r="Z515" i="15"/>
  <c r="F494" i="15"/>
  <c r="D494" i="15" s="1"/>
  <c r="AH503" i="15"/>
  <c r="AI503" i="15" s="1"/>
  <c r="AJ503" i="15" s="1"/>
  <c r="AH432" i="15"/>
  <c r="AH434" i="15"/>
  <c r="AG436" i="15"/>
  <c r="AI436" i="15" s="1"/>
  <c r="AJ436" i="15" s="1"/>
  <c r="AH456" i="15"/>
  <c r="AG460" i="15"/>
  <c r="V471" i="15"/>
  <c r="V472" i="15"/>
  <c r="F475" i="15"/>
  <c r="D475" i="15" s="1"/>
  <c r="Y480" i="15"/>
  <c r="AI480" i="15" s="1"/>
  <c r="AJ480" i="15" s="1"/>
  <c r="V484" i="15"/>
  <c r="F487" i="15"/>
  <c r="D487" i="15" s="1"/>
  <c r="V502" i="15"/>
  <c r="V511" i="15"/>
  <c r="AH436" i="15"/>
  <c r="AF461" i="15"/>
  <c r="AG461" i="15" s="1"/>
  <c r="Z490" i="15"/>
  <c r="AG483" i="15"/>
  <c r="AE493" i="15"/>
  <c r="Y497" i="15"/>
  <c r="AI497" i="15" s="1"/>
  <c r="AJ497" i="15" s="1"/>
  <c r="Y507" i="15"/>
  <c r="AG510" i="15"/>
  <c r="AH510" i="15" s="1"/>
  <c r="AI510" i="15" s="1"/>
  <c r="AJ510" i="15" s="1"/>
  <c r="AA531" i="15"/>
  <c r="X533" i="15"/>
  <c r="Y533" i="15" s="1"/>
  <c r="Z541" i="15"/>
  <c r="AA541" i="15" s="1"/>
  <c r="AF457" i="15"/>
  <c r="V464" i="15"/>
  <c r="F464" i="15" s="1"/>
  <c r="D464" i="15" s="1"/>
  <c r="F473" i="15"/>
  <c r="D473" i="15" s="1"/>
  <c r="Y478" i="15"/>
  <c r="V482" i="15"/>
  <c r="F485" i="15"/>
  <c r="D485" i="15" s="1"/>
  <c r="V500" i="15"/>
  <c r="AG505" i="15"/>
  <c r="AH505" i="15" s="1"/>
  <c r="AG513" i="15"/>
  <c r="AH513" i="15" s="1"/>
  <c r="AI513" i="15" s="1"/>
  <c r="AJ513" i="15" s="1"/>
  <c r="Z531" i="15"/>
  <c r="Z544" i="15"/>
  <c r="AA544" i="15" s="1"/>
  <c r="AA548" i="15"/>
  <c r="Y377" i="15"/>
  <c r="AH377" i="15" s="1"/>
  <c r="Y379" i="15"/>
  <c r="AH379" i="15" s="1"/>
  <c r="P440" i="15"/>
  <c r="U465" i="15"/>
  <c r="AG444" i="15"/>
  <c r="AH444" i="15" s="1"/>
  <c r="F451" i="15"/>
  <c r="D451" i="15" s="1"/>
  <c r="AG451" i="15"/>
  <c r="AH451" i="15" s="1"/>
  <c r="AG457" i="15"/>
  <c r="AH457" i="15" s="1"/>
  <c r="AI457" i="15" s="1"/>
  <c r="AJ457" i="15" s="1"/>
  <c r="AE468" i="15"/>
  <c r="AI475" i="15"/>
  <c r="AJ475" i="15" s="1"/>
  <c r="V481" i="15"/>
  <c r="V499" i="15"/>
  <c r="F502" i="15"/>
  <c r="D502" i="15" s="1"/>
  <c r="V509" i="15"/>
  <c r="F509" i="15" s="1"/>
  <c r="D509" i="15" s="1"/>
  <c r="Z535" i="15"/>
  <c r="AA535" i="15" s="1"/>
  <c r="F444" i="15"/>
  <c r="D444" i="15" s="1"/>
  <c r="AG454" i="15"/>
  <c r="AI454" i="15" s="1"/>
  <c r="AJ454" i="15" s="1"/>
  <c r="F457" i="15"/>
  <c r="D457" i="15" s="1"/>
  <c r="F461" i="15"/>
  <c r="D461" i="15" s="1"/>
  <c r="AF472" i="15"/>
  <c r="AH480" i="15"/>
  <c r="AF484" i="15"/>
  <c r="AG498" i="15"/>
  <c r="AG508" i="15"/>
  <c r="X465" i="15"/>
  <c r="AH454" i="15"/>
  <c r="AF471" i="15"/>
  <c r="AG479" i="15"/>
  <c r="Y493" i="15"/>
  <c r="Y515" i="15" s="1"/>
  <c r="X515" i="15"/>
  <c r="AH497" i="15"/>
  <c r="F500" i="15"/>
  <c r="D500" i="15" s="1"/>
  <c r="AF502" i="15"/>
  <c r="Y443" i="15"/>
  <c r="AI462" i="15"/>
  <c r="AJ462" i="15" s="1"/>
  <c r="AG463" i="15"/>
  <c r="AH463" i="15" s="1"/>
  <c r="F468" i="15"/>
  <c r="D468" i="15" s="1"/>
  <c r="AI469" i="15"/>
  <c r="AJ469" i="15" s="1"/>
  <c r="AI470" i="15"/>
  <c r="AJ470" i="15" s="1"/>
  <c r="Y474" i="15"/>
  <c r="AH474" i="15" s="1"/>
  <c r="V478" i="15"/>
  <c r="F478" i="15" s="1"/>
  <c r="D478" i="15" s="1"/>
  <c r="F481" i="15"/>
  <c r="D481" i="15" s="1"/>
  <c r="Y486" i="15"/>
  <c r="F493" i="15"/>
  <c r="D493" i="15" s="1"/>
  <c r="V496" i="15"/>
  <c r="AG501" i="15"/>
  <c r="AH501" i="15" s="1"/>
  <c r="AI501" i="15" s="1"/>
  <c r="AJ501" i="15" s="1"/>
  <c r="V507" i="15"/>
  <c r="Z465" i="15"/>
  <c r="AF455" i="15"/>
  <c r="AG455" i="15" s="1"/>
  <c r="Y460" i="15"/>
  <c r="V477" i="15"/>
  <c r="F477" i="15" s="1"/>
  <c r="D477" i="15" s="1"/>
  <c r="Y479" i="15"/>
  <c r="V489" i="15"/>
  <c r="V495" i="15"/>
  <c r="F495" i="15" s="1"/>
  <c r="D495" i="15" s="1"/>
  <c r="F498" i="15"/>
  <c r="D498" i="15" s="1"/>
  <c r="AF499" i="15"/>
  <c r="V506" i="15"/>
  <c r="AF506" i="15" s="1"/>
  <c r="F508" i="15"/>
  <c r="D508" i="15" s="1"/>
  <c r="AF509" i="15"/>
  <c r="V514" i="15"/>
  <c r="F514" i="15" s="1"/>
  <c r="D514" i="15" s="1"/>
  <c r="Z532" i="15"/>
  <c r="AA532" i="15" s="1"/>
  <c r="Z539" i="15"/>
  <c r="AA539" i="15" s="1"/>
  <c r="Z545" i="15"/>
  <c r="AA545" i="15" s="1"/>
  <c r="X537" i="15"/>
  <c r="Y537" i="15" s="1"/>
  <c r="Z537" i="15" s="1"/>
  <c r="X543" i="15"/>
  <c r="Y543" i="15" s="1"/>
  <c r="X534" i="15"/>
  <c r="X540" i="15"/>
  <c r="X546" i="15"/>
  <c r="Y534" i="15"/>
  <c r="Z534" i="15" s="1"/>
  <c r="Y540" i="15"/>
  <c r="Y546" i="15"/>
  <c r="Z546" i="15" s="1"/>
  <c r="E539" i="15" l="1"/>
  <c r="AB539" i="15"/>
  <c r="D539" i="15" s="1"/>
  <c r="AH251" i="15"/>
  <c r="AI251" i="15" s="1"/>
  <c r="AJ251" i="15" s="1"/>
  <c r="AB532" i="15"/>
  <c r="D532" i="15" s="1"/>
  <c r="E532" i="15"/>
  <c r="AH437" i="15"/>
  <c r="AI437" i="15" s="1"/>
  <c r="AJ437" i="15" s="1"/>
  <c r="AI396" i="15"/>
  <c r="AJ396" i="15" s="1"/>
  <c r="AH396" i="15"/>
  <c r="AH299" i="15"/>
  <c r="AI299" i="15"/>
  <c r="AJ299" i="15" s="1"/>
  <c r="AH384" i="15"/>
  <c r="AI384" i="15"/>
  <c r="AJ384" i="15" s="1"/>
  <c r="AI295" i="15"/>
  <c r="AJ295" i="15" s="1"/>
  <c r="AH295" i="15"/>
  <c r="AH198" i="15"/>
  <c r="AI198" i="15"/>
  <c r="AJ198" i="15" s="1"/>
  <c r="AB541" i="15"/>
  <c r="D541" i="15" s="1"/>
  <c r="E541" i="15"/>
  <c r="AH368" i="15"/>
  <c r="AI368" i="15" s="1"/>
  <c r="AJ368" i="15" s="1"/>
  <c r="AI425" i="15"/>
  <c r="AJ425" i="15" s="1"/>
  <c r="AH425" i="15"/>
  <c r="AI256" i="15"/>
  <c r="AJ256" i="15" s="1"/>
  <c r="AH256" i="15"/>
  <c r="AH41" i="15"/>
  <c r="AI41" i="15" s="1"/>
  <c r="AJ41" i="15" s="1"/>
  <c r="AH120" i="15"/>
  <c r="AH145" i="15"/>
  <c r="AI145" i="15"/>
  <c r="AJ145" i="15" s="1"/>
  <c r="AH45" i="15"/>
  <c r="AI45" i="15" s="1"/>
  <c r="AJ45" i="15" s="1"/>
  <c r="E544" i="15"/>
  <c r="AB544" i="15"/>
  <c r="D544" i="15" s="1"/>
  <c r="Z533" i="15"/>
  <c r="AA533" i="15" s="1"/>
  <c r="AH311" i="15"/>
  <c r="AI311" i="15" s="1"/>
  <c r="AJ311" i="15" s="1"/>
  <c r="AI398" i="15"/>
  <c r="AJ398" i="15" s="1"/>
  <c r="AH398" i="15"/>
  <c r="AI406" i="15"/>
  <c r="AJ406" i="15" s="1"/>
  <c r="AH406" i="15"/>
  <c r="AH450" i="15"/>
  <c r="AI450" i="15" s="1"/>
  <c r="AJ450" i="15" s="1"/>
  <c r="AI144" i="15"/>
  <c r="AJ144" i="15" s="1"/>
  <c r="AH144" i="15"/>
  <c r="AI229" i="15"/>
  <c r="AJ229" i="15" s="1"/>
  <c r="AH229" i="15"/>
  <c r="AH19" i="15"/>
  <c r="AI19" i="15" s="1"/>
  <c r="AJ19" i="15" s="1"/>
  <c r="AH382" i="15"/>
  <c r="AI382" i="15" s="1"/>
  <c r="AJ382" i="15" s="1"/>
  <c r="O528" i="15"/>
  <c r="AH234" i="15"/>
  <c r="AI234" i="15" s="1"/>
  <c r="AJ234" i="15" s="1"/>
  <c r="AH142" i="15"/>
  <c r="AI142" i="15" s="1"/>
  <c r="AJ142" i="15" s="1"/>
  <c r="AH76" i="15"/>
  <c r="AI76" i="15"/>
  <c r="AJ76" i="15" s="1"/>
  <c r="AI61" i="15"/>
  <c r="AJ61" i="15" s="1"/>
  <c r="AH61" i="15"/>
  <c r="AI351" i="15"/>
  <c r="AJ351" i="15" s="1"/>
  <c r="AH230" i="15"/>
  <c r="AI230" i="15"/>
  <c r="AJ230" i="15" s="1"/>
  <c r="AH429" i="15"/>
  <c r="AI429" i="15" s="1"/>
  <c r="AJ429" i="15" s="1"/>
  <c r="AH143" i="15"/>
  <c r="AI143" i="15" s="1"/>
  <c r="AJ143" i="15" s="1"/>
  <c r="AH60" i="15"/>
  <c r="AI60" i="15" s="1"/>
  <c r="AJ60" i="15" s="1"/>
  <c r="AI404" i="15"/>
  <c r="AJ404" i="15" s="1"/>
  <c r="AH404" i="15"/>
  <c r="AH180" i="15"/>
  <c r="AI180" i="15" s="1"/>
  <c r="AJ180" i="15" s="1"/>
  <c r="AH74" i="15"/>
  <c r="AI74" i="15" s="1"/>
  <c r="AJ74" i="15" s="1"/>
  <c r="F415" i="15"/>
  <c r="AF415" i="15"/>
  <c r="AG415" i="15" s="1"/>
  <c r="AH430" i="15"/>
  <c r="AI430" i="15" s="1"/>
  <c r="AJ430" i="15" s="1"/>
  <c r="AH410" i="15"/>
  <c r="AI410" i="15" s="1"/>
  <c r="AJ410" i="15" s="1"/>
  <c r="AH363" i="15"/>
  <c r="AI363" i="15"/>
  <c r="AJ363" i="15" s="1"/>
  <c r="AH184" i="15"/>
  <c r="AI184" i="15"/>
  <c r="AJ184" i="15" s="1"/>
  <c r="AH354" i="15"/>
  <c r="AI354" i="15" s="1"/>
  <c r="AJ354" i="15" s="1"/>
  <c r="AH254" i="15"/>
  <c r="AI254" i="15" s="1"/>
  <c r="AJ254" i="15" s="1"/>
  <c r="AH114" i="15"/>
  <c r="AH360" i="15"/>
  <c r="AI360" i="15" s="1"/>
  <c r="AJ360" i="15" s="1"/>
  <c r="AB535" i="15"/>
  <c r="D535" i="15" s="1"/>
  <c r="E535" i="15"/>
  <c r="AI446" i="15"/>
  <c r="AJ446" i="15" s="1"/>
  <c r="AH20" i="15"/>
  <c r="AI20" i="15" s="1"/>
  <c r="AJ20" i="15" s="1"/>
  <c r="F530" i="15"/>
  <c r="AH353" i="15"/>
  <c r="AI353" i="15" s="1"/>
  <c r="AJ353" i="15" s="1"/>
  <c r="E545" i="15"/>
  <c r="AB545" i="15"/>
  <c r="D545" i="15" s="1"/>
  <c r="AI455" i="15"/>
  <c r="AJ455" i="15" s="1"/>
  <c r="AH455" i="15"/>
  <c r="AH461" i="15"/>
  <c r="AI461" i="15" s="1"/>
  <c r="AJ461" i="15" s="1"/>
  <c r="AH401" i="15"/>
  <c r="AI401" i="15" s="1"/>
  <c r="AJ401" i="15" s="1"/>
  <c r="AI196" i="15"/>
  <c r="AJ196" i="15" s="1"/>
  <c r="AI302" i="15"/>
  <c r="AJ302" i="15" s="1"/>
  <c r="AH302" i="15"/>
  <c r="V465" i="15"/>
  <c r="AH508" i="15"/>
  <c r="AI508" i="15" s="1"/>
  <c r="AJ508" i="15" s="1"/>
  <c r="AH443" i="15"/>
  <c r="AI443" i="15" s="1"/>
  <c r="AJ443" i="15" s="1"/>
  <c r="AI505" i="15"/>
  <c r="AJ505" i="15" s="1"/>
  <c r="AB548" i="15"/>
  <c r="D548" i="15" s="1"/>
  <c r="E548" i="15"/>
  <c r="AF477" i="15"/>
  <c r="V515" i="15"/>
  <c r="AH387" i="15"/>
  <c r="AI387" i="15" s="1"/>
  <c r="AJ387" i="15" s="1"/>
  <c r="AG364" i="15"/>
  <c r="AI364" i="15" s="1"/>
  <c r="AJ364" i="15" s="1"/>
  <c r="AH364" i="15"/>
  <c r="AF364" i="15"/>
  <c r="AH421" i="15"/>
  <c r="AI421" i="15" s="1"/>
  <c r="AJ421" i="15" s="1"/>
  <c r="AH433" i="15"/>
  <c r="AI433" i="15" s="1"/>
  <c r="AJ433" i="15" s="1"/>
  <c r="AH389" i="15"/>
  <c r="AI389" i="15" s="1"/>
  <c r="AJ389" i="15" s="1"/>
  <c r="AH196" i="15"/>
  <c r="AH390" i="15"/>
  <c r="AG390" i="15"/>
  <c r="AI390" i="15" s="1"/>
  <c r="AF163" i="15"/>
  <c r="AG163" i="15" s="1"/>
  <c r="V186" i="15"/>
  <c r="V340" i="15"/>
  <c r="F318" i="15"/>
  <c r="D318" i="15" s="1"/>
  <c r="AG318" i="15"/>
  <c r="AF478" i="15"/>
  <c r="AH226" i="15"/>
  <c r="AI226" i="15" s="1"/>
  <c r="AJ226" i="15" s="1"/>
  <c r="AH119" i="15"/>
  <c r="AI119" i="15" s="1"/>
  <c r="AJ119" i="15" s="1"/>
  <c r="AH279" i="15"/>
  <c r="AI279" i="15" s="1"/>
  <c r="AJ279" i="15" s="1"/>
  <c r="AH178" i="15"/>
  <c r="AI178" i="15" s="1"/>
  <c r="AJ178" i="15" s="1"/>
  <c r="AI224" i="15"/>
  <c r="AJ224" i="15" s="1"/>
  <c r="AH154" i="15"/>
  <c r="AI154" i="15" s="1"/>
  <c r="AJ154" i="15" s="1"/>
  <c r="AI300" i="15"/>
  <c r="AJ300" i="15" s="1"/>
  <c r="AG140" i="15"/>
  <c r="AH140" i="15" s="1"/>
  <c r="AI140" i="15" s="1"/>
  <c r="AJ140" i="15" s="1"/>
  <c r="AI305" i="15"/>
  <c r="AJ305" i="15" s="1"/>
  <c r="AH258" i="15"/>
  <c r="AI258" i="15" s="1"/>
  <c r="AJ258" i="15" s="1"/>
  <c r="F212" i="15"/>
  <c r="AH164" i="15"/>
  <c r="AI164" i="15" s="1"/>
  <c r="AJ164" i="15" s="1"/>
  <c r="AH86" i="15"/>
  <c r="AI86" i="15" s="1"/>
  <c r="AJ86" i="15" s="1"/>
  <c r="AI209" i="15"/>
  <c r="AJ209" i="15" s="1"/>
  <c r="AH193" i="15"/>
  <c r="AI193" i="15" s="1"/>
  <c r="AJ193" i="15" s="1"/>
  <c r="AH259" i="15"/>
  <c r="AI259" i="15" s="1"/>
  <c r="AJ259" i="15" s="1"/>
  <c r="AH141" i="15"/>
  <c r="AI141" i="15"/>
  <c r="AJ141" i="15" s="1"/>
  <c r="Y56" i="15"/>
  <c r="O519" i="15" s="1"/>
  <c r="AH12" i="15"/>
  <c r="AI12" i="15" s="1"/>
  <c r="AJ12" i="15" s="1"/>
  <c r="AH118" i="15"/>
  <c r="AI118" i="15" s="1"/>
  <c r="AJ118" i="15" s="1"/>
  <c r="AI205" i="15"/>
  <c r="AJ205" i="15" s="1"/>
  <c r="AI16" i="15"/>
  <c r="AJ16" i="15" s="1"/>
  <c r="AH10" i="15"/>
  <c r="AI10" i="15" s="1"/>
  <c r="AJ10" i="15" s="1"/>
  <c r="AH26" i="15"/>
  <c r="AI26" i="15" s="1"/>
  <c r="AJ26" i="15" s="1"/>
  <c r="AC11" i="8"/>
  <c r="AD11" i="8" s="1"/>
  <c r="AE11" i="8" s="1"/>
  <c r="AI409" i="7"/>
  <c r="AI449" i="7"/>
  <c r="AI389" i="7"/>
  <c r="AI429" i="7"/>
  <c r="AI187" i="7"/>
  <c r="AI349" i="7"/>
  <c r="AI307" i="7"/>
  <c r="AI227" i="7"/>
  <c r="AI207" i="7"/>
  <c r="AI287" i="7"/>
  <c r="AI247" i="7"/>
  <c r="AI329" i="7"/>
  <c r="AI369" i="7"/>
  <c r="AI267" i="7"/>
  <c r="AI167" i="7"/>
  <c r="AI27" i="7"/>
  <c r="AI107" i="7"/>
  <c r="AI87" i="7"/>
  <c r="AI47" i="7"/>
  <c r="AI127" i="7"/>
  <c r="AI147" i="7"/>
  <c r="Y147" i="7" s="1"/>
  <c r="AI67" i="7"/>
  <c r="AI7" i="7"/>
  <c r="AI423" i="7"/>
  <c r="AI323" i="7"/>
  <c r="AI443" i="7"/>
  <c r="AI383" i="7"/>
  <c r="AI303" i="7"/>
  <c r="AI183" i="7"/>
  <c r="AI283" i="7"/>
  <c r="AI403" i="7"/>
  <c r="AI363" i="7"/>
  <c r="AI243" i="7"/>
  <c r="AI343" i="7"/>
  <c r="AI223" i="7"/>
  <c r="AD7" i="8"/>
  <c r="AE7" i="8" s="1"/>
  <c r="AI263" i="7"/>
  <c r="AI163" i="7"/>
  <c r="AI23" i="7"/>
  <c r="AI83" i="7"/>
  <c r="AI103" i="7"/>
  <c r="AI43" i="7"/>
  <c r="AI143" i="7"/>
  <c r="AH143" i="7" s="1"/>
  <c r="AI203" i="7"/>
  <c r="AI123" i="7"/>
  <c r="AI63" i="7"/>
  <c r="AI3" i="7"/>
  <c r="AG360" i="7"/>
  <c r="W493" i="7" s="1"/>
  <c r="Z27" i="6"/>
  <c r="Z7" i="6"/>
  <c r="AE515" i="15"/>
  <c r="AF515" i="15" s="1"/>
  <c r="AF493" i="15"/>
  <c r="AG493" i="15" s="1"/>
  <c r="AH172" i="15"/>
  <c r="AI172" i="15" s="1"/>
  <c r="AJ172" i="15" s="1"/>
  <c r="AB542" i="15"/>
  <c r="D542" i="15" s="1"/>
  <c r="E542" i="15"/>
  <c r="Y315" i="15"/>
  <c r="O529" i="15" s="1"/>
  <c r="AI418" i="15"/>
  <c r="AJ418" i="15" s="1"/>
  <c r="AG345" i="15"/>
  <c r="AH345" i="15" s="1"/>
  <c r="AI345" i="15" s="1"/>
  <c r="AJ345" i="15" s="1"/>
  <c r="F345" i="15"/>
  <c r="D345" i="15" s="1"/>
  <c r="F518" i="15"/>
  <c r="P549" i="15"/>
  <c r="AI175" i="15"/>
  <c r="AJ175" i="15" s="1"/>
  <c r="AF464" i="15"/>
  <c r="F350" i="15"/>
  <c r="D350" i="15" s="1"/>
  <c r="Z365" i="15"/>
  <c r="F365" i="15" s="1"/>
  <c r="AI336" i="15"/>
  <c r="AJ336" i="15" s="1"/>
  <c r="AI378" i="15"/>
  <c r="AJ378" i="15" s="1"/>
  <c r="AI232" i="15"/>
  <c r="AJ232" i="15" s="1"/>
  <c r="AH192" i="15"/>
  <c r="AI192" i="15" s="1"/>
  <c r="AJ192" i="15" s="1"/>
  <c r="Y108" i="15"/>
  <c r="O521" i="15" s="1"/>
  <c r="AI281" i="15"/>
  <c r="AJ281" i="15" s="1"/>
  <c r="AE134" i="15"/>
  <c r="V30" i="15"/>
  <c r="F7" i="15"/>
  <c r="D7" i="15" s="1"/>
  <c r="AI114" i="15"/>
  <c r="AJ114" i="15" s="1"/>
  <c r="AH34" i="15"/>
  <c r="AI34" i="15" s="1"/>
  <c r="AJ34" i="15" s="1"/>
  <c r="AI339" i="7"/>
  <c r="AD21" i="8"/>
  <c r="AE21" i="8" s="1"/>
  <c r="AI256" i="7"/>
  <c r="AI156" i="7"/>
  <c r="AI379" i="7"/>
  <c r="AI176" i="7"/>
  <c r="AI196" i="7"/>
  <c r="AI316" i="7"/>
  <c r="AI359" i="7"/>
  <c r="AI296" i="7"/>
  <c r="AI136" i="7"/>
  <c r="AI236" i="7"/>
  <c r="AI216" i="7"/>
  <c r="AI276" i="7"/>
  <c r="AI17" i="7"/>
  <c r="AI116" i="7"/>
  <c r="AI96" i="7"/>
  <c r="AI76" i="7"/>
  <c r="AI36" i="7"/>
  <c r="AI56" i="7"/>
  <c r="F400" i="7"/>
  <c r="AH477" i="15"/>
  <c r="AG477" i="15"/>
  <c r="AI477" i="15"/>
  <c r="AJ477" i="15" s="1"/>
  <c r="AH498" i="15"/>
  <c r="AI498" i="15" s="1"/>
  <c r="AJ498" i="15" s="1"/>
  <c r="AH499" i="15"/>
  <c r="AI499" i="15"/>
  <c r="AJ499" i="15" s="1"/>
  <c r="AG499" i="15"/>
  <c r="AG472" i="15"/>
  <c r="AH472" i="15" s="1"/>
  <c r="F472" i="15"/>
  <c r="D472" i="15" s="1"/>
  <c r="V490" i="15"/>
  <c r="AH423" i="15"/>
  <c r="AG423" i="15"/>
  <c r="AI423" i="15" s="1"/>
  <c r="AJ423" i="15" s="1"/>
  <c r="F423" i="15"/>
  <c r="D423" i="15" s="1"/>
  <c r="AH448" i="15"/>
  <c r="AI448" i="15" s="1"/>
  <c r="AJ448" i="15" s="1"/>
  <c r="Y490" i="15"/>
  <c r="AF507" i="15"/>
  <c r="AG507" i="15" s="1"/>
  <c r="AI370" i="15"/>
  <c r="AJ370" i="15" s="1"/>
  <c r="Q549" i="15"/>
  <c r="Q550" i="15" s="1"/>
  <c r="AH438" i="15"/>
  <c r="AI438" i="15" s="1"/>
  <c r="AJ438" i="15" s="1"/>
  <c r="AI413" i="15"/>
  <c r="AJ413" i="15" s="1"/>
  <c r="F343" i="15"/>
  <c r="D343" i="15" s="1"/>
  <c r="V365" i="15"/>
  <c r="F216" i="15"/>
  <c r="D216" i="15" s="1"/>
  <c r="AH242" i="15"/>
  <c r="AI242" i="15" s="1"/>
  <c r="AJ242" i="15" s="1"/>
  <c r="AH28" i="15"/>
  <c r="AI28" i="15" s="1"/>
  <c r="AJ28" i="15" s="1"/>
  <c r="W526" i="15"/>
  <c r="X526" i="15" s="1"/>
  <c r="AI333" i="15"/>
  <c r="AJ333" i="15" s="1"/>
  <c r="AH333" i="15"/>
  <c r="AH268" i="15"/>
  <c r="AI268" i="15" s="1"/>
  <c r="AJ268" i="15" s="1"/>
  <c r="AF159" i="15"/>
  <c r="AG159" i="15" s="1"/>
  <c r="AI294" i="15"/>
  <c r="AJ294" i="15" s="1"/>
  <c r="AI133" i="15"/>
  <c r="AJ133" i="15" s="1"/>
  <c r="AH148" i="15"/>
  <c r="AI148" i="15" s="1"/>
  <c r="AJ148" i="15" s="1"/>
  <c r="AI43" i="15"/>
  <c r="AJ43" i="15" s="1"/>
  <c r="J549" i="15"/>
  <c r="J550" i="15" s="1"/>
  <c r="F70" i="15"/>
  <c r="D70" i="15" s="1"/>
  <c r="AI463" i="15"/>
  <c r="AJ463" i="15" s="1"/>
  <c r="Y465" i="15"/>
  <c r="AH483" i="15"/>
  <c r="AI483" i="15" s="1"/>
  <c r="AJ483" i="15" s="1"/>
  <c r="AG471" i="15"/>
  <c r="AH471" i="15" s="1"/>
  <c r="F471" i="15"/>
  <c r="D471" i="15" s="1"/>
  <c r="AH512" i="15"/>
  <c r="AI512" i="15" s="1"/>
  <c r="AJ512" i="15" s="1"/>
  <c r="AF494" i="15"/>
  <c r="AG494" i="15" s="1"/>
  <c r="AH420" i="15"/>
  <c r="AI420" i="15"/>
  <c r="AJ420" i="15" s="1"/>
  <c r="AH427" i="15"/>
  <c r="AI427" i="15" s="1"/>
  <c r="AJ427" i="15" s="1"/>
  <c r="AH414" i="15"/>
  <c r="AI414" i="15" s="1"/>
  <c r="AJ414" i="15" s="1"/>
  <c r="AG362" i="15"/>
  <c r="AH362" i="15" s="1"/>
  <c r="AI362" i="15" s="1"/>
  <c r="AJ362" i="15" s="1"/>
  <c r="AF362" i="15"/>
  <c r="AH373" i="15"/>
  <c r="F499" i="15"/>
  <c r="D499" i="15" s="1"/>
  <c r="AH408" i="15"/>
  <c r="AI408" i="15" s="1"/>
  <c r="AJ408" i="15" s="1"/>
  <c r="F362" i="15"/>
  <c r="D362" i="15" s="1"/>
  <c r="AH388" i="15"/>
  <c r="AI388" i="15" s="1"/>
  <c r="AJ388" i="15" s="1"/>
  <c r="AH117" i="15"/>
  <c r="AI117" i="15" s="1"/>
  <c r="AJ117" i="15" s="1"/>
  <c r="AH21" i="15"/>
  <c r="AI21" i="15" s="1"/>
  <c r="AJ21" i="15" s="1"/>
  <c r="AH307" i="15"/>
  <c r="AI307" i="15" s="1"/>
  <c r="AJ307" i="15" s="1"/>
  <c r="W523" i="15"/>
  <c r="X523" i="15" s="1"/>
  <c r="Y523" i="15" s="1"/>
  <c r="AI171" i="15"/>
  <c r="AJ171" i="15" s="1"/>
  <c r="AH276" i="15"/>
  <c r="AH236" i="15"/>
  <c r="AI236" i="15" s="1"/>
  <c r="AJ236" i="15" s="1"/>
  <c r="AH185" i="15"/>
  <c r="AI185" i="15" s="1"/>
  <c r="AJ185" i="15" s="1"/>
  <c r="AH324" i="15"/>
  <c r="AI324" i="15" s="1"/>
  <c r="AJ324" i="15" s="1"/>
  <c r="AE30" i="15"/>
  <c r="AF7" i="15"/>
  <c r="AG7" i="15" s="1"/>
  <c r="AH355" i="15"/>
  <c r="AI355" i="15" s="1"/>
  <c r="AJ355" i="15" s="1"/>
  <c r="AI296" i="15"/>
  <c r="AJ296" i="15" s="1"/>
  <c r="AH262" i="15"/>
  <c r="AI262" i="15" s="1"/>
  <c r="AJ262" i="15" s="1"/>
  <c r="AH269" i="15"/>
  <c r="AI269" i="15" s="1"/>
  <c r="AJ269" i="15" s="1"/>
  <c r="AH263" i="15"/>
  <c r="AI263" i="15" s="1"/>
  <c r="AJ263" i="15" s="1"/>
  <c r="AH189" i="15"/>
  <c r="AI245" i="15"/>
  <c r="AJ245" i="15" s="1"/>
  <c r="AH133" i="15"/>
  <c r="AI170" i="15"/>
  <c r="AJ170" i="15" s="1"/>
  <c r="AH9" i="15"/>
  <c r="AI9" i="15" s="1"/>
  <c r="AJ9" i="15" s="1"/>
  <c r="F66" i="15"/>
  <c r="D66" i="15" s="1"/>
  <c r="AI457" i="7"/>
  <c r="AI417" i="7"/>
  <c r="AI437" i="7"/>
  <c r="AI377" i="7"/>
  <c r="AI299" i="7"/>
  <c r="AI259" i="7"/>
  <c r="AI159" i="7"/>
  <c r="AI319" i="7"/>
  <c r="AI279" i="7"/>
  <c r="AI179" i="7"/>
  <c r="AI397" i="7"/>
  <c r="AI199" i="7"/>
  <c r="Y199" i="7" s="1"/>
  <c r="AI357" i="7"/>
  <c r="AI239" i="7"/>
  <c r="AI139" i="7"/>
  <c r="AI337" i="7"/>
  <c r="AI219" i="7"/>
  <c r="AI59" i="7"/>
  <c r="AI19" i="7"/>
  <c r="AI79" i="7"/>
  <c r="AI99" i="7"/>
  <c r="AI39" i="7"/>
  <c r="AI119" i="7"/>
  <c r="AG240" i="7"/>
  <c r="W487" i="7" s="1"/>
  <c r="AH479" i="15"/>
  <c r="AI479" i="15" s="1"/>
  <c r="AJ479" i="15" s="1"/>
  <c r="F490" i="15"/>
  <c r="AF514" i="15"/>
  <c r="AG514" i="15" s="1"/>
  <c r="F506" i="15"/>
  <c r="D506" i="15" s="1"/>
  <c r="AI439" i="15"/>
  <c r="AJ439" i="15" s="1"/>
  <c r="AE315" i="15"/>
  <c r="AF293" i="15"/>
  <c r="AF343" i="15"/>
  <c r="AG343" i="15" s="1"/>
  <c r="AE365" i="15"/>
  <c r="AF365" i="15" s="1"/>
  <c r="AF496" i="15"/>
  <c r="AG496" i="15" s="1"/>
  <c r="V160" i="15"/>
  <c r="AI504" i="15"/>
  <c r="AJ504" i="15" s="1"/>
  <c r="AI451" i="15"/>
  <c r="AJ451" i="15" s="1"/>
  <c r="AI211" i="15"/>
  <c r="AJ211" i="15" s="1"/>
  <c r="Y264" i="15"/>
  <c r="O527" i="15" s="1"/>
  <c r="Y160" i="15"/>
  <c r="O523" i="15" s="1"/>
  <c r="AH201" i="15"/>
  <c r="AI201" i="15" s="1"/>
  <c r="AJ201" i="15" s="1"/>
  <c r="AF137" i="15"/>
  <c r="AG137" i="15" s="1"/>
  <c r="AH206" i="15"/>
  <c r="AI206" i="15" s="1"/>
  <c r="AJ206" i="15" s="1"/>
  <c r="AH319" i="15"/>
  <c r="AI319" i="15" s="1"/>
  <c r="AJ319" i="15" s="1"/>
  <c r="AI129" i="15"/>
  <c r="AJ129" i="15" s="1"/>
  <c r="AH63" i="15"/>
  <c r="AI63" i="15" s="1"/>
  <c r="AJ63" i="15" s="1"/>
  <c r="AI287" i="15"/>
  <c r="AJ287" i="15" s="1"/>
  <c r="AH88" i="15"/>
  <c r="AI88" i="15" s="1"/>
  <c r="AJ88" i="15" s="1"/>
  <c r="AI244" i="15"/>
  <c r="AJ244" i="15" s="1"/>
  <c r="F56" i="15"/>
  <c r="AI151" i="15"/>
  <c r="AJ151" i="15" s="1"/>
  <c r="F44" i="15"/>
  <c r="D44" i="15" s="1"/>
  <c r="Y340" i="15"/>
  <c r="O530" i="15" s="1"/>
  <c r="AF216" i="15"/>
  <c r="AG216" i="15" s="1"/>
  <c r="AI189" i="15"/>
  <c r="AJ189" i="15" s="1"/>
  <c r="AH284" i="15"/>
  <c r="AI284" i="15" s="1"/>
  <c r="AJ284" i="15" s="1"/>
  <c r="AH146" i="15"/>
  <c r="AI146" i="15" s="1"/>
  <c r="AJ146" i="15" s="1"/>
  <c r="F49" i="15"/>
  <c r="D49" i="15" s="1"/>
  <c r="AF140" i="7"/>
  <c r="Z34" i="6"/>
  <c r="Z14" i="6"/>
  <c r="F511" i="15"/>
  <c r="D511" i="15" s="1"/>
  <c r="AF495" i="15"/>
  <c r="AB547" i="15"/>
  <c r="D547" i="15" s="1"/>
  <c r="E547" i="15"/>
  <c r="F488" i="15"/>
  <c r="D488" i="15" s="1"/>
  <c r="AG488" i="15"/>
  <c r="AH488" i="15" s="1"/>
  <c r="AI488" i="15" s="1"/>
  <c r="AJ488" i="15" s="1"/>
  <c r="AI375" i="15"/>
  <c r="AJ375" i="15" s="1"/>
  <c r="AI400" i="15"/>
  <c r="AJ400" i="15" s="1"/>
  <c r="AI337" i="15"/>
  <c r="AJ337" i="15" s="1"/>
  <c r="AI222" i="15"/>
  <c r="AJ222" i="15" s="1"/>
  <c r="AH380" i="15"/>
  <c r="AI380" i="15" s="1"/>
  <c r="AJ380" i="15" s="1"/>
  <c r="E80" i="15"/>
  <c r="D80" i="15" s="1"/>
  <c r="AJ80" i="15"/>
  <c r="AH261" i="15"/>
  <c r="AI261" i="15" s="1"/>
  <c r="AJ261" i="15" s="1"/>
  <c r="AI359" i="15"/>
  <c r="AJ359" i="15" s="1"/>
  <c r="AH168" i="15"/>
  <c r="AI168" i="15" s="1"/>
  <c r="AJ168" i="15" s="1"/>
  <c r="AH289" i="15"/>
  <c r="AI289" i="15" s="1"/>
  <c r="AJ289" i="15" s="1"/>
  <c r="AH174" i="15"/>
  <c r="AI174" i="15" s="1"/>
  <c r="AJ174" i="15" s="1"/>
  <c r="AH204" i="15"/>
  <c r="AI204" i="15" s="1"/>
  <c r="AJ204" i="15" s="1"/>
  <c r="AH93" i="15"/>
  <c r="AI93" i="15" s="1"/>
  <c r="AJ93" i="15" s="1"/>
  <c r="W521" i="15"/>
  <c r="AC15" i="8"/>
  <c r="AD15" i="8" s="1"/>
  <c r="AE15" i="8" s="1"/>
  <c r="AI408" i="7"/>
  <c r="AI271" i="7"/>
  <c r="AI448" i="7"/>
  <c r="AI291" i="7"/>
  <c r="AI191" i="7"/>
  <c r="AI428" i="7"/>
  <c r="AI311" i="7"/>
  <c r="AI211" i="7"/>
  <c r="AI388" i="7"/>
  <c r="AI368" i="7"/>
  <c r="AI328" i="7"/>
  <c r="AI231" i="7"/>
  <c r="AI251" i="7"/>
  <c r="AI348" i="7"/>
  <c r="AI171" i="7"/>
  <c r="AI131" i="7"/>
  <c r="AI31" i="7"/>
  <c r="AI91" i="7"/>
  <c r="AI51" i="7"/>
  <c r="AI151" i="7"/>
  <c r="Y151" i="7" s="1"/>
  <c r="AI11" i="7"/>
  <c r="AI111" i="7"/>
  <c r="Y111" i="7" s="1"/>
  <c r="AI71" i="7"/>
  <c r="Z90" i="6"/>
  <c r="Z70" i="6"/>
  <c r="AA537" i="15"/>
  <c r="F465" i="15"/>
  <c r="AF468" i="15"/>
  <c r="AG468" i="15" s="1"/>
  <c r="AE490" i="15"/>
  <c r="AF490" i="15" s="1"/>
  <c r="Z543" i="15"/>
  <c r="AA543" i="15" s="1"/>
  <c r="AF481" i="15"/>
  <c r="AG481" i="15" s="1"/>
  <c r="AI379" i="15"/>
  <c r="AJ379" i="15" s="1"/>
  <c r="AI407" i="15"/>
  <c r="AJ407" i="15" s="1"/>
  <c r="W528" i="15"/>
  <c r="X528" i="15" s="1"/>
  <c r="Y528" i="15" s="1"/>
  <c r="AF290" i="15"/>
  <c r="AG290" i="15" s="1"/>
  <c r="AI377" i="15"/>
  <c r="AJ377" i="15" s="1"/>
  <c r="AI191" i="15"/>
  <c r="AJ191" i="15" s="1"/>
  <c r="AI449" i="15"/>
  <c r="AJ449" i="15" s="1"/>
  <c r="AH332" i="15"/>
  <c r="AI332" i="15" s="1"/>
  <c r="AJ332" i="15" s="1"/>
  <c r="AI235" i="15"/>
  <c r="AJ235" i="15" s="1"/>
  <c r="AH320" i="15"/>
  <c r="AI320" i="15" s="1"/>
  <c r="AJ320" i="15" s="1"/>
  <c r="AI458" i="15"/>
  <c r="AJ458" i="15" s="1"/>
  <c r="AH394" i="15"/>
  <c r="AI394" i="15" s="1"/>
  <c r="AJ394" i="15" s="1"/>
  <c r="AI328" i="15"/>
  <c r="AJ328" i="15" s="1"/>
  <c r="AI126" i="15"/>
  <c r="AJ126" i="15" s="1"/>
  <c r="AH126" i="15"/>
  <c r="AF440" i="15"/>
  <c r="AG440" i="15" s="1"/>
  <c r="AH397" i="15"/>
  <c r="AI397" i="15" s="1"/>
  <c r="AJ397" i="15" s="1"/>
  <c r="AH329" i="15"/>
  <c r="AI329" i="15" s="1"/>
  <c r="AJ329" i="15" s="1"/>
  <c r="F528" i="15"/>
  <c r="AI278" i="15"/>
  <c r="AJ278" i="15" s="1"/>
  <c r="AH190" i="15"/>
  <c r="AI190" i="15" s="1"/>
  <c r="AJ190" i="15" s="1"/>
  <c r="AF77" i="15"/>
  <c r="AG77" i="15" s="1"/>
  <c r="F77" i="15"/>
  <c r="D77" i="15" s="1"/>
  <c r="W530" i="15"/>
  <c r="X530" i="15" s="1"/>
  <c r="Y530" i="15" s="1"/>
  <c r="AF340" i="15"/>
  <c r="AI253" i="15"/>
  <c r="AJ253" i="15" s="1"/>
  <c r="AI202" i="15"/>
  <c r="AJ202" i="15" s="1"/>
  <c r="AF347" i="15"/>
  <c r="AI286" i="15"/>
  <c r="AJ286" i="15" s="1"/>
  <c r="F159" i="15"/>
  <c r="D159" i="15" s="1"/>
  <c r="AF81" i="15"/>
  <c r="AG81" i="15" s="1"/>
  <c r="F81" i="15"/>
  <c r="D81" i="15" s="1"/>
  <c r="AH348" i="15"/>
  <c r="AI348" i="15" s="1"/>
  <c r="AJ348" i="15" s="1"/>
  <c r="AH277" i="15"/>
  <c r="AI277" i="15" s="1"/>
  <c r="AJ277" i="15" s="1"/>
  <c r="AH130" i="15"/>
  <c r="AI130" i="15" s="1"/>
  <c r="AJ130" i="15" s="1"/>
  <c r="AE56" i="15"/>
  <c r="AF33" i="15"/>
  <c r="AG33" i="15" s="1"/>
  <c r="AH33" i="15" s="1"/>
  <c r="AH255" i="15"/>
  <c r="AI255" i="15" s="1"/>
  <c r="AJ255" i="15" s="1"/>
  <c r="AH252" i="15"/>
  <c r="AI252" i="15" s="1"/>
  <c r="AJ252" i="15" s="1"/>
  <c r="AH132" i="15"/>
  <c r="AI132" i="15" s="1"/>
  <c r="AJ132" i="15" s="1"/>
  <c r="AI55" i="15"/>
  <c r="AJ55" i="15" s="1"/>
  <c r="AH8" i="15"/>
  <c r="AI8" i="15" s="1"/>
  <c r="AJ8" i="15" s="1"/>
  <c r="AH124" i="15"/>
  <c r="AI124" i="15" s="1"/>
  <c r="AJ124" i="15" s="1"/>
  <c r="AD8" i="8"/>
  <c r="AE8" i="8" s="1"/>
  <c r="AI404" i="7"/>
  <c r="AI364" i="7"/>
  <c r="Y364" i="7" s="1"/>
  <c r="AI304" i="7"/>
  <c r="AI184" i="7"/>
  <c r="AI284" i="7"/>
  <c r="AI204" i="7"/>
  <c r="AI384" i="7"/>
  <c r="AI244" i="7"/>
  <c r="AI224" i="7"/>
  <c r="AI444" i="7"/>
  <c r="AI324" i="7"/>
  <c r="AI424" i="7"/>
  <c r="AI344" i="7"/>
  <c r="AI264" i="7"/>
  <c r="AI164" i="7"/>
  <c r="Y164" i="7" s="1"/>
  <c r="AI24" i="7"/>
  <c r="AI84" i="7"/>
  <c r="AI124" i="7"/>
  <c r="Y124" i="7" s="1"/>
  <c r="AI144" i="7"/>
  <c r="AI44" i="7"/>
  <c r="AI104" i="7"/>
  <c r="AI64" i="7"/>
  <c r="Y64" i="7" s="1"/>
  <c r="AI4" i="7"/>
  <c r="AH506" i="15"/>
  <c r="AI506" i="15" s="1"/>
  <c r="AJ506" i="15" s="1"/>
  <c r="AG506" i="15"/>
  <c r="AG478" i="15"/>
  <c r="AH478" i="15" s="1"/>
  <c r="E531" i="15"/>
  <c r="AB531" i="15"/>
  <c r="D531" i="15" s="1"/>
  <c r="AH460" i="15"/>
  <c r="AI460" i="15" s="1"/>
  <c r="AJ460" i="15" s="1"/>
  <c r="AH502" i="15"/>
  <c r="AI502" i="15" s="1"/>
  <c r="AJ502" i="15" s="1"/>
  <c r="AG502" i="15"/>
  <c r="F515" i="15"/>
  <c r="AI403" i="15"/>
  <c r="AJ403" i="15" s="1"/>
  <c r="AI373" i="15"/>
  <c r="AJ373" i="15" s="1"/>
  <c r="AI459" i="15"/>
  <c r="AJ459" i="15" s="1"/>
  <c r="F340" i="15"/>
  <c r="AI207" i="15"/>
  <c r="AJ207" i="15" s="1"/>
  <c r="AG70" i="15"/>
  <c r="AH70" i="15" s="1"/>
  <c r="AI70" i="15" s="1"/>
  <c r="AJ70" i="15" s="1"/>
  <c r="AH282" i="15"/>
  <c r="AI282" i="15" s="1"/>
  <c r="AJ282" i="15" s="1"/>
  <c r="AI73" i="15"/>
  <c r="AJ73" i="15" s="1"/>
  <c r="AG179" i="15"/>
  <c r="F179" i="15"/>
  <c r="D179" i="15" s="1"/>
  <c r="AI65" i="15"/>
  <c r="AJ65" i="15" s="1"/>
  <c r="AH65" i="15"/>
  <c r="AI122" i="15"/>
  <c r="AJ122" i="15" s="1"/>
  <c r="AH17" i="15"/>
  <c r="AI17" i="15" s="1"/>
  <c r="AJ17" i="15" s="1"/>
  <c r="AA546" i="15"/>
  <c r="AI474" i="15"/>
  <c r="AJ474" i="15" s="1"/>
  <c r="AF489" i="15"/>
  <c r="AG489" i="15" s="1"/>
  <c r="AF500" i="15"/>
  <c r="AG500" i="15" s="1"/>
  <c r="F399" i="15"/>
  <c r="D399" i="15" s="1"/>
  <c r="AG347" i="15"/>
  <c r="AI327" i="15"/>
  <c r="AJ327" i="15" s="1"/>
  <c r="AI276" i="15"/>
  <c r="AJ276" i="15" s="1"/>
  <c r="AH385" i="15"/>
  <c r="AI385" i="15" s="1"/>
  <c r="AJ385" i="15" s="1"/>
  <c r="AH66" i="15"/>
  <c r="AI66" i="15"/>
  <c r="AJ66" i="15" s="1"/>
  <c r="AG66" i="15"/>
  <c r="AH191" i="15"/>
  <c r="AH128" i="15"/>
  <c r="AI128" i="15" s="1"/>
  <c r="AJ128" i="15" s="1"/>
  <c r="AI155" i="15"/>
  <c r="AJ155" i="15" s="1"/>
  <c r="AI308" i="15"/>
  <c r="AJ308" i="15" s="1"/>
  <c r="F520" i="15"/>
  <c r="AH165" i="15"/>
  <c r="AI165" i="15" s="1"/>
  <c r="AJ165" i="15" s="1"/>
  <c r="AI338" i="15"/>
  <c r="AJ338" i="15" s="1"/>
  <c r="AI120" i="15"/>
  <c r="AJ120" i="15" s="1"/>
  <c r="Z540" i="15"/>
  <c r="AA540" i="15" s="1"/>
  <c r="AH485" i="15"/>
  <c r="AI485" i="15" s="1"/>
  <c r="AJ485" i="15" s="1"/>
  <c r="F489" i="15"/>
  <c r="D489" i="15" s="1"/>
  <c r="F476" i="15"/>
  <c r="D476" i="15" s="1"/>
  <c r="AG476" i="15"/>
  <c r="AH476" i="15" s="1"/>
  <c r="AI476" i="15" s="1"/>
  <c r="AJ476" i="15" s="1"/>
  <c r="F482" i="15"/>
  <c r="D482" i="15" s="1"/>
  <c r="Y415" i="15"/>
  <c r="F507" i="15"/>
  <c r="D507" i="15" s="1"/>
  <c r="AH426" i="15"/>
  <c r="AI426" i="15" s="1"/>
  <c r="AJ426" i="15" s="1"/>
  <c r="AH383" i="15"/>
  <c r="AI383" i="15" s="1"/>
  <c r="AJ383" i="15" s="1"/>
  <c r="AI393" i="15"/>
  <c r="AJ393" i="15" s="1"/>
  <c r="AI270" i="15"/>
  <c r="AJ270" i="15" s="1"/>
  <c r="AH203" i="15"/>
  <c r="AI203" i="15" s="1"/>
  <c r="AJ203" i="15" s="1"/>
  <c r="AG293" i="15"/>
  <c r="V315" i="15"/>
  <c r="AH293" i="15"/>
  <c r="AI293" i="15" s="1"/>
  <c r="AJ293" i="15" s="1"/>
  <c r="AH412" i="15"/>
  <c r="AI412" i="15" s="1"/>
  <c r="AJ412" i="15" s="1"/>
  <c r="F364" i="15"/>
  <c r="D364" i="15" s="1"/>
  <c r="AH409" i="15"/>
  <c r="AI409" i="15" s="1"/>
  <c r="AJ409" i="15" s="1"/>
  <c r="AH121" i="15"/>
  <c r="AI121" i="15" s="1"/>
  <c r="AJ121" i="15" s="1"/>
  <c r="AI54" i="15"/>
  <c r="AJ54" i="15" s="1"/>
  <c r="AH166" i="15"/>
  <c r="AI166" i="15" s="1"/>
  <c r="AJ166" i="15" s="1"/>
  <c r="AH197" i="15"/>
  <c r="AI197" i="15" s="1"/>
  <c r="AJ197" i="15" s="1"/>
  <c r="AI231" i="15"/>
  <c r="AJ231" i="15" s="1"/>
  <c r="AH155" i="15"/>
  <c r="AI112" i="15"/>
  <c r="AJ112" i="15" s="1"/>
  <c r="AH330" i="15"/>
  <c r="AI330" i="15"/>
  <c r="AJ330" i="15" s="1"/>
  <c r="AH248" i="15"/>
  <c r="AI248" i="15" s="1"/>
  <c r="AJ248" i="15" s="1"/>
  <c r="AH156" i="15"/>
  <c r="AI156" i="15" s="1"/>
  <c r="AJ156" i="15" s="1"/>
  <c r="AH11" i="15"/>
  <c r="AI11" i="15" s="1"/>
  <c r="AJ11" i="15" s="1"/>
  <c r="F440" i="7"/>
  <c r="Z30" i="6"/>
  <c r="Z10" i="6"/>
  <c r="Z11" i="6"/>
  <c r="Z33" i="6"/>
  <c r="Z13" i="6"/>
  <c r="AG20" i="7"/>
  <c r="AA534" i="15"/>
  <c r="AF511" i="15"/>
  <c r="AG511" i="15" s="1"/>
  <c r="AG484" i="15"/>
  <c r="AH484" i="15" s="1"/>
  <c r="F484" i="15"/>
  <c r="D484" i="15" s="1"/>
  <c r="AI473" i="15"/>
  <c r="AJ473" i="15" s="1"/>
  <c r="AH486" i="15"/>
  <c r="AI486" i="15" s="1"/>
  <c r="AJ486" i="15" s="1"/>
  <c r="AF399" i="15"/>
  <c r="AG399" i="15" s="1"/>
  <c r="AF482" i="15"/>
  <c r="AG482" i="15" s="1"/>
  <c r="F440" i="15"/>
  <c r="AI376" i="15"/>
  <c r="AJ376" i="15" s="1"/>
  <c r="AI285" i="15"/>
  <c r="AJ285" i="15" s="1"/>
  <c r="AI176" i="15"/>
  <c r="AJ176" i="15" s="1"/>
  <c r="AH344" i="15"/>
  <c r="F344" i="15"/>
  <c r="D344" i="15" s="1"/>
  <c r="AI344" i="15"/>
  <c r="AJ344" i="15" s="1"/>
  <c r="AG344" i="15"/>
  <c r="AH386" i="15"/>
  <c r="AI386" i="15" s="1"/>
  <c r="AJ386" i="15" s="1"/>
  <c r="W524" i="15"/>
  <c r="X524" i="15" s="1"/>
  <c r="Y524" i="15" s="1"/>
  <c r="AF186" i="15"/>
  <c r="AH322" i="15"/>
  <c r="AI322" i="15" s="1"/>
  <c r="AJ322" i="15" s="1"/>
  <c r="AH260" i="15"/>
  <c r="AI260" i="15" s="1"/>
  <c r="AJ260" i="15" s="1"/>
  <c r="AH18" i="15"/>
  <c r="AI18" i="15" s="1"/>
  <c r="AJ18" i="15" s="1"/>
  <c r="Y238" i="15"/>
  <c r="O526" i="15" s="1"/>
  <c r="AH237" i="15"/>
  <c r="AI237" i="15" s="1"/>
  <c r="AJ237" i="15" s="1"/>
  <c r="V238" i="15"/>
  <c r="AH89" i="15"/>
  <c r="AI89" i="15" s="1"/>
  <c r="AJ89" i="15" s="1"/>
  <c r="AI309" i="15"/>
  <c r="AJ309" i="15" s="1"/>
  <c r="AI194" i="15"/>
  <c r="AJ194" i="15" s="1"/>
  <c r="AH152" i="15"/>
  <c r="AI152" i="15" s="1"/>
  <c r="AJ152" i="15" s="1"/>
  <c r="AG49" i="15"/>
  <c r="AH49" i="15" s="1"/>
  <c r="W520" i="15"/>
  <c r="X520" i="15" s="1"/>
  <c r="Y520" i="15" s="1"/>
  <c r="AF44" i="15"/>
  <c r="AG44" i="15" s="1"/>
  <c r="Z99" i="6"/>
  <c r="Z79" i="6"/>
  <c r="Z28" i="6"/>
  <c r="Z8" i="6"/>
  <c r="E127" i="6"/>
  <c r="Z36" i="6"/>
  <c r="Z16" i="6"/>
  <c r="AG495" i="15"/>
  <c r="AH495" i="15" s="1"/>
  <c r="AG509" i="15"/>
  <c r="AH509" i="15" s="1"/>
  <c r="AI444" i="15"/>
  <c r="AJ444" i="15" s="1"/>
  <c r="AG464" i="15"/>
  <c r="AH464" i="15" s="1"/>
  <c r="AI464" i="15" s="1"/>
  <c r="AJ464" i="15" s="1"/>
  <c r="F496" i="15"/>
  <c r="D496" i="15" s="1"/>
  <c r="F301" i="15"/>
  <c r="D301" i="15" s="1"/>
  <c r="AG301" i="15"/>
  <c r="AI169" i="15"/>
  <c r="AJ169" i="15" s="1"/>
  <c r="AH169" i="15"/>
  <c r="AI283" i="15"/>
  <c r="AJ283" i="15" s="1"/>
  <c r="AI350" i="15"/>
  <c r="AJ350" i="15" s="1"/>
  <c r="AI243" i="15"/>
  <c r="AJ243" i="15" s="1"/>
  <c r="AH243" i="15"/>
  <c r="AI157" i="15"/>
  <c r="AJ157" i="15" s="1"/>
  <c r="AI195" i="15"/>
  <c r="AJ195" i="15" s="1"/>
  <c r="F87" i="15"/>
  <c r="D87" i="15" s="1"/>
  <c r="AF87" i="15"/>
  <c r="AG87" i="15" s="1"/>
  <c r="Z526" i="15"/>
  <c r="AA526" i="15"/>
  <c r="Y526" i="15"/>
  <c r="AH14" i="15"/>
  <c r="AI14" i="15" s="1"/>
  <c r="AJ14" i="15" s="1"/>
  <c r="AG138" i="15"/>
  <c r="AF138" i="15"/>
  <c r="AH36" i="15"/>
  <c r="AI36" i="15" s="1"/>
  <c r="AJ36" i="15" s="1"/>
  <c r="AI116" i="15"/>
  <c r="AJ116" i="15" s="1"/>
  <c r="X440" i="7"/>
  <c r="AM435" i="7"/>
  <c r="AM375" i="7"/>
  <c r="AM415" i="7"/>
  <c r="AM455" i="7"/>
  <c r="AM335" i="7"/>
  <c r="AM315" i="7"/>
  <c r="AM195" i="7"/>
  <c r="AM115" i="7"/>
  <c r="AM395" i="7"/>
  <c r="AM295" i="7"/>
  <c r="AM275" i="7"/>
  <c r="AM235" i="7"/>
  <c r="AM215" i="7"/>
  <c r="AM155" i="7"/>
  <c r="AM255" i="7"/>
  <c r="AM175" i="7"/>
  <c r="AM355" i="7"/>
  <c r="AM35" i="7"/>
  <c r="AM55" i="7"/>
  <c r="AM15" i="7"/>
  <c r="AM95" i="7"/>
  <c r="AM135" i="7"/>
  <c r="AM75" i="7"/>
  <c r="AE87" i="6"/>
  <c r="AE67" i="6"/>
  <c r="AG451" i="7"/>
  <c r="F256" i="7"/>
  <c r="S97" i="6"/>
  <c r="F97" i="6" s="1"/>
  <c r="S77" i="6"/>
  <c r="F77" i="6" s="1"/>
  <c r="F335" i="7"/>
  <c r="S95" i="6"/>
  <c r="S75" i="6"/>
  <c r="AM419" i="7"/>
  <c r="AM459" i="7"/>
  <c r="AM399" i="7"/>
  <c r="AM439" i="7"/>
  <c r="Z95" i="6"/>
  <c r="Z75" i="6"/>
  <c r="Z89" i="6"/>
  <c r="Z69" i="6"/>
  <c r="Z93" i="6"/>
  <c r="Z73" i="6"/>
  <c r="O45" i="6"/>
  <c r="F24" i="6"/>
  <c r="P24" i="6"/>
  <c r="Y16" i="6"/>
  <c r="F16" i="6"/>
  <c r="P16" i="6"/>
  <c r="Z37" i="6"/>
  <c r="Z17" i="6"/>
  <c r="AL415" i="7"/>
  <c r="M19" i="8"/>
  <c r="AL455" i="7"/>
  <c r="AL355" i="7"/>
  <c r="AL335" i="7"/>
  <c r="AL315" i="7"/>
  <c r="AL195" i="7"/>
  <c r="AL395" i="7"/>
  <c r="AL295" i="7"/>
  <c r="AL275" i="7"/>
  <c r="AL135" i="7"/>
  <c r="AL235" i="7"/>
  <c r="AL215" i="7"/>
  <c r="AL255" i="7"/>
  <c r="AL435" i="7"/>
  <c r="AL375" i="7"/>
  <c r="AL175" i="7"/>
  <c r="AL35" i="7"/>
  <c r="AL115" i="7"/>
  <c r="AL55" i="7"/>
  <c r="AL15" i="7"/>
  <c r="AL95" i="7"/>
  <c r="AL155" i="7"/>
  <c r="AL75" i="7"/>
  <c r="V380" i="7"/>
  <c r="F451" i="7"/>
  <c r="F308" i="7"/>
  <c r="O88" i="6"/>
  <c r="O68" i="6"/>
  <c r="AC14" i="8"/>
  <c r="AD14" i="8" s="1"/>
  <c r="AE14" i="8" s="1"/>
  <c r="AI407" i="7"/>
  <c r="AI387" i="7"/>
  <c r="AI290" i="7"/>
  <c r="AI270" i="7"/>
  <c r="AI367" i="7"/>
  <c r="AI190" i="7"/>
  <c r="AI447" i="7"/>
  <c r="AI310" i="7"/>
  <c r="AI327" i="7"/>
  <c r="AI427" i="7"/>
  <c r="AI210" i="7"/>
  <c r="AI347" i="7"/>
  <c r="AI230" i="7"/>
  <c r="AI250" i="7"/>
  <c r="AI170" i="7"/>
  <c r="AI150" i="7"/>
  <c r="AI30" i="7"/>
  <c r="AI90" i="7"/>
  <c r="AI130" i="7"/>
  <c r="AI50" i="7"/>
  <c r="AI110" i="7"/>
  <c r="AI10" i="7"/>
  <c r="AI70" i="7"/>
  <c r="AL459" i="7"/>
  <c r="AL419" i="7"/>
  <c r="AL439" i="7"/>
  <c r="M22" i="8"/>
  <c r="AL399" i="7"/>
  <c r="Z18" i="6"/>
  <c r="F209" i="7"/>
  <c r="Z46" i="6"/>
  <c r="Z260" i="7"/>
  <c r="AG111" i="7"/>
  <c r="AF111" i="7"/>
  <c r="F111" i="7"/>
  <c r="Z85" i="6"/>
  <c r="Z65" i="6"/>
  <c r="Z9" i="6"/>
  <c r="Y32" i="6"/>
  <c r="O31" i="6"/>
  <c r="Z26" i="6"/>
  <c r="Z6" i="6"/>
  <c r="F36" i="6"/>
  <c r="P36" i="6"/>
  <c r="O49" i="6"/>
  <c r="X420" i="7"/>
  <c r="L16" i="8"/>
  <c r="U16" i="8" s="1"/>
  <c r="V16" i="8" s="1"/>
  <c r="AG452" i="7"/>
  <c r="F452" i="7"/>
  <c r="L18" i="8"/>
  <c r="U18" i="8" s="1"/>
  <c r="AF452" i="7"/>
  <c r="V320" i="7"/>
  <c r="AG303" i="7"/>
  <c r="F303" i="7"/>
  <c r="L496" i="7"/>
  <c r="V220" i="7"/>
  <c r="Z57" i="6"/>
  <c r="F199" i="7"/>
  <c r="AF308" i="7"/>
  <c r="AG308" i="7" s="1"/>
  <c r="F487" i="7"/>
  <c r="AG64" i="7"/>
  <c r="Y18" i="6"/>
  <c r="Z12" i="6"/>
  <c r="O32" i="6"/>
  <c r="P32" i="6" s="1"/>
  <c r="AF64" i="7"/>
  <c r="Y37" i="6"/>
  <c r="AE460" i="7"/>
  <c r="AF444" i="7"/>
  <c r="AG444" i="7" s="1"/>
  <c r="AL432" i="7"/>
  <c r="AL332" i="7"/>
  <c r="AL452" i="7"/>
  <c r="AL392" i="7"/>
  <c r="M16" i="8"/>
  <c r="AL352" i="7"/>
  <c r="AL272" i="7"/>
  <c r="AL192" i="7"/>
  <c r="AL112" i="7"/>
  <c r="AL372" i="7"/>
  <c r="AL212" i="7"/>
  <c r="AL132" i="7"/>
  <c r="AL312" i="7"/>
  <c r="AL412" i="7"/>
  <c r="AL252" i="7"/>
  <c r="AL172" i="7"/>
  <c r="AL92" i="7"/>
  <c r="AL292" i="7"/>
  <c r="AL152" i="7"/>
  <c r="AL52" i="7"/>
  <c r="AL12" i="7"/>
  <c r="AL232" i="7"/>
  <c r="AL72" i="7"/>
  <c r="AL32" i="7"/>
  <c r="AL414" i="7"/>
  <c r="M18" i="8"/>
  <c r="AL314" i="7"/>
  <c r="AL454" i="7"/>
  <c r="AL434" i="7"/>
  <c r="AL194" i="7"/>
  <c r="AL294" i="7"/>
  <c r="AL374" i="7"/>
  <c r="AL274" i="7"/>
  <c r="AL214" i="7"/>
  <c r="AL234" i="7"/>
  <c r="AL254" i="7"/>
  <c r="AL354" i="7"/>
  <c r="AL394" i="7"/>
  <c r="AL334" i="7"/>
  <c r="AL174" i="7"/>
  <c r="AL154" i="7"/>
  <c r="AL34" i="7"/>
  <c r="AL134" i="7"/>
  <c r="AL54" i="7"/>
  <c r="AL94" i="7"/>
  <c r="AL14" i="7"/>
  <c r="AL114" i="7"/>
  <c r="AL74" i="7"/>
  <c r="O96" i="6"/>
  <c r="O76" i="6"/>
  <c r="F175" i="7"/>
  <c r="S55" i="6"/>
  <c r="AE260" i="7"/>
  <c r="AF243" i="7"/>
  <c r="X83" i="6"/>
  <c r="X63" i="6"/>
  <c r="AM437" i="7"/>
  <c r="AM377" i="7"/>
  <c r="AM417" i="7"/>
  <c r="AM457" i="7"/>
  <c r="AM397" i="7"/>
  <c r="AM199" i="7"/>
  <c r="AM357" i="7"/>
  <c r="AM139" i="7"/>
  <c r="AM337" i="7"/>
  <c r="AM219" i="7"/>
  <c r="AM299" i="7"/>
  <c r="AM259" i="7"/>
  <c r="AM159" i="7"/>
  <c r="AM279" i="7"/>
  <c r="AM319" i="7"/>
  <c r="AM179" i="7"/>
  <c r="AM99" i="7"/>
  <c r="AM239" i="7"/>
  <c r="AM39" i="7"/>
  <c r="AM119" i="7"/>
  <c r="AM59" i="7"/>
  <c r="AM19" i="7"/>
  <c r="AM79" i="7"/>
  <c r="U491" i="7"/>
  <c r="V491" i="7" s="1"/>
  <c r="AF320" i="7"/>
  <c r="Z55" i="6"/>
  <c r="AE60" i="7"/>
  <c r="AF43" i="7"/>
  <c r="AG43" i="7" s="1"/>
  <c r="AG60" i="7" s="1"/>
  <c r="W476" i="7" s="1"/>
  <c r="AM433" i="7"/>
  <c r="AM333" i="7"/>
  <c r="AM453" i="7"/>
  <c r="AM393" i="7"/>
  <c r="AM293" i="7"/>
  <c r="AM193" i="7"/>
  <c r="AM113" i="7"/>
  <c r="AM273" i="7"/>
  <c r="AM413" i="7"/>
  <c r="AM353" i="7"/>
  <c r="AM213" i="7"/>
  <c r="AM133" i="7"/>
  <c r="AM253" i="7"/>
  <c r="AM373" i="7"/>
  <c r="AM313" i="7"/>
  <c r="AM173" i="7"/>
  <c r="AM93" i="7"/>
  <c r="AM153" i="7"/>
  <c r="AM53" i="7"/>
  <c r="AM13" i="7"/>
  <c r="AM73" i="7"/>
  <c r="AM233" i="7"/>
  <c r="AM33" i="7"/>
  <c r="U492" i="7"/>
  <c r="V492" i="7" s="1"/>
  <c r="AG280" i="7"/>
  <c r="W489" i="7" s="1"/>
  <c r="R127" i="6"/>
  <c r="F127" i="6" s="1"/>
  <c r="F126" i="6"/>
  <c r="Z4" i="6"/>
  <c r="Z25" i="6"/>
  <c r="Z5" i="6"/>
  <c r="P7" i="6"/>
  <c r="F7" i="6"/>
  <c r="AM428" i="7"/>
  <c r="AM311" i="7"/>
  <c r="AM448" i="7"/>
  <c r="AM271" i="7"/>
  <c r="AM408" i="7"/>
  <c r="AM348" i="7"/>
  <c r="AM368" i="7"/>
  <c r="AM211" i="7"/>
  <c r="AM131" i="7"/>
  <c r="AM231" i="7"/>
  <c r="AM328" i="7"/>
  <c r="AM388" i="7"/>
  <c r="AM251" i="7"/>
  <c r="AM171" i="7"/>
  <c r="AM291" i="7"/>
  <c r="AM191" i="7"/>
  <c r="AM51" i="7"/>
  <c r="AM151" i="7"/>
  <c r="AM11" i="7"/>
  <c r="AM111" i="7"/>
  <c r="AM71" i="7"/>
  <c r="AM31" i="7"/>
  <c r="AM91" i="7"/>
  <c r="X460" i="7"/>
  <c r="AE83" i="6"/>
  <c r="AE63" i="6"/>
  <c r="AM431" i="7"/>
  <c r="AM309" i="7"/>
  <c r="AM451" i="7"/>
  <c r="AM391" i="7"/>
  <c r="AM209" i="7"/>
  <c r="AM129" i="7"/>
  <c r="AM229" i="7"/>
  <c r="AM249" i="7"/>
  <c r="AM289" i="7"/>
  <c r="AM169" i="7"/>
  <c r="AM371" i="7"/>
  <c r="AM351" i="7"/>
  <c r="AM269" i="7"/>
  <c r="AM411" i="7"/>
  <c r="AM331" i="7"/>
  <c r="AM189" i="7"/>
  <c r="AM109" i="7"/>
  <c r="AM49" i="7"/>
  <c r="AM9" i="7"/>
  <c r="AM69" i="7"/>
  <c r="AM29" i="7"/>
  <c r="AM89" i="7"/>
  <c r="AM149" i="7"/>
  <c r="AG419" i="7"/>
  <c r="F419" i="7"/>
  <c r="AF419" i="7"/>
  <c r="AM427" i="7"/>
  <c r="AM310" i="7"/>
  <c r="AM447" i="7"/>
  <c r="AM407" i="7"/>
  <c r="AM347" i="7"/>
  <c r="AM367" i="7"/>
  <c r="AM327" i="7"/>
  <c r="AM210" i="7"/>
  <c r="AM130" i="7"/>
  <c r="AM230" i="7"/>
  <c r="AM250" i="7"/>
  <c r="AM170" i="7"/>
  <c r="AM290" i="7"/>
  <c r="AM270" i="7"/>
  <c r="AM387" i="7"/>
  <c r="AM190" i="7"/>
  <c r="AM50" i="7"/>
  <c r="AM110" i="7"/>
  <c r="AM10" i="7"/>
  <c r="AM70" i="7"/>
  <c r="AM150" i="7"/>
  <c r="AM30" i="7"/>
  <c r="AM90" i="7"/>
  <c r="AL417" i="7"/>
  <c r="AL457" i="7"/>
  <c r="M24" i="8"/>
  <c r="AL319" i="7"/>
  <c r="AL179" i="7"/>
  <c r="AL397" i="7"/>
  <c r="AL199" i="7"/>
  <c r="AL119" i="7"/>
  <c r="AL437" i="7"/>
  <c r="AL239" i="7"/>
  <c r="AL357" i="7"/>
  <c r="AL337" i="7"/>
  <c r="AL219" i="7"/>
  <c r="AL377" i="7"/>
  <c r="AL299" i="7"/>
  <c r="AL259" i="7"/>
  <c r="AL159" i="7"/>
  <c r="AL279" i="7"/>
  <c r="AL79" i="7"/>
  <c r="AL99" i="7"/>
  <c r="AL39" i="7"/>
  <c r="AL139" i="7"/>
  <c r="AL59" i="7"/>
  <c r="AL19" i="7"/>
  <c r="V420" i="7"/>
  <c r="AG80" i="7"/>
  <c r="W477" i="7" s="1"/>
  <c r="AE160" i="7"/>
  <c r="AF143" i="7"/>
  <c r="X43" i="6"/>
  <c r="O51" i="6"/>
  <c r="AF363" i="7"/>
  <c r="AG363" i="7" s="1"/>
  <c r="Z91" i="6"/>
  <c r="Z71" i="6"/>
  <c r="AG120" i="7"/>
  <c r="W479" i="7" s="1"/>
  <c r="O23" i="6"/>
  <c r="V40" i="7"/>
  <c r="O3" i="6"/>
  <c r="AL433" i="7"/>
  <c r="AL373" i="7"/>
  <c r="M17" i="8"/>
  <c r="AL413" i="7"/>
  <c r="AL293" i="7"/>
  <c r="AL193" i="7"/>
  <c r="AL113" i="7"/>
  <c r="AL453" i="7"/>
  <c r="AL273" i="7"/>
  <c r="AL393" i="7"/>
  <c r="AL353" i="7"/>
  <c r="AL233" i="7"/>
  <c r="AL333" i="7"/>
  <c r="AL253" i="7"/>
  <c r="AL313" i="7"/>
  <c r="AL173" i="7"/>
  <c r="AL33" i="7"/>
  <c r="AL213" i="7"/>
  <c r="AL153" i="7"/>
  <c r="AL93" i="7"/>
  <c r="AL133" i="7"/>
  <c r="AL53" i="7"/>
  <c r="AL13" i="7"/>
  <c r="AL73" i="7"/>
  <c r="F33" i="6"/>
  <c r="F64" i="7"/>
  <c r="Y31" i="6"/>
  <c r="Y13" i="6"/>
  <c r="Y36" i="6"/>
  <c r="P14" i="6"/>
  <c r="F14" i="6"/>
  <c r="Y17" i="6"/>
  <c r="Z94" i="6"/>
  <c r="Z74" i="6"/>
  <c r="F240" i="7"/>
  <c r="AM429" i="7"/>
  <c r="AM449" i="7"/>
  <c r="AM409" i="7"/>
  <c r="AM349" i="7"/>
  <c r="AM369" i="7"/>
  <c r="AM227" i="7"/>
  <c r="AM207" i="7"/>
  <c r="AM127" i="7"/>
  <c r="AM307" i="7"/>
  <c r="AM287" i="7"/>
  <c r="AM247" i="7"/>
  <c r="AM329" i="7"/>
  <c r="AM267" i="7"/>
  <c r="AM167" i="7"/>
  <c r="AM389" i="7"/>
  <c r="AM187" i="7"/>
  <c r="AM47" i="7"/>
  <c r="AM147" i="7"/>
  <c r="AM67" i="7"/>
  <c r="AM7" i="7"/>
  <c r="AM27" i="7"/>
  <c r="AM107" i="7"/>
  <c r="AM87" i="7"/>
  <c r="AC16" i="8"/>
  <c r="M14" i="8"/>
  <c r="AL427" i="7"/>
  <c r="AL447" i="7"/>
  <c r="AL367" i="7"/>
  <c r="AL310" i="7"/>
  <c r="AL327" i="7"/>
  <c r="AL210" i="7"/>
  <c r="AL347" i="7"/>
  <c r="AL230" i="7"/>
  <c r="AL250" i="7"/>
  <c r="AL150" i="7"/>
  <c r="AL407" i="7"/>
  <c r="AL170" i="7"/>
  <c r="AL290" i="7"/>
  <c r="AL270" i="7"/>
  <c r="AL387" i="7"/>
  <c r="AL190" i="7"/>
  <c r="AL110" i="7"/>
  <c r="AL130" i="7"/>
  <c r="AL50" i="7"/>
  <c r="AL10" i="7"/>
  <c r="AL70" i="7"/>
  <c r="AL30" i="7"/>
  <c r="AL90" i="7"/>
  <c r="V17" i="8"/>
  <c r="AG283" i="7"/>
  <c r="AG300" i="7" s="1"/>
  <c r="W490" i="7" s="1"/>
  <c r="F283" i="7"/>
  <c r="V300" i="7"/>
  <c r="AM339" i="7"/>
  <c r="AM196" i="7"/>
  <c r="AM316" i="7"/>
  <c r="AM296" i="7"/>
  <c r="AM136" i="7"/>
  <c r="AM359" i="7"/>
  <c r="AM236" i="7"/>
  <c r="AM216" i="7"/>
  <c r="AM276" i="7"/>
  <c r="AM256" i="7"/>
  <c r="AM156" i="7"/>
  <c r="AM379" i="7"/>
  <c r="AM176" i="7"/>
  <c r="AM36" i="7"/>
  <c r="AM56" i="7"/>
  <c r="AM17" i="7"/>
  <c r="AM116" i="7"/>
  <c r="AM96" i="7"/>
  <c r="AM76" i="7"/>
  <c r="Z50" i="6"/>
  <c r="AF317" i="7"/>
  <c r="AG317" i="7" s="1"/>
  <c r="Z87" i="6"/>
  <c r="Z67" i="6"/>
  <c r="V80" i="7"/>
  <c r="AF80" i="7" s="1"/>
  <c r="X23" i="6"/>
  <c r="Y5" i="6"/>
  <c r="AM425" i="7"/>
  <c r="AM445" i="7"/>
  <c r="AM405" i="7"/>
  <c r="AM365" i="7"/>
  <c r="AM285" i="7"/>
  <c r="AM205" i="7"/>
  <c r="AM125" i="7"/>
  <c r="AM245" i="7"/>
  <c r="AM265" i="7"/>
  <c r="AM165" i="7"/>
  <c r="AM345" i="7"/>
  <c r="AM325" i="7"/>
  <c r="AM385" i="7"/>
  <c r="AM185" i="7"/>
  <c r="AM305" i="7"/>
  <c r="AM145" i="7"/>
  <c r="AM45" i="7"/>
  <c r="AM105" i="7"/>
  <c r="AM65" i="7"/>
  <c r="AM5" i="7"/>
  <c r="AM225" i="7"/>
  <c r="AM25" i="7"/>
  <c r="AM85" i="7"/>
  <c r="F488" i="7"/>
  <c r="L12" i="8"/>
  <c r="U12" i="8" s="1"/>
  <c r="F484" i="7"/>
  <c r="AL359" i="7"/>
  <c r="M21" i="8"/>
  <c r="AL379" i="7"/>
  <c r="AL176" i="7"/>
  <c r="AL339" i="7"/>
  <c r="AL196" i="7"/>
  <c r="AL116" i="7"/>
  <c r="AL316" i="7"/>
  <c r="AL296" i="7"/>
  <c r="AL236" i="7"/>
  <c r="AL216" i="7"/>
  <c r="AL276" i="7"/>
  <c r="AL256" i="7"/>
  <c r="AL156" i="7"/>
  <c r="AL76" i="7"/>
  <c r="AL36" i="7"/>
  <c r="AL136" i="7"/>
  <c r="AL56" i="7"/>
  <c r="AL17" i="7"/>
  <c r="AL96" i="7"/>
  <c r="AE220" i="7"/>
  <c r="AF203" i="7"/>
  <c r="AG203" i="7" s="1"/>
  <c r="AF177" i="7"/>
  <c r="AG177" i="7" s="1"/>
  <c r="Z56" i="6" s="1"/>
  <c r="X56" i="6"/>
  <c r="Y56" i="6" s="1"/>
  <c r="AG118" i="7"/>
  <c r="Z38" i="6" s="1"/>
  <c r="F143" i="7"/>
  <c r="V160" i="7"/>
  <c r="AG143" i="7"/>
  <c r="O43" i="6"/>
  <c r="Y10" i="6"/>
  <c r="F60" i="7"/>
  <c r="AF20" i="7"/>
  <c r="F5" i="6"/>
  <c r="F92" i="7"/>
  <c r="F20" i="7"/>
  <c r="F101" i="15"/>
  <c r="D101" i="15" s="1"/>
  <c r="AG101" i="15"/>
  <c r="AG59" i="15"/>
  <c r="AH59" i="15" s="1"/>
  <c r="AI59" i="15" s="1"/>
  <c r="AJ59" i="15" s="1"/>
  <c r="V82" i="15"/>
  <c r="AF82" i="15" s="1"/>
  <c r="AI182" i="15"/>
  <c r="AJ182" i="15" s="1"/>
  <c r="Y134" i="15"/>
  <c r="O522" i="15" s="1"/>
  <c r="W527" i="15"/>
  <c r="X527" i="15" s="1"/>
  <c r="Y527" i="15" s="1"/>
  <c r="AF264" i="15"/>
  <c r="AG264" i="15" s="1"/>
  <c r="F85" i="15"/>
  <c r="D85" i="15" s="1"/>
  <c r="V108" i="15"/>
  <c r="AG85" i="15"/>
  <c r="AC23" i="8"/>
  <c r="AM443" i="7"/>
  <c r="AM383" i="7"/>
  <c r="AM403" i="7"/>
  <c r="AM423" i="7"/>
  <c r="AM203" i="7"/>
  <c r="AM123" i="7"/>
  <c r="AM243" i="7"/>
  <c r="AM143" i="7"/>
  <c r="AM363" i="7"/>
  <c r="AM343" i="7"/>
  <c r="AM323" i="7"/>
  <c r="AM263" i="7"/>
  <c r="AM163" i="7"/>
  <c r="AM303" i="7"/>
  <c r="AM183" i="7"/>
  <c r="AM103" i="7"/>
  <c r="AM283" i="7"/>
  <c r="AM43" i="7"/>
  <c r="AM63" i="7"/>
  <c r="AM3" i="7"/>
  <c r="AM23" i="7"/>
  <c r="AM83" i="7"/>
  <c r="AM223" i="7"/>
  <c r="V340" i="7"/>
  <c r="AF323" i="7"/>
  <c r="AG323" i="7" s="1"/>
  <c r="F323" i="7"/>
  <c r="F494" i="7"/>
  <c r="V460" i="7"/>
  <c r="F460" i="7" s="1"/>
  <c r="F443" i="7"/>
  <c r="AG443" i="7"/>
  <c r="AG460" i="7" s="1"/>
  <c r="W498" i="7" s="1"/>
  <c r="AF443" i="7"/>
  <c r="U482" i="7"/>
  <c r="V482" i="7" s="1"/>
  <c r="AF180" i="7"/>
  <c r="AG364" i="7"/>
  <c r="Z84" i="6" s="1"/>
  <c r="O84" i="6"/>
  <c r="O64" i="6"/>
  <c r="M12" i="8"/>
  <c r="AL430" i="7"/>
  <c r="AL308" i="7"/>
  <c r="AL450" i="7"/>
  <c r="AL370" i="7"/>
  <c r="AL228" i="7"/>
  <c r="AL208" i="7"/>
  <c r="AL410" i="7"/>
  <c r="AL350" i="7"/>
  <c r="AL248" i="7"/>
  <c r="AL390" i="7"/>
  <c r="AL288" i="7"/>
  <c r="AL148" i="7"/>
  <c r="AL330" i="7"/>
  <c r="AL268" i="7"/>
  <c r="AL168" i="7"/>
  <c r="AL188" i="7"/>
  <c r="AL108" i="7"/>
  <c r="AL128" i="7"/>
  <c r="AL48" i="7"/>
  <c r="AL68" i="7"/>
  <c r="AL8" i="7"/>
  <c r="AL28" i="7"/>
  <c r="AL88" i="7"/>
  <c r="V480" i="7"/>
  <c r="Z39" i="6"/>
  <c r="Z19" i="6"/>
  <c r="Y30" i="6"/>
  <c r="U478" i="7"/>
  <c r="V478" i="7" s="1"/>
  <c r="AF100" i="7"/>
  <c r="P19" i="6"/>
  <c r="F19" i="6"/>
  <c r="U479" i="7"/>
  <c r="V479" i="7" s="1"/>
  <c r="Y365" i="15"/>
  <c r="M521" i="15"/>
  <c r="W525" i="15"/>
  <c r="X525" i="15" s="1"/>
  <c r="Y525" i="15" s="1"/>
  <c r="AF212" i="15"/>
  <c r="AG212" i="15" s="1"/>
  <c r="AH97" i="15"/>
  <c r="AI97" i="15" s="1"/>
  <c r="AJ97" i="15" s="1"/>
  <c r="F97" i="15"/>
  <c r="D97" i="15" s="1"/>
  <c r="AG97" i="15"/>
  <c r="F392" i="7"/>
  <c r="AG392" i="7"/>
  <c r="V18" i="8"/>
  <c r="U496" i="7"/>
  <c r="V496" i="7" s="1"/>
  <c r="AF420" i="7"/>
  <c r="AM426" i="7"/>
  <c r="AM446" i="7"/>
  <c r="AM406" i="7"/>
  <c r="AM366" i="7"/>
  <c r="AM306" i="7"/>
  <c r="AM206" i="7"/>
  <c r="AM126" i="7"/>
  <c r="AM286" i="7"/>
  <c r="AM246" i="7"/>
  <c r="AM226" i="7"/>
  <c r="AM386" i="7"/>
  <c r="AM266" i="7"/>
  <c r="AM166" i="7"/>
  <c r="AM186" i="7"/>
  <c r="AM346" i="7"/>
  <c r="AM326" i="7"/>
  <c r="AM46" i="7"/>
  <c r="AM66" i="7"/>
  <c r="AM6" i="7"/>
  <c r="AM106" i="7"/>
  <c r="AM26" i="7"/>
  <c r="AM146" i="7"/>
  <c r="AM86" i="7"/>
  <c r="U483" i="7"/>
  <c r="V483" i="7" s="1"/>
  <c r="AF200" i="7"/>
  <c r="AC24" i="8"/>
  <c r="AD24" i="8" s="1"/>
  <c r="AE24" i="8" s="1"/>
  <c r="F492" i="7"/>
  <c r="Z340" i="7"/>
  <c r="F340" i="7" s="1"/>
  <c r="Z180" i="7"/>
  <c r="F180" i="7" s="1"/>
  <c r="U489" i="7"/>
  <c r="V489" i="7" s="1"/>
  <c r="AF280" i="7"/>
  <c r="V120" i="7"/>
  <c r="L483" i="7"/>
  <c r="Z140" i="7"/>
  <c r="F140" i="7" s="1"/>
  <c r="AF151" i="7"/>
  <c r="AG151" i="7" s="1"/>
  <c r="U487" i="7"/>
  <c r="V487" i="7" s="1"/>
  <c r="AF240" i="7"/>
  <c r="Z98" i="6"/>
  <c r="Z78" i="6"/>
  <c r="F100" i="7"/>
  <c r="U493" i="7"/>
  <c r="V493" i="7" s="1"/>
  <c r="AF360" i="7"/>
  <c r="AF145" i="7"/>
  <c r="AG145" i="7" s="1"/>
  <c r="Z45" i="6" s="1"/>
  <c r="AG124" i="7"/>
  <c r="F13" i="6"/>
  <c r="F18" i="6"/>
  <c r="P18" i="6"/>
  <c r="E126" i="6"/>
  <c r="AA126" i="6"/>
  <c r="D126" i="6" s="1"/>
  <c r="U477" i="7"/>
  <c r="V477" i="7" s="1"/>
  <c r="Y35" i="6"/>
  <c r="F39" i="6"/>
  <c r="F30" i="6"/>
  <c r="F32" i="6"/>
  <c r="F28" i="6"/>
  <c r="P28" i="6"/>
  <c r="AH435" i="15"/>
  <c r="AG435" i="15"/>
  <c r="AI435" i="15" s="1"/>
  <c r="AJ435" i="15" s="1"/>
  <c r="F435" i="15"/>
  <c r="D435" i="15" s="1"/>
  <c r="F103" i="15"/>
  <c r="D103" i="15" s="1"/>
  <c r="AG103" i="15"/>
  <c r="AH103" i="15" s="1"/>
  <c r="AI103" i="15" s="1"/>
  <c r="AJ103" i="15" s="1"/>
  <c r="F186" i="15"/>
  <c r="AG91" i="15"/>
  <c r="AH91" i="15" s="1"/>
  <c r="F91" i="15"/>
  <c r="D91" i="15" s="1"/>
  <c r="F82" i="15"/>
  <c r="Y186" i="15"/>
  <c r="O524" i="15" s="1"/>
  <c r="Z524" i="15" s="1"/>
  <c r="AC19" i="8"/>
  <c r="V19" i="8"/>
  <c r="AE89" i="6"/>
  <c r="AE69" i="6"/>
  <c r="F478" i="7"/>
  <c r="L23" i="8"/>
  <c r="U23" i="8" s="1"/>
  <c r="V23" i="8" s="1"/>
  <c r="U494" i="7"/>
  <c r="V494" i="7" s="1"/>
  <c r="AF380" i="7"/>
  <c r="F481" i="7"/>
  <c r="AF403" i="7"/>
  <c r="AG403" i="7" s="1"/>
  <c r="M10" i="8"/>
  <c r="AL426" i="7"/>
  <c r="AL446" i="7"/>
  <c r="AL346" i="7"/>
  <c r="AL326" i="7"/>
  <c r="AL306" i="7"/>
  <c r="AL206" i="7"/>
  <c r="AL286" i="7"/>
  <c r="AL386" i="7"/>
  <c r="AL146" i="7"/>
  <c r="AL366" i="7"/>
  <c r="AL266" i="7"/>
  <c r="AL166" i="7"/>
  <c r="AL406" i="7"/>
  <c r="AL186" i="7"/>
  <c r="AL126" i="7"/>
  <c r="AL46" i="7"/>
  <c r="AL246" i="7"/>
  <c r="AL226" i="7"/>
  <c r="AL66" i="7"/>
  <c r="AL6" i="7"/>
  <c r="AL106" i="7"/>
  <c r="AL26" i="7"/>
  <c r="AL86" i="7"/>
  <c r="AG164" i="7"/>
  <c r="Z44" i="6" s="1"/>
  <c r="F164" i="7"/>
  <c r="O44" i="6"/>
  <c r="L20" i="8"/>
  <c r="U20" i="8" s="1"/>
  <c r="Z92" i="6"/>
  <c r="Z72" i="6"/>
  <c r="Z97" i="6"/>
  <c r="Z77" i="6"/>
  <c r="AG147" i="7"/>
  <c r="Z47" i="6" s="1"/>
  <c r="O47" i="6"/>
  <c r="Z86" i="6"/>
  <c r="Z66" i="6"/>
  <c r="F120" i="7"/>
  <c r="F8" i="6"/>
  <c r="O38" i="6"/>
  <c r="Y38" i="6" s="1"/>
  <c r="Y14" i="6"/>
  <c r="Z35" i="6"/>
  <c r="Z15" i="6"/>
  <c r="F37" i="6"/>
  <c r="F17" i="6"/>
  <c r="Y8" i="6"/>
  <c r="AG180" i="7"/>
  <c r="W482" i="7" s="1"/>
  <c r="AI411" i="7"/>
  <c r="AI351" i="7"/>
  <c r="AI309" i="7"/>
  <c r="AI269" i="7"/>
  <c r="AI451" i="7"/>
  <c r="Y451" i="7" s="1"/>
  <c r="AI331" i="7"/>
  <c r="AI391" i="7"/>
  <c r="AI189" i="7"/>
  <c r="AI209" i="7"/>
  <c r="Y209" i="7" s="1"/>
  <c r="AI229" i="7"/>
  <c r="AI249" i="7"/>
  <c r="AD13" i="8"/>
  <c r="AE13" i="8" s="1"/>
  <c r="AI431" i="7"/>
  <c r="AI371" i="7"/>
  <c r="AI289" i="7"/>
  <c r="AI169" i="7"/>
  <c r="AI29" i="7"/>
  <c r="AI89" i="7"/>
  <c r="AI149" i="7"/>
  <c r="AI109" i="7"/>
  <c r="AI49" i="7"/>
  <c r="AI9" i="7"/>
  <c r="AI129" i="7"/>
  <c r="Y129" i="7" s="1"/>
  <c r="AI69" i="7"/>
  <c r="AL416" i="7"/>
  <c r="M23" i="8"/>
  <c r="AL456" i="7"/>
  <c r="AL178" i="7"/>
  <c r="AL376" i="7"/>
  <c r="AL356" i="7"/>
  <c r="AL198" i="7"/>
  <c r="AL118" i="7"/>
  <c r="AL336" i="7"/>
  <c r="AL238" i="7"/>
  <c r="AL436" i="7"/>
  <c r="AL218" i="7"/>
  <c r="AL298" i="7"/>
  <c r="AL396" i="7"/>
  <c r="AL258" i="7"/>
  <c r="AL158" i="7"/>
  <c r="AL318" i="7"/>
  <c r="AL278" i="7"/>
  <c r="AL78" i="7"/>
  <c r="AL138" i="7"/>
  <c r="AL98" i="7"/>
  <c r="AL38" i="7"/>
  <c r="AL58" i="7"/>
  <c r="AL18" i="7"/>
  <c r="AM424" i="7"/>
  <c r="AM444" i="7"/>
  <c r="AM404" i="7"/>
  <c r="AM364" i="7"/>
  <c r="AM284" i="7"/>
  <c r="AM204" i="7"/>
  <c r="AM124" i="7"/>
  <c r="AM244" i="7"/>
  <c r="AM384" i="7"/>
  <c r="AM344" i="7"/>
  <c r="AM324" i="7"/>
  <c r="AM264" i="7"/>
  <c r="AM164" i="7"/>
  <c r="AM304" i="7"/>
  <c r="AM184" i="7"/>
  <c r="AM44" i="7"/>
  <c r="AM144" i="7"/>
  <c r="AM104" i="7"/>
  <c r="AM64" i="7"/>
  <c r="AM4" i="7"/>
  <c r="AM224" i="7"/>
  <c r="AM24" i="7"/>
  <c r="AM84" i="7"/>
  <c r="AL418" i="7"/>
  <c r="AL438" i="7"/>
  <c r="M20" i="8"/>
  <c r="AL458" i="7"/>
  <c r="AL358" i="7"/>
  <c r="AL177" i="7"/>
  <c r="AL197" i="7"/>
  <c r="AL117" i="7"/>
  <c r="AL378" i="7"/>
  <c r="AL237" i="7"/>
  <c r="AL297" i="7"/>
  <c r="AL217" i="7"/>
  <c r="AL398" i="7"/>
  <c r="AL317" i="7"/>
  <c r="AL277" i="7"/>
  <c r="AL257" i="7"/>
  <c r="AL157" i="7"/>
  <c r="AL338" i="7"/>
  <c r="AL97" i="7"/>
  <c r="AL77" i="7"/>
  <c r="AL37" i="7"/>
  <c r="AL137" i="7"/>
  <c r="AL16" i="7"/>
  <c r="AL57" i="7"/>
  <c r="AF384" i="7"/>
  <c r="AG384" i="7" s="1"/>
  <c r="AG400" i="7" s="1"/>
  <c r="W495" i="7" s="1"/>
  <c r="AE400" i="7"/>
  <c r="F363" i="7"/>
  <c r="Z58" i="6"/>
  <c r="F80" i="7"/>
  <c r="AG243" i="7"/>
  <c r="V260" i="7"/>
  <c r="O83" i="6"/>
  <c r="O63" i="6"/>
  <c r="L476" i="7"/>
  <c r="J506" i="7"/>
  <c r="J507" i="7" s="1"/>
  <c r="L507" i="7" s="1"/>
  <c r="P10" i="6"/>
  <c r="F10" i="6"/>
  <c r="AF40" i="7"/>
  <c r="Y26" i="6"/>
  <c r="X20" i="6"/>
  <c r="AF423" i="7"/>
  <c r="AG423" i="7" s="1"/>
  <c r="AE440" i="7"/>
  <c r="F432" i="7"/>
  <c r="AF432" i="7"/>
  <c r="AG432" i="7" s="1"/>
  <c r="V22" i="8"/>
  <c r="M8" i="8"/>
  <c r="AL424" i="7"/>
  <c r="AL284" i="7"/>
  <c r="AL204" i="7"/>
  <c r="AL384" i="7"/>
  <c r="AL224" i="7"/>
  <c r="AL144" i="7"/>
  <c r="AL444" i="7"/>
  <c r="AL344" i="7"/>
  <c r="AL324" i="7"/>
  <c r="AL264" i="7"/>
  <c r="AL164" i="7"/>
  <c r="AL404" i="7"/>
  <c r="AL364" i="7"/>
  <c r="AL304" i="7"/>
  <c r="AL184" i="7"/>
  <c r="AL124" i="7"/>
  <c r="AL44" i="7"/>
  <c r="AL104" i="7"/>
  <c r="AL244" i="7"/>
  <c r="AL64" i="7"/>
  <c r="AL4" i="7"/>
  <c r="AL24" i="7"/>
  <c r="AL84" i="7"/>
  <c r="F420" i="7"/>
  <c r="F380" i="7"/>
  <c r="AG92" i="7"/>
  <c r="AG100" i="7" s="1"/>
  <c r="W478" i="7" s="1"/>
  <c r="AF209" i="7"/>
  <c r="AG209" i="7" s="1"/>
  <c r="Z49" i="6" s="1"/>
  <c r="Z54" i="6"/>
  <c r="AG199" i="7"/>
  <c r="O59" i="6"/>
  <c r="AG129" i="7"/>
  <c r="Z29" i="6" s="1"/>
  <c r="F129" i="7"/>
  <c r="AF129" i="7"/>
  <c r="F75" i="7"/>
  <c r="S35" i="6"/>
  <c r="F493" i="7"/>
  <c r="Y52" i="6"/>
  <c r="F52" i="6"/>
  <c r="P52" i="6"/>
  <c r="Y29" i="6"/>
  <c r="Y24" i="6"/>
  <c r="F29" i="6"/>
  <c r="P6" i="6"/>
  <c r="F6" i="6"/>
  <c r="Y6" i="6"/>
  <c r="AF23" i="7"/>
  <c r="AG23" i="7" s="1"/>
  <c r="AH303" i="7" l="1"/>
  <c r="AH243" i="7"/>
  <c r="AH111" i="7"/>
  <c r="AH129" i="7"/>
  <c r="AJ129" i="7" s="1"/>
  <c r="AH124" i="7"/>
  <c r="AJ124" i="7" s="1"/>
  <c r="AH199" i="7"/>
  <c r="AJ199" i="7" s="1"/>
  <c r="AH481" i="15"/>
  <c r="AI481" i="15"/>
  <c r="AJ481" i="15" s="1"/>
  <c r="AH514" i="15"/>
  <c r="AI514" i="15" s="1"/>
  <c r="AJ514" i="15" s="1"/>
  <c r="AH494" i="15"/>
  <c r="AI494" i="15"/>
  <c r="AJ494" i="15" s="1"/>
  <c r="AI456" i="7"/>
  <c r="AI416" i="7"/>
  <c r="AD23" i="8"/>
  <c r="AE23" i="8" s="1"/>
  <c r="AI436" i="7"/>
  <c r="AI376" i="7"/>
  <c r="AI318" i="7"/>
  <c r="AI258" i="7"/>
  <c r="AI158" i="7"/>
  <c r="AI278" i="7"/>
  <c r="AI178" i="7"/>
  <c r="AI356" i="7"/>
  <c r="AI198" i="7"/>
  <c r="AI336" i="7"/>
  <c r="AI238" i="7"/>
  <c r="AI138" i="7"/>
  <c r="AI218" i="7"/>
  <c r="AI396" i="7"/>
  <c r="AI298" i="7"/>
  <c r="AI58" i="7"/>
  <c r="AI118" i="7"/>
  <c r="AI18" i="7"/>
  <c r="AI78" i="7"/>
  <c r="AI98" i="7"/>
  <c r="AI38" i="7"/>
  <c r="AH489" i="15"/>
  <c r="AI489" i="15"/>
  <c r="AJ489" i="15" s="1"/>
  <c r="AH44" i="15"/>
  <c r="AI44" i="15"/>
  <c r="AJ44" i="15" s="1"/>
  <c r="E543" i="15"/>
  <c r="AB543" i="15"/>
  <c r="D543" i="15" s="1"/>
  <c r="AA520" i="15"/>
  <c r="Z520" i="15"/>
  <c r="AH77" i="15"/>
  <c r="AI77" i="15" s="1"/>
  <c r="AJ77" i="15" s="1"/>
  <c r="AH7" i="15"/>
  <c r="AI7" i="15" s="1"/>
  <c r="AJ7" i="15" s="1"/>
  <c r="Z96" i="6"/>
  <c r="Z76" i="6"/>
  <c r="AH496" i="15"/>
  <c r="AI496" i="15" s="1"/>
  <c r="AJ496" i="15" s="1"/>
  <c r="E540" i="15"/>
  <c r="AB540" i="15"/>
  <c r="D540" i="15" s="1"/>
  <c r="AH216" i="15"/>
  <c r="AI216" i="15" s="1"/>
  <c r="AJ216" i="15" s="1"/>
  <c r="AH81" i="15"/>
  <c r="AI81" i="15"/>
  <c r="AJ81" i="15" s="1"/>
  <c r="Z530" i="15"/>
  <c r="AI137" i="15"/>
  <c r="AJ137" i="15" s="1"/>
  <c r="AH137" i="15"/>
  <c r="AI343" i="15"/>
  <c r="AJ343" i="15" s="1"/>
  <c r="AH343" i="15"/>
  <c r="AI159" i="15"/>
  <c r="AJ159" i="15" s="1"/>
  <c r="AH159" i="15"/>
  <c r="AH163" i="15"/>
  <c r="AI163" i="15" s="1"/>
  <c r="AJ163" i="15" s="1"/>
  <c r="AG340" i="7"/>
  <c r="W492" i="7" s="1"/>
  <c r="AH323" i="7"/>
  <c r="Z88" i="6"/>
  <c r="Z68" i="6"/>
  <c r="AD16" i="8"/>
  <c r="AE16" i="8" s="1"/>
  <c r="AI412" i="7"/>
  <c r="AI432" i="7"/>
  <c r="AI452" i="7"/>
  <c r="AI172" i="7"/>
  <c r="AI292" i="7"/>
  <c r="AI352" i="7"/>
  <c r="AI272" i="7"/>
  <c r="AI192" i="7"/>
  <c r="AI372" i="7"/>
  <c r="AI332" i="7"/>
  <c r="AI212" i="7"/>
  <c r="AI232" i="7"/>
  <c r="AI312" i="7"/>
  <c r="AI252" i="7"/>
  <c r="AI152" i="7"/>
  <c r="AI392" i="7"/>
  <c r="AI72" i="7"/>
  <c r="AI112" i="7"/>
  <c r="AI32" i="7"/>
  <c r="AI92" i="7"/>
  <c r="AI52" i="7"/>
  <c r="AI12" i="7"/>
  <c r="AI132" i="7"/>
  <c r="AH482" i="15"/>
  <c r="AI482" i="15"/>
  <c r="AJ482" i="15" s="1"/>
  <c r="AJ390" i="15"/>
  <c r="D390" i="15" s="1"/>
  <c r="E390" i="15"/>
  <c r="AH264" i="15"/>
  <c r="AI264" i="15" s="1"/>
  <c r="AI399" i="15"/>
  <c r="AJ399" i="15" s="1"/>
  <c r="AH399" i="15"/>
  <c r="AH500" i="15"/>
  <c r="AI500" i="15" s="1"/>
  <c r="AJ500" i="15" s="1"/>
  <c r="AH87" i="15"/>
  <c r="AI87" i="15" s="1"/>
  <c r="AJ87" i="15" s="1"/>
  <c r="AH468" i="15"/>
  <c r="AI468" i="15" s="1"/>
  <c r="AJ468" i="15" s="1"/>
  <c r="AH507" i="15"/>
  <c r="AI507" i="15"/>
  <c r="AJ507" i="15" s="1"/>
  <c r="Z525" i="15"/>
  <c r="AA525" i="15" s="1"/>
  <c r="AI440" i="15"/>
  <c r="AH440" i="15"/>
  <c r="AG420" i="7"/>
  <c r="W496" i="7" s="1"/>
  <c r="AH403" i="7"/>
  <c r="Z51" i="6"/>
  <c r="AH151" i="7"/>
  <c r="AJ151" i="7" s="1"/>
  <c r="AA528" i="15"/>
  <c r="Z528" i="15"/>
  <c r="AH511" i="15"/>
  <c r="AI511" i="15" s="1"/>
  <c r="AJ511" i="15" s="1"/>
  <c r="AI212" i="15"/>
  <c r="AH212" i="15"/>
  <c r="AG40" i="7"/>
  <c r="AH23" i="7"/>
  <c r="Z23" i="6"/>
  <c r="Z3" i="6"/>
  <c r="Z20" i="6" s="1"/>
  <c r="AG380" i="7"/>
  <c r="W494" i="7" s="1"/>
  <c r="AH363" i="7"/>
  <c r="AH493" i="15"/>
  <c r="AI493" i="15"/>
  <c r="AJ493" i="15" s="1"/>
  <c r="E533" i="15"/>
  <c r="AB533" i="15"/>
  <c r="D533" i="15" s="1"/>
  <c r="Y149" i="7"/>
  <c r="AH149" i="7"/>
  <c r="AI91" i="15"/>
  <c r="AJ91" i="15" s="1"/>
  <c r="AI454" i="7"/>
  <c r="AC18" i="8"/>
  <c r="AD18" i="8" s="1"/>
  <c r="AE18" i="8" s="1"/>
  <c r="AI414" i="7"/>
  <c r="AI434" i="7"/>
  <c r="AI374" i="7"/>
  <c r="AI394" i="7"/>
  <c r="AI334" i="7"/>
  <c r="AI314" i="7"/>
  <c r="AI174" i="7"/>
  <c r="AI194" i="7"/>
  <c r="AI294" i="7"/>
  <c r="AI274" i="7"/>
  <c r="AI214" i="7"/>
  <c r="AI234" i="7"/>
  <c r="AI354" i="7"/>
  <c r="AI254" i="7"/>
  <c r="AI154" i="7"/>
  <c r="AI114" i="7"/>
  <c r="AI74" i="7"/>
  <c r="AI34" i="7"/>
  <c r="AI134" i="7"/>
  <c r="AI54" i="7"/>
  <c r="AI94" i="7"/>
  <c r="AI14" i="7"/>
  <c r="AH364" i="7"/>
  <c r="AJ364" i="7" s="1"/>
  <c r="F108" i="15"/>
  <c r="U484" i="7"/>
  <c r="V484" i="7" s="1"/>
  <c r="AF220" i="7"/>
  <c r="AE99" i="6"/>
  <c r="AE79" i="6"/>
  <c r="Z24" i="6"/>
  <c r="X80" i="6"/>
  <c r="Y63" i="6"/>
  <c r="U498" i="7"/>
  <c r="V498" i="7" s="1"/>
  <c r="AF460" i="7"/>
  <c r="AH64" i="7"/>
  <c r="AJ64" i="7" s="1"/>
  <c r="Y250" i="7"/>
  <c r="AH250" i="7"/>
  <c r="Y387" i="7"/>
  <c r="AH387" i="7"/>
  <c r="AI49" i="15"/>
  <c r="AJ49" i="15" s="1"/>
  <c r="F315" i="15"/>
  <c r="Y4" i="7"/>
  <c r="AH4" i="7"/>
  <c r="Y324" i="7"/>
  <c r="AH324" i="7"/>
  <c r="E537" i="15"/>
  <c r="AB537" i="15"/>
  <c r="D537" i="15" s="1"/>
  <c r="Y251" i="7"/>
  <c r="AH251" i="7"/>
  <c r="Y408" i="7"/>
  <c r="AH408" i="7"/>
  <c r="Y79" i="7"/>
  <c r="AH79" i="7"/>
  <c r="Y319" i="7"/>
  <c r="AH319" i="7"/>
  <c r="AH276" i="7"/>
  <c r="Y276" i="7"/>
  <c r="Y123" i="7"/>
  <c r="AH123" i="7"/>
  <c r="Y243" i="7"/>
  <c r="Y287" i="7"/>
  <c r="AH287" i="7"/>
  <c r="AG186" i="15"/>
  <c r="AE84" i="6"/>
  <c r="AE64" i="6"/>
  <c r="Y89" i="7"/>
  <c r="AH89" i="7"/>
  <c r="Y331" i="7"/>
  <c r="AH331" i="7"/>
  <c r="AH164" i="7"/>
  <c r="AJ164" i="7" s="1"/>
  <c r="F483" i="7"/>
  <c r="X100" i="6"/>
  <c r="Y83" i="6"/>
  <c r="AE54" i="6"/>
  <c r="AE34" i="6"/>
  <c r="AE14" i="6"/>
  <c r="Y230" i="7"/>
  <c r="AH230" i="7"/>
  <c r="Y407" i="7"/>
  <c r="AH407" i="7"/>
  <c r="AH138" i="15"/>
  <c r="AI138" i="15" s="1"/>
  <c r="AJ138" i="15" s="1"/>
  <c r="AA524" i="15"/>
  <c r="AH347" i="15"/>
  <c r="AI347" i="15" s="1"/>
  <c r="AJ347" i="15" s="1"/>
  <c r="AH179" i="15"/>
  <c r="AI179" i="15" s="1"/>
  <c r="AJ179" i="15" s="1"/>
  <c r="AI478" i="15"/>
  <c r="AJ478" i="15" s="1"/>
  <c r="Y444" i="7"/>
  <c r="AH444" i="7"/>
  <c r="Y231" i="7"/>
  <c r="AH231" i="7"/>
  <c r="Y19" i="7"/>
  <c r="AH19" i="7"/>
  <c r="Y159" i="7"/>
  <c r="AH159" i="7"/>
  <c r="AI471" i="15"/>
  <c r="AJ471" i="15" s="1"/>
  <c r="Y216" i="7"/>
  <c r="AH216" i="7"/>
  <c r="AH339" i="7"/>
  <c r="Y339" i="7"/>
  <c r="Y203" i="7"/>
  <c r="AH203" i="7"/>
  <c r="Y363" i="7"/>
  <c r="Y127" i="7"/>
  <c r="AH127" i="7"/>
  <c r="Y207" i="7"/>
  <c r="AH207" i="7"/>
  <c r="AG515" i="15"/>
  <c r="Y249" i="7"/>
  <c r="AH249" i="7"/>
  <c r="Y391" i="7"/>
  <c r="AH391" i="7"/>
  <c r="L506" i="7"/>
  <c r="F476" i="7"/>
  <c r="AH29" i="7"/>
  <c r="Y29" i="7"/>
  <c r="AH147" i="7"/>
  <c r="AH85" i="15"/>
  <c r="AI85" i="15" s="1"/>
  <c r="AJ85" i="15" s="1"/>
  <c r="AH101" i="15"/>
  <c r="AI101" i="15" s="1"/>
  <c r="AJ101" i="15" s="1"/>
  <c r="Z64" i="6"/>
  <c r="AE57" i="6"/>
  <c r="AE37" i="6"/>
  <c r="AE17" i="6"/>
  <c r="V9" i="8"/>
  <c r="AE52" i="6"/>
  <c r="AE32" i="6"/>
  <c r="AE12" i="6"/>
  <c r="AM434" i="7"/>
  <c r="AM374" i="7"/>
  <c r="AM414" i="7"/>
  <c r="AM454" i="7"/>
  <c r="AM194" i="7"/>
  <c r="AM114" i="7"/>
  <c r="AM294" i="7"/>
  <c r="AM274" i="7"/>
  <c r="AM234" i="7"/>
  <c r="AM254" i="7"/>
  <c r="AM354" i="7"/>
  <c r="AM394" i="7"/>
  <c r="AM334" i="7"/>
  <c r="AM174" i="7"/>
  <c r="AM314" i="7"/>
  <c r="AM154" i="7"/>
  <c r="AM34" i="7"/>
  <c r="AM134" i="7"/>
  <c r="AM214" i="7"/>
  <c r="AM54" i="7"/>
  <c r="AM94" i="7"/>
  <c r="AM14" i="7"/>
  <c r="AM74" i="7"/>
  <c r="Y347" i="7"/>
  <c r="AH347" i="7"/>
  <c r="AE95" i="6"/>
  <c r="AE75" i="6"/>
  <c r="AH451" i="7"/>
  <c r="AJ451" i="7" s="1"/>
  <c r="Y104" i="7"/>
  <c r="AH104" i="7"/>
  <c r="Y224" i="7"/>
  <c r="AH224" i="7"/>
  <c r="Y71" i="7"/>
  <c r="AH71" i="7"/>
  <c r="Y328" i="7"/>
  <c r="AH328" i="7"/>
  <c r="F160" i="15"/>
  <c r="Y59" i="7"/>
  <c r="AH59" i="7"/>
  <c r="Y259" i="7"/>
  <c r="AH259" i="7"/>
  <c r="AG490" i="15"/>
  <c r="AH490" i="15" s="1"/>
  <c r="AI490" i="15" s="1"/>
  <c r="Y236" i="7"/>
  <c r="AH236" i="7"/>
  <c r="Y143" i="7"/>
  <c r="Y403" i="7"/>
  <c r="Y47" i="7"/>
  <c r="AH47" i="7"/>
  <c r="Y227" i="7"/>
  <c r="AH227" i="7"/>
  <c r="U497" i="7"/>
  <c r="V497" i="7" s="1"/>
  <c r="AF440" i="7"/>
  <c r="AE86" i="6"/>
  <c r="AE66" i="6"/>
  <c r="Y47" i="6"/>
  <c r="P47" i="6"/>
  <c r="F47" i="6"/>
  <c r="F35" i="6"/>
  <c r="S40" i="6"/>
  <c r="O80" i="6"/>
  <c r="P63" i="6"/>
  <c r="F63" i="6"/>
  <c r="AF400" i="7"/>
  <c r="U495" i="7"/>
  <c r="V495" i="7" s="1"/>
  <c r="Y169" i="7"/>
  <c r="AH169" i="7"/>
  <c r="Y269" i="7"/>
  <c r="AH269" i="7"/>
  <c r="Z59" i="6"/>
  <c r="AH443" i="7"/>
  <c r="AE90" i="6"/>
  <c r="AE70" i="6"/>
  <c r="F507" i="7"/>
  <c r="U488" i="7"/>
  <c r="V488" i="7" s="1"/>
  <c r="AF260" i="7"/>
  <c r="AH209" i="7"/>
  <c r="AJ209" i="7" s="1"/>
  <c r="Y70" i="7"/>
  <c r="AH70" i="7"/>
  <c r="Y210" i="7"/>
  <c r="AH210" i="7"/>
  <c r="P45" i="6"/>
  <c r="F45" i="6"/>
  <c r="Y45" i="6"/>
  <c r="AH301" i="15"/>
  <c r="AI301" i="15" s="1"/>
  <c r="AJ301" i="15" s="1"/>
  <c r="AI509" i="15"/>
  <c r="AJ509" i="15" s="1"/>
  <c r="Y44" i="7"/>
  <c r="AH44" i="7"/>
  <c r="Y244" i="7"/>
  <c r="AH244" i="7"/>
  <c r="Y368" i="7"/>
  <c r="AH368" i="7"/>
  <c r="V10" i="8"/>
  <c r="Y219" i="7"/>
  <c r="AH219" i="7"/>
  <c r="Y299" i="7"/>
  <c r="AH299" i="7"/>
  <c r="Y136" i="7"/>
  <c r="AH136" i="7"/>
  <c r="Z523" i="15"/>
  <c r="AA523" i="15" s="1"/>
  <c r="Y43" i="7"/>
  <c r="AH43" i="7"/>
  <c r="Y283" i="7"/>
  <c r="Y87" i="7"/>
  <c r="AH87" i="7"/>
  <c r="Y307" i="7"/>
  <c r="AH307" i="7"/>
  <c r="AH465" i="15"/>
  <c r="AI465" i="15" s="1"/>
  <c r="AG465" i="15"/>
  <c r="AF465" i="15"/>
  <c r="AA530" i="15"/>
  <c r="AH415" i="15"/>
  <c r="AI415" i="15" s="1"/>
  <c r="AM438" i="7"/>
  <c r="AM458" i="7"/>
  <c r="AM418" i="7"/>
  <c r="AM358" i="7"/>
  <c r="AM197" i="7"/>
  <c r="AM378" i="7"/>
  <c r="AM137" i="7"/>
  <c r="AM297" i="7"/>
  <c r="AM217" i="7"/>
  <c r="AM398" i="7"/>
  <c r="AM317" i="7"/>
  <c r="AM277" i="7"/>
  <c r="AM257" i="7"/>
  <c r="AM157" i="7"/>
  <c r="AM338" i="7"/>
  <c r="AM177" i="7"/>
  <c r="AM237" i="7"/>
  <c r="AM117" i="7"/>
  <c r="AM37" i="7"/>
  <c r="AM16" i="7"/>
  <c r="AM57" i="7"/>
  <c r="AM97" i="7"/>
  <c r="AM77" i="7"/>
  <c r="AE44" i="6"/>
  <c r="AE24" i="6"/>
  <c r="AE4" i="6"/>
  <c r="Y189" i="7"/>
  <c r="AH189" i="7"/>
  <c r="F83" i="6"/>
  <c r="O100" i="6"/>
  <c r="P83" i="6"/>
  <c r="AE96" i="6"/>
  <c r="AE76" i="6"/>
  <c r="AE98" i="6"/>
  <c r="AE78" i="6"/>
  <c r="Y289" i="7"/>
  <c r="AH289" i="7"/>
  <c r="Y309" i="7"/>
  <c r="AH309" i="7"/>
  <c r="AF120" i="7"/>
  <c r="X40" i="6"/>
  <c r="Y23" i="6"/>
  <c r="AE50" i="6"/>
  <c r="AE30" i="6"/>
  <c r="AE10" i="6"/>
  <c r="AE93" i="6"/>
  <c r="AE73" i="6"/>
  <c r="AE59" i="6"/>
  <c r="AE39" i="6"/>
  <c r="AE19" i="6"/>
  <c r="F55" i="6"/>
  <c r="S60" i="6"/>
  <c r="Y10" i="7"/>
  <c r="AH10" i="7"/>
  <c r="Y427" i="7"/>
  <c r="AH427" i="7"/>
  <c r="P68" i="6"/>
  <c r="Y68" i="6"/>
  <c r="F68" i="6"/>
  <c r="AA127" i="6"/>
  <c r="D127" i="6" s="1"/>
  <c r="Y144" i="7"/>
  <c r="AH144" i="7"/>
  <c r="Y384" i="7"/>
  <c r="AH384" i="7"/>
  <c r="AI33" i="15"/>
  <c r="AJ33" i="15" s="1"/>
  <c r="Y11" i="7"/>
  <c r="AH11" i="7"/>
  <c r="Y388" i="7"/>
  <c r="AH388" i="7"/>
  <c r="Y337" i="7"/>
  <c r="AH337" i="7"/>
  <c r="Y377" i="7"/>
  <c r="AH377" i="7"/>
  <c r="AG365" i="15"/>
  <c r="AH365" i="15" s="1"/>
  <c r="Y296" i="7"/>
  <c r="AH296" i="7"/>
  <c r="Y103" i="7"/>
  <c r="AH103" i="7"/>
  <c r="AH183" i="7"/>
  <c r="Y183" i="7"/>
  <c r="Y107" i="7"/>
  <c r="AH107" i="7"/>
  <c r="Y349" i="7"/>
  <c r="AH349" i="7"/>
  <c r="Y109" i="7"/>
  <c r="AH109" i="7"/>
  <c r="Y371" i="7"/>
  <c r="AH371" i="7"/>
  <c r="Y351" i="7"/>
  <c r="AH351" i="7"/>
  <c r="AE46" i="6"/>
  <c r="AE26" i="6"/>
  <c r="AE6" i="6"/>
  <c r="Y51" i="6"/>
  <c r="P51" i="6"/>
  <c r="F51" i="6"/>
  <c r="AF340" i="7"/>
  <c r="F220" i="7"/>
  <c r="AJ111" i="7"/>
  <c r="Y110" i="7"/>
  <c r="AH110" i="7"/>
  <c r="Y327" i="7"/>
  <c r="AH327" i="7"/>
  <c r="P88" i="6"/>
  <c r="Y88" i="6"/>
  <c r="F88" i="6"/>
  <c r="AG200" i="7"/>
  <c r="W483" i="7" s="1"/>
  <c r="F238" i="15"/>
  <c r="E546" i="15"/>
  <c r="AB546" i="15"/>
  <c r="D546" i="15" s="1"/>
  <c r="Y204" i="7"/>
  <c r="AH204" i="7"/>
  <c r="W519" i="15"/>
  <c r="X519" i="15" s="1"/>
  <c r="Y519" i="15" s="1"/>
  <c r="AF56" i="15"/>
  <c r="AG56" i="15" s="1"/>
  <c r="Y211" i="7"/>
  <c r="AH211" i="7"/>
  <c r="Y139" i="7"/>
  <c r="AH139" i="7"/>
  <c r="Y437" i="7"/>
  <c r="AH437" i="7"/>
  <c r="AF160" i="15"/>
  <c r="AG160" i="15" s="1"/>
  <c r="Y359" i="7"/>
  <c r="AH359" i="7"/>
  <c r="Y83" i="7"/>
  <c r="AH83" i="7"/>
  <c r="Y303" i="7"/>
  <c r="AH27" i="7"/>
  <c r="Y27" i="7"/>
  <c r="Y187" i="7"/>
  <c r="AH187" i="7"/>
  <c r="AH290" i="15"/>
  <c r="AI290" i="15" s="1"/>
  <c r="P38" i="6"/>
  <c r="F38" i="6"/>
  <c r="AM436" i="7"/>
  <c r="AM376" i="7"/>
  <c r="AM416" i="7"/>
  <c r="AM456" i="7"/>
  <c r="AM356" i="7"/>
  <c r="AM198" i="7"/>
  <c r="AM336" i="7"/>
  <c r="AM138" i="7"/>
  <c r="AM218" i="7"/>
  <c r="AM298" i="7"/>
  <c r="AM396" i="7"/>
  <c r="AM258" i="7"/>
  <c r="AM158" i="7"/>
  <c r="AM318" i="7"/>
  <c r="AM278" i="7"/>
  <c r="AM178" i="7"/>
  <c r="AM98" i="7"/>
  <c r="AM238" i="7"/>
  <c r="AM38" i="7"/>
  <c r="AM58" i="7"/>
  <c r="AM18" i="7"/>
  <c r="AM118" i="7"/>
  <c r="AM78" i="7"/>
  <c r="AF300" i="7"/>
  <c r="P3" i="6"/>
  <c r="F3" i="6"/>
  <c r="Y3" i="6"/>
  <c r="P76" i="6"/>
  <c r="Y76" i="6"/>
  <c r="F76" i="6"/>
  <c r="Y50" i="7"/>
  <c r="AH50" i="7"/>
  <c r="Y310" i="7"/>
  <c r="AH310" i="7"/>
  <c r="AB526" i="15"/>
  <c r="D526" i="15" s="1"/>
  <c r="E526" i="15"/>
  <c r="Y84" i="7"/>
  <c r="AH84" i="7"/>
  <c r="Y284" i="7"/>
  <c r="AH284" i="7"/>
  <c r="Y51" i="7"/>
  <c r="AH51" i="7"/>
  <c r="Y311" i="7"/>
  <c r="AH311" i="7"/>
  <c r="Y239" i="7"/>
  <c r="AH239" i="7"/>
  <c r="AH417" i="7"/>
  <c r="Y417" i="7"/>
  <c r="Y56" i="7"/>
  <c r="AH56" i="7"/>
  <c r="Y316" i="7"/>
  <c r="AH316" i="7"/>
  <c r="Y23" i="7"/>
  <c r="AH383" i="7"/>
  <c r="Y383" i="7"/>
  <c r="Y167" i="7"/>
  <c r="AH167" i="7"/>
  <c r="Y429" i="7"/>
  <c r="AH429" i="7"/>
  <c r="AG440" i="7"/>
  <c r="W497" i="7" s="1"/>
  <c r="AE58" i="6"/>
  <c r="AE38" i="6"/>
  <c r="AE18" i="6"/>
  <c r="Y69" i="7"/>
  <c r="AH69" i="7"/>
  <c r="F300" i="7"/>
  <c r="AE53" i="6"/>
  <c r="AE33" i="6"/>
  <c r="AE13" i="6"/>
  <c r="U476" i="7"/>
  <c r="AF60" i="7"/>
  <c r="P96" i="6"/>
  <c r="Y96" i="6"/>
  <c r="F96" i="6"/>
  <c r="Z32" i="6"/>
  <c r="F496" i="7"/>
  <c r="AM372" i="7"/>
  <c r="AM312" i="7"/>
  <c r="AM432" i="7"/>
  <c r="AM452" i="7"/>
  <c r="AM392" i="7"/>
  <c r="AM212" i="7"/>
  <c r="AM132" i="7"/>
  <c r="AM332" i="7"/>
  <c r="AM232" i="7"/>
  <c r="AM412" i="7"/>
  <c r="AM252" i="7"/>
  <c r="AM152" i="7"/>
  <c r="AM172" i="7"/>
  <c r="AM292" i="7"/>
  <c r="AM352" i="7"/>
  <c r="AM272" i="7"/>
  <c r="AM192" i="7"/>
  <c r="AM112" i="7"/>
  <c r="AM92" i="7"/>
  <c r="AM52" i="7"/>
  <c r="AM12" i="7"/>
  <c r="AM72" i="7"/>
  <c r="AM32" i="7"/>
  <c r="AG140" i="7"/>
  <c r="W480" i="7" s="1"/>
  <c r="Y130" i="7"/>
  <c r="AH130" i="7"/>
  <c r="Y447" i="7"/>
  <c r="AH447" i="7"/>
  <c r="AE55" i="6"/>
  <c r="AE35" i="6"/>
  <c r="AE15" i="6"/>
  <c r="AB534" i="15"/>
  <c r="D534" i="15" s="1"/>
  <c r="E534" i="15"/>
  <c r="Z31" i="6"/>
  <c r="AH24" i="7"/>
  <c r="Y24" i="7"/>
  <c r="Y184" i="7"/>
  <c r="AH184" i="7"/>
  <c r="Y91" i="7"/>
  <c r="AH91" i="7"/>
  <c r="Y428" i="7"/>
  <c r="AH428" i="7"/>
  <c r="Y357" i="7"/>
  <c r="AH357" i="7"/>
  <c r="Y457" i="7"/>
  <c r="AH457" i="7"/>
  <c r="AF238" i="15"/>
  <c r="AG238" i="15" s="1"/>
  <c r="AI472" i="15"/>
  <c r="AJ472" i="15" s="1"/>
  <c r="Y36" i="7"/>
  <c r="AH36" i="7"/>
  <c r="Y196" i="7"/>
  <c r="AH196" i="7"/>
  <c r="Y163" i="7"/>
  <c r="AH163" i="7"/>
  <c r="Y443" i="7"/>
  <c r="Y267" i="7"/>
  <c r="AH267" i="7"/>
  <c r="Y389" i="7"/>
  <c r="AH389" i="7"/>
  <c r="Y411" i="7"/>
  <c r="AH411" i="7"/>
  <c r="P64" i="6"/>
  <c r="Y64" i="6"/>
  <c r="F64" i="6"/>
  <c r="AG82" i="15"/>
  <c r="AE97" i="6"/>
  <c r="AE77" i="6"/>
  <c r="F40" i="7"/>
  <c r="X60" i="6"/>
  <c r="Y43" i="6"/>
  <c r="AE92" i="6"/>
  <c r="AE72" i="6"/>
  <c r="Y90" i="7"/>
  <c r="AH90" i="7"/>
  <c r="Y190" i="7"/>
  <c r="AH190" i="7"/>
  <c r="F75" i="6"/>
  <c r="S80" i="6"/>
  <c r="Y304" i="7"/>
  <c r="AH304" i="7"/>
  <c r="Y31" i="7"/>
  <c r="AH31" i="7"/>
  <c r="Y191" i="7"/>
  <c r="AH191" i="7"/>
  <c r="W518" i="15"/>
  <c r="AF30" i="15"/>
  <c r="AG30" i="15" s="1"/>
  <c r="Y76" i="7"/>
  <c r="AH76" i="7"/>
  <c r="Y176" i="7"/>
  <c r="AH176" i="7"/>
  <c r="F30" i="15"/>
  <c r="Y263" i="7"/>
  <c r="AH263" i="7"/>
  <c r="Y323" i="7"/>
  <c r="AH369" i="7"/>
  <c r="Y369" i="7"/>
  <c r="Y449" i="7"/>
  <c r="AH449" i="7"/>
  <c r="O549" i="15"/>
  <c r="O550" i="15" s="1"/>
  <c r="AD22" i="8"/>
  <c r="AE22" i="8" s="1"/>
  <c r="AI459" i="7"/>
  <c r="AI439" i="7"/>
  <c r="AI399" i="7"/>
  <c r="AI419" i="7"/>
  <c r="AE56" i="6"/>
  <c r="AE36" i="6"/>
  <c r="AE16" i="6"/>
  <c r="Y9" i="7"/>
  <c r="AH9" i="7"/>
  <c r="Y229" i="7"/>
  <c r="AH229" i="7"/>
  <c r="P44" i="6"/>
  <c r="F44" i="6"/>
  <c r="Y44" i="6"/>
  <c r="P84" i="6"/>
  <c r="Y84" i="6"/>
  <c r="F84" i="6"/>
  <c r="AH283" i="7"/>
  <c r="Y30" i="7"/>
  <c r="AH30" i="7"/>
  <c r="Y367" i="7"/>
  <c r="AH367" i="7"/>
  <c r="F95" i="6"/>
  <c r="S100" i="6"/>
  <c r="AI495" i="15"/>
  <c r="AJ495" i="15" s="1"/>
  <c r="AI484" i="15"/>
  <c r="AJ484" i="15" s="1"/>
  <c r="Y264" i="7"/>
  <c r="AH264" i="7"/>
  <c r="Y131" i="7"/>
  <c r="AH131" i="7"/>
  <c r="Y291" i="7"/>
  <c r="AH291" i="7"/>
  <c r="Y119" i="7"/>
  <c r="AH119" i="7"/>
  <c r="Y397" i="7"/>
  <c r="AH397" i="7"/>
  <c r="V20" i="8"/>
  <c r="M550" i="15"/>
  <c r="Y96" i="7"/>
  <c r="AH96" i="7"/>
  <c r="AH379" i="7"/>
  <c r="Y379" i="7"/>
  <c r="AH423" i="7"/>
  <c r="Y423" i="7"/>
  <c r="Y409" i="7"/>
  <c r="AH409" i="7"/>
  <c r="AH318" i="15"/>
  <c r="AI318" i="15" s="1"/>
  <c r="AJ318" i="15" s="1"/>
  <c r="AG260" i="7"/>
  <c r="W488" i="7" s="1"/>
  <c r="Z83" i="6"/>
  <c r="Z100" i="6" s="1"/>
  <c r="Z63" i="6"/>
  <c r="Z80" i="6" s="1"/>
  <c r="Y431" i="7"/>
  <c r="AH431" i="7"/>
  <c r="AI455" i="7"/>
  <c r="AI415" i="7"/>
  <c r="AD19" i="8"/>
  <c r="AE19" i="8" s="1"/>
  <c r="AI435" i="7"/>
  <c r="AI375" i="7"/>
  <c r="AI255" i="7"/>
  <c r="AI355" i="7"/>
  <c r="AI175" i="7"/>
  <c r="AI335" i="7"/>
  <c r="AI315" i="7"/>
  <c r="AI395" i="7"/>
  <c r="AI195" i="7"/>
  <c r="AI295" i="7"/>
  <c r="AI275" i="7"/>
  <c r="AI235" i="7"/>
  <c r="AI215" i="7"/>
  <c r="AI155" i="7"/>
  <c r="AI95" i="7"/>
  <c r="AI135" i="7"/>
  <c r="AI75" i="7"/>
  <c r="AI35" i="7"/>
  <c r="AI115" i="7"/>
  <c r="AI55" i="7"/>
  <c r="AI15" i="7"/>
  <c r="F521" i="15"/>
  <c r="AE48" i="6"/>
  <c r="AE28" i="6"/>
  <c r="AE8" i="6"/>
  <c r="AE88" i="6"/>
  <c r="AE68" i="6"/>
  <c r="F43" i="6"/>
  <c r="O60" i="6"/>
  <c r="P43" i="6"/>
  <c r="P23" i="6"/>
  <c r="O40" i="6"/>
  <c r="F23" i="6"/>
  <c r="U481" i="7"/>
  <c r="V481" i="7" s="1"/>
  <c r="AF160" i="7"/>
  <c r="AG320" i="7"/>
  <c r="W491" i="7" s="1"/>
  <c r="P49" i="6"/>
  <c r="F49" i="6"/>
  <c r="Y49" i="6"/>
  <c r="P31" i="6"/>
  <c r="F31" i="6"/>
  <c r="F260" i="7"/>
  <c r="Y150" i="7"/>
  <c r="AH150" i="7"/>
  <c r="Y270" i="7"/>
  <c r="AH270" i="7"/>
  <c r="F160" i="7"/>
  <c r="Y344" i="7"/>
  <c r="AH344" i="7"/>
  <c r="Y404" i="7"/>
  <c r="AH404" i="7"/>
  <c r="Y171" i="7"/>
  <c r="R51" i="6" s="1"/>
  <c r="Q51" i="6" s="1"/>
  <c r="AH171" i="7"/>
  <c r="Y448" i="7"/>
  <c r="AH448" i="7"/>
  <c r="AF108" i="15"/>
  <c r="AG108" i="15" s="1"/>
  <c r="Z527" i="15"/>
  <c r="AA527" i="15"/>
  <c r="W529" i="15"/>
  <c r="X529" i="15" s="1"/>
  <c r="Y529" i="15" s="1"/>
  <c r="AF315" i="15"/>
  <c r="AG315" i="15" s="1"/>
  <c r="Y39" i="7"/>
  <c r="AH39" i="7"/>
  <c r="Y179" i="7"/>
  <c r="AH179" i="7"/>
  <c r="Y116" i="7"/>
  <c r="AH116" i="7"/>
  <c r="Y156" i="7"/>
  <c r="AH156" i="7"/>
  <c r="P550" i="15"/>
  <c r="F550" i="15" s="1"/>
  <c r="Y3" i="7"/>
  <c r="AH3" i="7"/>
  <c r="Y223" i="7"/>
  <c r="AH223" i="7"/>
  <c r="Y7" i="7"/>
  <c r="AH7" i="7"/>
  <c r="Y329" i="7"/>
  <c r="AH329" i="7"/>
  <c r="AG340" i="15"/>
  <c r="AH340" i="15" s="1"/>
  <c r="Y59" i="6"/>
  <c r="P59" i="6"/>
  <c r="F59" i="6"/>
  <c r="Y49" i="7"/>
  <c r="AH49" i="7"/>
  <c r="AG160" i="7"/>
  <c r="W481" i="7" s="1"/>
  <c r="Z43" i="6"/>
  <c r="Z60" i="6" s="1"/>
  <c r="AG220" i="7"/>
  <c r="W484" i="7" s="1"/>
  <c r="AM430" i="7"/>
  <c r="AM450" i="7"/>
  <c r="AM410" i="7"/>
  <c r="AM350" i="7"/>
  <c r="AM370" i="7"/>
  <c r="AM228" i="7"/>
  <c r="AM208" i="7"/>
  <c r="AM128" i="7"/>
  <c r="AM248" i="7"/>
  <c r="AM390" i="7"/>
  <c r="AM288" i="7"/>
  <c r="AM308" i="7"/>
  <c r="AM330" i="7"/>
  <c r="AM268" i="7"/>
  <c r="AM168" i="7"/>
  <c r="AM188" i="7"/>
  <c r="AM108" i="7"/>
  <c r="AM48" i="7"/>
  <c r="AM148" i="7"/>
  <c r="AM68" i="7"/>
  <c r="AM8" i="7"/>
  <c r="AM28" i="7"/>
  <c r="AM88" i="7"/>
  <c r="AI353" i="7"/>
  <c r="AI433" i="7"/>
  <c r="AI373" i="7"/>
  <c r="AI313" i="7"/>
  <c r="AC17" i="8"/>
  <c r="AD17" i="8" s="1"/>
  <c r="AE17" i="8" s="1"/>
  <c r="AI453" i="7"/>
  <c r="AI393" i="7"/>
  <c r="AI173" i="7"/>
  <c r="AI413" i="7"/>
  <c r="AI293" i="7"/>
  <c r="AI273" i="7"/>
  <c r="AI213" i="7"/>
  <c r="AI233" i="7"/>
  <c r="AI333" i="7"/>
  <c r="AI253" i="7"/>
  <c r="AI153" i="7"/>
  <c r="AI73" i="7"/>
  <c r="AI33" i="7"/>
  <c r="AI193" i="7"/>
  <c r="AI113" i="7"/>
  <c r="AI93" i="7"/>
  <c r="AI133" i="7"/>
  <c r="AI53" i="7"/>
  <c r="AI13" i="7"/>
  <c r="AE94" i="6"/>
  <c r="AE74" i="6"/>
  <c r="F320" i="7"/>
  <c r="Y170" i="7"/>
  <c r="AH170" i="7"/>
  <c r="Y290" i="7"/>
  <c r="AH290" i="7"/>
  <c r="Y424" i="7"/>
  <c r="AH424" i="7"/>
  <c r="Y348" i="7"/>
  <c r="AH348" i="7"/>
  <c r="Y271" i="7"/>
  <c r="AH271" i="7"/>
  <c r="X521" i="15"/>
  <c r="Y521" i="15" s="1"/>
  <c r="Y99" i="7"/>
  <c r="AH99" i="7"/>
  <c r="Y279" i="7"/>
  <c r="AH279" i="7"/>
  <c r="V12" i="8"/>
  <c r="M549" i="15"/>
  <c r="Y17" i="7"/>
  <c r="AH17" i="7"/>
  <c r="Y256" i="7"/>
  <c r="AH256" i="7"/>
  <c r="W522" i="15"/>
  <c r="X522" i="15" s="1"/>
  <c r="Y522" i="15" s="1"/>
  <c r="Z522" i="15" s="1"/>
  <c r="AF134" i="15"/>
  <c r="AG134" i="15" s="1"/>
  <c r="AH134" i="15" s="1"/>
  <c r="Y63" i="7"/>
  <c r="AH63" i="7"/>
  <c r="Y343" i="7"/>
  <c r="AH343" i="7"/>
  <c r="Y67" i="7"/>
  <c r="AH67" i="7"/>
  <c r="Y247" i="7"/>
  <c r="AH247" i="7"/>
  <c r="AJ304" i="7" l="1"/>
  <c r="AK304" i="7" s="1"/>
  <c r="D304" i="7" s="1"/>
  <c r="AJ391" i="7"/>
  <c r="AK391" i="7" s="1"/>
  <c r="D391" i="7" s="1"/>
  <c r="AK129" i="7"/>
  <c r="D129" i="7" s="1"/>
  <c r="E129" i="7"/>
  <c r="AA43" i="6"/>
  <c r="AJ27" i="7"/>
  <c r="E27" i="7" s="1"/>
  <c r="AJ204" i="7"/>
  <c r="E204" i="7" s="1"/>
  <c r="AJ311" i="7"/>
  <c r="AJ327" i="7"/>
  <c r="E327" i="7" s="1"/>
  <c r="AJ110" i="7"/>
  <c r="E110" i="7" s="1"/>
  <c r="AJ89" i="7"/>
  <c r="AK89" i="7" s="1"/>
  <c r="D89" i="7" s="1"/>
  <c r="AJ84" i="7"/>
  <c r="E84" i="7" s="1"/>
  <c r="AJ319" i="7"/>
  <c r="AJ69" i="7"/>
  <c r="AJ47" i="7"/>
  <c r="AJ59" i="7"/>
  <c r="AJ407" i="7"/>
  <c r="AJ224" i="7"/>
  <c r="E224" i="7" s="1"/>
  <c r="AJ388" i="7"/>
  <c r="AJ216" i="7"/>
  <c r="AJ276" i="7"/>
  <c r="E276" i="7" s="1"/>
  <c r="AJ79" i="7"/>
  <c r="AK79" i="7" s="1"/>
  <c r="D79" i="7" s="1"/>
  <c r="AJ429" i="7"/>
  <c r="AK429" i="7" s="1"/>
  <c r="D429" i="7" s="1"/>
  <c r="AJ56" i="7"/>
  <c r="E56" i="7" s="1"/>
  <c r="AJ289" i="7"/>
  <c r="E289" i="7" s="1"/>
  <c r="AJ437" i="7"/>
  <c r="AJ291" i="7"/>
  <c r="AJ359" i="7"/>
  <c r="AJ349" i="7"/>
  <c r="AJ231" i="7"/>
  <c r="AJ331" i="7"/>
  <c r="E331" i="7" s="1"/>
  <c r="AJ316" i="7"/>
  <c r="AJ309" i="7"/>
  <c r="E309" i="7" s="1"/>
  <c r="AJ424" i="7"/>
  <c r="AK424" i="7" s="1"/>
  <c r="D424" i="7" s="1"/>
  <c r="AJ449" i="7"/>
  <c r="AK449" i="7" s="1"/>
  <c r="D449" i="7" s="1"/>
  <c r="AJ267" i="7"/>
  <c r="E267" i="7" s="1"/>
  <c r="AJ36" i="7"/>
  <c r="AK36" i="7" s="1"/>
  <c r="D36" i="7" s="1"/>
  <c r="AJ107" i="7"/>
  <c r="AJ44" i="7"/>
  <c r="AJ49" i="7"/>
  <c r="AJ167" i="7"/>
  <c r="E167" i="7" s="1"/>
  <c r="AJ269" i="7"/>
  <c r="E269" i="7" s="1"/>
  <c r="AJ207" i="7"/>
  <c r="AK207" i="7" s="1"/>
  <c r="D207" i="7" s="1"/>
  <c r="AJ431" i="7"/>
  <c r="AK431" i="7" s="1"/>
  <c r="D431" i="7" s="1"/>
  <c r="AJ379" i="7"/>
  <c r="AK379" i="7" s="1"/>
  <c r="D379" i="7" s="1"/>
  <c r="AJ447" i="7"/>
  <c r="E447" i="7" s="1"/>
  <c r="AJ127" i="7"/>
  <c r="AK127" i="7" s="1"/>
  <c r="D127" i="7" s="1"/>
  <c r="AJ67" i="7"/>
  <c r="E67" i="7" s="1"/>
  <c r="AJ290" i="7"/>
  <c r="AJ417" i="7"/>
  <c r="AJ170" i="7"/>
  <c r="AJ39" i="7"/>
  <c r="E39" i="7" s="1"/>
  <c r="AJ51" i="7"/>
  <c r="E51" i="7" s="1"/>
  <c r="Z521" i="15"/>
  <c r="AA521" i="15" s="1"/>
  <c r="AJ415" i="15"/>
  <c r="D415" i="15" s="1"/>
  <c r="E415" i="15"/>
  <c r="AH30" i="15"/>
  <c r="AI30" i="15" s="1"/>
  <c r="AB525" i="15"/>
  <c r="D525" i="15" s="1"/>
  <c r="E525" i="15"/>
  <c r="AK209" i="7"/>
  <c r="D209" i="7" s="1"/>
  <c r="E209" i="7"/>
  <c r="E264" i="15"/>
  <c r="AJ264" i="15"/>
  <c r="D264" i="15" s="1"/>
  <c r="E523" i="15"/>
  <c r="AB523" i="15"/>
  <c r="D523" i="15" s="1"/>
  <c r="AJ490" i="15"/>
  <c r="D490" i="15" s="1"/>
  <c r="E490" i="15"/>
  <c r="AI315" i="15"/>
  <c r="AH315" i="15"/>
  <c r="E64" i="7"/>
  <c r="AK64" i="7"/>
  <c r="D64" i="7" s="1"/>
  <c r="AJ465" i="15"/>
  <c r="D465" i="15" s="1"/>
  <c r="E465" i="15"/>
  <c r="AJ290" i="15"/>
  <c r="D290" i="15" s="1"/>
  <c r="E290" i="15"/>
  <c r="AH160" i="15"/>
  <c r="AI160" i="15" s="1"/>
  <c r="AI108" i="15"/>
  <c r="AH108" i="15"/>
  <c r="E451" i="7"/>
  <c r="AK451" i="7"/>
  <c r="D451" i="7" s="1"/>
  <c r="AH238" i="15"/>
  <c r="AI238" i="15" s="1"/>
  <c r="E151" i="7"/>
  <c r="AK151" i="7"/>
  <c r="AA79" i="6"/>
  <c r="AA99" i="6"/>
  <c r="R39" i="6"/>
  <c r="Q39" i="6" s="1"/>
  <c r="R19" i="6"/>
  <c r="AJ19" i="7"/>
  <c r="E524" i="15"/>
  <c r="AB524" i="15"/>
  <c r="D524" i="15" s="1"/>
  <c r="Y14" i="7"/>
  <c r="AH14" i="7"/>
  <c r="Y274" i="7"/>
  <c r="AH274" i="7"/>
  <c r="AB528" i="15"/>
  <c r="D528" i="15" s="1"/>
  <c r="E528" i="15"/>
  <c r="Y52" i="7"/>
  <c r="AH52" i="7"/>
  <c r="Y372" i="7"/>
  <c r="AH372" i="7"/>
  <c r="AB520" i="15"/>
  <c r="D520" i="15" s="1"/>
  <c r="E520" i="15"/>
  <c r="Y118" i="7"/>
  <c r="AH118" i="7"/>
  <c r="Y158" i="7"/>
  <c r="AH158" i="7"/>
  <c r="Y233" i="7"/>
  <c r="AH233" i="7"/>
  <c r="AI340" i="15"/>
  <c r="AJ179" i="7"/>
  <c r="AJ344" i="7"/>
  <c r="Y35" i="7"/>
  <c r="AH35" i="7"/>
  <c r="AJ264" i="7"/>
  <c r="AJ357" i="7"/>
  <c r="AJ91" i="7"/>
  <c r="AJ284" i="7"/>
  <c r="AJ50" i="7"/>
  <c r="AJ139" i="7"/>
  <c r="AJ211" i="7"/>
  <c r="AJ103" i="7"/>
  <c r="R31" i="6"/>
  <c r="Q31" i="6" s="1"/>
  <c r="R11" i="6"/>
  <c r="AJ11" i="7"/>
  <c r="AJ189" i="7"/>
  <c r="AJ227" i="7"/>
  <c r="AJ236" i="7"/>
  <c r="R99" i="6"/>
  <c r="Q99" i="6" s="1"/>
  <c r="R79" i="6"/>
  <c r="Q79" i="6" s="1"/>
  <c r="AJ259" i="7"/>
  <c r="AJ347" i="7"/>
  <c r="AH515" i="15"/>
  <c r="AI515" i="15" s="1"/>
  <c r="AJ230" i="7"/>
  <c r="Y94" i="7"/>
  <c r="AH94" i="7"/>
  <c r="Y294" i="7"/>
  <c r="AH294" i="7"/>
  <c r="AK124" i="7"/>
  <c r="D124" i="7" s="1"/>
  <c r="E124" i="7"/>
  <c r="Y92" i="7"/>
  <c r="AH92" i="7"/>
  <c r="Y192" i="7"/>
  <c r="AH192" i="7"/>
  <c r="Y58" i="7"/>
  <c r="AH58" i="7"/>
  <c r="Y258" i="7"/>
  <c r="AH258" i="7"/>
  <c r="R50" i="6"/>
  <c r="Q50" i="6" s="1"/>
  <c r="AJ150" i="7"/>
  <c r="Y335" i="7"/>
  <c r="AH335" i="7"/>
  <c r="AJ263" i="7"/>
  <c r="AC12" i="8"/>
  <c r="AD12" i="8" s="1"/>
  <c r="AE12" i="8" s="1"/>
  <c r="AI410" i="7"/>
  <c r="AI188" i="7"/>
  <c r="AI370" i="7"/>
  <c r="AI228" i="7"/>
  <c r="AI208" i="7"/>
  <c r="AI390" i="7"/>
  <c r="AI350" i="7"/>
  <c r="AI248" i="7"/>
  <c r="AI308" i="7"/>
  <c r="AI288" i="7"/>
  <c r="AI330" i="7"/>
  <c r="AI450" i="7"/>
  <c r="AI430" i="7"/>
  <c r="AI268" i="7"/>
  <c r="AI168" i="7"/>
  <c r="AI28" i="7"/>
  <c r="AI88" i="7"/>
  <c r="AI128" i="7"/>
  <c r="AI108" i="7"/>
  <c r="AI48" i="7"/>
  <c r="AI148" i="7"/>
  <c r="AI68" i="7"/>
  <c r="AI8" i="7"/>
  <c r="Y13" i="7"/>
  <c r="AH13" i="7"/>
  <c r="Y213" i="7"/>
  <c r="AH213" i="7"/>
  <c r="Y353" i="7"/>
  <c r="AH353" i="7"/>
  <c r="AJ448" i="7"/>
  <c r="Y75" i="7"/>
  <c r="AH75" i="7"/>
  <c r="Y175" i="7"/>
  <c r="AH175" i="7"/>
  <c r="AJ367" i="7"/>
  <c r="AJ176" i="7"/>
  <c r="W549" i="15"/>
  <c r="X518" i="15"/>
  <c r="Y518" i="15" s="1"/>
  <c r="AJ130" i="7"/>
  <c r="AJ187" i="7"/>
  <c r="AJ109" i="7"/>
  <c r="AI134" i="15"/>
  <c r="AC10" i="8"/>
  <c r="AD10" i="8" s="1"/>
  <c r="AE10" i="8" s="1"/>
  <c r="AI406" i="7"/>
  <c r="AI326" i="7"/>
  <c r="AI186" i="7"/>
  <c r="AI346" i="7"/>
  <c r="AI446" i="7"/>
  <c r="AI306" i="7"/>
  <c r="AI206" i="7"/>
  <c r="AI386" i="7"/>
  <c r="AI286" i="7"/>
  <c r="AI426" i="7"/>
  <c r="AI246" i="7"/>
  <c r="AI226" i="7"/>
  <c r="AI366" i="7"/>
  <c r="AI266" i="7"/>
  <c r="AI166" i="7"/>
  <c r="AI106" i="7"/>
  <c r="AI146" i="7"/>
  <c r="AI26" i="7"/>
  <c r="AI86" i="7"/>
  <c r="AI126" i="7"/>
  <c r="AI46" i="7"/>
  <c r="AI66" i="7"/>
  <c r="AI6" i="7"/>
  <c r="AJ210" i="7"/>
  <c r="AJ169" i="7"/>
  <c r="AJ104" i="7"/>
  <c r="AJ444" i="7"/>
  <c r="AK164" i="7"/>
  <c r="D164" i="7" s="1"/>
  <c r="E164" i="7"/>
  <c r="AJ123" i="7"/>
  <c r="Y54" i="7"/>
  <c r="AH54" i="7"/>
  <c r="Y194" i="7"/>
  <c r="AH194" i="7"/>
  <c r="Y32" i="7"/>
  <c r="AH32" i="7"/>
  <c r="Y272" i="7"/>
  <c r="AH272" i="7"/>
  <c r="Y298" i="7"/>
  <c r="AH298" i="7"/>
  <c r="Y318" i="7"/>
  <c r="AH318" i="7"/>
  <c r="Y273" i="7"/>
  <c r="AH273" i="7"/>
  <c r="E47" i="7"/>
  <c r="AK47" i="7"/>
  <c r="D47" i="7" s="1"/>
  <c r="E59" i="7"/>
  <c r="AK59" i="7"/>
  <c r="D59" i="7" s="1"/>
  <c r="AK319" i="7"/>
  <c r="D319" i="7" s="1"/>
  <c r="E319" i="7"/>
  <c r="Y134" i="7"/>
  <c r="AH134" i="7"/>
  <c r="Y174" i="7"/>
  <c r="AH174" i="7"/>
  <c r="AH112" i="7"/>
  <c r="Y112" i="7"/>
  <c r="Y352" i="7"/>
  <c r="AH352" i="7"/>
  <c r="Y396" i="7"/>
  <c r="AH396" i="7"/>
  <c r="Y376" i="7"/>
  <c r="AH376" i="7"/>
  <c r="U506" i="7"/>
  <c r="V476" i="7"/>
  <c r="AK359" i="7"/>
  <c r="D359" i="7" s="1"/>
  <c r="E359" i="7"/>
  <c r="E111" i="7"/>
  <c r="AK111" i="7"/>
  <c r="D111" i="7" s="1"/>
  <c r="Y135" i="7"/>
  <c r="AH135" i="7"/>
  <c r="AJ279" i="7"/>
  <c r="Y293" i="7"/>
  <c r="AH293" i="7"/>
  <c r="Y95" i="7"/>
  <c r="AH95" i="7"/>
  <c r="Y255" i="7"/>
  <c r="AH255" i="7"/>
  <c r="AJ30" i="7"/>
  <c r="Y419" i="7"/>
  <c r="AH419" i="7"/>
  <c r="AJ76" i="7"/>
  <c r="AJ190" i="7"/>
  <c r="AI56" i="15"/>
  <c r="AH56" i="15"/>
  <c r="AJ427" i="7"/>
  <c r="AJ307" i="7"/>
  <c r="AJ136" i="7"/>
  <c r="AJ299" i="7"/>
  <c r="AA84" i="6"/>
  <c r="AA64" i="6"/>
  <c r="AJ70" i="7"/>
  <c r="AJ403" i="7"/>
  <c r="AH186" i="15"/>
  <c r="AI186" i="15" s="1"/>
  <c r="AJ324" i="7"/>
  <c r="Y34" i="7"/>
  <c r="AH34" i="7"/>
  <c r="Y314" i="7"/>
  <c r="AH314" i="7"/>
  <c r="Y72" i="7"/>
  <c r="AH72" i="7"/>
  <c r="Y292" i="7"/>
  <c r="AH292" i="7"/>
  <c r="Y218" i="7"/>
  <c r="AH218" i="7"/>
  <c r="Y436" i="7"/>
  <c r="AH436" i="7"/>
  <c r="E49" i="7"/>
  <c r="AK49" i="7"/>
  <c r="D49" i="7" s="1"/>
  <c r="E291" i="7"/>
  <c r="AK291" i="7"/>
  <c r="D291" i="7" s="1"/>
  <c r="AA67" i="6"/>
  <c r="AA87" i="6"/>
  <c r="AJ171" i="7"/>
  <c r="R87" i="6"/>
  <c r="Q87" i="6" s="1"/>
  <c r="R67" i="6"/>
  <c r="Q67" i="6" s="1"/>
  <c r="AJ247" i="7"/>
  <c r="Y413" i="7"/>
  <c r="AH413" i="7"/>
  <c r="AJ329" i="7"/>
  <c r="Y155" i="7"/>
  <c r="AH155" i="7"/>
  <c r="Y375" i="7"/>
  <c r="AH375" i="7"/>
  <c r="AJ131" i="7"/>
  <c r="Y399" i="7"/>
  <c r="AH399" i="7"/>
  <c r="AJ389" i="7"/>
  <c r="AK417" i="7"/>
  <c r="D417" i="7" s="1"/>
  <c r="E417" i="7"/>
  <c r="AJ303" i="7"/>
  <c r="AA519" i="15"/>
  <c r="Z519" i="15"/>
  <c r="AK349" i="7"/>
  <c r="D349" i="7" s="1"/>
  <c r="E349" i="7"/>
  <c r="AA30" i="6"/>
  <c r="AA10" i="6"/>
  <c r="R84" i="6"/>
  <c r="Q84" i="6" s="1"/>
  <c r="R64" i="6"/>
  <c r="Q64" i="6" s="1"/>
  <c r="AJ244" i="7"/>
  <c r="AA47" i="6"/>
  <c r="AJ147" i="7"/>
  <c r="AA4" i="6"/>
  <c r="AA24" i="6"/>
  <c r="Y74" i="7"/>
  <c r="AH74" i="7"/>
  <c r="Y334" i="7"/>
  <c r="AH334" i="7"/>
  <c r="Y392" i="7"/>
  <c r="AH392" i="7"/>
  <c r="Y172" i="7"/>
  <c r="AH172" i="7"/>
  <c r="Y138" i="7"/>
  <c r="AH138" i="7"/>
  <c r="Y333" i="7"/>
  <c r="AH333" i="7"/>
  <c r="Y115" i="7"/>
  <c r="AH115" i="7"/>
  <c r="R29" i="6"/>
  <c r="Q29" i="6" s="1"/>
  <c r="R9" i="6"/>
  <c r="AJ9" i="7"/>
  <c r="Y53" i="7"/>
  <c r="AH53" i="7"/>
  <c r="AH355" i="7"/>
  <c r="Y355" i="7"/>
  <c r="Y133" i="7"/>
  <c r="AH133" i="7"/>
  <c r="Y93" i="7"/>
  <c r="AH93" i="7"/>
  <c r="AJ99" i="7"/>
  <c r="AJ271" i="7"/>
  <c r="Y113" i="7"/>
  <c r="AH113" i="7"/>
  <c r="AH173" i="7"/>
  <c r="Y173" i="7"/>
  <c r="AA27" i="6"/>
  <c r="AA7" i="6"/>
  <c r="Y215" i="7"/>
  <c r="AH215" i="7"/>
  <c r="Y435" i="7"/>
  <c r="AH435" i="7"/>
  <c r="AD20" i="8"/>
  <c r="AE20" i="8" s="1"/>
  <c r="AI458" i="7"/>
  <c r="AI418" i="7"/>
  <c r="AI438" i="7"/>
  <c r="AI277" i="7"/>
  <c r="AI257" i="7"/>
  <c r="AI157" i="7"/>
  <c r="AI338" i="7"/>
  <c r="AI358" i="7"/>
  <c r="AI177" i="7"/>
  <c r="AI378" i="7"/>
  <c r="AI197" i="7"/>
  <c r="AI237" i="7"/>
  <c r="AI137" i="7"/>
  <c r="AI398" i="7"/>
  <c r="AI317" i="7"/>
  <c r="AI297" i="7"/>
  <c r="AI217" i="7"/>
  <c r="AI57" i="7"/>
  <c r="AI97" i="7"/>
  <c r="AI77" i="7"/>
  <c r="AI117" i="7"/>
  <c r="AI37" i="7"/>
  <c r="AI16" i="7"/>
  <c r="AH439" i="7"/>
  <c r="Y439" i="7"/>
  <c r="AJ191" i="7"/>
  <c r="AJ90" i="7"/>
  <c r="AH82" i="15"/>
  <c r="AI82" i="15" s="1"/>
  <c r="AJ296" i="7"/>
  <c r="R30" i="6"/>
  <c r="Q30" i="6" s="1"/>
  <c r="R10" i="6"/>
  <c r="AJ10" i="7"/>
  <c r="AJ87" i="7"/>
  <c r="AJ219" i="7"/>
  <c r="AJ368" i="7"/>
  <c r="AJ328" i="7"/>
  <c r="AJ29" i="7"/>
  <c r="AA89" i="6"/>
  <c r="AA69" i="6"/>
  <c r="AJ363" i="7"/>
  <c r="AJ339" i="7"/>
  <c r="R24" i="6"/>
  <c r="Q24" i="6" s="1"/>
  <c r="R4" i="6"/>
  <c r="AJ4" i="7"/>
  <c r="Y114" i="7"/>
  <c r="AH114" i="7"/>
  <c r="Y394" i="7"/>
  <c r="AH394" i="7"/>
  <c r="AA49" i="6"/>
  <c r="Y152" i="7"/>
  <c r="AH152" i="7"/>
  <c r="Y452" i="7"/>
  <c r="AH452" i="7"/>
  <c r="Y238" i="7"/>
  <c r="AH238" i="7"/>
  <c r="Y416" i="7"/>
  <c r="AH416" i="7"/>
  <c r="AJ63" i="7"/>
  <c r="Y433" i="7"/>
  <c r="AH433" i="7"/>
  <c r="R23" i="6"/>
  <c r="R3" i="6"/>
  <c r="AJ3" i="7"/>
  <c r="Y315" i="7"/>
  <c r="AH315" i="7"/>
  <c r="AA31" i="6"/>
  <c r="AA11" i="6"/>
  <c r="AK39" i="7"/>
  <c r="D39" i="7" s="1"/>
  <c r="Y193" i="7"/>
  <c r="AH193" i="7"/>
  <c r="R27" i="6"/>
  <c r="Q27" i="6" s="1"/>
  <c r="R7" i="6"/>
  <c r="AJ7" i="7"/>
  <c r="Y235" i="7"/>
  <c r="AH235" i="7"/>
  <c r="Y459" i="7"/>
  <c r="AH459" i="7"/>
  <c r="E316" i="7"/>
  <c r="AK316" i="7"/>
  <c r="D316" i="7" s="1"/>
  <c r="AK311" i="7"/>
  <c r="D311" i="7" s="1"/>
  <c r="E311" i="7"/>
  <c r="AK204" i="7"/>
  <c r="D204" i="7" s="1"/>
  <c r="AK107" i="7"/>
  <c r="D107" i="7" s="1"/>
  <c r="E107" i="7"/>
  <c r="AK44" i="7"/>
  <c r="D44" i="7" s="1"/>
  <c r="E44" i="7"/>
  <c r="R43" i="6"/>
  <c r="AJ143" i="7"/>
  <c r="R89" i="6"/>
  <c r="Q89" i="6" s="1"/>
  <c r="R69" i="6"/>
  <c r="Q69" i="6" s="1"/>
  <c r="AJ249" i="7"/>
  <c r="E231" i="7"/>
  <c r="AK231" i="7"/>
  <c r="D231" i="7" s="1"/>
  <c r="Y154" i="7"/>
  <c r="AH154" i="7"/>
  <c r="Y374" i="7"/>
  <c r="AH374" i="7"/>
  <c r="R49" i="6"/>
  <c r="Q49" i="6" s="1"/>
  <c r="AJ149" i="7"/>
  <c r="AA51" i="6"/>
  <c r="Y252" i="7"/>
  <c r="AH252" i="7"/>
  <c r="Y432" i="7"/>
  <c r="AH432" i="7"/>
  <c r="Y336" i="7"/>
  <c r="AH336" i="7"/>
  <c r="Y456" i="7"/>
  <c r="AH456" i="7"/>
  <c r="E290" i="7"/>
  <c r="AK290" i="7"/>
  <c r="D290" i="7" s="1"/>
  <c r="Y393" i="7"/>
  <c r="AH393" i="7"/>
  <c r="AA97" i="6"/>
  <c r="AA77" i="6"/>
  <c r="AJ348" i="7"/>
  <c r="Y33" i="7"/>
  <c r="AH33" i="7"/>
  <c r="Y453" i="7"/>
  <c r="AH453" i="7"/>
  <c r="AA57" i="6"/>
  <c r="Y275" i="7"/>
  <c r="AH275" i="7"/>
  <c r="Y415" i="7"/>
  <c r="AH415" i="7"/>
  <c r="AJ96" i="7"/>
  <c r="AJ397" i="7"/>
  <c r="AJ369" i="7"/>
  <c r="AJ31" i="7"/>
  <c r="AJ411" i="7"/>
  <c r="AJ443" i="7"/>
  <c r="AA522" i="15"/>
  <c r="AJ239" i="7"/>
  <c r="AJ83" i="7"/>
  <c r="AJ351" i="7"/>
  <c r="AJ377" i="7"/>
  <c r="AJ283" i="7"/>
  <c r="AJ71" i="7"/>
  <c r="AJ287" i="7"/>
  <c r="AJ408" i="7"/>
  <c r="AJ387" i="7"/>
  <c r="Y254" i="7"/>
  <c r="AH254" i="7"/>
  <c r="Y434" i="7"/>
  <c r="AH434" i="7"/>
  <c r="Y312" i="7"/>
  <c r="AH312" i="7"/>
  <c r="Y412" i="7"/>
  <c r="AH412" i="7"/>
  <c r="Y38" i="7"/>
  <c r="AH38" i="7"/>
  <c r="Y198" i="7"/>
  <c r="AH198" i="7"/>
  <c r="F549" i="15"/>
  <c r="R97" i="6"/>
  <c r="Q97" i="6" s="1"/>
  <c r="R77" i="6"/>
  <c r="Q77" i="6" s="1"/>
  <c r="AJ256" i="7"/>
  <c r="R57" i="6"/>
  <c r="Q57" i="6" s="1"/>
  <c r="AJ156" i="7"/>
  <c r="AA529" i="15"/>
  <c r="Z529" i="15"/>
  <c r="Y295" i="7"/>
  <c r="AH295" i="7"/>
  <c r="Y455" i="7"/>
  <c r="AH455" i="7"/>
  <c r="E69" i="7"/>
  <c r="AK69" i="7"/>
  <c r="D69" i="7" s="1"/>
  <c r="AJ383" i="7"/>
  <c r="AJ183" i="7"/>
  <c r="F506" i="7"/>
  <c r="AJ203" i="7"/>
  <c r="E216" i="7"/>
  <c r="AK216" i="7"/>
  <c r="D216" i="7" s="1"/>
  <c r="AA59" i="6"/>
  <c r="R47" i="6"/>
  <c r="Q47" i="6" s="1"/>
  <c r="AA71" i="6"/>
  <c r="AA91" i="6"/>
  <c r="AA90" i="6"/>
  <c r="AA70" i="6"/>
  <c r="AK364" i="7"/>
  <c r="D364" i="7" s="1"/>
  <c r="E364" i="7"/>
  <c r="Y354" i="7"/>
  <c r="AH354" i="7"/>
  <c r="AH414" i="7"/>
  <c r="Y414" i="7"/>
  <c r="Z40" i="6"/>
  <c r="Y232" i="7"/>
  <c r="AH232" i="7"/>
  <c r="AA83" i="6"/>
  <c r="Y98" i="7"/>
  <c r="AH98" i="7"/>
  <c r="Y356" i="7"/>
  <c r="AH356" i="7"/>
  <c r="E170" i="7"/>
  <c r="AK170" i="7"/>
  <c r="D170" i="7" s="1"/>
  <c r="Y153" i="7"/>
  <c r="AH153" i="7"/>
  <c r="AA53" i="6" s="1"/>
  <c r="AJ223" i="7"/>
  <c r="E527" i="15"/>
  <c r="AB527" i="15"/>
  <c r="D527" i="15" s="1"/>
  <c r="AJ270" i="7"/>
  <c r="Y15" i="7"/>
  <c r="AH15" i="7"/>
  <c r="Y195" i="7"/>
  <c r="AH195" i="7"/>
  <c r="AJ409" i="7"/>
  <c r="AJ119" i="7"/>
  <c r="AJ229" i="7"/>
  <c r="AJ196" i="7"/>
  <c r="AJ184" i="7"/>
  <c r="AJ371" i="7"/>
  <c r="AI365" i="15"/>
  <c r="AJ337" i="7"/>
  <c r="AJ384" i="7"/>
  <c r="E199" i="7"/>
  <c r="AK199" i="7"/>
  <c r="D199" i="7" s="1"/>
  <c r="R59" i="6"/>
  <c r="Q59" i="6" s="1"/>
  <c r="AJ159" i="7"/>
  <c r="R91" i="6"/>
  <c r="Q91" i="6" s="1"/>
  <c r="R71" i="6"/>
  <c r="Q71" i="6" s="1"/>
  <c r="AJ251" i="7"/>
  <c r="R90" i="6"/>
  <c r="Q90" i="6" s="1"/>
  <c r="R70" i="6"/>
  <c r="Q70" i="6" s="1"/>
  <c r="AJ250" i="7"/>
  <c r="Y234" i="7"/>
  <c r="AH234" i="7"/>
  <c r="Y132" i="7"/>
  <c r="AH132" i="7"/>
  <c r="Y212" i="7"/>
  <c r="AH212" i="7"/>
  <c r="AA63" i="6"/>
  <c r="Y78" i="7"/>
  <c r="AH78" i="7"/>
  <c r="Y178" i="7"/>
  <c r="AH178" i="7"/>
  <c r="R44" i="6"/>
  <c r="Q44" i="6" s="1"/>
  <c r="AJ144" i="7"/>
  <c r="Y73" i="7"/>
  <c r="AH73" i="7"/>
  <c r="AJ343" i="7"/>
  <c r="AA37" i="6"/>
  <c r="AA17" i="6"/>
  <c r="Y313" i="7"/>
  <c r="AH313" i="7"/>
  <c r="R37" i="6"/>
  <c r="Q37" i="6" s="1"/>
  <c r="R17" i="6"/>
  <c r="AJ17" i="7"/>
  <c r="Y253" i="7"/>
  <c r="AH253" i="7"/>
  <c r="Y373" i="7"/>
  <c r="AH373" i="7"/>
  <c r="AA23" i="6"/>
  <c r="AA3" i="6"/>
  <c r="AJ116" i="7"/>
  <c r="AJ404" i="7"/>
  <c r="AA50" i="6"/>
  <c r="Y55" i="7"/>
  <c r="AH55" i="7"/>
  <c r="Y395" i="7"/>
  <c r="AH395" i="7"/>
  <c r="AJ423" i="7"/>
  <c r="AA29" i="6"/>
  <c r="AA9" i="6"/>
  <c r="AJ323" i="7"/>
  <c r="AJ163" i="7"/>
  <c r="AJ457" i="7"/>
  <c r="AJ428" i="7"/>
  <c r="AJ24" i="7"/>
  <c r="AJ23" i="7"/>
  <c r="AJ310" i="7"/>
  <c r="E437" i="7"/>
  <c r="AK437" i="7"/>
  <c r="D437" i="7" s="1"/>
  <c r="AK388" i="7"/>
  <c r="D388" i="7" s="1"/>
  <c r="E388" i="7"/>
  <c r="AA44" i="6"/>
  <c r="AB530" i="15"/>
  <c r="D530" i="15" s="1"/>
  <c r="E530" i="15"/>
  <c r="AJ43" i="7"/>
  <c r="AC9" i="8"/>
  <c r="AD9" i="8" s="1"/>
  <c r="AE9" i="8" s="1"/>
  <c r="AI405" i="7"/>
  <c r="AI385" i="7"/>
  <c r="AI325" i="7"/>
  <c r="AI345" i="7"/>
  <c r="AI185" i="7"/>
  <c r="AI305" i="7"/>
  <c r="AI365" i="7"/>
  <c r="AI285" i="7"/>
  <c r="AI205" i="7"/>
  <c r="AI445" i="7"/>
  <c r="AI245" i="7"/>
  <c r="AI225" i="7"/>
  <c r="AI425" i="7"/>
  <c r="AI265" i="7"/>
  <c r="AI165" i="7"/>
  <c r="AI85" i="7"/>
  <c r="AI145" i="7"/>
  <c r="AI45" i="7"/>
  <c r="AI125" i="7"/>
  <c r="AI105" i="7"/>
  <c r="AI65" i="7"/>
  <c r="AI5" i="7"/>
  <c r="AA39" i="6"/>
  <c r="AA19" i="6"/>
  <c r="AK407" i="7"/>
  <c r="D407" i="7" s="1"/>
  <c r="E407" i="7"/>
  <c r="R83" i="6"/>
  <c r="R63" i="6"/>
  <c r="AJ243" i="7"/>
  <c r="Y214" i="7"/>
  <c r="AH214" i="7"/>
  <c r="Y454" i="7"/>
  <c r="AH454" i="7"/>
  <c r="AJ212" i="15"/>
  <c r="D212" i="15" s="1"/>
  <c r="E212" i="15"/>
  <c r="AJ440" i="15"/>
  <c r="D440" i="15" s="1"/>
  <c r="E440" i="15"/>
  <c r="Y12" i="7"/>
  <c r="AH12" i="7"/>
  <c r="Y332" i="7"/>
  <c r="AH332" i="7"/>
  <c r="Y18" i="7"/>
  <c r="AH18" i="7"/>
  <c r="Y278" i="7"/>
  <c r="AH278" i="7"/>
  <c r="E207" i="7" l="1"/>
  <c r="AK327" i="7"/>
  <c r="D327" i="7" s="1"/>
  <c r="AK447" i="7"/>
  <c r="D447" i="7" s="1"/>
  <c r="AK84" i="7"/>
  <c r="D84" i="7" s="1"/>
  <c r="AK224" i="7"/>
  <c r="D224" i="7" s="1"/>
  <c r="AK276" i="7"/>
  <c r="D276" i="7" s="1"/>
  <c r="E379" i="7"/>
  <c r="AK309" i="7"/>
  <c r="D309" i="7" s="1"/>
  <c r="AK110" i="7"/>
  <c r="D110" i="7" s="1"/>
  <c r="E429" i="7"/>
  <c r="AK67" i="7"/>
  <c r="D67" i="7" s="1"/>
  <c r="AK267" i="7"/>
  <c r="D267" i="7" s="1"/>
  <c r="E449" i="7"/>
  <c r="AK56" i="7"/>
  <c r="D56" i="7" s="1"/>
  <c r="E127" i="7"/>
  <c r="E431" i="7"/>
  <c r="E424" i="7"/>
  <c r="E79" i="7"/>
  <c r="AK27" i="7"/>
  <c r="D27" i="7" s="1"/>
  <c r="E391" i="7"/>
  <c r="AK289" i="7"/>
  <c r="D289" i="7" s="1"/>
  <c r="AK51" i="7"/>
  <c r="D51" i="7" s="1"/>
  <c r="E304" i="7"/>
  <c r="AK269" i="7"/>
  <c r="D269" i="7" s="1"/>
  <c r="AJ33" i="7"/>
  <c r="AK33" i="7" s="1"/>
  <c r="D33" i="7" s="1"/>
  <c r="AJ53" i="7"/>
  <c r="AK53" i="7" s="1"/>
  <c r="D53" i="7" s="1"/>
  <c r="E89" i="7"/>
  <c r="AJ392" i="7"/>
  <c r="AK331" i="7"/>
  <c r="D331" i="7" s="1"/>
  <c r="AJ95" i="7"/>
  <c r="E95" i="7" s="1"/>
  <c r="AJ412" i="7"/>
  <c r="AJ218" i="7"/>
  <c r="AJ72" i="7"/>
  <c r="AK72" i="7" s="1"/>
  <c r="D72" i="7" s="1"/>
  <c r="AJ35" i="7"/>
  <c r="E35" i="7" s="1"/>
  <c r="AJ454" i="7"/>
  <c r="AK454" i="7" s="1"/>
  <c r="D454" i="7" s="1"/>
  <c r="AJ113" i="7"/>
  <c r="E113" i="7" s="1"/>
  <c r="AJ54" i="7"/>
  <c r="AK54" i="7" s="1"/>
  <c r="D54" i="7" s="1"/>
  <c r="AJ273" i="7"/>
  <c r="E273" i="7" s="1"/>
  <c r="AJ419" i="7"/>
  <c r="AK419" i="7" s="1"/>
  <c r="D419" i="7" s="1"/>
  <c r="AJ355" i="7"/>
  <c r="AJ232" i="7"/>
  <c r="AK232" i="7" s="1"/>
  <c r="D232" i="7" s="1"/>
  <c r="AJ354" i="7"/>
  <c r="AK354" i="7" s="1"/>
  <c r="D354" i="7" s="1"/>
  <c r="AJ112" i="7"/>
  <c r="AJ178" i="7"/>
  <c r="AJ98" i="7"/>
  <c r="E98" i="7" s="1"/>
  <c r="AJ456" i="7"/>
  <c r="E456" i="7" s="1"/>
  <c r="AJ432" i="7"/>
  <c r="E432" i="7" s="1"/>
  <c r="AJ75" i="7"/>
  <c r="AK75" i="7" s="1"/>
  <c r="D75" i="7" s="1"/>
  <c r="AJ335" i="7"/>
  <c r="AK335" i="7" s="1"/>
  <c r="D335" i="7" s="1"/>
  <c r="AJ132" i="7"/>
  <c r="AK132" i="7" s="1"/>
  <c r="D132" i="7" s="1"/>
  <c r="AJ133" i="7"/>
  <c r="E133" i="7" s="1"/>
  <c r="AJ396" i="7"/>
  <c r="AJ434" i="7"/>
  <c r="E434" i="7" s="1"/>
  <c r="AJ193" i="7"/>
  <c r="AK193" i="7" s="1"/>
  <c r="D193" i="7" s="1"/>
  <c r="AJ34" i="7"/>
  <c r="AJ352" i="7"/>
  <c r="AJ433" i="7"/>
  <c r="AK433" i="7" s="1"/>
  <c r="D433" i="7" s="1"/>
  <c r="AJ413" i="7"/>
  <c r="AK413" i="7" s="1"/>
  <c r="D413" i="7" s="1"/>
  <c r="AJ173" i="7"/>
  <c r="E173" i="7" s="1"/>
  <c r="AJ135" i="7"/>
  <c r="E135" i="7" s="1"/>
  <c r="AJ318" i="7"/>
  <c r="AK318" i="7" s="1"/>
  <c r="D318" i="7" s="1"/>
  <c r="AJ372" i="7"/>
  <c r="AK372" i="7" s="1"/>
  <c r="D372" i="7" s="1"/>
  <c r="AJ395" i="7"/>
  <c r="AK395" i="7" s="1"/>
  <c r="D395" i="7" s="1"/>
  <c r="AJ93" i="7"/>
  <c r="E93" i="7" s="1"/>
  <c r="AJ298" i="7"/>
  <c r="E298" i="7" s="1"/>
  <c r="AJ294" i="7"/>
  <c r="E294" i="7" s="1"/>
  <c r="AJ233" i="7"/>
  <c r="AJ52" i="7"/>
  <c r="AK52" i="7" s="1"/>
  <c r="D52" i="7" s="1"/>
  <c r="E36" i="7"/>
  <c r="AJ38" i="7"/>
  <c r="E38" i="7" s="1"/>
  <c r="AJ415" i="7"/>
  <c r="AK415" i="7" s="1"/>
  <c r="D415" i="7" s="1"/>
  <c r="AJ118" i="7"/>
  <c r="E118" i="7" s="1"/>
  <c r="AJ414" i="7"/>
  <c r="AK414" i="7" s="1"/>
  <c r="D414" i="7" s="1"/>
  <c r="AJ238" i="7"/>
  <c r="E238" i="7" s="1"/>
  <c r="AJ115" i="7"/>
  <c r="E115" i="7" s="1"/>
  <c r="AJ356" i="7"/>
  <c r="AK356" i="7" s="1"/>
  <c r="D356" i="7" s="1"/>
  <c r="AJ374" i="7"/>
  <c r="AK374" i="7" s="1"/>
  <c r="D374" i="7" s="1"/>
  <c r="AK167" i="7"/>
  <c r="D167" i="7" s="1"/>
  <c r="AJ315" i="7"/>
  <c r="AJ274" i="7"/>
  <c r="AK274" i="7" s="1"/>
  <c r="D274" i="7" s="1"/>
  <c r="E186" i="15"/>
  <c r="AJ186" i="15"/>
  <c r="D186" i="15" s="1"/>
  <c r="E521" i="15"/>
  <c r="AB521" i="15"/>
  <c r="D521" i="15" s="1"/>
  <c r="AJ30" i="15"/>
  <c r="D30" i="15" s="1"/>
  <c r="E30" i="15"/>
  <c r="E238" i="15"/>
  <c r="AJ238" i="15"/>
  <c r="D238" i="15" s="1"/>
  <c r="AJ82" i="15"/>
  <c r="D82" i="15" s="1"/>
  <c r="E82" i="15"/>
  <c r="E160" i="15"/>
  <c r="AJ160" i="15"/>
  <c r="D160" i="15" s="1"/>
  <c r="E515" i="15"/>
  <c r="AJ515" i="15"/>
  <c r="D515" i="15" s="1"/>
  <c r="E243" i="7"/>
  <c r="AK243" i="7"/>
  <c r="AB83" i="6"/>
  <c r="AB63" i="6"/>
  <c r="Q63" i="6"/>
  <c r="Q83" i="6"/>
  <c r="Y425" i="7"/>
  <c r="AH425" i="7"/>
  <c r="AI440" i="7"/>
  <c r="Y405" i="7"/>
  <c r="AH405" i="7"/>
  <c r="AI420" i="7"/>
  <c r="E457" i="7"/>
  <c r="AK457" i="7"/>
  <c r="D457" i="7" s="1"/>
  <c r="AJ78" i="7"/>
  <c r="AJ195" i="7"/>
  <c r="AJ312" i="7"/>
  <c r="E283" i="7"/>
  <c r="AK283" i="7"/>
  <c r="D283" i="7" s="1"/>
  <c r="E83" i="7"/>
  <c r="AK83" i="7"/>
  <c r="D83" i="7" s="1"/>
  <c r="R54" i="6"/>
  <c r="Q54" i="6" s="1"/>
  <c r="AJ154" i="7"/>
  <c r="E4" i="7"/>
  <c r="AK4" i="7"/>
  <c r="AB24" i="6"/>
  <c r="E24" i="6" s="1"/>
  <c r="AB4" i="6"/>
  <c r="E4" i="6" s="1"/>
  <c r="E29" i="7"/>
  <c r="AK29" i="7"/>
  <c r="D29" i="7" s="1"/>
  <c r="AK87" i="7"/>
  <c r="D87" i="7" s="1"/>
  <c r="E87" i="7"/>
  <c r="E10" i="7"/>
  <c r="AB30" i="6"/>
  <c r="E30" i="6" s="1"/>
  <c r="AB10" i="6"/>
  <c r="E10" i="6" s="1"/>
  <c r="AK10" i="7"/>
  <c r="Y237" i="7"/>
  <c r="AH237" i="7"/>
  <c r="AA55" i="6"/>
  <c r="E136" i="7"/>
  <c r="AK136" i="7"/>
  <c r="D136" i="7" s="1"/>
  <c r="AK76" i="7"/>
  <c r="D76" i="7" s="1"/>
  <c r="E76" i="7"/>
  <c r="E444" i="7"/>
  <c r="AK444" i="7"/>
  <c r="D444" i="7" s="1"/>
  <c r="Y6" i="7"/>
  <c r="AH6" i="7"/>
  <c r="Y246" i="7"/>
  <c r="AH246" i="7"/>
  <c r="AK367" i="7"/>
  <c r="D367" i="7" s="1"/>
  <c r="E367" i="7"/>
  <c r="AA33" i="6"/>
  <c r="AA13" i="6"/>
  <c r="Y268" i="7"/>
  <c r="AH268" i="7"/>
  <c r="Y188" i="7"/>
  <c r="AH188" i="7"/>
  <c r="AJ58" i="7"/>
  <c r="AJ192" i="7"/>
  <c r="E384" i="7"/>
  <c r="AK384" i="7"/>
  <c r="D384" i="7" s="1"/>
  <c r="AA35" i="6"/>
  <c r="AA15" i="6"/>
  <c r="Y16" i="7"/>
  <c r="AH16" i="7"/>
  <c r="Y197" i="7"/>
  <c r="AH197" i="7"/>
  <c r="AK93" i="7"/>
  <c r="D93" i="7" s="1"/>
  <c r="E147" i="7"/>
  <c r="AB47" i="6"/>
  <c r="E47" i="6" s="1"/>
  <c r="AK147" i="7"/>
  <c r="R55" i="6"/>
  <c r="Q55" i="6" s="1"/>
  <c r="AJ155" i="7"/>
  <c r="E171" i="7"/>
  <c r="AK171" i="7"/>
  <c r="D171" i="7" s="1"/>
  <c r="AK307" i="7"/>
  <c r="D307" i="7" s="1"/>
  <c r="E307" i="7"/>
  <c r="E54" i="7"/>
  <c r="Y66" i="7"/>
  <c r="AH66" i="7"/>
  <c r="Y426" i="7"/>
  <c r="AH426" i="7"/>
  <c r="R33" i="6"/>
  <c r="Q33" i="6" s="1"/>
  <c r="R13" i="6"/>
  <c r="AJ13" i="7"/>
  <c r="Y430" i="7"/>
  <c r="AH430" i="7"/>
  <c r="Y410" i="7"/>
  <c r="AH410" i="7"/>
  <c r="E263" i="7"/>
  <c r="AK263" i="7"/>
  <c r="D263" i="7" s="1"/>
  <c r="AK103" i="7"/>
  <c r="D103" i="7" s="1"/>
  <c r="E103" i="7"/>
  <c r="E50" i="7"/>
  <c r="AK50" i="7"/>
  <c r="D50" i="7" s="1"/>
  <c r="E344" i="7"/>
  <c r="AK344" i="7"/>
  <c r="D344" i="7" s="1"/>
  <c r="AJ315" i="15"/>
  <c r="D315" i="15" s="1"/>
  <c r="E315" i="15"/>
  <c r="Y5" i="7"/>
  <c r="AH5" i="7"/>
  <c r="AI20" i="7"/>
  <c r="E404" i="7"/>
  <c r="AK404" i="7"/>
  <c r="D404" i="7" s="1"/>
  <c r="AK159" i="7"/>
  <c r="AB59" i="6"/>
  <c r="E59" i="6" s="1"/>
  <c r="E159" i="7"/>
  <c r="E229" i="7"/>
  <c r="AK229" i="7"/>
  <c r="D229" i="7" s="1"/>
  <c r="Y245" i="7"/>
  <c r="AH245" i="7"/>
  <c r="AI260" i="7"/>
  <c r="E337" i="7"/>
  <c r="AK337" i="7"/>
  <c r="D337" i="7" s="1"/>
  <c r="R35" i="6"/>
  <c r="Q35" i="6" s="1"/>
  <c r="R15" i="6"/>
  <c r="AJ15" i="7"/>
  <c r="AA94" i="6"/>
  <c r="AA74" i="6"/>
  <c r="AB522" i="15"/>
  <c r="D522" i="15" s="1"/>
  <c r="E522" i="15"/>
  <c r="E143" i="7"/>
  <c r="AK143" i="7"/>
  <c r="AB43" i="6"/>
  <c r="AJ416" i="7"/>
  <c r="Y37" i="7"/>
  <c r="AH37" i="7"/>
  <c r="Y378" i="7"/>
  <c r="AH378" i="7"/>
  <c r="E9" i="7"/>
  <c r="AB29" i="6"/>
  <c r="E29" i="6" s="1"/>
  <c r="AK9" i="7"/>
  <c r="AB9" i="6"/>
  <c r="E9" i="6" s="1"/>
  <c r="AJ436" i="7"/>
  <c r="AJ314" i="7"/>
  <c r="AA75" i="6"/>
  <c r="AA95" i="6"/>
  <c r="AK279" i="7"/>
  <c r="D279" i="7" s="1"/>
  <c r="E279" i="7"/>
  <c r="AJ174" i="7"/>
  <c r="Y46" i="7"/>
  <c r="AH46" i="7"/>
  <c r="Y286" i="7"/>
  <c r="AH286" i="7"/>
  <c r="E134" i="15"/>
  <c r="AJ134" i="15"/>
  <c r="D134" i="15" s="1"/>
  <c r="Y450" i="7"/>
  <c r="AH450" i="7"/>
  <c r="AJ92" i="7"/>
  <c r="AK189" i="7"/>
  <c r="D189" i="7" s="1"/>
  <c r="E189" i="7"/>
  <c r="E284" i="7"/>
  <c r="AK284" i="7"/>
  <c r="D284" i="7" s="1"/>
  <c r="AK179" i="7"/>
  <c r="D179" i="7" s="1"/>
  <c r="E179" i="7"/>
  <c r="Y65" i="7"/>
  <c r="AH65" i="7"/>
  <c r="AI80" i="7"/>
  <c r="AJ373" i="7"/>
  <c r="AJ278" i="7"/>
  <c r="Y105" i="7"/>
  <c r="AH105" i="7"/>
  <c r="AI120" i="7"/>
  <c r="Y445" i="7"/>
  <c r="AH445" i="7"/>
  <c r="AI460" i="7"/>
  <c r="AA93" i="6"/>
  <c r="AA73" i="6"/>
  <c r="AJ313" i="7"/>
  <c r="E343" i="7"/>
  <c r="AK343" i="7"/>
  <c r="D343" i="7" s="1"/>
  <c r="E251" i="7"/>
  <c r="AK251" i="7"/>
  <c r="AB91" i="6"/>
  <c r="E91" i="6" s="1"/>
  <c r="AB71" i="6"/>
  <c r="E71" i="6" s="1"/>
  <c r="E365" i="15"/>
  <c r="AJ365" i="15"/>
  <c r="D365" i="15" s="1"/>
  <c r="E256" i="7"/>
  <c r="AK256" i="7"/>
  <c r="AB97" i="6"/>
  <c r="E97" i="6" s="1"/>
  <c r="AB77" i="6"/>
  <c r="E77" i="6" s="1"/>
  <c r="AJ198" i="7"/>
  <c r="R94" i="6"/>
  <c r="Q94" i="6" s="1"/>
  <c r="R74" i="6"/>
  <c r="Q74" i="6" s="1"/>
  <c r="AJ254" i="7"/>
  <c r="E443" i="7"/>
  <c r="AK443" i="7"/>
  <c r="D443" i="7" s="1"/>
  <c r="E397" i="7"/>
  <c r="AK397" i="7"/>
  <c r="D397" i="7" s="1"/>
  <c r="Q43" i="6"/>
  <c r="AJ235" i="7"/>
  <c r="AJ452" i="7"/>
  <c r="AJ394" i="7"/>
  <c r="E339" i="7"/>
  <c r="AK339" i="7"/>
  <c r="D339" i="7" s="1"/>
  <c r="E328" i="7"/>
  <c r="AK328" i="7"/>
  <c r="D328" i="7" s="1"/>
  <c r="Y117" i="7"/>
  <c r="AH117" i="7"/>
  <c r="Y177" i="7"/>
  <c r="AH177" i="7"/>
  <c r="E271" i="7"/>
  <c r="AK271" i="7"/>
  <c r="D271" i="7" s="1"/>
  <c r="AJ334" i="7"/>
  <c r="AK131" i="7"/>
  <c r="D131" i="7" s="1"/>
  <c r="E131" i="7"/>
  <c r="R95" i="6"/>
  <c r="Q95" i="6" s="1"/>
  <c r="R75" i="6"/>
  <c r="Q75" i="6" s="1"/>
  <c r="AJ255" i="7"/>
  <c r="V506" i="7"/>
  <c r="W506" i="7" s="1"/>
  <c r="U507" i="7"/>
  <c r="V507" i="7" s="1"/>
  <c r="W507" i="7" s="1"/>
  <c r="E104" i="7"/>
  <c r="AK104" i="7"/>
  <c r="D104" i="7" s="1"/>
  <c r="Y126" i="7"/>
  <c r="AH126" i="7"/>
  <c r="Y386" i="7"/>
  <c r="AH386" i="7"/>
  <c r="Y8" i="7"/>
  <c r="AH8" i="7"/>
  <c r="Y330" i="7"/>
  <c r="AH330" i="7"/>
  <c r="AJ94" i="7"/>
  <c r="AJ340" i="15"/>
  <c r="D340" i="15" s="1"/>
  <c r="E340" i="15"/>
  <c r="AK310" i="7"/>
  <c r="D310" i="7" s="1"/>
  <c r="E310" i="7"/>
  <c r="E23" i="7"/>
  <c r="AK23" i="7"/>
  <c r="D23" i="7" s="1"/>
  <c r="E454" i="7"/>
  <c r="Y125" i="7"/>
  <c r="AH125" i="7"/>
  <c r="AI140" i="7"/>
  <c r="AK423" i="7"/>
  <c r="D423" i="7" s="1"/>
  <c r="E423" i="7"/>
  <c r="R93" i="6"/>
  <c r="Q93" i="6" s="1"/>
  <c r="R73" i="6"/>
  <c r="Q73" i="6" s="1"/>
  <c r="AJ253" i="7"/>
  <c r="E119" i="7"/>
  <c r="AK119" i="7"/>
  <c r="D119" i="7" s="1"/>
  <c r="E529" i="15"/>
  <c r="AB529" i="15"/>
  <c r="D529" i="15" s="1"/>
  <c r="AK387" i="7"/>
  <c r="D387" i="7" s="1"/>
  <c r="E387" i="7"/>
  <c r="AK96" i="7"/>
  <c r="D96" i="7" s="1"/>
  <c r="E96" i="7"/>
  <c r="E315" i="7"/>
  <c r="AK315" i="7"/>
  <c r="D315" i="7" s="1"/>
  <c r="AA52" i="6"/>
  <c r="AK363" i="7"/>
  <c r="D363" i="7" s="1"/>
  <c r="E363" i="7"/>
  <c r="Y77" i="7"/>
  <c r="AH77" i="7"/>
  <c r="Y358" i="7"/>
  <c r="AH358" i="7"/>
  <c r="E99" i="7"/>
  <c r="AK99" i="7"/>
  <c r="D99" i="7" s="1"/>
  <c r="AK218" i="7"/>
  <c r="D218" i="7" s="1"/>
  <c r="E218" i="7"/>
  <c r="AK34" i="7"/>
  <c r="D34" i="7" s="1"/>
  <c r="E34" i="7"/>
  <c r="AJ134" i="7"/>
  <c r="AJ272" i="7"/>
  <c r="E123" i="7"/>
  <c r="AK123" i="7"/>
  <c r="D123" i="7" s="1"/>
  <c r="Y86" i="7"/>
  <c r="AH86" i="7"/>
  <c r="Y206" i="7"/>
  <c r="AH206" i="7"/>
  <c r="AK130" i="7"/>
  <c r="D130" i="7" s="1"/>
  <c r="E130" i="7"/>
  <c r="Z518" i="15"/>
  <c r="AA518" i="15" s="1"/>
  <c r="Y68" i="7"/>
  <c r="AH68" i="7"/>
  <c r="Y288" i="7"/>
  <c r="AH288" i="7"/>
  <c r="AK347" i="7"/>
  <c r="D347" i="7" s="1"/>
  <c r="E347" i="7"/>
  <c r="AA12" i="6"/>
  <c r="AA32" i="6"/>
  <c r="Y265" i="7"/>
  <c r="AH265" i="7"/>
  <c r="AI280" i="7"/>
  <c r="AK428" i="7"/>
  <c r="D428" i="7" s="1"/>
  <c r="E428" i="7"/>
  <c r="AK163" i="7"/>
  <c r="D163" i="7" s="1"/>
  <c r="E163" i="7"/>
  <c r="AA38" i="6"/>
  <c r="AA18" i="6"/>
  <c r="Y285" i="7"/>
  <c r="AH285" i="7"/>
  <c r="AI300" i="7"/>
  <c r="E116" i="7"/>
  <c r="AK116" i="7"/>
  <c r="D116" i="7" s="1"/>
  <c r="E356" i="7"/>
  <c r="E156" i="7"/>
  <c r="AK156" i="7"/>
  <c r="AB57" i="6"/>
  <c r="E57" i="6" s="1"/>
  <c r="AJ453" i="7"/>
  <c r="AB23" i="6"/>
  <c r="E3" i="7"/>
  <c r="AK3" i="7"/>
  <c r="AB3" i="6"/>
  <c r="R52" i="6"/>
  <c r="Q52" i="6" s="1"/>
  <c r="AJ152" i="7"/>
  <c r="AJ114" i="7"/>
  <c r="AK90" i="7"/>
  <c r="D90" i="7" s="1"/>
  <c r="E90" i="7"/>
  <c r="Y97" i="7"/>
  <c r="AH97" i="7"/>
  <c r="Y338" i="7"/>
  <c r="AH338" i="7"/>
  <c r="AK355" i="7"/>
  <c r="D355" i="7" s="1"/>
  <c r="E355" i="7"/>
  <c r="AJ138" i="7"/>
  <c r="AJ74" i="7"/>
  <c r="E244" i="7"/>
  <c r="AK244" i="7"/>
  <c r="AB84" i="6"/>
  <c r="E84" i="6" s="1"/>
  <c r="AB64" i="6"/>
  <c r="E64" i="6" s="1"/>
  <c r="AK389" i="7"/>
  <c r="D389" i="7" s="1"/>
  <c r="E389" i="7"/>
  <c r="AK403" i="7"/>
  <c r="D403" i="7" s="1"/>
  <c r="E403" i="7"/>
  <c r="E30" i="7"/>
  <c r="AK30" i="7"/>
  <c r="D30" i="7" s="1"/>
  <c r="AH26" i="7"/>
  <c r="Y26" i="7"/>
  <c r="Y306" i="7"/>
  <c r="AH306" i="7"/>
  <c r="X549" i="15"/>
  <c r="Y549" i="15" s="1"/>
  <c r="W550" i="15"/>
  <c r="X550" i="15" s="1"/>
  <c r="Y550" i="15" s="1"/>
  <c r="E448" i="7"/>
  <c r="AK448" i="7"/>
  <c r="D448" i="7" s="1"/>
  <c r="Y148" i="7"/>
  <c r="AH148" i="7"/>
  <c r="Y308" i="7"/>
  <c r="AH308" i="7"/>
  <c r="E150" i="7"/>
  <c r="AB50" i="6"/>
  <c r="E50" i="6" s="1"/>
  <c r="AK150" i="7"/>
  <c r="E259" i="7"/>
  <c r="AK259" i="7"/>
  <c r="AB99" i="6"/>
  <c r="E99" i="6" s="1"/>
  <c r="AB79" i="6"/>
  <c r="E79" i="6" s="1"/>
  <c r="D151" i="7"/>
  <c r="Y225" i="7"/>
  <c r="AH225" i="7"/>
  <c r="AI240" i="7"/>
  <c r="Y205" i="7"/>
  <c r="AH205" i="7"/>
  <c r="AI220" i="7"/>
  <c r="R38" i="6"/>
  <c r="Q38" i="6" s="1"/>
  <c r="R18" i="6"/>
  <c r="AJ18" i="7"/>
  <c r="Y45" i="7"/>
  <c r="AH45" i="7"/>
  <c r="AI60" i="7"/>
  <c r="AJ332" i="7"/>
  <c r="AJ214" i="7"/>
  <c r="Y145" i="7"/>
  <c r="AH145" i="7"/>
  <c r="AI160" i="7"/>
  <c r="AH365" i="7"/>
  <c r="Y365" i="7"/>
  <c r="AI380" i="7"/>
  <c r="AJ73" i="7"/>
  <c r="E409" i="7"/>
  <c r="AK409" i="7"/>
  <c r="D409" i="7" s="1"/>
  <c r="R53" i="6"/>
  <c r="Q53" i="6" s="1"/>
  <c r="AJ153" i="7"/>
  <c r="AK408" i="7"/>
  <c r="D408" i="7" s="1"/>
  <c r="E408" i="7"/>
  <c r="AJ393" i="7"/>
  <c r="AJ459" i="7"/>
  <c r="AK191" i="7"/>
  <c r="D191" i="7" s="1"/>
  <c r="E191" i="7"/>
  <c r="Y57" i="7"/>
  <c r="AH57" i="7"/>
  <c r="Y157" i="7"/>
  <c r="AH157" i="7"/>
  <c r="AJ435" i="7"/>
  <c r="AJ172" i="7"/>
  <c r="E247" i="7"/>
  <c r="AK247" i="7"/>
  <c r="AB87" i="6"/>
  <c r="E87" i="6" s="1"/>
  <c r="AB67" i="6"/>
  <c r="E67" i="6" s="1"/>
  <c r="AJ292" i="7"/>
  <c r="E324" i="7"/>
  <c r="AK324" i="7"/>
  <c r="D324" i="7" s="1"/>
  <c r="AJ376" i="7"/>
  <c r="AJ32" i="7"/>
  <c r="Y146" i="7"/>
  <c r="AH146" i="7"/>
  <c r="Y446" i="7"/>
  <c r="AH446" i="7"/>
  <c r="AK176" i="7"/>
  <c r="D176" i="7" s="1"/>
  <c r="E176" i="7"/>
  <c r="AJ175" i="7"/>
  <c r="Y48" i="7"/>
  <c r="AH48" i="7"/>
  <c r="Y248" i="7"/>
  <c r="AH248" i="7"/>
  <c r="AK91" i="7"/>
  <c r="D91" i="7" s="1"/>
  <c r="E91" i="7"/>
  <c r="E264" i="7"/>
  <c r="AK264" i="7"/>
  <c r="D264" i="7" s="1"/>
  <c r="AA34" i="6"/>
  <c r="AA14" i="6"/>
  <c r="AB51" i="6"/>
  <c r="E51" i="6" s="1"/>
  <c r="Y85" i="7"/>
  <c r="AH85" i="7"/>
  <c r="AI100" i="7"/>
  <c r="Y305" i="7"/>
  <c r="AH305" i="7"/>
  <c r="AI320" i="7"/>
  <c r="E323" i="7"/>
  <c r="AK323" i="7"/>
  <c r="D323" i="7" s="1"/>
  <c r="E270" i="7"/>
  <c r="AK270" i="7"/>
  <c r="D270" i="7" s="1"/>
  <c r="E287" i="7"/>
  <c r="AK287" i="7"/>
  <c r="D287" i="7" s="1"/>
  <c r="E71" i="7"/>
  <c r="AK71" i="7"/>
  <c r="D71" i="7" s="1"/>
  <c r="E239" i="7"/>
  <c r="AK239" i="7"/>
  <c r="D239" i="7" s="1"/>
  <c r="E31" i="7"/>
  <c r="AK31" i="7"/>
  <c r="D31" i="7" s="1"/>
  <c r="AK432" i="7"/>
  <c r="D432" i="7" s="1"/>
  <c r="E149" i="7"/>
  <c r="AK149" i="7"/>
  <c r="AB49" i="6"/>
  <c r="E49" i="6" s="1"/>
  <c r="E249" i="7"/>
  <c r="AK249" i="7"/>
  <c r="AB89" i="6"/>
  <c r="E89" i="6" s="1"/>
  <c r="AB69" i="6"/>
  <c r="E69" i="6" s="1"/>
  <c r="Q23" i="6"/>
  <c r="E296" i="7"/>
  <c r="AK296" i="7"/>
  <c r="D296" i="7" s="1"/>
  <c r="Y217" i="7"/>
  <c r="AH217" i="7"/>
  <c r="Y257" i="7"/>
  <c r="AH257" i="7"/>
  <c r="E519" i="15"/>
  <c r="AB519" i="15"/>
  <c r="D519" i="15" s="1"/>
  <c r="E352" i="7"/>
  <c r="AK352" i="7"/>
  <c r="D352" i="7" s="1"/>
  <c r="Y106" i="7"/>
  <c r="AH106" i="7"/>
  <c r="Y346" i="7"/>
  <c r="AH346" i="7"/>
  <c r="AK109" i="7"/>
  <c r="D109" i="7" s="1"/>
  <c r="E109" i="7"/>
  <c r="Y108" i="7"/>
  <c r="AH108" i="7"/>
  <c r="Y350" i="7"/>
  <c r="AH350" i="7"/>
  <c r="E230" i="7"/>
  <c r="AK230" i="7"/>
  <c r="D230" i="7" s="1"/>
  <c r="E357" i="7"/>
  <c r="AK357" i="7"/>
  <c r="D357" i="7" s="1"/>
  <c r="E233" i="7"/>
  <c r="AK233" i="7"/>
  <c r="D233" i="7" s="1"/>
  <c r="AA58" i="6"/>
  <c r="R34" i="6"/>
  <c r="Q34" i="6" s="1"/>
  <c r="R14" i="6"/>
  <c r="AJ14" i="7"/>
  <c r="AH25" i="7"/>
  <c r="Y25" i="7"/>
  <c r="AI40" i="7"/>
  <c r="E371" i="7"/>
  <c r="AK371" i="7"/>
  <c r="D371" i="7" s="1"/>
  <c r="AK184" i="7"/>
  <c r="D184" i="7" s="1"/>
  <c r="E184" i="7"/>
  <c r="E354" i="7"/>
  <c r="E377" i="7"/>
  <c r="AK377" i="7"/>
  <c r="D377" i="7" s="1"/>
  <c r="E348" i="7"/>
  <c r="AK348" i="7"/>
  <c r="D348" i="7" s="1"/>
  <c r="AA92" i="6"/>
  <c r="AA72" i="6"/>
  <c r="Y297" i="7"/>
  <c r="AH297" i="7"/>
  <c r="Y277" i="7"/>
  <c r="AH277" i="7"/>
  <c r="AJ215" i="7"/>
  <c r="E392" i="7"/>
  <c r="AK392" i="7"/>
  <c r="D392" i="7" s="1"/>
  <c r="E70" i="7"/>
  <c r="AK70" i="7"/>
  <c r="D70" i="7" s="1"/>
  <c r="AK427" i="7"/>
  <c r="D427" i="7" s="1"/>
  <c r="E427" i="7"/>
  <c r="E396" i="7"/>
  <c r="AK396" i="7"/>
  <c r="D396" i="7" s="1"/>
  <c r="E112" i="7"/>
  <c r="AK112" i="7"/>
  <c r="D112" i="7" s="1"/>
  <c r="E169" i="7"/>
  <c r="AK169" i="7"/>
  <c r="D169" i="7" s="1"/>
  <c r="Y166" i="7"/>
  <c r="AH166" i="7"/>
  <c r="Y186" i="7"/>
  <c r="AH186" i="7"/>
  <c r="AK187" i="7"/>
  <c r="D187" i="7" s="1"/>
  <c r="E187" i="7"/>
  <c r="Y128" i="7"/>
  <c r="AH128" i="7"/>
  <c r="Y390" i="7"/>
  <c r="AH390" i="7"/>
  <c r="E236" i="7"/>
  <c r="AK236" i="7"/>
  <c r="D236" i="7" s="1"/>
  <c r="R58" i="6"/>
  <c r="Q58" i="6" s="1"/>
  <c r="AJ158" i="7"/>
  <c r="AK19" i="7"/>
  <c r="AB39" i="6"/>
  <c r="E39" i="6" s="1"/>
  <c r="AB19" i="6"/>
  <c r="E19" i="6" s="1"/>
  <c r="E19" i="7"/>
  <c r="R32" i="6"/>
  <c r="Q32" i="6" s="1"/>
  <c r="R12" i="6"/>
  <c r="AJ12" i="7"/>
  <c r="Y185" i="7"/>
  <c r="AH185" i="7"/>
  <c r="AI200" i="7"/>
  <c r="Y165" i="7"/>
  <c r="AH165" i="7"/>
  <c r="AI180" i="7"/>
  <c r="Y345" i="7"/>
  <c r="AH345" i="7"/>
  <c r="AI360" i="7"/>
  <c r="E24" i="7"/>
  <c r="AK24" i="7"/>
  <c r="D24" i="7" s="1"/>
  <c r="AJ55" i="7"/>
  <c r="E17" i="7"/>
  <c r="AB37" i="6"/>
  <c r="E37" i="6" s="1"/>
  <c r="AB17" i="6"/>
  <c r="E17" i="6" s="1"/>
  <c r="AK17" i="7"/>
  <c r="AJ234" i="7"/>
  <c r="E196" i="7"/>
  <c r="AK196" i="7"/>
  <c r="D196" i="7" s="1"/>
  <c r="E183" i="7"/>
  <c r="AK183" i="7"/>
  <c r="D183" i="7" s="1"/>
  <c r="AJ455" i="7"/>
  <c r="AK411" i="7"/>
  <c r="D411" i="7" s="1"/>
  <c r="E411" i="7"/>
  <c r="AK369" i="7"/>
  <c r="D369" i="7" s="1"/>
  <c r="E369" i="7"/>
  <c r="AJ275" i="7"/>
  <c r="AJ336" i="7"/>
  <c r="R92" i="6"/>
  <c r="Q92" i="6" s="1"/>
  <c r="R72" i="6"/>
  <c r="Q72" i="6" s="1"/>
  <c r="AJ252" i="7"/>
  <c r="AB27" i="6"/>
  <c r="E27" i="6" s="1"/>
  <c r="E7" i="7"/>
  <c r="AK7" i="7"/>
  <c r="AB7" i="6"/>
  <c r="E7" i="6" s="1"/>
  <c r="AJ439" i="7"/>
  <c r="Y317" i="7"/>
  <c r="AH317" i="7"/>
  <c r="Y438" i="7"/>
  <c r="AH438" i="7"/>
  <c r="AJ333" i="7"/>
  <c r="E329" i="7"/>
  <c r="AK329" i="7"/>
  <c r="D329" i="7" s="1"/>
  <c r="AK210" i="7"/>
  <c r="D210" i="7" s="1"/>
  <c r="E210" i="7"/>
  <c r="Y266" i="7"/>
  <c r="AH266" i="7"/>
  <c r="Y326" i="7"/>
  <c r="AH326" i="7"/>
  <c r="AJ353" i="7"/>
  <c r="Y88" i="7"/>
  <c r="AH88" i="7"/>
  <c r="Y208" i="7"/>
  <c r="AH208" i="7"/>
  <c r="AA98" i="6"/>
  <c r="AA78" i="6"/>
  <c r="AK227" i="7"/>
  <c r="D227" i="7" s="1"/>
  <c r="E227" i="7"/>
  <c r="AB31" i="6"/>
  <c r="E31" i="6" s="1"/>
  <c r="E11" i="7"/>
  <c r="AK11" i="7"/>
  <c r="AB11" i="6"/>
  <c r="E11" i="6" s="1"/>
  <c r="AK211" i="7"/>
  <c r="D211" i="7" s="1"/>
  <c r="E211" i="7"/>
  <c r="Y325" i="7"/>
  <c r="AH325" i="7"/>
  <c r="AH340" i="7" s="1"/>
  <c r="X492" i="7" s="1"/>
  <c r="AI340" i="7"/>
  <c r="AK178" i="7"/>
  <c r="D178" i="7" s="1"/>
  <c r="E178" i="7"/>
  <c r="E250" i="7"/>
  <c r="AK250" i="7"/>
  <c r="AB90" i="6"/>
  <c r="E90" i="6" s="1"/>
  <c r="AB70" i="6"/>
  <c r="E70" i="6" s="1"/>
  <c r="E223" i="7"/>
  <c r="AK223" i="7"/>
  <c r="D223" i="7" s="1"/>
  <c r="E412" i="7"/>
  <c r="AK412" i="7"/>
  <c r="D412" i="7" s="1"/>
  <c r="E351" i="7"/>
  <c r="AK351" i="7"/>
  <c r="D351" i="7" s="1"/>
  <c r="AK368" i="7"/>
  <c r="D368" i="7" s="1"/>
  <c r="E368" i="7"/>
  <c r="Y398" i="7"/>
  <c r="AH398" i="7"/>
  <c r="Y418" i="7"/>
  <c r="AH418" i="7"/>
  <c r="E303" i="7"/>
  <c r="AK303" i="7"/>
  <c r="D303" i="7" s="1"/>
  <c r="AJ56" i="15"/>
  <c r="D56" i="15" s="1"/>
  <c r="E56" i="15"/>
  <c r="AK190" i="7"/>
  <c r="D190" i="7" s="1"/>
  <c r="E190" i="7"/>
  <c r="Y366" i="7"/>
  <c r="AH366" i="7"/>
  <c r="Y406" i="7"/>
  <c r="AH406" i="7"/>
  <c r="Y28" i="7"/>
  <c r="AH28" i="7"/>
  <c r="Y228" i="7"/>
  <c r="AH228" i="7"/>
  <c r="R98" i="6"/>
  <c r="Q98" i="6" s="1"/>
  <c r="R78" i="6"/>
  <c r="Q78" i="6" s="1"/>
  <c r="AJ258" i="7"/>
  <c r="E139" i="7"/>
  <c r="AK139" i="7"/>
  <c r="D139" i="7" s="1"/>
  <c r="E108" i="15"/>
  <c r="AJ108" i="15"/>
  <c r="D108" i="15" s="1"/>
  <c r="Y385" i="7"/>
  <c r="AH385" i="7"/>
  <c r="AI400" i="7"/>
  <c r="AK43" i="7"/>
  <c r="D43" i="7" s="1"/>
  <c r="E43" i="7"/>
  <c r="E144" i="7"/>
  <c r="AK144" i="7"/>
  <c r="AB44" i="6"/>
  <c r="E44" i="6" s="1"/>
  <c r="AJ212" i="7"/>
  <c r="AK203" i="7"/>
  <c r="D203" i="7" s="1"/>
  <c r="E203" i="7"/>
  <c r="E383" i="7"/>
  <c r="AK383" i="7"/>
  <c r="D383" i="7" s="1"/>
  <c r="AJ295" i="7"/>
  <c r="AA54" i="6"/>
  <c r="E63" i="7"/>
  <c r="AK63" i="7"/>
  <c r="D63" i="7" s="1"/>
  <c r="AK219" i="7"/>
  <c r="D219" i="7" s="1"/>
  <c r="E219" i="7"/>
  <c r="Y137" i="7"/>
  <c r="AH137" i="7"/>
  <c r="Y458" i="7"/>
  <c r="AH458" i="7"/>
  <c r="AJ399" i="7"/>
  <c r="AJ375" i="7"/>
  <c r="E299" i="7"/>
  <c r="AK299" i="7"/>
  <c r="D299" i="7" s="1"/>
  <c r="AJ293" i="7"/>
  <c r="AJ194" i="7"/>
  <c r="Y226" i="7"/>
  <c r="AH226" i="7"/>
  <c r="AJ213" i="7"/>
  <c r="Y168" i="7"/>
  <c r="AH168" i="7"/>
  <c r="Y370" i="7"/>
  <c r="AH370" i="7"/>
  <c r="AJ25" i="7" l="1"/>
  <c r="AK294" i="7"/>
  <c r="D294" i="7" s="1"/>
  <c r="AK38" i="7"/>
  <c r="D38" i="7" s="1"/>
  <c r="E72" i="7"/>
  <c r="E415" i="7"/>
  <c r="AK118" i="7"/>
  <c r="D118" i="7" s="1"/>
  <c r="E413" i="7"/>
  <c r="AK135" i="7"/>
  <c r="D135" i="7" s="1"/>
  <c r="E395" i="7"/>
  <c r="AK115" i="7"/>
  <c r="D115" i="7" s="1"/>
  <c r="E318" i="7"/>
  <c r="E335" i="7"/>
  <c r="E33" i="7"/>
  <c r="E53" i="7"/>
  <c r="E132" i="7"/>
  <c r="AK273" i="7"/>
  <c r="D273" i="7" s="1"/>
  <c r="AK238" i="7"/>
  <c r="D238" i="7" s="1"/>
  <c r="AK133" i="7"/>
  <c r="D133" i="7" s="1"/>
  <c r="E232" i="7"/>
  <c r="E374" i="7"/>
  <c r="E419" i="7"/>
  <c r="AK98" i="7"/>
  <c r="D98" i="7" s="1"/>
  <c r="E414" i="7"/>
  <c r="E372" i="7"/>
  <c r="AK95" i="7"/>
  <c r="D95" i="7" s="1"/>
  <c r="AK298" i="7"/>
  <c r="D298" i="7" s="1"/>
  <c r="E193" i="7"/>
  <c r="E274" i="7"/>
  <c r="E52" i="7"/>
  <c r="AK456" i="7"/>
  <c r="D456" i="7" s="1"/>
  <c r="E433" i="7"/>
  <c r="AK35" i="7"/>
  <c r="D35" i="7" s="1"/>
  <c r="E75" i="7"/>
  <c r="AK113" i="7"/>
  <c r="D113" i="7" s="1"/>
  <c r="AK173" i="7"/>
  <c r="D173" i="7" s="1"/>
  <c r="AJ237" i="7"/>
  <c r="E237" i="7" s="1"/>
  <c r="AK434" i="7"/>
  <c r="D434" i="7" s="1"/>
  <c r="AJ197" i="7"/>
  <c r="E197" i="7" s="1"/>
  <c r="AJ288" i="7"/>
  <c r="E288" i="7" s="1"/>
  <c r="AJ86" i="7"/>
  <c r="E86" i="7" s="1"/>
  <c r="AJ77" i="7"/>
  <c r="E77" i="7" s="1"/>
  <c r="AJ117" i="7"/>
  <c r="E117" i="7" s="1"/>
  <c r="AJ446" i="7"/>
  <c r="AK446" i="7" s="1"/>
  <c r="D446" i="7" s="1"/>
  <c r="AJ268" i="7"/>
  <c r="E268" i="7" s="1"/>
  <c r="AJ108" i="7"/>
  <c r="AK108" i="7" s="1"/>
  <c r="D108" i="7" s="1"/>
  <c r="AJ438" i="7"/>
  <c r="E438" i="7" s="1"/>
  <c r="AJ346" i="7"/>
  <c r="E346" i="7" s="1"/>
  <c r="AJ48" i="7"/>
  <c r="E48" i="7" s="1"/>
  <c r="AJ286" i="7"/>
  <c r="E286" i="7" s="1"/>
  <c r="AJ366" i="7"/>
  <c r="E366" i="7" s="1"/>
  <c r="AJ326" i="7"/>
  <c r="E326" i="7" s="1"/>
  <c r="AA56" i="6"/>
  <c r="AJ177" i="7"/>
  <c r="AK177" i="7" s="1"/>
  <c r="D177" i="7" s="1"/>
  <c r="AJ208" i="7"/>
  <c r="AK208" i="7" s="1"/>
  <c r="D208" i="7" s="1"/>
  <c r="AJ430" i="7"/>
  <c r="AK430" i="7" s="1"/>
  <c r="D430" i="7" s="1"/>
  <c r="AJ128" i="7"/>
  <c r="E128" i="7" s="1"/>
  <c r="AJ308" i="7"/>
  <c r="E308" i="7" s="1"/>
  <c r="AJ350" i="7"/>
  <c r="AK350" i="7" s="1"/>
  <c r="D350" i="7" s="1"/>
  <c r="AJ378" i="7"/>
  <c r="AK378" i="7" s="1"/>
  <c r="D378" i="7" s="1"/>
  <c r="AJ188" i="7"/>
  <c r="E188" i="7" s="1"/>
  <c r="AJ458" i="7"/>
  <c r="E458" i="7" s="1"/>
  <c r="AJ217" i="7"/>
  <c r="E217" i="7" s="1"/>
  <c r="AB518" i="15"/>
  <c r="D518" i="15" s="1"/>
  <c r="E518" i="15"/>
  <c r="E399" i="7"/>
  <c r="AK399" i="7"/>
  <c r="D399" i="7" s="1"/>
  <c r="AJ370" i="7"/>
  <c r="AJ317" i="7"/>
  <c r="AD57" i="6"/>
  <c r="AD37" i="6"/>
  <c r="D17" i="7"/>
  <c r="AC37" i="6"/>
  <c r="D37" i="6" s="1"/>
  <c r="AD17" i="6"/>
  <c r="AC17" i="6"/>
  <c r="D17" i="6" s="1"/>
  <c r="AH360" i="7"/>
  <c r="X493" i="7" s="1"/>
  <c r="E12" i="7"/>
  <c r="AK12" i="7"/>
  <c r="AB32" i="6"/>
  <c r="E32" i="6" s="1"/>
  <c r="AB12" i="6"/>
  <c r="E12" i="6" s="1"/>
  <c r="AJ186" i="7"/>
  <c r="D149" i="7"/>
  <c r="AC49" i="6"/>
  <c r="D49" i="6" s="1"/>
  <c r="AH100" i="7"/>
  <c r="X478" i="7" s="1"/>
  <c r="AA46" i="6"/>
  <c r="AA45" i="6"/>
  <c r="AH160" i="7"/>
  <c r="X481" i="7" s="1"/>
  <c r="AJ205" i="7"/>
  <c r="Y220" i="7"/>
  <c r="Z549" i="15"/>
  <c r="AA549" i="15" s="1"/>
  <c r="AJ386" i="7"/>
  <c r="AH80" i="7"/>
  <c r="X477" i="7" s="1"/>
  <c r="AJ450" i="7"/>
  <c r="AJ46" i="7"/>
  <c r="AJ66" i="7"/>
  <c r="AA86" i="6"/>
  <c r="AA66" i="6"/>
  <c r="AD50" i="6"/>
  <c r="AD30" i="6"/>
  <c r="AC30" i="6"/>
  <c r="D30" i="6" s="1"/>
  <c r="AD10" i="6"/>
  <c r="AC10" i="6"/>
  <c r="D10" i="6" s="1"/>
  <c r="D10" i="7"/>
  <c r="D4" i="7"/>
  <c r="AD44" i="6"/>
  <c r="AD24" i="6"/>
  <c r="AC24" i="6"/>
  <c r="D24" i="6" s="1"/>
  <c r="AD4" i="6"/>
  <c r="AC4" i="6"/>
  <c r="D4" i="6" s="1"/>
  <c r="AH440" i="7"/>
  <c r="X497" i="7" s="1"/>
  <c r="E295" i="7"/>
  <c r="AK295" i="7"/>
  <c r="D295" i="7" s="1"/>
  <c r="E212" i="7"/>
  <c r="AK212" i="7"/>
  <c r="D212" i="7" s="1"/>
  <c r="E439" i="7"/>
  <c r="AK439" i="7"/>
  <c r="D439" i="7" s="1"/>
  <c r="E275" i="7"/>
  <c r="AK275" i="7"/>
  <c r="D275" i="7" s="1"/>
  <c r="AJ345" i="7"/>
  <c r="Y360" i="7"/>
  <c r="Y40" i="7"/>
  <c r="AJ106" i="7"/>
  <c r="AJ85" i="7"/>
  <c r="Y100" i="7"/>
  <c r="AA88" i="6"/>
  <c r="AA68" i="6"/>
  <c r="AJ146" i="7"/>
  <c r="R46" i="6"/>
  <c r="Q46" i="6" s="1"/>
  <c r="R45" i="6"/>
  <c r="AJ145" i="7"/>
  <c r="Y160" i="7"/>
  <c r="AK74" i="7"/>
  <c r="D74" i="7" s="1"/>
  <c r="E74" i="7"/>
  <c r="AK272" i="7"/>
  <c r="D272" i="7" s="1"/>
  <c r="E272" i="7"/>
  <c r="E134" i="7"/>
  <c r="AK134" i="7"/>
  <c r="D134" i="7" s="1"/>
  <c r="E334" i="7"/>
  <c r="AK334" i="7"/>
  <c r="D334" i="7" s="1"/>
  <c r="AJ65" i="7"/>
  <c r="Y80" i="7"/>
  <c r="R86" i="6"/>
  <c r="Q86" i="6" s="1"/>
  <c r="R66" i="6"/>
  <c r="Q66" i="6" s="1"/>
  <c r="AJ246" i="7"/>
  <c r="E312" i="7"/>
  <c r="AK312" i="7"/>
  <c r="D312" i="7" s="1"/>
  <c r="AK78" i="7"/>
  <c r="D78" i="7" s="1"/>
  <c r="E78" i="7"/>
  <c r="AJ425" i="7"/>
  <c r="Y440" i="7"/>
  <c r="AJ28" i="7"/>
  <c r="AC39" i="6"/>
  <c r="D39" i="6" s="1"/>
  <c r="AD19" i="6"/>
  <c r="AC19" i="6"/>
  <c r="D19" i="6" s="1"/>
  <c r="D19" i="7"/>
  <c r="AD59" i="6"/>
  <c r="AD39" i="6"/>
  <c r="AJ166" i="7"/>
  <c r="AH40" i="7"/>
  <c r="R88" i="6"/>
  <c r="Q88" i="6" s="1"/>
  <c r="R68" i="6"/>
  <c r="Q68" i="6" s="1"/>
  <c r="AJ248" i="7"/>
  <c r="E138" i="7"/>
  <c r="AK138" i="7"/>
  <c r="D138" i="7" s="1"/>
  <c r="AJ206" i="7"/>
  <c r="AJ330" i="7"/>
  <c r="AJ126" i="7"/>
  <c r="AA25" i="6"/>
  <c r="AA5" i="6"/>
  <c r="AH20" i="7"/>
  <c r="D147" i="7"/>
  <c r="AC47" i="6"/>
  <c r="D47" i="6" s="1"/>
  <c r="AA26" i="6"/>
  <c r="AA6" i="6"/>
  <c r="D144" i="7"/>
  <c r="AC44" i="6"/>
  <c r="D44" i="6" s="1"/>
  <c r="E258" i="7"/>
  <c r="AK258" i="7"/>
  <c r="AB98" i="6"/>
  <c r="E98" i="6" s="1"/>
  <c r="AB78" i="6"/>
  <c r="E78" i="6" s="1"/>
  <c r="AH180" i="7"/>
  <c r="X482" i="7" s="1"/>
  <c r="AA96" i="6"/>
  <c r="AA76" i="6"/>
  <c r="AK292" i="7"/>
  <c r="D292" i="7" s="1"/>
  <c r="E292" i="7"/>
  <c r="AH60" i="7"/>
  <c r="X476" i="7" s="1"/>
  <c r="AA8" i="6"/>
  <c r="AA28" i="6"/>
  <c r="E313" i="7"/>
  <c r="AK313" i="7"/>
  <c r="D313" i="7" s="1"/>
  <c r="AD49" i="6"/>
  <c r="AD29" i="6"/>
  <c r="D9" i="7"/>
  <c r="AC29" i="6"/>
  <c r="D29" i="6" s="1"/>
  <c r="AD9" i="6"/>
  <c r="AC9" i="6"/>
  <c r="D9" i="6" s="1"/>
  <c r="E43" i="6"/>
  <c r="R25" i="6"/>
  <c r="R5" i="6"/>
  <c r="AJ5" i="7"/>
  <c r="Y20" i="7"/>
  <c r="AK192" i="7"/>
  <c r="D192" i="7" s="1"/>
  <c r="E192" i="7"/>
  <c r="R26" i="6"/>
  <c r="Q26" i="6" s="1"/>
  <c r="R6" i="6"/>
  <c r="AJ6" i="7"/>
  <c r="AJ165" i="7"/>
  <c r="Y180" i="7"/>
  <c r="R96" i="6"/>
  <c r="Q96" i="6" s="1"/>
  <c r="R76" i="6"/>
  <c r="Q76" i="6" s="1"/>
  <c r="AJ257" i="7"/>
  <c r="E172" i="7"/>
  <c r="AK172" i="7"/>
  <c r="D172" i="7" s="1"/>
  <c r="E214" i="7"/>
  <c r="AK214" i="7"/>
  <c r="D214" i="7" s="1"/>
  <c r="AJ45" i="7"/>
  <c r="Y60" i="7"/>
  <c r="AH240" i="7"/>
  <c r="X487" i="7" s="1"/>
  <c r="AK114" i="7"/>
  <c r="D114" i="7" s="1"/>
  <c r="E114" i="7"/>
  <c r="AH300" i="7"/>
  <c r="X490" i="7" s="1"/>
  <c r="R28" i="6"/>
  <c r="Q28" i="6" s="1"/>
  <c r="R8" i="6"/>
  <c r="AJ8" i="7"/>
  <c r="D251" i="7"/>
  <c r="AD91" i="6"/>
  <c r="AC91" i="6"/>
  <c r="D91" i="6" s="1"/>
  <c r="AD71" i="6"/>
  <c r="AC71" i="6"/>
  <c r="D71" i="6" s="1"/>
  <c r="D143" i="7"/>
  <c r="AC43" i="6"/>
  <c r="AB35" i="6"/>
  <c r="E35" i="6" s="1"/>
  <c r="E15" i="7"/>
  <c r="AK15" i="7"/>
  <c r="AB15" i="6"/>
  <c r="E15" i="6" s="1"/>
  <c r="E58" i="7"/>
  <c r="AK58" i="7"/>
  <c r="D58" i="7" s="1"/>
  <c r="AK195" i="7"/>
  <c r="D195" i="7" s="1"/>
  <c r="E195" i="7"/>
  <c r="AK194" i="7"/>
  <c r="D194" i="7" s="1"/>
  <c r="E194" i="7"/>
  <c r="E375" i="7"/>
  <c r="AK375" i="7"/>
  <c r="D375" i="7" s="1"/>
  <c r="AJ418" i="7"/>
  <c r="D250" i="7"/>
  <c r="AC90" i="6"/>
  <c r="D90" i="6" s="1"/>
  <c r="AD70" i="6"/>
  <c r="AC70" i="6"/>
  <c r="D70" i="6" s="1"/>
  <c r="AD90" i="6"/>
  <c r="AJ266" i="7"/>
  <c r="AC27" i="6"/>
  <c r="D27" i="6" s="1"/>
  <c r="AD7" i="6"/>
  <c r="AC7" i="6"/>
  <c r="D7" i="6" s="1"/>
  <c r="D7" i="7"/>
  <c r="AD47" i="6"/>
  <c r="AD27" i="6"/>
  <c r="AK158" i="7"/>
  <c r="AB58" i="6"/>
  <c r="E58" i="6" s="1"/>
  <c r="E158" i="7"/>
  <c r="E215" i="7"/>
  <c r="AK215" i="7"/>
  <c r="D215" i="7" s="1"/>
  <c r="D249" i="7"/>
  <c r="AD89" i="6"/>
  <c r="AC89" i="6"/>
  <c r="D89" i="6" s="1"/>
  <c r="AD69" i="6"/>
  <c r="AC69" i="6"/>
  <c r="D69" i="6" s="1"/>
  <c r="AK175" i="7"/>
  <c r="D175" i="7" s="1"/>
  <c r="E175" i="7"/>
  <c r="E435" i="7"/>
  <c r="AK435" i="7"/>
  <c r="D435" i="7" s="1"/>
  <c r="AK332" i="7"/>
  <c r="D332" i="7" s="1"/>
  <c r="E332" i="7"/>
  <c r="AB38" i="6"/>
  <c r="E38" i="6" s="1"/>
  <c r="AB18" i="6"/>
  <c r="E18" i="6" s="1"/>
  <c r="E18" i="7"/>
  <c r="AK18" i="7"/>
  <c r="AJ225" i="7"/>
  <c r="Y240" i="7"/>
  <c r="AJ338" i="7"/>
  <c r="E152" i="7"/>
  <c r="AK152" i="7"/>
  <c r="AB52" i="6"/>
  <c r="E52" i="6" s="1"/>
  <c r="AJ285" i="7"/>
  <c r="Y300" i="7"/>
  <c r="AJ68" i="7"/>
  <c r="E254" i="7"/>
  <c r="AK254" i="7"/>
  <c r="AB94" i="6"/>
  <c r="E94" i="6" s="1"/>
  <c r="AB74" i="6"/>
  <c r="E74" i="6" s="1"/>
  <c r="AK174" i="7"/>
  <c r="D174" i="7" s="1"/>
  <c r="E174" i="7"/>
  <c r="D159" i="7"/>
  <c r="AC59" i="6"/>
  <c r="D59" i="6" s="1"/>
  <c r="E63" i="6"/>
  <c r="E234" i="7"/>
  <c r="AK234" i="7"/>
  <c r="D234" i="7" s="1"/>
  <c r="D247" i="7"/>
  <c r="AD87" i="6"/>
  <c r="AC87" i="6"/>
  <c r="D87" i="6" s="1"/>
  <c r="AD67" i="6"/>
  <c r="AC67" i="6"/>
  <c r="D67" i="6" s="1"/>
  <c r="E153" i="7"/>
  <c r="AK153" i="7"/>
  <c r="AB53" i="6"/>
  <c r="E53" i="6" s="1"/>
  <c r="AH460" i="7"/>
  <c r="X498" i="7" s="1"/>
  <c r="E373" i="7"/>
  <c r="AK373" i="7"/>
  <c r="D373" i="7" s="1"/>
  <c r="AK416" i="7"/>
  <c r="D416" i="7" s="1"/>
  <c r="E416" i="7"/>
  <c r="E155" i="7"/>
  <c r="AK155" i="7"/>
  <c r="AB55" i="6"/>
  <c r="E55" i="6" s="1"/>
  <c r="E83" i="6"/>
  <c r="AJ277" i="7"/>
  <c r="E376" i="7"/>
  <c r="AK376" i="7"/>
  <c r="D376" i="7" s="1"/>
  <c r="R56" i="6"/>
  <c r="Q56" i="6" s="1"/>
  <c r="AJ157" i="7"/>
  <c r="D259" i="7"/>
  <c r="AD99" i="6"/>
  <c r="AC99" i="6"/>
  <c r="D99" i="6" s="1"/>
  <c r="AD79" i="6"/>
  <c r="AC79" i="6"/>
  <c r="D79" i="6" s="1"/>
  <c r="AA48" i="6"/>
  <c r="AJ97" i="7"/>
  <c r="E3" i="6"/>
  <c r="AC57" i="6"/>
  <c r="D57" i="6" s="1"/>
  <c r="D156" i="7"/>
  <c r="E253" i="7"/>
  <c r="AK253" i="7"/>
  <c r="AB93" i="6"/>
  <c r="E93" i="6" s="1"/>
  <c r="AB73" i="6"/>
  <c r="E73" i="6" s="1"/>
  <c r="AH140" i="7"/>
  <c r="X480" i="7" s="1"/>
  <c r="E255" i="7"/>
  <c r="AK255" i="7"/>
  <c r="AB95" i="6"/>
  <c r="E95" i="6" s="1"/>
  <c r="AB75" i="6"/>
  <c r="E75" i="6" s="1"/>
  <c r="E394" i="7"/>
  <c r="AK394" i="7"/>
  <c r="D394" i="7" s="1"/>
  <c r="AJ445" i="7"/>
  <c r="Y460" i="7"/>
  <c r="AK92" i="7"/>
  <c r="D92" i="7" s="1"/>
  <c r="E92" i="7"/>
  <c r="AJ410" i="7"/>
  <c r="D243" i="7"/>
  <c r="AD83" i="6"/>
  <c r="AC83" i="6"/>
  <c r="AD63" i="6"/>
  <c r="AC63" i="6"/>
  <c r="AJ398" i="7"/>
  <c r="AJ325" i="7"/>
  <c r="Y340" i="7"/>
  <c r="AK293" i="7"/>
  <c r="D293" i="7" s="1"/>
  <c r="E293" i="7"/>
  <c r="AJ385" i="7"/>
  <c r="Y400" i="7"/>
  <c r="AJ406" i="7"/>
  <c r="AJ88" i="7"/>
  <c r="E252" i="7"/>
  <c r="AK252" i="7"/>
  <c r="AB92" i="6"/>
  <c r="E92" i="6" s="1"/>
  <c r="AB72" i="6"/>
  <c r="E72" i="6" s="1"/>
  <c r="E55" i="7"/>
  <c r="AK55" i="7"/>
  <c r="D55" i="7" s="1"/>
  <c r="AK32" i="7"/>
  <c r="D32" i="7" s="1"/>
  <c r="E32" i="7"/>
  <c r="R48" i="6"/>
  <c r="Q48" i="6" s="1"/>
  <c r="AJ148" i="7"/>
  <c r="AC23" i="6"/>
  <c r="AC3" i="6"/>
  <c r="D3" i="7"/>
  <c r="AD43" i="6"/>
  <c r="AD23" i="6"/>
  <c r="AD3" i="6"/>
  <c r="AH280" i="7"/>
  <c r="X489" i="7" s="1"/>
  <c r="AJ125" i="7"/>
  <c r="Y140" i="7"/>
  <c r="E94" i="7"/>
  <c r="AK94" i="7"/>
  <c r="D94" i="7" s="1"/>
  <c r="E198" i="7"/>
  <c r="AK198" i="7"/>
  <c r="D198" i="7" s="1"/>
  <c r="AK314" i="7"/>
  <c r="D314" i="7" s="1"/>
  <c r="E314" i="7"/>
  <c r="AJ37" i="7"/>
  <c r="AJ226" i="7"/>
  <c r="AJ137" i="7"/>
  <c r="AJ168" i="7"/>
  <c r="AJ228" i="7"/>
  <c r="E353" i="7"/>
  <c r="AK353" i="7"/>
  <c r="D353" i="7" s="1"/>
  <c r="AJ390" i="7"/>
  <c r="AJ297" i="7"/>
  <c r="AH320" i="7"/>
  <c r="X491" i="7" s="1"/>
  <c r="AJ57" i="7"/>
  <c r="AJ365" i="7"/>
  <c r="Y380" i="7"/>
  <c r="AC51" i="6"/>
  <c r="D51" i="6" s="1"/>
  <c r="AJ306" i="7"/>
  <c r="E453" i="7"/>
  <c r="AK453" i="7"/>
  <c r="D453" i="7" s="1"/>
  <c r="AJ265" i="7"/>
  <c r="Y280" i="7"/>
  <c r="AJ358" i="7"/>
  <c r="AH120" i="7"/>
  <c r="X479" i="7" s="1"/>
  <c r="AA85" i="6"/>
  <c r="AA100" i="6" s="1"/>
  <c r="AA65" i="6"/>
  <c r="AA80" i="6" s="1"/>
  <c r="AH260" i="7"/>
  <c r="X488" i="7" s="1"/>
  <c r="AA16" i="6"/>
  <c r="AA36" i="6"/>
  <c r="AH420" i="7"/>
  <c r="X496" i="7" s="1"/>
  <c r="AH400" i="7"/>
  <c r="X495" i="7" s="1"/>
  <c r="AC31" i="6"/>
  <c r="D31" i="6" s="1"/>
  <c r="AD11" i="6"/>
  <c r="AC11" i="6"/>
  <c r="D11" i="6" s="1"/>
  <c r="D11" i="7"/>
  <c r="AD51" i="6"/>
  <c r="AD31" i="6"/>
  <c r="E333" i="7"/>
  <c r="AK333" i="7"/>
  <c r="D333" i="7" s="1"/>
  <c r="E455" i="7"/>
  <c r="AK455" i="7"/>
  <c r="D455" i="7" s="1"/>
  <c r="AH200" i="7"/>
  <c r="X483" i="7" s="1"/>
  <c r="AJ305" i="7"/>
  <c r="Y320" i="7"/>
  <c r="E73" i="7"/>
  <c r="AK73" i="7"/>
  <c r="D73" i="7" s="1"/>
  <c r="AH380" i="7"/>
  <c r="X494" i="7" s="1"/>
  <c r="AJ26" i="7"/>
  <c r="E23" i="6"/>
  <c r="E452" i="7"/>
  <c r="AK452" i="7"/>
  <c r="D452" i="7" s="1"/>
  <c r="AJ105" i="7"/>
  <c r="Y120" i="7"/>
  <c r="R85" i="6"/>
  <c r="R65" i="6"/>
  <c r="AJ245" i="7"/>
  <c r="Y260" i="7"/>
  <c r="E13" i="7"/>
  <c r="AK13" i="7"/>
  <c r="AB33" i="6"/>
  <c r="E33" i="6" s="1"/>
  <c r="AB13" i="6"/>
  <c r="E13" i="6" s="1"/>
  <c r="AJ426" i="7"/>
  <c r="R36" i="6"/>
  <c r="Q36" i="6" s="1"/>
  <c r="R16" i="6"/>
  <c r="AJ16" i="7"/>
  <c r="AK154" i="7"/>
  <c r="E154" i="7"/>
  <c r="AB54" i="6"/>
  <c r="E54" i="6" s="1"/>
  <c r="AJ405" i="7"/>
  <c r="Y420" i="7"/>
  <c r="E213" i="7"/>
  <c r="AK213" i="7"/>
  <c r="D213" i="7" s="1"/>
  <c r="AK336" i="7"/>
  <c r="D336" i="7" s="1"/>
  <c r="E336" i="7"/>
  <c r="AJ185" i="7"/>
  <c r="Y200" i="7"/>
  <c r="AK128" i="7"/>
  <c r="D128" i="7" s="1"/>
  <c r="E14" i="7"/>
  <c r="AB34" i="6"/>
  <c r="E34" i="6" s="1"/>
  <c r="AB14" i="6"/>
  <c r="E14" i="6" s="1"/>
  <c r="AK14" i="7"/>
  <c r="AK459" i="7"/>
  <c r="D459" i="7" s="1"/>
  <c r="E459" i="7"/>
  <c r="AK393" i="7"/>
  <c r="D393" i="7" s="1"/>
  <c r="E393" i="7"/>
  <c r="AH220" i="7"/>
  <c r="X484" i="7" s="1"/>
  <c r="D150" i="7"/>
  <c r="AC50" i="6"/>
  <c r="D50" i="6" s="1"/>
  <c r="AA550" i="15"/>
  <c r="Z550" i="15"/>
  <c r="D244" i="7"/>
  <c r="AD84" i="6"/>
  <c r="AC84" i="6"/>
  <c r="D84" i="6" s="1"/>
  <c r="AD64" i="6"/>
  <c r="AC64" i="6"/>
  <c r="D64" i="6" s="1"/>
  <c r="E235" i="7"/>
  <c r="AK235" i="7"/>
  <c r="D235" i="7" s="1"/>
  <c r="D256" i="7"/>
  <c r="AD97" i="6"/>
  <c r="AC97" i="6"/>
  <c r="D97" i="6" s="1"/>
  <c r="AD77" i="6"/>
  <c r="AC77" i="6"/>
  <c r="D77" i="6" s="1"/>
  <c r="E278" i="7"/>
  <c r="AK278" i="7"/>
  <c r="D278" i="7" s="1"/>
  <c r="E436" i="7"/>
  <c r="AK436" i="7"/>
  <c r="D436" i="7" s="1"/>
  <c r="AK268" i="7"/>
  <c r="D268" i="7" s="1"/>
  <c r="AK346" i="7" l="1"/>
  <c r="D346" i="7" s="1"/>
  <c r="AK286" i="7"/>
  <c r="D286" i="7" s="1"/>
  <c r="AK197" i="7"/>
  <c r="D197" i="7" s="1"/>
  <c r="AK366" i="7"/>
  <c r="D366" i="7" s="1"/>
  <c r="AK237" i="7"/>
  <c r="D237" i="7" s="1"/>
  <c r="AK288" i="7"/>
  <c r="D288" i="7" s="1"/>
  <c r="E177" i="7"/>
  <c r="E446" i="7"/>
  <c r="AK86" i="7"/>
  <c r="D86" i="7" s="1"/>
  <c r="AK48" i="7"/>
  <c r="D48" i="7" s="1"/>
  <c r="E378" i="7"/>
  <c r="AK188" i="7"/>
  <c r="D188" i="7" s="1"/>
  <c r="E430" i="7"/>
  <c r="AK438" i="7"/>
  <c r="D438" i="7" s="1"/>
  <c r="AK117" i="7"/>
  <c r="D117" i="7" s="1"/>
  <c r="E208" i="7"/>
  <c r="AK77" i="7"/>
  <c r="D77" i="7" s="1"/>
  <c r="E108" i="7"/>
  <c r="AK308" i="7"/>
  <c r="D308" i="7" s="1"/>
  <c r="E350" i="7"/>
  <c r="AK217" i="7"/>
  <c r="D217" i="7" s="1"/>
  <c r="AK326" i="7"/>
  <c r="D326" i="7" s="1"/>
  <c r="AK458" i="7"/>
  <c r="D458" i="7" s="1"/>
  <c r="E549" i="15"/>
  <c r="AB549" i="15"/>
  <c r="D549" i="15" s="1"/>
  <c r="D154" i="7"/>
  <c r="AC54" i="6"/>
  <c r="D54" i="6" s="1"/>
  <c r="E265" i="7"/>
  <c r="AK265" i="7"/>
  <c r="D265" i="7" s="1"/>
  <c r="AK390" i="7"/>
  <c r="D390" i="7" s="1"/>
  <c r="E390" i="7"/>
  <c r="E148" i="7"/>
  <c r="AK148" i="7"/>
  <c r="AB48" i="6"/>
  <c r="E48" i="6" s="1"/>
  <c r="AK406" i="7"/>
  <c r="D406" i="7" s="1"/>
  <c r="E406" i="7"/>
  <c r="M498" i="7"/>
  <c r="Y498" i="7" s="1"/>
  <c r="AJ460" i="7"/>
  <c r="D155" i="7"/>
  <c r="AC55" i="6"/>
  <c r="D55" i="6" s="1"/>
  <c r="D153" i="7"/>
  <c r="AC53" i="6"/>
  <c r="D53" i="6" s="1"/>
  <c r="E65" i="7"/>
  <c r="AK65" i="7"/>
  <c r="D65" i="7" s="1"/>
  <c r="E345" i="7"/>
  <c r="AK345" i="7"/>
  <c r="D345" i="7" s="1"/>
  <c r="AB550" i="15"/>
  <c r="D550" i="15" s="1"/>
  <c r="E550" i="15"/>
  <c r="E297" i="7"/>
  <c r="AK297" i="7"/>
  <c r="D297" i="7" s="1"/>
  <c r="D23" i="6"/>
  <c r="M495" i="7"/>
  <c r="Y495" i="7" s="1"/>
  <c r="AJ400" i="7"/>
  <c r="E445" i="7"/>
  <c r="AK445" i="7"/>
  <c r="D445" i="7" s="1"/>
  <c r="M487" i="7"/>
  <c r="Y487" i="7" s="1"/>
  <c r="AJ240" i="7"/>
  <c r="E266" i="7"/>
  <c r="AK266" i="7"/>
  <c r="D266" i="7" s="1"/>
  <c r="AK426" i="7"/>
  <c r="D426" i="7" s="1"/>
  <c r="E426" i="7"/>
  <c r="M483" i="7"/>
  <c r="Y483" i="7" s="1"/>
  <c r="AJ200" i="7"/>
  <c r="D13" i="7"/>
  <c r="AD53" i="6"/>
  <c r="AD33" i="6"/>
  <c r="AC33" i="6"/>
  <c r="D33" i="6" s="1"/>
  <c r="AD13" i="6"/>
  <c r="AC13" i="6"/>
  <c r="D13" i="6" s="1"/>
  <c r="E168" i="7"/>
  <c r="AK168" i="7"/>
  <c r="D168" i="7" s="1"/>
  <c r="AK385" i="7"/>
  <c r="D385" i="7" s="1"/>
  <c r="E385" i="7"/>
  <c r="D63" i="6"/>
  <c r="E68" i="7"/>
  <c r="AK68" i="7"/>
  <c r="D68" i="7" s="1"/>
  <c r="E225" i="7"/>
  <c r="AK225" i="7"/>
  <c r="D225" i="7" s="1"/>
  <c r="D158" i="7"/>
  <c r="AC58" i="6"/>
  <c r="D58" i="6" s="1"/>
  <c r="E8" i="7"/>
  <c r="AK8" i="7"/>
  <c r="AB28" i="6"/>
  <c r="E28" i="6" s="1"/>
  <c r="AB8" i="6"/>
  <c r="E8" i="6" s="1"/>
  <c r="E257" i="7"/>
  <c r="AK257" i="7"/>
  <c r="AB96" i="6"/>
  <c r="E96" i="6" s="1"/>
  <c r="AB76" i="6"/>
  <c r="E76" i="6" s="1"/>
  <c r="AJ20" i="7"/>
  <c r="E248" i="7"/>
  <c r="AK248" i="7"/>
  <c r="AB88" i="6"/>
  <c r="E88" i="6" s="1"/>
  <c r="AB68" i="6"/>
  <c r="E68" i="6" s="1"/>
  <c r="E66" i="7"/>
  <c r="AK66" i="7"/>
  <c r="D66" i="7" s="1"/>
  <c r="M490" i="7"/>
  <c r="Y490" i="7" s="1"/>
  <c r="AJ300" i="7"/>
  <c r="AD58" i="6"/>
  <c r="AD38" i="6"/>
  <c r="AC38" i="6"/>
  <c r="D38" i="6" s="1"/>
  <c r="AD18" i="6"/>
  <c r="AC18" i="6"/>
  <c r="D18" i="6" s="1"/>
  <c r="D18" i="7"/>
  <c r="M482" i="7"/>
  <c r="Y482" i="7" s="1"/>
  <c r="AJ180" i="7"/>
  <c r="E5" i="7"/>
  <c r="AB25" i="6"/>
  <c r="AB5" i="6"/>
  <c r="AK5" i="7"/>
  <c r="AK126" i="7"/>
  <c r="D126" i="7" s="1"/>
  <c r="E126" i="7"/>
  <c r="E146" i="7"/>
  <c r="AB46" i="6"/>
  <c r="E46" i="6" s="1"/>
  <c r="AK146" i="7"/>
  <c r="E277" i="7"/>
  <c r="AK277" i="7"/>
  <c r="D277" i="7" s="1"/>
  <c r="D254" i="7"/>
  <c r="AC94" i="6"/>
  <c r="D94" i="6" s="1"/>
  <c r="AD74" i="6"/>
  <c r="AC74" i="6"/>
  <c r="D74" i="6" s="1"/>
  <c r="AD94" i="6"/>
  <c r="AK285" i="7"/>
  <c r="D285" i="7" s="1"/>
  <c r="E285" i="7"/>
  <c r="E165" i="7"/>
  <c r="AK165" i="7"/>
  <c r="D165" i="7" s="1"/>
  <c r="R20" i="6"/>
  <c r="E330" i="7"/>
  <c r="AK330" i="7"/>
  <c r="D330" i="7" s="1"/>
  <c r="AK185" i="7"/>
  <c r="D185" i="7" s="1"/>
  <c r="E185" i="7"/>
  <c r="M491" i="7"/>
  <c r="Y491" i="7" s="1"/>
  <c r="AJ320" i="7"/>
  <c r="E137" i="7"/>
  <c r="AK137" i="7"/>
  <c r="D137" i="7" s="1"/>
  <c r="AD54" i="6"/>
  <c r="AD34" i="6"/>
  <c r="AC34" i="6"/>
  <c r="D34" i="6" s="1"/>
  <c r="AD14" i="6"/>
  <c r="D14" i="7"/>
  <c r="AC14" i="6"/>
  <c r="D14" i="6" s="1"/>
  <c r="M494" i="7"/>
  <c r="Y494" i="7" s="1"/>
  <c r="AJ380" i="7"/>
  <c r="E97" i="7"/>
  <c r="AK97" i="7"/>
  <c r="D97" i="7" s="1"/>
  <c r="AC35" i="6"/>
  <c r="D35" i="6" s="1"/>
  <c r="AD15" i="6"/>
  <c r="AC15" i="6"/>
  <c r="D15" i="6" s="1"/>
  <c r="D15" i="7"/>
  <c r="AD55" i="6"/>
  <c r="AD35" i="6"/>
  <c r="M476" i="7"/>
  <c r="AJ60" i="7"/>
  <c r="Q25" i="6"/>
  <c r="Q40" i="6" s="1"/>
  <c r="R40" i="6"/>
  <c r="D258" i="7"/>
  <c r="AC98" i="6"/>
  <c r="D98" i="6" s="1"/>
  <c r="AD78" i="6"/>
  <c r="AC78" i="6"/>
  <c r="D78" i="6" s="1"/>
  <c r="AD98" i="6"/>
  <c r="AK186" i="7"/>
  <c r="D186" i="7" s="1"/>
  <c r="E186" i="7"/>
  <c r="AK305" i="7"/>
  <c r="D305" i="7" s="1"/>
  <c r="E305" i="7"/>
  <c r="E226" i="7"/>
  <c r="AK226" i="7"/>
  <c r="D226" i="7" s="1"/>
  <c r="D83" i="6"/>
  <c r="M496" i="7"/>
  <c r="Y496" i="7" s="1"/>
  <c r="AJ420" i="7"/>
  <c r="M488" i="7"/>
  <c r="Y488" i="7" s="1"/>
  <c r="AJ260" i="7"/>
  <c r="AK405" i="7"/>
  <c r="D405" i="7" s="1"/>
  <c r="E405" i="7"/>
  <c r="E245" i="7"/>
  <c r="AK245" i="7"/>
  <c r="AB85" i="6"/>
  <c r="AB65" i="6"/>
  <c r="M479" i="7"/>
  <c r="Y479" i="7" s="1"/>
  <c r="AJ120" i="7"/>
  <c r="AK358" i="7"/>
  <c r="D358" i="7" s="1"/>
  <c r="E358" i="7"/>
  <c r="AK365" i="7"/>
  <c r="D365" i="7" s="1"/>
  <c r="E365" i="7"/>
  <c r="D252" i="7"/>
  <c r="AD92" i="6"/>
  <c r="AC92" i="6"/>
  <c r="D92" i="6" s="1"/>
  <c r="AD72" i="6"/>
  <c r="AC72" i="6"/>
  <c r="D72" i="6" s="1"/>
  <c r="D253" i="7"/>
  <c r="AD93" i="6"/>
  <c r="AC93" i="6"/>
  <c r="D93" i="6" s="1"/>
  <c r="AD73" i="6"/>
  <c r="AC73" i="6"/>
  <c r="D73" i="6" s="1"/>
  <c r="AK157" i="7"/>
  <c r="E157" i="7"/>
  <c r="AB56" i="6"/>
  <c r="E56" i="6" s="1"/>
  <c r="D152" i="7"/>
  <c r="AC52" i="6"/>
  <c r="D52" i="6" s="1"/>
  <c r="E45" i="7"/>
  <c r="AK45" i="7"/>
  <c r="D45" i="7" s="1"/>
  <c r="E246" i="7"/>
  <c r="AK246" i="7"/>
  <c r="AB86" i="6"/>
  <c r="E86" i="6" s="1"/>
  <c r="AB66" i="6"/>
  <c r="E66" i="6" s="1"/>
  <c r="M478" i="7"/>
  <c r="Y478" i="7" s="1"/>
  <c r="AJ100" i="7"/>
  <c r="AK386" i="7"/>
  <c r="D386" i="7" s="1"/>
  <c r="E386" i="7"/>
  <c r="AK306" i="7"/>
  <c r="D306" i="7" s="1"/>
  <c r="E306" i="7"/>
  <c r="Q65" i="6"/>
  <c r="Q80" i="6" s="1"/>
  <c r="R80" i="6"/>
  <c r="E105" i="7"/>
  <c r="AK105" i="7"/>
  <c r="D105" i="7" s="1"/>
  <c r="E57" i="7"/>
  <c r="AK57" i="7"/>
  <c r="D57" i="7" s="1"/>
  <c r="M480" i="7"/>
  <c r="Y480" i="7" s="1"/>
  <c r="AJ140" i="7"/>
  <c r="M492" i="7"/>
  <c r="Y492" i="7" s="1"/>
  <c r="AJ340" i="7"/>
  <c r="AK418" i="7"/>
  <c r="D418" i="7" s="1"/>
  <c r="E418" i="7"/>
  <c r="E28" i="7"/>
  <c r="AK28" i="7"/>
  <c r="D28" i="7" s="1"/>
  <c r="AK85" i="7"/>
  <c r="D85" i="7" s="1"/>
  <c r="E85" i="7"/>
  <c r="M484" i="7"/>
  <c r="Y484" i="7" s="1"/>
  <c r="AJ220" i="7"/>
  <c r="AK317" i="7"/>
  <c r="D317" i="7" s="1"/>
  <c r="E317" i="7"/>
  <c r="E16" i="7"/>
  <c r="AK16" i="7"/>
  <c r="AB36" i="6"/>
  <c r="E36" i="6" s="1"/>
  <c r="AB16" i="6"/>
  <c r="E16" i="6" s="1"/>
  <c r="Q85" i="6"/>
  <c r="Q100" i="6" s="1"/>
  <c r="R100" i="6"/>
  <c r="AK125" i="7"/>
  <c r="D125" i="7" s="1"/>
  <c r="E125" i="7"/>
  <c r="AK88" i="7"/>
  <c r="D88" i="7" s="1"/>
  <c r="E88" i="7"/>
  <c r="E325" i="7"/>
  <c r="AK325" i="7"/>
  <c r="D325" i="7" s="1"/>
  <c r="E338" i="7"/>
  <c r="AK338" i="7"/>
  <c r="D338" i="7" s="1"/>
  <c r="X506" i="7"/>
  <c r="X507" i="7" s="1"/>
  <c r="AA20" i="6"/>
  <c r="E106" i="7"/>
  <c r="AK106" i="7"/>
  <c r="D106" i="7" s="1"/>
  <c r="AK205" i="7"/>
  <c r="D205" i="7" s="1"/>
  <c r="E205" i="7"/>
  <c r="D12" i="7"/>
  <c r="AD52" i="6"/>
  <c r="AD32" i="6"/>
  <c r="AC32" i="6"/>
  <c r="D32" i="6" s="1"/>
  <c r="AD12" i="6"/>
  <c r="AC12" i="6"/>
  <c r="D12" i="6" s="1"/>
  <c r="AK228" i="7"/>
  <c r="D228" i="7" s="1"/>
  <c r="E228" i="7"/>
  <c r="E398" i="7"/>
  <c r="AK398" i="7"/>
  <c r="D398" i="7" s="1"/>
  <c r="D43" i="6"/>
  <c r="AB26" i="6"/>
  <c r="E26" i="6" s="1"/>
  <c r="E6" i="7"/>
  <c r="AB6" i="6"/>
  <c r="E6" i="6" s="1"/>
  <c r="AK6" i="7"/>
  <c r="AA40" i="6"/>
  <c r="M481" i="7"/>
  <c r="Y481" i="7" s="1"/>
  <c r="AJ160" i="7"/>
  <c r="AJ40" i="7"/>
  <c r="E26" i="7"/>
  <c r="AK26" i="7"/>
  <c r="D26" i="7" s="1"/>
  <c r="E37" i="7"/>
  <c r="AK37" i="7"/>
  <c r="D37" i="7" s="1"/>
  <c r="D3" i="6"/>
  <c r="E166" i="7"/>
  <c r="AK166" i="7"/>
  <c r="D166" i="7" s="1"/>
  <c r="M497" i="7"/>
  <c r="Y497" i="7" s="1"/>
  <c r="AJ440" i="7"/>
  <c r="E145" i="7"/>
  <c r="AK145" i="7"/>
  <c r="AB45" i="6"/>
  <c r="E25" i="7"/>
  <c r="AK25" i="7"/>
  <c r="D25" i="7" s="1"/>
  <c r="E46" i="7"/>
  <c r="AK46" i="7"/>
  <c r="D46" i="7" s="1"/>
  <c r="AA60" i="6"/>
  <c r="AK370" i="7"/>
  <c r="D370" i="7" s="1"/>
  <c r="E370" i="7"/>
  <c r="M489" i="7"/>
  <c r="Y489" i="7" s="1"/>
  <c r="AJ280" i="7"/>
  <c r="AK410" i="7"/>
  <c r="D410" i="7" s="1"/>
  <c r="E410" i="7"/>
  <c r="D255" i="7"/>
  <c r="AD95" i="6"/>
  <c r="AC95" i="6"/>
  <c r="D95" i="6" s="1"/>
  <c r="AD75" i="6"/>
  <c r="AC75" i="6"/>
  <c r="D75" i="6" s="1"/>
  <c r="AK206" i="7"/>
  <c r="D206" i="7" s="1"/>
  <c r="E206" i="7"/>
  <c r="AK425" i="7"/>
  <c r="D425" i="7" s="1"/>
  <c r="E425" i="7"/>
  <c r="M477" i="7"/>
  <c r="Y477" i="7" s="1"/>
  <c r="AJ80" i="7"/>
  <c r="Q45" i="6"/>
  <c r="Q60" i="6" s="1"/>
  <c r="R60" i="6"/>
  <c r="M493" i="7"/>
  <c r="Y493" i="7" s="1"/>
  <c r="AJ360" i="7"/>
  <c r="E450" i="7"/>
  <c r="AK450" i="7"/>
  <c r="D450" i="7" s="1"/>
  <c r="Z493" i="7" l="1"/>
  <c r="D493" i="7" s="1"/>
  <c r="E493" i="7"/>
  <c r="E440" i="7"/>
  <c r="AK440" i="7"/>
  <c r="D440" i="7" s="1"/>
  <c r="AK160" i="7"/>
  <c r="D160" i="7" s="1"/>
  <c r="E160" i="7"/>
  <c r="AK220" i="7"/>
  <c r="D220" i="7" s="1"/>
  <c r="E220" i="7"/>
  <c r="AK340" i="7"/>
  <c r="D340" i="7" s="1"/>
  <c r="E340" i="7"/>
  <c r="E65" i="6"/>
  <c r="AB80" i="6"/>
  <c r="E80" i="6" s="1"/>
  <c r="E490" i="7"/>
  <c r="Z490" i="7"/>
  <c r="D490" i="7" s="1"/>
  <c r="Z497" i="7"/>
  <c r="D497" i="7" s="1"/>
  <c r="E497" i="7"/>
  <c r="E481" i="7"/>
  <c r="Z481" i="7"/>
  <c r="D481" i="7" s="1"/>
  <c r="AD46" i="6"/>
  <c r="AD26" i="6"/>
  <c r="AC26" i="6"/>
  <c r="D26" i="6" s="1"/>
  <c r="AC6" i="6"/>
  <c r="D6" i="6" s="1"/>
  <c r="D6" i="7"/>
  <c r="AD6" i="6"/>
  <c r="Z484" i="7"/>
  <c r="D484" i="7" s="1"/>
  <c r="E484" i="7"/>
  <c r="E492" i="7"/>
  <c r="Z492" i="7"/>
  <c r="D492" i="7" s="1"/>
  <c r="E85" i="6"/>
  <c r="AB100" i="6"/>
  <c r="E100" i="6" s="1"/>
  <c r="E20" i="7"/>
  <c r="AK20" i="7"/>
  <c r="D20" i="7" s="1"/>
  <c r="E240" i="7"/>
  <c r="AK240" i="7"/>
  <c r="D240" i="7" s="1"/>
  <c r="E460" i="7"/>
  <c r="AK460" i="7"/>
  <c r="D460" i="7" s="1"/>
  <c r="E80" i="7"/>
  <c r="AK80" i="7"/>
  <c r="D80" i="7" s="1"/>
  <c r="E140" i="7"/>
  <c r="AK140" i="7"/>
  <c r="D140" i="7" s="1"/>
  <c r="D245" i="7"/>
  <c r="AD85" i="6"/>
  <c r="AC85" i="6"/>
  <c r="AD65" i="6"/>
  <c r="AC65" i="6"/>
  <c r="E380" i="7"/>
  <c r="AK380" i="7"/>
  <c r="D380" i="7" s="1"/>
  <c r="Z487" i="7"/>
  <c r="D487" i="7" s="1"/>
  <c r="E487" i="7"/>
  <c r="E498" i="7"/>
  <c r="Z498" i="7"/>
  <c r="D498" i="7" s="1"/>
  <c r="AK360" i="7"/>
  <c r="D360" i="7" s="1"/>
  <c r="E360" i="7"/>
  <c r="E280" i="7"/>
  <c r="AK280" i="7"/>
  <c r="D280" i="7" s="1"/>
  <c r="Z480" i="7"/>
  <c r="D480" i="7" s="1"/>
  <c r="E480" i="7"/>
  <c r="E494" i="7"/>
  <c r="Z494" i="7"/>
  <c r="D494" i="7" s="1"/>
  <c r="E180" i="7"/>
  <c r="AK180" i="7"/>
  <c r="D180" i="7" s="1"/>
  <c r="Z489" i="7"/>
  <c r="D489" i="7" s="1"/>
  <c r="E489" i="7"/>
  <c r="D246" i="7"/>
  <c r="AC86" i="6"/>
  <c r="D86" i="6" s="1"/>
  <c r="AD66" i="6"/>
  <c r="AC66" i="6"/>
  <c r="D66" i="6" s="1"/>
  <c r="AD86" i="6"/>
  <c r="Z482" i="7"/>
  <c r="D482" i="7" s="1"/>
  <c r="E482" i="7"/>
  <c r="AK320" i="7"/>
  <c r="D320" i="7" s="1"/>
  <c r="E320" i="7"/>
  <c r="E200" i="7"/>
  <c r="AK200" i="7"/>
  <c r="D200" i="7" s="1"/>
  <c r="E45" i="6"/>
  <c r="AB60" i="6"/>
  <c r="E60" i="6" s="1"/>
  <c r="D16" i="7"/>
  <c r="AD56" i="6"/>
  <c r="AD36" i="6"/>
  <c r="AC36" i="6"/>
  <c r="D36" i="6" s="1"/>
  <c r="AD16" i="6"/>
  <c r="AC16" i="6"/>
  <c r="D16" i="6" s="1"/>
  <c r="D157" i="7"/>
  <c r="AC56" i="6"/>
  <c r="D56" i="6" s="1"/>
  <c r="E260" i="7"/>
  <c r="AK260" i="7"/>
  <c r="D260" i="7" s="1"/>
  <c r="Z491" i="7"/>
  <c r="D491" i="7" s="1"/>
  <c r="E491" i="7"/>
  <c r="D257" i="7"/>
  <c r="AD96" i="6"/>
  <c r="AC96" i="6"/>
  <c r="D96" i="6" s="1"/>
  <c r="AD76" i="6"/>
  <c r="AC76" i="6"/>
  <c r="D76" i="6" s="1"/>
  <c r="E483" i="7"/>
  <c r="Z483" i="7"/>
  <c r="D483" i="7" s="1"/>
  <c r="D148" i="7"/>
  <c r="AC48" i="6"/>
  <c r="D48" i="6" s="1"/>
  <c r="D145" i="7"/>
  <c r="AC45" i="6"/>
  <c r="E488" i="7"/>
  <c r="Z488" i="7"/>
  <c r="D488" i="7" s="1"/>
  <c r="D248" i="7"/>
  <c r="AD88" i="6"/>
  <c r="AC88" i="6"/>
  <c r="D88" i="6" s="1"/>
  <c r="AD68" i="6"/>
  <c r="AC68" i="6"/>
  <c r="D68" i="6" s="1"/>
  <c r="E400" i="7"/>
  <c r="AK400" i="7"/>
  <c r="D400" i="7" s="1"/>
  <c r="E100" i="7"/>
  <c r="AK100" i="7"/>
  <c r="D100" i="7" s="1"/>
  <c r="AK420" i="7"/>
  <c r="D420" i="7" s="1"/>
  <c r="E420" i="7"/>
  <c r="Z495" i="7"/>
  <c r="D495" i="7" s="1"/>
  <c r="E495" i="7"/>
  <c r="E477" i="7"/>
  <c r="Z477" i="7"/>
  <c r="D477" i="7" s="1"/>
  <c r="Z478" i="7"/>
  <c r="D478" i="7" s="1"/>
  <c r="E478" i="7"/>
  <c r="E496" i="7"/>
  <c r="Z496" i="7"/>
  <c r="D496" i="7" s="1"/>
  <c r="AD45" i="6"/>
  <c r="AD25" i="6"/>
  <c r="D5" i="7"/>
  <c r="AC25" i="6"/>
  <c r="AD5" i="6"/>
  <c r="AC5" i="6"/>
  <c r="E120" i="7"/>
  <c r="AK120" i="7"/>
  <c r="D120" i="7" s="1"/>
  <c r="E60" i="7"/>
  <c r="AK60" i="7"/>
  <c r="D60" i="7" s="1"/>
  <c r="E5" i="6"/>
  <c r="AB20" i="6"/>
  <c r="E20" i="6" s="1"/>
  <c r="D8" i="7"/>
  <c r="AD48" i="6"/>
  <c r="AD28" i="6"/>
  <c r="AC28" i="6"/>
  <c r="D28" i="6" s="1"/>
  <c r="AC8" i="6"/>
  <c r="D8" i="6" s="1"/>
  <c r="AD8" i="6"/>
  <c r="E40" i="7"/>
  <c r="AK40" i="7"/>
  <c r="D40" i="7" s="1"/>
  <c r="E479" i="7"/>
  <c r="Z479" i="7"/>
  <c r="D479" i="7" s="1"/>
  <c r="M506" i="7"/>
  <c r="Y476" i="7"/>
  <c r="D146" i="7"/>
  <c r="AC46" i="6"/>
  <c r="D46" i="6" s="1"/>
  <c r="E25" i="6"/>
  <c r="AB40" i="6"/>
  <c r="E40" i="6" s="1"/>
  <c r="E300" i="7"/>
  <c r="AK300" i="7"/>
  <c r="D300" i="7" s="1"/>
  <c r="D65" i="6" l="1"/>
  <c r="AC80" i="6"/>
  <c r="D80" i="6" s="1"/>
  <c r="D5" i="6"/>
  <c r="AC20" i="6"/>
  <c r="D20" i="6" s="1"/>
  <c r="D85" i="6"/>
  <c r="AC100" i="6"/>
  <c r="D100" i="6" s="1"/>
  <c r="D25" i="6"/>
  <c r="AC40" i="6"/>
  <c r="D40" i="6" s="1"/>
  <c r="M507" i="7"/>
  <c r="Y507" i="7" s="1"/>
  <c r="Y506" i="7"/>
  <c r="D45" i="6"/>
  <c r="AC60" i="6"/>
  <c r="D60" i="6" s="1"/>
  <c r="Z476" i="7"/>
  <c r="D476" i="7" s="1"/>
  <c r="E476" i="7"/>
  <c r="Z507" i="7" l="1"/>
  <c r="D507" i="7" s="1"/>
  <c r="E507" i="7"/>
  <c r="E506" i="7"/>
  <c r="Z506" i="7"/>
  <c r="D50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443" authorId="0" shapeId="0" xr:uid="{00000000-0006-0000-0E00-000001000000}">
      <text>
        <r>
          <rPr>
            <sz val="11"/>
            <color theme="1"/>
            <rFont val="Calibri"/>
            <scheme val="minor"/>
          </rPr>
          <t>7/22일2400개발주중  나머지 8/25일 1200개
======</t>
        </r>
      </text>
    </comment>
    <comment ref="H444" authorId="0" shapeId="0" xr:uid="{00000000-0006-0000-0E00-000002000000}">
      <text>
        <r>
          <rPr>
            <sz val="11"/>
            <color theme="1"/>
            <rFont val="Calibri"/>
            <scheme val="minor"/>
          </rPr>
          <t>7/9일1000개발주중 나머지 9/15일 460개
======</t>
        </r>
      </text>
    </comment>
    <comment ref="H447" authorId="0" shapeId="0" xr:uid="{00000000-0006-0000-0E00-000003000000}">
      <text>
        <r>
          <rPr>
            <sz val="11"/>
            <color theme="1"/>
            <rFont val="Calibri"/>
            <scheme val="minor"/>
          </rPr>
          <t>5/21일 504개발주  홀딩
7/9일3000개발주  홀딩
======</t>
        </r>
      </text>
    </comment>
    <comment ref="H449" authorId="0" shapeId="0" xr:uid="{00000000-0006-0000-0E00-000004000000}">
      <text>
        <r>
          <rPr>
            <sz val="11"/>
            <color theme="1"/>
            <rFont val="Calibri"/>
            <scheme val="minor"/>
          </rPr>
          <t>8/7일700개발주 - 8/15일웨이200개,8/19일500개
======</t>
        </r>
      </text>
    </comment>
    <comment ref="H451" authorId="0" shapeId="0" xr:uid="{00000000-0006-0000-0E00-000005000000}">
      <text>
        <r>
          <rPr>
            <sz val="11"/>
            <color theme="1"/>
            <rFont val="Calibri"/>
            <scheme val="minor"/>
          </rPr>
          <t>8/7일1000개발주 -9/1일300개,9/15일300개,9/29일400개
======</t>
        </r>
      </text>
    </comment>
    <comment ref="H456" authorId="0" shapeId="0" xr:uid="{00000000-0006-0000-0E00-000006000000}">
      <text>
        <r>
          <rPr>
            <sz val="11"/>
            <color theme="1"/>
            <rFont val="Calibri"/>
            <scheme val="minor"/>
          </rPr>
          <t>7/17일 핑크10000개발주 홀딩
7/17일 블루10000개발주 홀딩
======</t>
        </r>
      </text>
    </comment>
    <comment ref="H457" authorId="0" shapeId="0" xr:uid="{00000000-0006-0000-0E00-000007000000}">
      <text>
        <r>
          <rPr>
            <sz val="11"/>
            <color theme="1"/>
            <rFont val="Calibri"/>
            <scheme val="minor"/>
          </rPr>
          <t>7/17릴 화이트1000개발주 홀딩,   7/9일 네이비 1500개발주중 나머지750개 홀딩
======</t>
        </r>
      </text>
    </comment>
    <comment ref="H460" authorId="0" shapeId="0" xr:uid="{00000000-0006-0000-0E00-000008000000}">
      <text>
        <r>
          <rPr>
            <sz val="11"/>
            <color theme="1"/>
            <rFont val="Calibri"/>
            <scheme val="minor"/>
          </rPr>
          <t>5/28일 1200개발주중 나머지40개있음 ,  7/9일3000개발주중 나머지2000개-8/25일1000개,9/1일1000개
======</t>
        </r>
      </text>
    </comment>
    <comment ref="H463" authorId="0" shapeId="0" xr:uid="{00000000-0006-0000-0E00-000009000000}">
      <text>
        <r>
          <rPr>
            <sz val="11"/>
            <color theme="1"/>
            <rFont val="Calibri"/>
            <scheme val="minor"/>
          </rPr>
          <t>8/7일1000개발주-8/25일
======</t>
        </r>
      </text>
    </comment>
    <comment ref="H468" authorId="0" shapeId="0" xr:uid="{00000000-0006-0000-0E00-00000A000000}">
      <text>
        <r>
          <rPr>
            <sz val="11"/>
            <color theme="1"/>
            <rFont val="Calibri"/>
            <scheme val="minor"/>
          </rPr>
          <t>7/22일2400개발주중  나머지 8/25일 1200개
======</t>
        </r>
      </text>
    </comment>
    <comment ref="H469" authorId="0" shapeId="0" xr:uid="{00000000-0006-0000-0E00-00000B000000}">
      <text>
        <r>
          <rPr>
            <sz val="11"/>
            <color theme="1"/>
            <rFont val="Calibri"/>
            <scheme val="minor"/>
          </rPr>
          <t>7/9일1000개발주중 나머지 9/15일 460개
======</t>
        </r>
      </text>
    </comment>
    <comment ref="H472" authorId="0" shapeId="0" xr:uid="{00000000-0006-0000-0E00-00000C000000}">
      <text>
        <r>
          <rPr>
            <sz val="11"/>
            <color theme="1"/>
            <rFont val="Calibri"/>
            <scheme val="minor"/>
          </rPr>
          <t>5/21일 504개발주  홀딩
7/9일3000개발주  홀딩
======</t>
        </r>
      </text>
    </comment>
    <comment ref="H474" authorId="0" shapeId="0" xr:uid="{00000000-0006-0000-0E00-00000D000000}">
      <text>
        <r>
          <rPr>
            <sz val="11"/>
            <color theme="1"/>
            <rFont val="Calibri"/>
            <scheme val="minor"/>
          </rPr>
          <t>8/7일700개발주 - 8/15일웨이200개,8/19일500개
======</t>
        </r>
      </text>
    </comment>
    <comment ref="H476" authorId="0" shapeId="0" xr:uid="{00000000-0006-0000-0E00-00000E000000}">
      <text>
        <r>
          <rPr>
            <sz val="11"/>
            <color theme="1"/>
            <rFont val="Calibri"/>
            <scheme val="minor"/>
          </rPr>
          <t>8/7일1000개발주 -9/1일300개,9/15일300개,9/29일400개
======</t>
        </r>
      </text>
    </comment>
    <comment ref="H481" authorId="0" shapeId="0" xr:uid="{00000000-0006-0000-0E00-00000F000000}">
      <text>
        <r>
          <rPr>
            <sz val="11"/>
            <color theme="1"/>
            <rFont val="Calibri"/>
            <scheme val="minor"/>
          </rPr>
          <t>7/17일 핑크10000개발주 홀딩
7/17일 블루10000개발주 홀딩
======</t>
        </r>
      </text>
    </comment>
    <comment ref="H482" authorId="0" shapeId="0" xr:uid="{00000000-0006-0000-0E00-000010000000}">
      <text>
        <r>
          <rPr>
            <sz val="11"/>
            <color theme="1"/>
            <rFont val="Calibri"/>
            <scheme val="minor"/>
          </rPr>
          <t>7/17릴 화이트1000개발주 홀딩,   7/9일 네이비 1500개발주중 나머지750개 홀딩
======</t>
        </r>
      </text>
    </comment>
    <comment ref="H485" authorId="0" shapeId="0" xr:uid="{00000000-0006-0000-0E00-000011000000}">
      <text>
        <r>
          <rPr>
            <sz val="11"/>
            <color theme="1"/>
            <rFont val="Calibri"/>
            <scheme val="minor"/>
          </rPr>
          <t>5/28일 1200개발주중 나머지40개있음 ,  7/9일3000개발주중 나머지2000개-8/25일1000개,9/1일1000개
======</t>
        </r>
      </text>
    </comment>
    <comment ref="H488" authorId="0" shapeId="0" xr:uid="{00000000-0006-0000-0E00-000012000000}">
      <text>
        <r>
          <rPr>
            <sz val="11"/>
            <color theme="1"/>
            <rFont val="Calibri"/>
            <scheme val="minor"/>
          </rPr>
          <t>8/7일1000개발주-8/25일
======</t>
        </r>
      </text>
    </comment>
    <comment ref="H493" authorId="0" shapeId="0" xr:uid="{00000000-0006-0000-0E00-000013000000}">
      <text>
        <r>
          <rPr>
            <sz val="11"/>
            <color theme="1"/>
            <rFont val="Calibri"/>
            <scheme val="minor"/>
          </rPr>
          <t>7/22일2400개발주중  나머지 8/25일 1200개
======</t>
        </r>
      </text>
    </comment>
    <comment ref="H494" authorId="0" shapeId="0" xr:uid="{00000000-0006-0000-0E00-000014000000}">
      <text>
        <r>
          <rPr>
            <sz val="11"/>
            <color theme="1"/>
            <rFont val="Calibri"/>
            <scheme val="minor"/>
          </rPr>
          <t>7/9일1000개발주중 나머지 9/15일 460개
======</t>
        </r>
      </text>
    </comment>
    <comment ref="H497" authorId="0" shapeId="0" xr:uid="{00000000-0006-0000-0E00-000015000000}">
      <text>
        <r>
          <rPr>
            <sz val="11"/>
            <color theme="1"/>
            <rFont val="Calibri"/>
            <scheme val="minor"/>
          </rPr>
          <t>5/21일 504개발주  홀딩
7/9일3000개발주  홀딩
======</t>
        </r>
      </text>
    </comment>
    <comment ref="H499" authorId="0" shapeId="0" xr:uid="{00000000-0006-0000-0E00-000016000000}">
      <text>
        <r>
          <rPr>
            <sz val="11"/>
            <color theme="1"/>
            <rFont val="Calibri"/>
            <scheme val="minor"/>
          </rPr>
          <t>8/7일700개발주 -  나머지 8/19일500개
======</t>
        </r>
      </text>
    </comment>
    <comment ref="H501" authorId="0" shapeId="0" xr:uid="{00000000-0006-0000-0E00-000017000000}">
      <text>
        <r>
          <rPr>
            <sz val="11"/>
            <color theme="1"/>
            <rFont val="Calibri"/>
            <scheme val="minor"/>
          </rPr>
          <t>8/7일1000개발주 -9/1일300개,9/15일300개,9/29일400개
======</t>
        </r>
      </text>
    </comment>
    <comment ref="H506" authorId="0" shapeId="0" xr:uid="{00000000-0006-0000-0E00-000018000000}">
      <text>
        <r>
          <rPr>
            <sz val="11"/>
            <color theme="1"/>
            <rFont val="Calibri"/>
            <scheme val="minor"/>
          </rPr>
          <t>7/17일 핑크10000개발주 홀딩
7/17일 블루10000개발주 홀딩
======</t>
        </r>
      </text>
    </comment>
    <comment ref="H507" authorId="0" shapeId="0" xr:uid="{00000000-0006-0000-0E00-000019000000}">
      <text>
        <r>
          <rPr>
            <sz val="11"/>
            <color theme="1"/>
            <rFont val="Calibri"/>
            <scheme val="minor"/>
          </rPr>
          <t>7/17릴 화이트1000개발주 홀딩,   7/9일 네이비 1500개발주중 나머지750개 홀딩
======</t>
        </r>
      </text>
    </comment>
    <comment ref="H510" authorId="0" shapeId="0" xr:uid="{00000000-0006-0000-0E00-00001A000000}">
      <text>
        <r>
          <rPr>
            <sz val="11"/>
            <color theme="1"/>
            <rFont val="Calibri"/>
            <scheme val="minor"/>
          </rPr>
          <t>5/28일 1200개발주중 나머지40개있음 ,  7/9일3000개발주중 나머지2000개-8/25일1000개,9/1일1000개
======</t>
        </r>
      </text>
    </comment>
    <comment ref="H513" authorId="0" shapeId="0" xr:uid="{00000000-0006-0000-0E00-00001B000000}">
      <text>
        <r>
          <rPr>
            <sz val="11"/>
            <color theme="1"/>
            <rFont val="Calibri"/>
            <scheme val="minor"/>
          </rPr>
          <t>8/7일1000개발주-8/25일
======</t>
        </r>
      </text>
    </comment>
  </commentList>
</comments>
</file>

<file path=xl/sharedStrings.xml><?xml version="1.0" encoding="utf-8"?>
<sst xmlns="http://schemas.openxmlformats.org/spreadsheetml/2006/main" count="3213" uniqueCount="164">
  <si>
    <t>이윤율</t>
  </si>
  <si>
    <t>마진율</t>
  </si>
  <si>
    <t>광고비율</t>
  </si>
  <si>
    <t>전환율</t>
  </si>
  <si>
    <t>발주남은수량</t>
  </si>
  <si>
    <t>창고안전</t>
  </si>
  <si>
    <t>창고재고</t>
  </si>
  <si>
    <t>쿠팡재고</t>
  </si>
  <si>
    <t>판매수</t>
  </si>
  <si>
    <t>순판매개수</t>
  </si>
  <si>
    <t>취소개수</t>
  </si>
  <si>
    <t>가구매</t>
  </si>
  <si>
    <t>매출</t>
  </si>
  <si>
    <t>가구매금액</t>
  </si>
  <si>
    <t>순매출</t>
  </si>
  <si>
    <t>판매가</t>
  </si>
  <si>
    <t>입고가</t>
  </si>
  <si>
    <t>입고판매가</t>
  </si>
  <si>
    <t>광고비1.1</t>
  </si>
  <si>
    <t>광고비</t>
  </si>
  <si>
    <t>가구매비용</t>
  </si>
  <si>
    <t>수수료</t>
  </si>
  <si>
    <t>택배비</t>
  </si>
  <si>
    <t>판매수수료</t>
  </si>
  <si>
    <t>부가세</t>
  </si>
  <si>
    <t>도매가</t>
  </si>
  <si>
    <t>판매마진</t>
  </si>
  <si>
    <t>순이익</t>
  </si>
  <si>
    <t>1개당 한국 운임
물류비(KRW)</t>
  </si>
  <si>
    <t>1개당 물류비
(KRW)</t>
  </si>
  <si>
    <t>부자재값</t>
  </si>
  <si>
    <t>골전도이어폰</t>
  </si>
  <si>
    <t>다밴다 1개</t>
  </si>
  <si>
    <t>다벤다 2개</t>
  </si>
  <si>
    <t>헤몬 마진계산기
(2025-08-08 개정본)</t>
  </si>
  <si>
    <t>중국환률
(CNY)</t>
  </si>
  <si>
    <t>미국환률
(USD)</t>
  </si>
  <si>
    <t>자동</t>
  </si>
  <si>
    <t>수동</t>
  </si>
  <si>
    <t>관세율</t>
  </si>
  <si>
    <t>No</t>
  </si>
  <si>
    <t>상품명</t>
  </si>
  <si>
    <t>단위기준</t>
  </si>
  <si>
    <t>넓이</t>
  </si>
  <si>
    <t>폭</t>
  </si>
  <si>
    <t>높이</t>
  </si>
  <si>
    <t>합산</t>
  </si>
  <si>
    <t>개별 박스 CBM</t>
  </si>
  <si>
    <t>1CBM 
적재가능수량</t>
  </si>
  <si>
    <t>1개당 중국 운임물류비(USD)</t>
  </si>
  <si>
    <t>원가대비
 물류비 비율</t>
  </si>
  <si>
    <t>순수
중국원가</t>
  </si>
  <si>
    <t>수수료포함
중국원가</t>
  </si>
  <si>
    <t>한국원가</t>
  </si>
  <si>
    <t>관세</t>
  </si>
  <si>
    <t>판매가
택배비 포함</t>
  </si>
  <si>
    <t>마켓수수료</t>
  </si>
  <si>
    <t>한진택배비</t>
  </si>
  <si>
    <t>로켓그로스
입출고비용</t>
  </si>
  <si>
    <t>총 수수료(%)</t>
  </si>
  <si>
    <t>총 수수료
(원)</t>
  </si>
  <si>
    <t>제품순이익%</t>
  </si>
  <si>
    <t>제품명(영어)</t>
  </si>
  <si>
    <t>제품명(한국)</t>
  </si>
  <si>
    <t>%</t>
  </si>
  <si>
    <t>c m</t>
  </si>
  <si>
    <t>SCREWDRIVER</t>
  </si>
  <si>
    <t>공구</t>
  </si>
  <si>
    <t>DOLL</t>
  </si>
  <si>
    <t>인형</t>
  </si>
  <si>
    <t>SILICONE BRACELET</t>
  </si>
  <si>
    <t>실리콘팔찌</t>
  </si>
  <si>
    <t>COURIER BAG</t>
  </si>
  <si>
    <t>택배 가방</t>
  </si>
  <si>
    <t>CRYOSPHERE</t>
  </si>
  <si>
    <t>SCISSORES</t>
  </si>
  <si>
    <t>BAG</t>
  </si>
  <si>
    <t>가방</t>
  </si>
  <si>
    <t>MOSQUITO REPELLENT WRISTBAND</t>
  </si>
  <si>
    <t>썸머밴드</t>
  </si>
  <si>
    <t>ANGLE GRINDER</t>
  </si>
  <si>
    <t>그라인더</t>
  </si>
  <si>
    <t>CHARGER ACCESSORIES</t>
  </si>
  <si>
    <t>배터리</t>
  </si>
  <si>
    <t>ELECTRIC WRENCH</t>
  </si>
  <si>
    <t>전기렌치</t>
  </si>
  <si>
    <t>CLIP</t>
  </si>
  <si>
    <t>클립</t>
  </si>
  <si>
    <t>1. 중국환률(AA)와 미국환률(AB)로 인해 비용차이가 많이 발생할 수 있으니 1달 평균으로 사용하기 바람.
2. 2개 구성으로 파는 제품은 물류비와 같은 부분은 X2를 해야하니 계산에 참고하기 바람
3. 사은품 증정되거나 물건이 각각 들어와서 합포장 하는 경우 물류비와 원가를 따로 계산하여 도매가에 포함시켜야 함.(물류비 계산 정확히 하기 위함)</t>
  </si>
  <si>
    <t>10/1~10/5</t>
  </si>
  <si>
    <t>쿠팡안전</t>
  </si>
  <si>
    <t>미포장분</t>
  </si>
  <si>
    <t>광고전환</t>
  </si>
  <si>
    <t>반품회수비</t>
  </si>
  <si>
    <t>노출수</t>
  </si>
  <si>
    <t>클릭수</t>
  </si>
  <si>
    <t>10/6~10/12</t>
  </si>
  <si>
    <t>10/13~10/19</t>
  </si>
  <si>
    <t>슬롯</t>
  </si>
  <si>
    <t>쿠팡나머지</t>
  </si>
  <si>
    <t>재고손실보상</t>
  </si>
  <si>
    <t>9/29~9/30</t>
  </si>
  <si>
    <t>일판매</t>
  </si>
  <si>
    <t>9/29~10/5</t>
  </si>
  <si>
    <t>가구매미포함</t>
  </si>
  <si>
    <t>가구매포함</t>
  </si>
  <si>
    <t>.</t>
  </si>
  <si>
    <t>쉐이버</t>
  </si>
  <si>
    <t>일자면도기</t>
  </si>
  <si>
    <t>프라임 1개</t>
  </si>
  <si>
    <t>프라임 2개</t>
  </si>
  <si>
    <t>시거잭</t>
  </si>
  <si>
    <t>뉴 고압세척기 
배터리 1개</t>
  </si>
  <si>
    <t>뉴 고압세척기</t>
  </si>
  <si>
    <t>모기지옥</t>
  </si>
  <si>
    <t>컷소 배터리 1개</t>
  </si>
  <si>
    <t>컷소 배터리 2개</t>
  </si>
  <si>
    <t>믹서기</t>
  </si>
  <si>
    <t>공기압 주입기</t>
  </si>
  <si>
    <t>강아지바리깡</t>
  </si>
  <si>
    <t>강아지바리깡 2개</t>
  </si>
  <si>
    <t>광고센터에서 입력</t>
  </si>
  <si>
    <t>9/22~9/25</t>
  </si>
  <si>
    <t>`</t>
  </si>
  <si>
    <t>가용재고</t>
  </si>
  <si>
    <t>목표판매량</t>
  </si>
  <si>
    <t>오픈이어 (신제품)</t>
  </si>
  <si>
    <t>멀티클리퍼 (신제품)</t>
  </si>
  <si>
    <t>신제품</t>
  </si>
  <si>
    <t>ACC-SHA-BRD-001-BK</t>
  </si>
  <si>
    <t>ACC-SHA-BRD-004-BK</t>
  </si>
  <si>
    <t>ACC-TOL-DRI-012-BL</t>
  </si>
  <si>
    <t>ACC-TOL-MOW-001-BL</t>
  </si>
  <si>
    <t>ACC-CHA-CAR-002-BK</t>
  </si>
  <si>
    <t>ACC-TOL-WAS-002-BK</t>
  </si>
  <si>
    <t>ACC-MOS-RAC-004</t>
  </si>
  <si>
    <t>ACC-TOL-SAW-008-BL</t>
  </si>
  <si>
    <t>ACC-BLE-POR-001</t>
  </si>
  <si>
    <t>ACC-CAR-PUM-001-BK</t>
  </si>
  <si>
    <t>ACC-SHA-PET-002-WH</t>
  </si>
  <si>
    <t>10/10~10/12</t>
  </si>
  <si>
    <t>점프스타터</t>
  </si>
  <si>
    <t>SET-CAR-PUM-002-BK</t>
  </si>
  <si>
    <t>가구매제외</t>
  </si>
  <si>
    <t>한국운임
물류비</t>
  </si>
  <si>
    <t>1개당
물류비</t>
  </si>
  <si>
    <t>넥쿨러</t>
  </si>
  <si>
    <t>원가</t>
  </si>
  <si>
    <t>15%+12%</t>
  </si>
  <si>
    <t>다벤다프로 1개</t>
  </si>
  <si>
    <t>다벤다프로 2개</t>
  </si>
  <si>
    <t>염경환방석 1개</t>
  </si>
  <si>
    <t>염경환방석 2개</t>
  </si>
  <si>
    <t>염경환방석 3개</t>
  </si>
  <si>
    <t>넥쿨러1+1</t>
  </si>
  <si>
    <t>450 → 480</t>
  </si>
  <si>
    <t>썸네일 변경?</t>
  </si>
  <si>
    <t>로아스 수정 할 것</t>
  </si>
  <si>
    <t>배터리 2개 로아스 조정</t>
  </si>
  <si>
    <t>배터리 2개 600 →620</t>
  </si>
  <si>
    <t>380 → 400</t>
  </si>
  <si>
    <t>배터리 2개 400 → 450</t>
  </si>
  <si>
    <t>550 → 500</t>
  </si>
  <si>
    <t>멀티클리퍼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</si>
</sst>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_ ;[Red]\-#,##0\ "/>
    <numFmt numFmtId="177" formatCode="#,##0_);[Red]\(#,##0\)"/>
    <numFmt numFmtId="178" formatCode="#,##0_ "/>
    <numFmt numFmtId="179" formatCode="0.0%"/>
    <numFmt numFmtId="180" formatCode="&quot;₩&quot;#,##0_);[Red]\(&quot;₩&quot;#,##0\)"/>
    <numFmt numFmtId="181" formatCode="0_);[Red]\(0\)"/>
    <numFmt numFmtId="182" formatCode="m/d"/>
    <numFmt numFmtId="183" formatCode="#,##0.0_ "/>
    <numFmt numFmtId="184" formatCode="[$₩-412]#,##0"/>
    <numFmt numFmtId="185" formatCode="_-&quot;₩&quot;* #,##0_-;\-&quot;₩&quot;* #,##0_-;_-&quot;₩&quot;* &quot;-&quot;_-;_-@"/>
    <numFmt numFmtId="186" formatCode="#,##0.0_ &quot;cm&quot;"/>
    <numFmt numFmtId="187" formatCode="General\ &quot;㎡&quot;"/>
    <numFmt numFmtId="188" formatCode="\$#,##0.00"/>
  </numFmts>
  <fonts count="24">
    <font>
      <sz val="11"/>
      <color theme="1"/>
      <name val="Calibri"/>
      <scheme val="minor"/>
    </font>
    <font>
      <sz val="11"/>
      <color theme="1"/>
      <name val="Malgun Gothic"/>
      <family val="3"/>
      <charset val="129"/>
    </font>
    <font>
      <b/>
      <sz val="12"/>
      <color theme="1"/>
      <name val="Malgun Gothic"/>
      <family val="3"/>
      <charset val="129"/>
    </font>
    <font>
      <sz val="11"/>
      <color theme="1"/>
      <name val="Calibri"/>
    </font>
    <font>
      <b/>
      <sz val="11"/>
      <color theme="1"/>
      <name val="Malgun Gothic"/>
      <family val="3"/>
      <charset val="129"/>
    </font>
    <font>
      <b/>
      <sz val="11"/>
      <color theme="1"/>
      <name val="Noto Sans KR"/>
      <family val="3"/>
      <charset val="129"/>
    </font>
    <font>
      <sz val="11"/>
      <color rgb="FF000000"/>
      <name val="Calibri"/>
    </font>
    <font>
      <sz val="11"/>
      <color theme="1"/>
      <name val="Calibri"/>
    </font>
    <font>
      <sz val="11"/>
      <name val="Calibri"/>
    </font>
    <font>
      <sz val="11"/>
      <color theme="1"/>
      <name val="Arial"/>
    </font>
    <font>
      <sz val="11"/>
      <color rgb="FFFF0000"/>
      <name val="Malgun Gothic"/>
      <family val="3"/>
      <charset val="129"/>
    </font>
    <font>
      <b/>
      <sz val="11"/>
      <color rgb="FF8FABDB"/>
      <name val="Malgun Gothic"/>
      <family val="3"/>
      <charset val="129"/>
    </font>
    <font>
      <b/>
      <sz val="11"/>
      <color rgb="FFC55A11"/>
      <name val="Malgun Gothic"/>
      <family val="3"/>
      <charset val="129"/>
    </font>
    <font>
      <b/>
      <sz val="11"/>
      <color theme="1"/>
      <name val="Dotum"/>
      <family val="3"/>
      <charset val="129"/>
    </font>
    <font>
      <b/>
      <sz val="11"/>
      <color rgb="FF111111"/>
      <name val="Arial"/>
    </font>
    <font>
      <sz val="11"/>
      <color rgb="FF000000"/>
      <name val="Malgun Gothic"/>
      <family val="3"/>
      <charset val="129"/>
    </font>
    <font>
      <b/>
      <sz val="12"/>
      <color rgb="FF000000"/>
      <name val="Malgun Gothic"/>
      <family val="3"/>
      <charset val="129"/>
    </font>
    <font>
      <sz val="11"/>
      <color theme="1"/>
      <name val="&quot;맑은 고딕&quot;"/>
      <family val="3"/>
      <charset val="129"/>
    </font>
    <font>
      <sz val="11"/>
      <color rgb="FF0000FF"/>
      <name val="Malgun Gothic"/>
      <family val="3"/>
      <charset val="129"/>
    </font>
    <font>
      <sz val="11"/>
      <color rgb="FFFF0000"/>
      <name val="Calibri"/>
      <family val="2"/>
    </font>
    <font>
      <sz val="9"/>
      <color theme="1"/>
      <name val="Arial"/>
      <family val="2"/>
    </font>
    <font>
      <sz val="11"/>
      <color rgb="FF000000"/>
      <name val="&quot;맑은 고딕&quot;"/>
      <family val="3"/>
      <charset val="129"/>
    </font>
    <font>
      <sz val="11"/>
      <color rgb="FF000000"/>
      <name val="Calibri"/>
      <family val="2"/>
    </font>
    <font>
      <sz val="8"/>
      <name val="Calibri"/>
      <family val="3"/>
      <charset val="129"/>
      <scheme val="minor"/>
    </font>
  </fonts>
  <fills count="29">
    <fill>
      <patternFill patternType="none"/>
    </fill>
    <fill>
      <patternFill patternType="gray125"/>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rgb="FF6AA84F"/>
        <bgColor rgb="FF6AA84F"/>
      </patternFill>
    </fill>
    <fill>
      <patternFill patternType="solid">
        <fgColor rgb="FFFF9900"/>
        <bgColor rgb="FFFF9900"/>
      </patternFill>
    </fill>
    <fill>
      <patternFill patternType="solid">
        <fgColor rgb="FFA5A5A5"/>
        <bgColor rgb="FFA5A5A5"/>
      </patternFill>
    </fill>
    <fill>
      <patternFill patternType="solid">
        <fgColor rgb="FFFF0000"/>
        <bgColor rgb="FFFF0000"/>
      </patternFill>
    </fill>
    <fill>
      <patternFill patternType="solid">
        <fgColor rgb="FF5B9BD5"/>
        <bgColor rgb="FF5B9BD5"/>
      </patternFill>
    </fill>
    <fill>
      <patternFill patternType="solid">
        <fgColor rgb="FF70AD47"/>
        <bgColor rgb="FF70AD47"/>
      </patternFill>
    </fill>
    <fill>
      <patternFill patternType="solid">
        <fgColor rgb="FFE2EFD9"/>
        <bgColor rgb="FFE2EFD9"/>
      </patternFill>
    </fill>
    <fill>
      <patternFill patternType="solid">
        <fgColor rgb="FFB4C6E7"/>
        <bgColor rgb="FFB4C6E7"/>
      </patternFill>
    </fill>
    <fill>
      <patternFill patternType="solid">
        <fgColor rgb="FFFFF2CC"/>
        <bgColor rgb="FFFFF2CC"/>
      </patternFill>
    </fill>
    <fill>
      <patternFill patternType="solid">
        <fgColor rgb="FFF8CBAC"/>
        <bgColor rgb="FFF8CBAC"/>
      </patternFill>
    </fill>
    <fill>
      <patternFill patternType="solid">
        <fgColor rgb="FFFCD5B5"/>
        <bgColor rgb="FFFCD5B5"/>
      </patternFill>
    </fill>
    <fill>
      <patternFill patternType="solid">
        <fgColor rgb="FFF7CAAC"/>
        <bgColor rgb="FFF7CAAC"/>
      </patternFill>
    </fill>
    <fill>
      <patternFill patternType="solid">
        <fgColor rgb="FFFFE699"/>
        <bgColor rgb="FFFFE699"/>
      </patternFill>
    </fill>
    <fill>
      <patternFill patternType="solid">
        <fgColor rgb="FFC6E0B3"/>
        <bgColor rgb="FFC6E0B3"/>
      </patternFill>
    </fill>
    <fill>
      <patternFill patternType="solid">
        <fgColor theme="7"/>
        <bgColor theme="7"/>
      </patternFill>
    </fill>
    <fill>
      <patternFill patternType="solid">
        <fgColor theme="8"/>
        <bgColor theme="8"/>
      </patternFill>
    </fill>
    <fill>
      <patternFill patternType="solid">
        <fgColor rgb="FF00FF00"/>
        <bgColor rgb="FF00FF00"/>
      </patternFill>
    </fill>
    <fill>
      <patternFill patternType="solid">
        <fgColor rgb="FFD9EAD3"/>
        <bgColor rgb="FFD9EAD3"/>
      </patternFill>
    </fill>
    <fill>
      <patternFill patternType="solid">
        <fgColor rgb="FFC27BA0"/>
        <bgColor rgb="FFC27BA0"/>
      </patternFill>
    </fill>
    <fill>
      <patternFill patternType="solid">
        <fgColor theme="6"/>
        <bgColor theme="6"/>
      </patternFill>
    </fill>
    <fill>
      <patternFill patternType="solid">
        <fgColor theme="9"/>
        <bgColor theme="9"/>
      </patternFill>
    </fill>
    <fill>
      <patternFill patternType="solid">
        <fgColor rgb="FFFFE599"/>
        <bgColor rgb="FFFFE599"/>
      </patternFill>
    </fill>
    <fill>
      <patternFill patternType="solid">
        <fgColor rgb="FF999999"/>
        <bgColor rgb="FF999999"/>
      </patternFill>
    </fill>
    <fill>
      <patternFill patternType="solid">
        <fgColor rgb="FF8E7CC3"/>
        <bgColor rgb="FF8E7CC3"/>
      </patternFill>
    </fill>
  </fills>
  <borders count="37">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000000"/>
      </left>
      <right/>
      <top/>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style="thin">
        <color rgb="FF000000"/>
      </left>
      <right/>
      <top style="thin">
        <color rgb="FF000000"/>
      </top>
      <bottom style="thin">
        <color rgb="FF000000"/>
      </bottom>
      <diagonal/>
    </border>
    <border>
      <left style="thin">
        <color rgb="FF000000"/>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medium">
        <color rgb="FF000000"/>
      </left>
      <right/>
      <top/>
      <bottom style="thin">
        <color rgb="FF000000"/>
      </bottom>
      <diagonal/>
    </border>
    <border>
      <left style="medium">
        <color rgb="FF000000"/>
      </left>
      <right/>
      <top/>
      <bottom/>
      <diagonal/>
    </border>
  </borders>
  <cellStyleXfs count="1">
    <xf numFmtId="0" fontId="0" fillId="0" borderId="0"/>
  </cellStyleXfs>
  <cellXfs count="337">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76" fontId="1" fillId="0" borderId="0" xfId="0" applyNumberFormat="1" applyFont="1" applyAlignment="1">
      <alignment horizontal="center" vertical="center"/>
    </xf>
    <xf numFmtId="177" fontId="1" fillId="2" borderId="1" xfId="0" applyNumberFormat="1" applyFont="1" applyFill="1" applyBorder="1" applyAlignment="1">
      <alignment horizontal="center" vertical="center"/>
    </xf>
    <xf numFmtId="177" fontId="1" fillId="0" borderId="0" xfId="0" applyNumberFormat="1" applyFont="1" applyAlignment="1">
      <alignment horizontal="center" vertical="center"/>
    </xf>
    <xf numFmtId="178" fontId="1" fillId="0" borderId="0" xfId="0" applyNumberFormat="1" applyFont="1" applyAlignment="1">
      <alignment horizontal="center" vertical="center"/>
    </xf>
    <xf numFmtId="176" fontId="1" fillId="2" borderId="0" xfId="0" applyNumberFormat="1" applyFont="1" applyFill="1" applyAlignment="1">
      <alignment horizontal="center" vertical="center"/>
    </xf>
    <xf numFmtId="9" fontId="1" fillId="0" borderId="0" xfId="0" applyNumberFormat="1" applyFont="1" applyAlignment="1">
      <alignment horizontal="center" vertical="center"/>
    </xf>
    <xf numFmtId="177" fontId="1" fillId="2" borderId="0" xfId="0" applyNumberFormat="1" applyFont="1" applyFill="1" applyAlignment="1">
      <alignment horizontal="center" vertical="center"/>
    </xf>
    <xf numFmtId="0" fontId="3" fillId="2" borderId="0" xfId="0" applyFont="1" applyFill="1" applyAlignment="1">
      <alignment vertical="center"/>
    </xf>
    <xf numFmtId="0" fontId="2" fillId="0" borderId="4" xfId="0" applyFont="1" applyBorder="1" applyAlignment="1">
      <alignment horizontal="center" vertical="center"/>
    </xf>
    <xf numFmtId="178" fontId="2" fillId="7" borderId="4" xfId="0" applyNumberFormat="1" applyFont="1" applyFill="1" applyBorder="1" applyAlignment="1">
      <alignment horizontal="center" vertical="center"/>
    </xf>
    <xf numFmtId="176" fontId="2" fillId="8" borderId="4" xfId="0" applyNumberFormat="1" applyFont="1" applyFill="1" applyBorder="1" applyAlignment="1">
      <alignment horizontal="center" vertical="center"/>
    </xf>
    <xf numFmtId="178" fontId="2" fillId="9" borderId="4" xfId="0" applyNumberFormat="1" applyFont="1" applyFill="1" applyBorder="1" applyAlignment="1">
      <alignment horizontal="center" vertical="center"/>
    </xf>
    <xf numFmtId="176" fontId="2" fillId="9" borderId="4" xfId="0" applyNumberFormat="1" applyFont="1" applyFill="1" applyBorder="1" applyAlignment="1">
      <alignment horizontal="center" vertical="center"/>
    </xf>
    <xf numFmtId="9" fontId="2" fillId="9" borderId="4" xfId="0" applyNumberFormat="1" applyFont="1" applyFill="1" applyBorder="1" applyAlignment="1">
      <alignment horizontal="center" vertical="center"/>
    </xf>
    <xf numFmtId="176" fontId="2"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2" borderId="4" xfId="0" applyNumberFormat="1" applyFont="1" applyFill="1" applyBorder="1" applyAlignment="1">
      <alignment horizontal="center" vertical="center"/>
    </xf>
    <xf numFmtId="9" fontId="2" fillId="2"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177" fontId="3" fillId="2" borderId="0" xfId="0" applyNumberFormat="1" applyFont="1" applyFill="1" applyAlignment="1">
      <alignment vertical="center"/>
    </xf>
    <xf numFmtId="0" fontId="3" fillId="0" borderId="0" xfId="0" applyFont="1" applyAlignment="1">
      <alignment vertical="center"/>
    </xf>
    <xf numFmtId="177" fontId="3" fillId="0" borderId="0" xfId="0" applyNumberFormat="1" applyFont="1" applyAlignment="1">
      <alignment vertical="center"/>
    </xf>
    <xf numFmtId="9" fontId="1" fillId="0" borderId="7" xfId="0" applyNumberFormat="1" applyFont="1" applyBorder="1" applyAlignment="1">
      <alignment horizontal="center" vertical="center"/>
    </xf>
    <xf numFmtId="179" fontId="1" fillId="0" borderId="7" xfId="0" applyNumberFormat="1" applyFont="1" applyBorder="1" applyAlignment="1">
      <alignment horizontal="center" vertical="center"/>
    </xf>
    <xf numFmtId="10" fontId="1" fillId="0" borderId="7" xfId="0" applyNumberFormat="1" applyFont="1" applyBorder="1" applyAlignment="1">
      <alignment horizontal="center" vertical="center"/>
    </xf>
    <xf numFmtId="178" fontId="1" fillId="2" borderId="7" xfId="0" applyNumberFormat="1" applyFont="1" applyFill="1" applyBorder="1" applyAlignment="1">
      <alignment horizontal="center" vertical="center"/>
    </xf>
    <xf numFmtId="0" fontId="7" fillId="0" borderId="7" xfId="0" applyFont="1" applyBorder="1" applyAlignment="1">
      <alignment horizontal="center" vertical="center"/>
    </xf>
    <xf numFmtId="178" fontId="3" fillId="2" borderId="6" xfId="0" applyNumberFormat="1" applyFont="1" applyFill="1" applyBorder="1" applyAlignment="1">
      <alignment vertical="center"/>
    </xf>
    <xf numFmtId="178" fontId="1" fillId="0" borderId="7" xfId="0" applyNumberFormat="1" applyFont="1" applyBorder="1" applyAlignment="1">
      <alignment horizontal="center" vertical="center"/>
    </xf>
    <xf numFmtId="178" fontId="3" fillId="2" borderId="7" xfId="0" applyNumberFormat="1" applyFont="1" applyFill="1" applyBorder="1" applyAlignment="1">
      <alignment horizontal="center" vertical="center"/>
    </xf>
    <xf numFmtId="177" fontId="3" fillId="2" borderId="7" xfId="0" applyNumberFormat="1" applyFont="1" applyFill="1" applyBorder="1" applyAlignment="1">
      <alignment vertical="center"/>
    </xf>
    <xf numFmtId="178" fontId="3" fillId="2" borderId="6" xfId="0" applyNumberFormat="1" applyFont="1" applyFill="1" applyBorder="1" applyAlignment="1">
      <alignment horizontal="center" vertical="center"/>
    </xf>
    <xf numFmtId="176" fontId="3" fillId="0" borderId="7" xfId="0" applyNumberFormat="1" applyFont="1" applyBorder="1" applyAlignment="1">
      <alignment horizontal="center" vertical="center"/>
    </xf>
    <xf numFmtId="176" fontId="3" fillId="0" borderId="7" xfId="0" applyNumberFormat="1" applyFont="1" applyBorder="1" applyAlignment="1">
      <alignment horizontal="right" vertical="center"/>
    </xf>
    <xf numFmtId="183" fontId="9" fillId="2" borderId="7" xfId="0" applyNumberFormat="1" applyFont="1" applyFill="1" applyBorder="1" applyAlignment="1">
      <alignment horizontal="center" vertical="center"/>
    </xf>
    <xf numFmtId="177" fontId="1" fillId="0" borderId="7" xfId="0" applyNumberFormat="1" applyFont="1" applyBorder="1" applyAlignment="1">
      <alignment horizontal="center" vertical="center"/>
    </xf>
    <xf numFmtId="182" fontId="9" fillId="6" borderId="7" xfId="0" applyNumberFormat="1" applyFont="1" applyFill="1" applyBorder="1" applyAlignment="1">
      <alignment horizontal="center" vertical="center"/>
    </xf>
    <xf numFmtId="178" fontId="9" fillId="2" borderId="7"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179" fontId="1" fillId="2" borderId="7" xfId="0" applyNumberFormat="1" applyFont="1" applyFill="1" applyBorder="1" applyAlignment="1">
      <alignment horizontal="center" vertical="center"/>
    </xf>
    <xf numFmtId="176" fontId="1" fillId="0" borderId="7" xfId="0" applyNumberFormat="1" applyFont="1" applyBorder="1" applyAlignment="1">
      <alignment horizontal="center" vertical="center"/>
    </xf>
    <xf numFmtId="0" fontId="7" fillId="0" borderId="0" xfId="0" applyFont="1" applyAlignment="1">
      <alignment horizontal="center" vertical="center"/>
    </xf>
    <xf numFmtId="178" fontId="3" fillId="2" borderId="7" xfId="0" applyNumberFormat="1" applyFont="1" applyFill="1" applyBorder="1" applyAlignment="1">
      <alignment vertical="center"/>
    </xf>
    <xf numFmtId="178" fontId="3" fillId="2" borderId="7" xfId="0" applyNumberFormat="1" applyFont="1" applyFill="1" applyBorder="1" applyAlignment="1">
      <alignment horizontal="right" vertical="center"/>
    </xf>
    <xf numFmtId="178" fontId="3" fillId="2" borderId="6" xfId="0" applyNumberFormat="1" applyFont="1" applyFill="1" applyBorder="1" applyAlignment="1">
      <alignment horizontal="right" vertical="center"/>
    </xf>
    <xf numFmtId="9" fontId="1" fillId="0" borderId="11" xfId="0" applyNumberFormat="1" applyFont="1" applyBorder="1" applyAlignment="1">
      <alignment horizontal="center" vertical="center"/>
    </xf>
    <xf numFmtId="179" fontId="1" fillId="0" borderId="11" xfId="0" applyNumberFormat="1" applyFont="1" applyBorder="1" applyAlignment="1">
      <alignment horizontal="center" vertical="center"/>
    </xf>
    <xf numFmtId="10" fontId="1" fillId="0" borderId="11" xfId="0" applyNumberFormat="1" applyFont="1" applyBorder="1" applyAlignment="1">
      <alignment horizontal="center" vertical="center"/>
    </xf>
    <xf numFmtId="178" fontId="3" fillId="2" borderId="11" xfId="0" applyNumberFormat="1" applyFont="1" applyFill="1" applyBorder="1" applyAlignment="1">
      <alignment vertical="center"/>
    </xf>
    <xf numFmtId="176" fontId="3" fillId="2" borderId="11" xfId="0" applyNumberFormat="1" applyFont="1" applyFill="1" applyBorder="1" applyAlignment="1">
      <alignment vertical="center"/>
    </xf>
    <xf numFmtId="178" fontId="1" fillId="0" borderId="11" xfId="0" applyNumberFormat="1" applyFont="1" applyBorder="1" applyAlignment="1">
      <alignment horizontal="center" vertical="center"/>
    </xf>
    <xf numFmtId="177" fontId="3" fillId="2" borderId="11" xfId="0" applyNumberFormat="1" applyFont="1" applyFill="1" applyBorder="1" applyAlignment="1">
      <alignment vertical="center"/>
    </xf>
    <xf numFmtId="178" fontId="3" fillId="0" borderId="0" xfId="0" applyNumberFormat="1" applyFont="1" applyAlignment="1">
      <alignment vertical="center"/>
    </xf>
    <xf numFmtId="10" fontId="1" fillId="0" borderId="0" xfId="0" applyNumberFormat="1" applyFont="1" applyAlignment="1">
      <alignment horizontal="center" vertical="center"/>
    </xf>
    <xf numFmtId="176" fontId="3" fillId="2" borderId="0" xfId="0" applyNumberFormat="1" applyFont="1" applyFill="1" applyAlignment="1">
      <alignment vertical="center"/>
    </xf>
    <xf numFmtId="176" fontId="3" fillId="2" borderId="0" xfId="0" applyNumberFormat="1" applyFont="1" applyFill="1" applyAlignment="1">
      <alignment horizontal="center" vertical="center"/>
    </xf>
    <xf numFmtId="0" fontId="1" fillId="2" borderId="12" xfId="0" applyFont="1" applyFill="1" applyBorder="1" applyAlignment="1">
      <alignment horizontal="center" vertical="center"/>
    </xf>
    <xf numFmtId="177" fontId="1" fillId="2" borderId="12" xfId="0" applyNumberFormat="1" applyFont="1" applyFill="1" applyBorder="1" applyAlignment="1">
      <alignment horizontal="center" vertical="center"/>
    </xf>
    <xf numFmtId="185" fontId="3" fillId="13" borderId="14" xfId="0" applyNumberFormat="1" applyFont="1" applyFill="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10" fontId="3" fillId="0" borderId="16" xfId="0" applyNumberFormat="1" applyFont="1" applyBorder="1" applyAlignment="1">
      <alignment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185" fontId="3" fillId="13" borderId="18" xfId="0" applyNumberFormat="1" applyFont="1" applyFill="1" applyBorder="1" applyAlignment="1">
      <alignment vertical="center"/>
    </xf>
    <xf numFmtId="185" fontId="3" fillId="13" borderId="19" xfId="0" applyNumberFormat="1" applyFont="1" applyFill="1" applyBorder="1" applyAlignment="1">
      <alignment vertical="center"/>
    </xf>
    <xf numFmtId="0" fontId="4" fillId="0" borderId="16" xfId="0" applyFont="1" applyBorder="1" applyAlignment="1">
      <alignment horizontal="center" vertical="center"/>
    </xf>
    <xf numFmtId="0" fontId="5" fillId="14" borderId="7" xfId="0" applyFont="1" applyFill="1" applyBorder="1" applyAlignment="1">
      <alignment horizontal="center" vertical="center"/>
    </xf>
    <xf numFmtId="0" fontId="5" fillId="14" borderId="7" xfId="0" applyFont="1" applyFill="1" applyBorder="1" applyAlignment="1">
      <alignment horizontal="center" vertical="center" wrapText="1"/>
    </xf>
    <xf numFmtId="0" fontId="5" fillId="12" borderId="7" xfId="0" applyFont="1" applyFill="1" applyBorder="1" applyAlignment="1">
      <alignment horizontal="center" vertical="center"/>
    </xf>
    <xf numFmtId="0" fontId="5" fillId="15" borderId="7" xfId="0" applyFont="1" applyFill="1" applyBorder="1" applyAlignment="1">
      <alignment horizontal="center" vertical="center"/>
    </xf>
    <xf numFmtId="181" fontId="5" fillId="12" borderId="7" xfId="0" applyNumberFormat="1" applyFont="1" applyFill="1" applyBorder="1" applyAlignment="1">
      <alignment horizontal="center" vertical="center" wrapText="1"/>
    </xf>
    <xf numFmtId="0" fontId="5" fillId="12" borderId="7" xfId="0" applyFont="1" applyFill="1" applyBorder="1" applyAlignment="1">
      <alignment horizontal="center" vertical="center" wrapText="1"/>
    </xf>
    <xf numFmtId="10" fontId="5" fillId="16" borderId="7" xfId="0" applyNumberFormat="1" applyFont="1" applyFill="1" applyBorder="1" applyAlignment="1">
      <alignment horizontal="center" vertical="center" wrapText="1"/>
    </xf>
    <xf numFmtId="0" fontId="5" fillId="17" borderId="7" xfId="0" applyFont="1" applyFill="1" applyBorder="1" applyAlignment="1">
      <alignment horizontal="center" vertical="center" wrapText="1"/>
    </xf>
    <xf numFmtId="179" fontId="5" fillId="17" borderId="24" xfId="0" applyNumberFormat="1" applyFont="1" applyFill="1" applyBorder="1" applyAlignment="1">
      <alignment horizontal="center" vertical="center" wrapText="1"/>
    </xf>
    <xf numFmtId="9" fontId="4" fillId="0" borderId="16" xfId="0" applyNumberFormat="1" applyFont="1" applyBorder="1" applyAlignment="1">
      <alignment horizontal="center" vertical="center" wrapText="1"/>
    </xf>
    <xf numFmtId="9" fontId="1" fillId="0" borderId="16" xfId="0" applyNumberFormat="1" applyFont="1" applyBorder="1" applyAlignment="1">
      <alignment horizontal="center" vertical="center"/>
    </xf>
    <xf numFmtId="10" fontId="4" fillId="0" borderId="16" xfId="0" applyNumberFormat="1" applyFont="1" applyBorder="1" applyAlignment="1">
      <alignment horizontal="center" vertical="center"/>
    </xf>
    <xf numFmtId="9" fontId="3" fillId="0" borderId="16" xfId="0" applyNumberFormat="1" applyFont="1" applyBorder="1" applyAlignment="1">
      <alignment vertical="center"/>
    </xf>
    <xf numFmtId="0" fontId="3" fillId="2" borderId="7" xfId="0" applyFont="1" applyFill="1" applyBorder="1" applyAlignment="1">
      <alignment vertical="center"/>
    </xf>
    <xf numFmtId="0" fontId="13" fillId="0" borderId="7" xfId="0" applyFont="1" applyBorder="1" applyAlignment="1">
      <alignment horizontal="center" vertical="center"/>
    </xf>
    <xf numFmtId="186" fontId="13" fillId="0" borderId="7" xfId="0" applyNumberFormat="1" applyFont="1" applyBorder="1" applyAlignment="1">
      <alignment horizontal="center" vertical="center"/>
    </xf>
    <xf numFmtId="187" fontId="13" fillId="0" borderId="7" xfId="0" applyNumberFormat="1" applyFont="1" applyBorder="1" applyAlignment="1">
      <alignment horizontal="center" vertical="center"/>
    </xf>
    <xf numFmtId="181" fontId="13" fillId="0" borderId="7" xfId="0" applyNumberFormat="1" applyFont="1" applyBorder="1" applyAlignment="1">
      <alignment horizontal="center" vertical="center"/>
    </xf>
    <xf numFmtId="188" fontId="13" fillId="0" borderId="7" xfId="0" applyNumberFormat="1" applyFont="1" applyBorder="1" applyAlignment="1">
      <alignment horizontal="center" vertical="center"/>
    </xf>
    <xf numFmtId="180" fontId="13" fillId="0" borderId="7" xfId="0" applyNumberFormat="1" applyFont="1" applyBorder="1" applyAlignment="1">
      <alignment horizontal="center" vertical="center"/>
    </xf>
    <xf numFmtId="10" fontId="3" fillId="2" borderId="7" xfId="0" applyNumberFormat="1" applyFont="1" applyFill="1" applyBorder="1" applyAlignment="1">
      <alignment vertical="center"/>
    </xf>
    <xf numFmtId="185" fontId="4" fillId="2" borderId="7" xfId="0" applyNumberFormat="1" applyFont="1" applyFill="1" applyBorder="1" applyAlignment="1">
      <alignment horizontal="center" vertical="center"/>
    </xf>
    <xf numFmtId="185" fontId="3" fillId="2" borderId="7" xfId="0" applyNumberFormat="1" applyFont="1" applyFill="1" applyBorder="1" applyAlignment="1">
      <alignment vertical="center"/>
    </xf>
    <xf numFmtId="9" fontId="3" fillId="2" borderId="7" xfId="0" applyNumberFormat="1" applyFont="1" applyFill="1" applyBorder="1" applyAlignment="1">
      <alignment vertical="center"/>
    </xf>
    <xf numFmtId="9" fontId="4" fillId="2" borderId="7" xfId="0" applyNumberFormat="1" applyFont="1" applyFill="1" applyBorder="1" applyAlignment="1">
      <alignment horizontal="center" vertical="center"/>
    </xf>
    <xf numFmtId="185" fontId="4" fillId="0" borderId="7" xfId="0" applyNumberFormat="1" applyFont="1" applyBorder="1" applyAlignment="1">
      <alignment horizontal="center" vertical="center"/>
    </xf>
    <xf numFmtId="179" fontId="4" fillId="18" borderId="24" xfId="0" applyNumberFormat="1" applyFont="1" applyFill="1" applyBorder="1" applyAlignment="1">
      <alignment horizontal="center" vertical="center"/>
    </xf>
    <xf numFmtId="9" fontId="4" fillId="2" borderId="16" xfId="0" applyNumberFormat="1" applyFont="1" applyFill="1" applyBorder="1" applyAlignment="1">
      <alignment horizontal="center" vertical="center" wrapText="1"/>
    </xf>
    <xf numFmtId="0" fontId="4" fillId="2" borderId="16" xfId="0" applyFont="1" applyFill="1" applyBorder="1" applyAlignment="1">
      <alignment horizontal="center" vertical="center"/>
    </xf>
    <xf numFmtId="10" fontId="4" fillId="2" borderId="16" xfId="0" applyNumberFormat="1" applyFont="1" applyFill="1" applyBorder="1" applyAlignment="1">
      <alignment horizontal="center" vertical="center"/>
    </xf>
    <xf numFmtId="9" fontId="3" fillId="2" borderId="16" xfId="0" applyNumberFormat="1" applyFont="1" applyFill="1" applyBorder="1" applyAlignment="1">
      <alignment vertical="center"/>
    </xf>
    <xf numFmtId="0" fontId="3" fillId="0" borderId="7" xfId="0" applyFont="1" applyBorder="1" applyAlignment="1">
      <alignment vertical="center"/>
    </xf>
    <xf numFmtId="10" fontId="3" fillId="2" borderId="16" xfId="0" applyNumberFormat="1" applyFont="1" applyFill="1" applyBorder="1" applyAlignment="1">
      <alignment vertical="center"/>
    </xf>
    <xf numFmtId="10" fontId="1" fillId="2" borderId="16" xfId="0" applyNumberFormat="1" applyFont="1" applyFill="1" applyBorder="1" applyAlignment="1">
      <alignment horizontal="center" vertical="center"/>
    </xf>
    <xf numFmtId="184" fontId="3" fillId="2" borderId="7" xfId="0" applyNumberFormat="1" applyFont="1" applyFill="1" applyBorder="1" applyAlignment="1">
      <alignment vertical="center"/>
    </xf>
    <xf numFmtId="180" fontId="3" fillId="2" borderId="7" xfId="0" applyNumberFormat="1" applyFont="1" applyFill="1" applyBorder="1" applyAlignment="1">
      <alignment vertical="center"/>
    </xf>
    <xf numFmtId="185" fontId="3" fillId="0" borderId="7" xfId="0" applyNumberFormat="1" applyFont="1" applyBorder="1" applyAlignment="1">
      <alignment vertical="center"/>
    </xf>
    <xf numFmtId="179" fontId="3" fillId="18" borderId="24" xfId="0" applyNumberFormat="1" applyFont="1" applyFill="1" applyBorder="1" applyAlignment="1">
      <alignment vertical="center"/>
    </xf>
    <xf numFmtId="184" fontId="3" fillId="0" borderId="0" xfId="0" applyNumberFormat="1" applyFont="1" applyAlignment="1">
      <alignment vertical="center"/>
    </xf>
    <xf numFmtId="180" fontId="3" fillId="0" borderId="0" xfId="0" applyNumberFormat="1" applyFont="1" applyAlignment="1">
      <alignment vertical="center"/>
    </xf>
    <xf numFmtId="10" fontId="3" fillId="0" borderId="0" xfId="0" applyNumberFormat="1" applyFont="1" applyAlignment="1">
      <alignment vertical="center"/>
    </xf>
    <xf numFmtId="179" fontId="3" fillId="18" borderId="1" xfId="0" applyNumberFormat="1" applyFont="1" applyFill="1" applyBorder="1" applyAlignment="1">
      <alignment vertical="center"/>
    </xf>
    <xf numFmtId="0" fontId="3" fillId="18" borderId="1" xfId="0" applyFont="1" applyFill="1" applyBorder="1" applyAlignment="1">
      <alignment vertical="center"/>
    </xf>
    <xf numFmtId="9" fontId="3" fillId="0" borderId="0" xfId="0" applyNumberFormat="1" applyFont="1" applyAlignment="1">
      <alignment vertical="center"/>
    </xf>
    <xf numFmtId="10" fontId="14" fillId="2" borderId="7" xfId="0" applyNumberFormat="1" applyFont="1" applyFill="1" applyBorder="1" applyAlignment="1">
      <alignment horizontal="center" vertical="center"/>
    </xf>
    <xf numFmtId="0" fontId="3" fillId="0" borderId="0" xfId="0" applyFont="1" applyAlignment="1">
      <alignment horizontal="center" vertical="center"/>
    </xf>
    <xf numFmtId="0" fontId="2" fillId="0" borderId="7" xfId="0" applyFont="1" applyBorder="1" applyAlignment="1">
      <alignment horizontal="center" vertical="center"/>
    </xf>
    <xf numFmtId="0" fontId="3" fillId="2" borderId="0" xfId="0" applyFont="1" applyFill="1" applyAlignment="1">
      <alignment horizontal="center" vertical="center"/>
    </xf>
    <xf numFmtId="0" fontId="3" fillId="0" borderId="3" xfId="0" applyFont="1" applyBorder="1" applyAlignment="1">
      <alignment horizontal="center" vertical="center"/>
    </xf>
    <xf numFmtId="178" fontId="2" fillId="8" borderId="4" xfId="0" applyNumberFormat="1" applyFont="1" applyFill="1" applyBorder="1" applyAlignment="1">
      <alignment horizontal="center" vertical="center"/>
    </xf>
    <xf numFmtId="176" fontId="2" fillId="7" borderId="4" xfId="0" applyNumberFormat="1" applyFont="1" applyFill="1" applyBorder="1" applyAlignment="1">
      <alignment horizontal="center" vertical="center"/>
    </xf>
    <xf numFmtId="177" fontId="2" fillId="2" borderId="4" xfId="0" applyNumberFormat="1" applyFont="1" applyFill="1" applyBorder="1" applyAlignment="1">
      <alignment horizontal="center" vertical="center"/>
    </xf>
    <xf numFmtId="177" fontId="2" fillId="2" borderId="5" xfId="0" applyNumberFormat="1" applyFont="1" applyFill="1" applyBorder="1" applyAlignment="1">
      <alignment horizontal="center" vertical="center"/>
    </xf>
    <xf numFmtId="177" fontId="3" fillId="0" borderId="0" xfId="0" applyNumberFormat="1" applyFont="1" applyAlignment="1">
      <alignment horizontal="center" vertical="center"/>
    </xf>
    <xf numFmtId="0" fontId="3" fillId="2" borderId="9" xfId="0" applyFont="1" applyFill="1" applyBorder="1" applyAlignment="1">
      <alignment horizontal="center" vertical="center"/>
    </xf>
    <xf numFmtId="176" fontId="1" fillId="2" borderId="7" xfId="0" applyNumberFormat="1" applyFont="1" applyFill="1" applyBorder="1" applyAlignment="1">
      <alignment horizontal="center" vertical="center"/>
    </xf>
    <xf numFmtId="9" fontId="3" fillId="0" borderId="0" xfId="0" applyNumberFormat="1" applyFont="1" applyAlignment="1">
      <alignment horizontal="center" vertical="center"/>
    </xf>
    <xf numFmtId="176" fontId="1" fillId="2" borderId="11" xfId="0" applyNumberFormat="1" applyFont="1" applyFill="1" applyBorder="1" applyAlignment="1">
      <alignment horizontal="center" vertical="center"/>
    </xf>
    <xf numFmtId="177" fontId="1" fillId="2" borderId="11" xfId="0" applyNumberFormat="1" applyFont="1" applyFill="1" applyBorder="1" applyAlignment="1">
      <alignment horizontal="center" vertical="center"/>
    </xf>
    <xf numFmtId="177" fontId="1" fillId="2" borderId="33" xfId="0" applyNumberFormat="1" applyFont="1" applyFill="1" applyBorder="1" applyAlignment="1">
      <alignment horizontal="center" vertical="center"/>
    </xf>
    <xf numFmtId="9" fontId="3" fillId="2" borderId="0" xfId="0" applyNumberFormat="1" applyFont="1" applyFill="1" applyAlignment="1">
      <alignment horizontal="center" vertical="center"/>
    </xf>
    <xf numFmtId="182" fontId="2" fillId="0" borderId="4" xfId="0" applyNumberFormat="1" applyFont="1" applyBorder="1" applyAlignment="1">
      <alignment horizontal="center" vertical="center"/>
    </xf>
    <xf numFmtId="178" fontId="3" fillId="2" borderId="10" xfId="0" applyNumberFormat="1" applyFont="1" applyFill="1" applyBorder="1" applyAlignment="1">
      <alignment horizontal="center" vertical="center"/>
    </xf>
    <xf numFmtId="176" fontId="2" fillId="20" borderId="4" xfId="0" applyNumberFormat="1" applyFont="1" applyFill="1" applyBorder="1" applyAlignment="1">
      <alignment horizontal="center" vertical="center"/>
    </xf>
    <xf numFmtId="177" fontId="1" fillId="2" borderId="7" xfId="0" applyNumberFormat="1" applyFont="1" applyFill="1" applyBorder="1" applyAlignment="1">
      <alignment horizontal="center" vertical="center"/>
    </xf>
    <xf numFmtId="1" fontId="1" fillId="2" borderId="7" xfId="0" applyNumberFormat="1" applyFont="1" applyFill="1" applyBorder="1" applyAlignment="1">
      <alignment horizontal="center" vertical="center"/>
    </xf>
    <xf numFmtId="0" fontId="15" fillId="0" borderId="0" xfId="0" applyFont="1" applyAlignment="1">
      <alignment horizontal="center" vertical="center"/>
    </xf>
    <xf numFmtId="0" fontId="2" fillId="23" borderId="7" xfId="0" applyFont="1" applyFill="1" applyBorder="1" applyAlignment="1">
      <alignment horizontal="center" vertical="center"/>
    </xf>
    <xf numFmtId="177" fontId="2" fillId="23" borderId="7" xfId="0" applyNumberFormat="1" applyFont="1" applyFill="1" applyBorder="1" applyAlignment="1">
      <alignment horizontal="center" vertical="center"/>
    </xf>
    <xf numFmtId="0" fontId="2" fillId="10" borderId="7" xfId="0" applyFont="1" applyFill="1" applyBorder="1" applyAlignment="1">
      <alignment horizontal="center" vertical="center"/>
    </xf>
    <xf numFmtId="0" fontId="2" fillId="2" borderId="7" xfId="0" applyFont="1" applyFill="1" applyBorder="1" applyAlignment="1">
      <alignment horizontal="center" vertical="center"/>
    </xf>
    <xf numFmtId="0" fontId="2" fillId="11" borderId="7" xfId="0" applyFont="1" applyFill="1" applyBorder="1" applyAlignment="1">
      <alignment horizontal="center" vertical="center"/>
    </xf>
    <xf numFmtId="0" fontId="1" fillId="0" borderId="7" xfId="0" applyFont="1" applyBorder="1" applyAlignment="1">
      <alignment horizontal="center" vertical="center"/>
    </xf>
    <xf numFmtId="10" fontId="2" fillId="2" borderId="4" xfId="0" applyNumberFormat="1" applyFont="1" applyFill="1" applyBorder="1" applyAlignment="1">
      <alignment horizontal="center" vertical="center"/>
    </xf>
    <xf numFmtId="9" fontId="2" fillId="11" borderId="4" xfId="0" applyNumberFormat="1" applyFont="1" applyFill="1" applyBorder="1" applyAlignment="1">
      <alignment horizontal="center" vertical="center"/>
    </xf>
    <xf numFmtId="178" fontId="3" fillId="2" borderId="0" xfId="0" applyNumberFormat="1" applyFont="1" applyFill="1" applyAlignment="1">
      <alignment horizontal="center" vertical="center"/>
    </xf>
    <xf numFmtId="179" fontId="9" fillId="2" borderId="7" xfId="0" applyNumberFormat="1" applyFont="1" applyFill="1" applyBorder="1" applyAlignment="1">
      <alignment horizontal="center" vertical="center"/>
    </xf>
    <xf numFmtId="9" fontId="17" fillId="2" borderId="7" xfId="0" applyNumberFormat="1" applyFont="1" applyFill="1" applyBorder="1" applyAlignment="1">
      <alignment horizontal="center" vertical="center"/>
    </xf>
    <xf numFmtId="182" fontId="2" fillId="0" borderId="7" xfId="0" applyNumberFormat="1" applyFont="1" applyBorder="1" applyAlignment="1">
      <alignment horizontal="center" vertical="center"/>
    </xf>
    <xf numFmtId="9" fontId="9" fillId="2" borderId="7" xfId="0" applyNumberFormat="1" applyFont="1" applyFill="1" applyBorder="1" applyAlignment="1">
      <alignment horizontal="center" vertical="center"/>
    </xf>
    <xf numFmtId="0" fontId="1" fillId="0" borderId="11" xfId="0" applyFont="1" applyBorder="1" applyAlignment="1">
      <alignment horizontal="center" vertical="center" wrapText="1"/>
    </xf>
    <xf numFmtId="9" fontId="9" fillId="2" borderId="11" xfId="0" applyNumberFormat="1" applyFont="1" applyFill="1" applyBorder="1" applyAlignment="1">
      <alignment horizontal="center" vertical="center"/>
    </xf>
    <xf numFmtId="0" fontId="1" fillId="0" borderId="0" xfId="0" applyFont="1" applyAlignment="1">
      <alignment vertical="center"/>
    </xf>
    <xf numFmtId="179" fontId="1" fillId="0" borderId="0" xfId="0" applyNumberFormat="1" applyFont="1" applyAlignment="1">
      <alignment horizontal="center" vertical="center"/>
    </xf>
    <xf numFmtId="0" fontId="1" fillId="2" borderId="0" xfId="0" applyFont="1" applyFill="1" applyAlignment="1">
      <alignment vertical="center"/>
    </xf>
    <xf numFmtId="0" fontId="3" fillId="0" borderId="6" xfId="0" applyFont="1" applyBorder="1" applyAlignment="1">
      <alignment vertical="center"/>
    </xf>
    <xf numFmtId="0" fontId="2" fillId="0" borderId="8" xfId="0" applyFont="1" applyBorder="1" applyAlignment="1">
      <alignment horizontal="center" vertical="center"/>
    </xf>
    <xf numFmtId="9" fontId="2" fillId="3" borderId="7" xfId="0" applyNumberFormat="1" applyFont="1" applyFill="1" applyBorder="1" applyAlignment="1">
      <alignment horizontal="center" vertical="center"/>
    </xf>
    <xf numFmtId="179" fontId="2" fillId="3" borderId="7" xfId="0" applyNumberFormat="1" applyFont="1" applyFill="1" applyBorder="1" applyAlignment="1">
      <alignment horizontal="center" vertical="center"/>
    </xf>
    <xf numFmtId="0" fontId="2" fillId="7" borderId="7" xfId="0" applyFont="1" applyFill="1" applyBorder="1" applyAlignment="1">
      <alignment horizontal="center" vertical="center"/>
    </xf>
    <xf numFmtId="9" fontId="2" fillId="7" borderId="7" xfId="0" applyNumberFormat="1" applyFont="1" applyFill="1" applyBorder="1" applyAlignment="1">
      <alignment horizontal="center" vertical="center"/>
    </xf>
    <xf numFmtId="9" fontId="2" fillId="8" borderId="7" xfId="0" applyNumberFormat="1" applyFont="1" applyFill="1" applyBorder="1" applyAlignment="1">
      <alignment horizontal="center" vertical="center"/>
    </xf>
    <xf numFmtId="0" fontId="3" fillId="2" borderId="6" xfId="0" applyFont="1" applyFill="1" applyBorder="1" applyAlignment="1">
      <alignment vertical="center"/>
    </xf>
    <xf numFmtId="179" fontId="18" fillId="0" borderId="7" xfId="0" applyNumberFormat="1" applyFont="1" applyBorder="1" applyAlignment="1">
      <alignment horizontal="center" vertical="center"/>
    </xf>
    <xf numFmtId="176" fontId="3" fillId="2" borderId="7" xfId="0" applyNumberFormat="1" applyFont="1" applyFill="1" applyBorder="1" applyAlignment="1">
      <alignment vertical="center"/>
    </xf>
    <xf numFmtId="3" fontId="1" fillId="0" borderId="0" xfId="0" applyNumberFormat="1" applyFont="1" applyAlignment="1">
      <alignment vertical="center"/>
    </xf>
    <xf numFmtId="0" fontId="1" fillId="2" borderId="2" xfId="0" applyFont="1" applyFill="1" applyBorder="1" applyAlignment="1">
      <alignment vertical="center"/>
    </xf>
    <xf numFmtId="0" fontId="2" fillId="0" borderId="7" xfId="0" applyFont="1" applyBorder="1" applyAlignment="1">
      <alignment vertical="center"/>
    </xf>
    <xf numFmtId="0" fontId="2" fillId="19" borderId="7" xfId="0" applyFont="1" applyFill="1" applyBorder="1" applyAlignment="1">
      <alignment horizontal="center" vertical="center"/>
    </xf>
    <xf numFmtId="179" fontId="2" fillId="19" borderId="7" xfId="0" applyNumberFormat="1" applyFont="1" applyFill="1" applyBorder="1" applyAlignment="1">
      <alignment horizontal="center" vertical="center"/>
    </xf>
    <xf numFmtId="0" fontId="2" fillId="24" borderId="7" xfId="0" applyFont="1" applyFill="1" applyBorder="1" applyAlignment="1">
      <alignment horizontal="center" vertical="center"/>
    </xf>
    <xf numFmtId="0" fontId="2" fillId="20" borderId="7" xfId="0" applyFont="1" applyFill="1" applyBorder="1" applyAlignment="1">
      <alignment horizontal="center" vertical="center"/>
    </xf>
    <xf numFmtId="176" fontId="2" fillId="20" borderId="7" xfId="0" applyNumberFormat="1" applyFont="1" applyFill="1" applyBorder="1" applyAlignment="1">
      <alignment horizontal="center" vertical="center"/>
    </xf>
    <xf numFmtId="0" fontId="2" fillId="25" borderId="7" xfId="0" applyFont="1" applyFill="1" applyBorder="1" applyAlignment="1">
      <alignment horizontal="center" vertical="center"/>
    </xf>
    <xf numFmtId="0" fontId="1" fillId="0" borderId="7" xfId="0" applyFont="1" applyBorder="1" applyAlignment="1">
      <alignment vertical="center"/>
    </xf>
    <xf numFmtId="178" fontId="1" fillId="26" borderId="7" xfId="0" applyNumberFormat="1" applyFont="1" applyFill="1" applyBorder="1" applyAlignment="1">
      <alignment horizontal="center" vertical="center"/>
    </xf>
    <xf numFmtId="176" fontId="1" fillId="26" borderId="7" xfId="0" applyNumberFormat="1" applyFont="1" applyFill="1" applyBorder="1" applyAlignment="1">
      <alignment horizontal="center" vertical="center"/>
    </xf>
    <xf numFmtId="176" fontId="17" fillId="26" borderId="7" xfId="0" applyNumberFormat="1" applyFont="1" applyFill="1" applyBorder="1" applyAlignment="1">
      <alignment horizontal="center" vertical="center"/>
    </xf>
    <xf numFmtId="177" fontId="1" fillId="26" borderId="7" xfId="0" applyNumberFormat="1" applyFont="1" applyFill="1" applyBorder="1" applyAlignment="1">
      <alignment horizontal="center" vertical="center"/>
    </xf>
    <xf numFmtId="3" fontId="17" fillId="26" borderId="7" xfId="0" applyNumberFormat="1" applyFont="1" applyFill="1" applyBorder="1" applyAlignment="1">
      <alignment horizontal="center" vertical="center"/>
    </xf>
    <xf numFmtId="0" fontId="1" fillId="0" borderId="7" xfId="0" applyFont="1" applyBorder="1" applyAlignment="1">
      <alignment horizontal="center" vertical="center" wrapText="1"/>
    </xf>
    <xf numFmtId="0" fontId="1" fillId="2" borderId="1" xfId="0" applyFont="1" applyFill="1" applyBorder="1" applyAlignment="1">
      <alignment vertical="center"/>
    </xf>
    <xf numFmtId="179" fontId="7" fillId="0" borderId="0" xfId="0" applyNumberFormat="1" applyFont="1" applyAlignment="1">
      <alignment vertical="center"/>
    </xf>
    <xf numFmtId="182" fontId="3" fillId="0" borderId="0" xfId="0" applyNumberFormat="1" applyFont="1" applyAlignment="1">
      <alignment horizontal="center" vertical="center"/>
    </xf>
    <xf numFmtId="178" fontId="3" fillId="0" borderId="0" xfId="0" applyNumberFormat="1" applyFont="1" applyAlignment="1">
      <alignment horizontal="center" vertical="center"/>
    </xf>
    <xf numFmtId="9" fontId="9" fillId="2" borderId="0" xfId="0" applyNumberFormat="1" applyFont="1" applyFill="1" applyAlignment="1">
      <alignment horizontal="center" vertical="center"/>
    </xf>
    <xf numFmtId="0" fontId="3" fillId="0" borderId="3" xfId="0" applyFont="1" applyBorder="1" applyAlignment="1">
      <alignment vertical="center"/>
    </xf>
    <xf numFmtId="178" fontId="2" fillId="3" borderId="4" xfId="0" applyNumberFormat="1" applyFont="1" applyFill="1" applyBorder="1" applyAlignment="1">
      <alignment horizontal="center" vertical="center"/>
    </xf>
    <xf numFmtId="176" fontId="4" fillId="5" borderId="4" xfId="0" applyNumberFormat="1" applyFont="1" applyFill="1" applyBorder="1" applyAlignment="1">
      <alignment horizontal="center" vertical="center"/>
    </xf>
    <xf numFmtId="176" fontId="2" fillId="5" borderId="4"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6" borderId="4" xfId="0" applyNumberFormat="1" applyFont="1" applyFill="1" applyBorder="1" applyAlignment="1">
      <alignment horizontal="center" vertical="center"/>
    </xf>
    <xf numFmtId="176" fontId="2" fillId="27" borderId="4" xfId="0" applyNumberFormat="1" applyFont="1" applyFill="1" applyBorder="1" applyAlignment="1">
      <alignment horizontal="center" vertical="center"/>
    </xf>
    <xf numFmtId="177" fontId="2" fillId="7" borderId="4" xfId="0" applyNumberFormat="1" applyFont="1" applyFill="1" applyBorder="1" applyAlignment="1">
      <alignment horizontal="center" vertical="center"/>
    </xf>
    <xf numFmtId="176" fontId="2" fillId="2" borderId="4" xfId="0" applyNumberFormat="1" applyFont="1" applyFill="1" applyBorder="1" applyAlignment="1">
      <alignment horizontal="center" vertical="center"/>
    </xf>
    <xf numFmtId="180" fontId="5" fillId="8" borderId="3" xfId="0" applyNumberFormat="1" applyFont="1" applyFill="1" applyBorder="1" applyAlignment="1">
      <alignment horizontal="center" vertical="center" wrapText="1"/>
    </xf>
    <xf numFmtId="181" fontId="5" fillId="8" borderId="4" xfId="0" applyNumberFormat="1" applyFont="1" applyFill="1" applyBorder="1" applyAlignment="1">
      <alignment horizontal="center" vertical="center" wrapText="1"/>
    </xf>
    <xf numFmtId="0" fontId="3" fillId="0" borderId="9" xfId="0" applyFont="1" applyBorder="1" applyAlignment="1">
      <alignment vertical="center"/>
    </xf>
    <xf numFmtId="9" fontId="18" fillId="0" borderId="7" xfId="0" applyNumberFormat="1" applyFont="1" applyBorder="1" applyAlignment="1">
      <alignment horizontal="center" vertical="center"/>
    </xf>
    <xf numFmtId="177" fontId="3" fillId="2" borderId="7" xfId="0" applyNumberFormat="1" applyFont="1" applyFill="1" applyBorder="1" applyAlignment="1">
      <alignment horizontal="right" vertical="center"/>
    </xf>
    <xf numFmtId="176" fontId="3" fillId="2" borderId="7" xfId="0" applyNumberFormat="1" applyFont="1" applyFill="1" applyBorder="1" applyAlignment="1">
      <alignment horizontal="right" vertical="center"/>
    </xf>
    <xf numFmtId="1" fontId="9" fillId="2" borderId="7" xfId="0" applyNumberFormat="1" applyFont="1" applyFill="1" applyBorder="1" applyAlignment="1">
      <alignment horizontal="center" vertical="center"/>
    </xf>
    <xf numFmtId="177" fontId="3" fillId="2" borderId="30" xfId="0" applyNumberFormat="1" applyFont="1" applyFill="1" applyBorder="1" applyAlignment="1">
      <alignment horizontal="right" vertical="center"/>
    </xf>
    <xf numFmtId="176" fontId="10" fillId="0" borderId="7" xfId="0" applyNumberFormat="1" applyFont="1" applyBorder="1" applyAlignment="1">
      <alignment horizontal="center" vertical="center"/>
    </xf>
    <xf numFmtId="0" fontId="3" fillId="0" borderId="31" xfId="0" applyFont="1" applyBorder="1" applyAlignment="1">
      <alignment vertical="center"/>
    </xf>
    <xf numFmtId="177" fontId="19" fillId="2" borderId="7" xfId="0" applyNumberFormat="1" applyFont="1" applyFill="1" applyBorder="1" applyAlignment="1">
      <alignment horizontal="center" vertical="center"/>
    </xf>
    <xf numFmtId="184" fontId="3" fillId="0" borderId="10" xfId="0" applyNumberFormat="1" applyFont="1" applyBorder="1" applyAlignment="1">
      <alignment vertical="center"/>
    </xf>
    <xf numFmtId="176" fontId="3" fillId="0" borderId="7" xfId="0" applyNumberFormat="1" applyFont="1" applyBorder="1" applyAlignment="1">
      <alignment vertical="center"/>
    </xf>
    <xf numFmtId="184" fontId="3" fillId="0" borderId="10" xfId="0" applyNumberFormat="1" applyFont="1" applyBorder="1" applyAlignment="1">
      <alignment horizontal="center" vertical="center"/>
    </xf>
    <xf numFmtId="0" fontId="3" fillId="0" borderId="34" xfId="0" applyFont="1" applyBorder="1" applyAlignment="1">
      <alignment vertical="center"/>
    </xf>
    <xf numFmtId="176" fontId="3" fillId="0" borderId="6" xfId="0" applyNumberFormat="1" applyFont="1" applyBorder="1" applyAlignment="1">
      <alignment horizontal="right" vertical="center"/>
    </xf>
    <xf numFmtId="0" fontId="3" fillId="0" borderId="9" xfId="0" applyFont="1" applyBorder="1" applyAlignment="1">
      <alignment horizontal="center" vertical="center"/>
    </xf>
    <xf numFmtId="177" fontId="19" fillId="2" borderId="7" xfId="0" applyNumberFormat="1" applyFont="1" applyFill="1" applyBorder="1" applyAlignment="1">
      <alignment horizontal="right" vertical="center"/>
    </xf>
    <xf numFmtId="0" fontId="3" fillId="0" borderId="32" xfId="0" applyFont="1" applyBorder="1" applyAlignment="1">
      <alignment vertical="center"/>
    </xf>
    <xf numFmtId="182" fontId="3" fillId="0" borderId="11" xfId="0" applyNumberFormat="1" applyFont="1" applyBorder="1" applyAlignment="1">
      <alignment vertical="center"/>
    </xf>
    <xf numFmtId="9" fontId="18" fillId="0" borderId="11" xfId="0" applyNumberFormat="1" applyFont="1" applyBorder="1" applyAlignment="1">
      <alignment horizontal="center" vertical="center"/>
    </xf>
    <xf numFmtId="178" fontId="3" fillId="0" borderId="11" xfId="0" applyNumberFormat="1" applyFont="1" applyBorder="1" applyAlignment="1">
      <alignment vertical="center"/>
    </xf>
    <xf numFmtId="176" fontId="10" fillId="2" borderId="11" xfId="0" applyNumberFormat="1" applyFont="1" applyFill="1" applyBorder="1" applyAlignment="1">
      <alignment horizontal="center" vertical="center"/>
    </xf>
    <xf numFmtId="176" fontId="10" fillId="0" borderId="11" xfId="0" applyNumberFormat="1" applyFont="1" applyBorder="1" applyAlignment="1">
      <alignment horizontal="center" vertical="center"/>
    </xf>
    <xf numFmtId="177" fontId="3" fillId="0" borderId="11" xfId="0" applyNumberFormat="1" applyFont="1" applyBorder="1" applyAlignment="1">
      <alignment vertical="center"/>
    </xf>
    <xf numFmtId="182" fontId="3" fillId="2" borderId="0" xfId="0" applyNumberFormat="1" applyFont="1" applyFill="1" applyAlignment="1">
      <alignment vertical="center"/>
    </xf>
    <xf numFmtId="178" fontId="3" fillId="2" borderId="0" xfId="0" applyNumberFormat="1" applyFont="1" applyFill="1" applyAlignment="1">
      <alignment vertical="center"/>
    </xf>
    <xf numFmtId="9" fontId="3" fillId="2" borderId="0" xfId="0" applyNumberFormat="1" applyFont="1" applyFill="1" applyAlignment="1">
      <alignment vertical="center"/>
    </xf>
    <xf numFmtId="176" fontId="1" fillId="0" borderId="7" xfId="0" applyNumberFormat="1" applyFont="1" applyBorder="1" applyAlignment="1">
      <alignment horizontal="center"/>
    </xf>
    <xf numFmtId="0" fontId="1" fillId="0" borderId="7" xfId="0" applyFont="1" applyBorder="1" applyAlignment="1">
      <alignment horizontal="center"/>
    </xf>
    <xf numFmtId="0" fontId="20" fillId="0" borderId="17" xfId="0" applyFont="1" applyBorder="1" applyAlignment="1">
      <alignment horizontal="center" vertical="center"/>
    </xf>
    <xf numFmtId="182" fontId="3" fillId="2" borderId="0" xfId="0" applyNumberFormat="1" applyFont="1" applyFill="1" applyAlignment="1">
      <alignment horizontal="center" vertical="center"/>
    </xf>
    <xf numFmtId="178" fontId="2" fillId="2" borderId="0" xfId="0" applyNumberFormat="1" applyFont="1" applyFill="1" applyAlignment="1">
      <alignment horizontal="center" vertical="center"/>
    </xf>
    <xf numFmtId="176" fontId="2" fillId="2" borderId="0" xfId="0" applyNumberFormat="1" applyFont="1" applyFill="1" applyAlignment="1">
      <alignment horizontal="center" vertical="center"/>
    </xf>
    <xf numFmtId="177" fontId="2" fillId="2" borderId="0" xfId="0" applyNumberFormat="1" applyFont="1" applyFill="1" applyAlignment="1">
      <alignment horizontal="center" vertical="center"/>
    </xf>
    <xf numFmtId="176" fontId="21" fillId="0" borderId="0" xfId="0" applyNumberFormat="1" applyFont="1" applyAlignment="1">
      <alignment horizontal="right" vertical="center"/>
    </xf>
    <xf numFmtId="178" fontId="21" fillId="0" borderId="0" xfId="0" applyNumberFormat="1" applyFont="1" applyAlignment="1">
      <alignment horizontal="right" vertical="center"/>
    </xf>
    <xf numFmtId="177" fontId="21" fillId="0" borderId="0" xfId="0" applyNumberFormat="1" applyFont="1" applyAlignment="1">
      <alignment horizontal="right" vertical="center"/>
    </xf>
    <xf numFmtId="178" fontId="3" fillId="2" borderId="10" xfId="0" applyNumberFormat="1" applyFont="1" applyFill="1" applyBorder="1" applyAlignment="1">
      <alignment horizontal="right" vertical="center"/>
    </xf>
    <xf numFmtId="0" fontId="3" fillId="0" borderId="29" xfId="0" applyFont="1" applyBorder="1" applyAlignment="1">
      <alignment vertical="center"/>
    </xf>
    <xf numFmtId="176" fontId="3" fillId="0" borderId="10" xfId="0" applyNumberFormat="1" applyFont="1" applyBorder="1" applyAlignment="1">
      <alignment horizontal="right" vertical="center"/>
    </xf>
    <xf numFmtId="0" fontId="9" fillId="6" borderId="7" xfId="0" applyFont="1" applyFill="1" applyBorder="1" applyAlignment="1">
      <alignment horizontal="center" vertical="center"/>
    </xf>
    <xf numFmtId="0" fontId="1" fillId="0" borderId="8" xfId="0" applyFont="1" applyBorder="1" applyAlignment="1">
      <alignment horizontal="center" vertical="center"/>
    </xf>
    <xf numFmtId="182" fontId="3" fillId="0" borderId="4" xfId="0" applyNumberFormat="1" applyFont="1" applyBorder="1" applyAlignment="1">
      <alignment horizontal="center" vertical="center"/>
    </xf>
    <xf numFmtId="178" fontId="2" fillId="28" borderId="4" xfId="0" applyNumberFormat="1" applyFont="1" applyFill="1" applyBorder="1" applyAlignment="1">
      <alignment horizontal="center" vertical="center"/>
    </xf>
    <xf numFmtId="176" fontId="2" fillId="24" borderId="4" xfId="0" applyNumberFormat="1" applyFont="1" applyFill="1" applyBorder="1" applyAlignment="1">
      <alignment horizontal="center" vertical="center"/>
    </xf>
    <xf numFmtId="177" fontId="2" fillId="5" borderId="4" xfId="0" applyNumberFormat="1" applyFont="1" applyFill="1" applyBorder="1" applyAlignment="1">
      <alignment horizontal="center" vertical="center"/>
    </xf>
    <xf numFmtId="176" fontId="2" fillId="0" borderId="4" xfId="0" applyNumberFormat="1" applyFont="1" applyBorder="1" applyAlignment="1">
      <alignment horizontal="center" vertical="center"/>
    </xf>
    <xf numFmtId="176" fontId="2" fillId="22" borderId="4" xfId="0" applyNumberFormat="1" applyFont="1" applyFill="1" applyBorder="1" applyAlignment="1">
      <alignment horizontal="center" vertical="center"/>
    </xf>
    <xf numFmtId="176" fontId="2" fillId="22" borderId="5" xfId="0" applyNumberFormat="1" applyFont="1" applyFill="1" applyBorder="1" applyAlignment="1">
      <alignment horizontal="center" vertical="center"/>
    </xf>
    <xf numFmtId="9" fontId="3" fillId="0" borderId="28" xfId="0" applyNumberFormat="1" applyFont="1" applyBorder="1" applyAlignment="1">
      <alignment horizontal="center" vertical="center"/>
    </xf>
    <xf numFmtId="178" fontId="3" fillId="0" borderId="7" xfId="0" applyNumberFormat="1" applyFont="1" applyBorder="1" applyAlignment="1">
      <alignment horizontal="center" vertical="center"/>
    </xf>
    <xf numFmtId="0" fontId="3" fillId="0" borderId="7" xfId="0" applyFont="1" applyBorder="1" applyAlignment="1">
      <alignment horizontal="center" vertical="center"/>
    </xf>
    <xf numFmtId="177" fontId="3" fillId="0" borderId="7" xfId="0" applyNumberFormat="1" applyFont="1" applyBorder="1" applyAlignment="1">
      <alignment horizontal="center" vertical="center"/>
    </xf>
    <xf numFmtId="0" fontId="7" fillId="0" borderId="7" xfId="0" applyFont="1" applyBorder="1" applyAlignment="1">
      <alignment vertical="center"/>
    </xf>
    <xf numFmtId="0" fontId="15" fillId="0" borderId="9" xfId="0" applyFont="1" applyBorder="1" applyAlignment="1">
      <alignment horizontal="center" vertical="center"/>
    </xf>
    <xf numFmtId="178" fontId="1" fillId="0" borderId="30" xfId="0" applyNumberFormat="1" applyFont="1" applyBorder="1" applyAlignment="1">
      <alignment horizontal="center" vertical="center"/>
    </xf>
    <xf numFmtId="0" fontId="15" fillId="0" borderId="31" xfId="0" applyFont="1" applyBorder="1" applyAlignment="1">
      <alignment horizontal="center" vertical="center"/>
    </xf>
    <xf numFmtId="176" fontId="1" fillId="0" borderId="30" xfId="0" applyNumberFormat="1" applyFont="1" applyBorder="1" applyAlignment="1">
      <alignment horizontal="center" vertical="center"/>
    </xf>
    <xf numFmtId="0" fontId="15" fillId="0" borderId="32" xfId="0" applyFont="1" applyBorder="1" applyAlignment="1">
      <alignment horizontal="center" vertical="center" wrapText="1"/>
    </xf>
    <xf numFmtId="9" fontId="17" fillId="2" borderId="11" xfId="0" applyNumberFormat="1" applyFont="1" applyFill="1" applyBorder="1" applyAlignment="1">
      <alignment horizontal="center" vertical="center"/>
    </xf>
    <xf numFmtId="176" fontId="1" fillId="0" borderId="33" xfId="0" applyNumberFormat="1" applyFont="1" applyBorder="1" applyAlignment="1">
      <alignment horizontal="center" vertical="center"/>
    </xf>
    <xf numFmtId="0" fontId="22" fillId="0" borderId="0" xfId="0" applyFont="1" applyAlignment="1">
      <alignment horizontal="center" vertical="center"/>
    </xf>
    <xf numFmtId="185" fontId="3" fillId="13" borderId="13" xfId="0" applyNumberFormat="1" applyFont="1" applyFill="1" applyBorder="1" applyAlignment="1">
      <alignment vertical="center"/>
    </xf>
    <xf numFmtId="185" fontId="3" fillId="13" borderId="25" xfId="0" applyNumberFormat="1" applyFont="1" applyFill="1" applyBorder="1" applyAlignment="1">
      <alignment vertical="center"/>
    </xf>
    <xf numFmtId="185" fontId="3" fillId="13" borderId="26" xfId="0" applyNumberFormat="1" applyFont="1" applyFill="1" applyBorder="1" applyAlignment="1">
      <alignment vertical="center"/>
    </xf>
    <xf numFmtId="185" fontId="3" fillId="13" borderId="20" xfId="0" applyNumberFormat="1" applyFont="1" applyFill="1" applyBorder="1" applyAlignment="1">
      <alignment vertical="center"/>
    </xf>
    <xf numFmtId="185" fontId="3" fillId="13" borderId="21" xfId="0" applyNumberFormat="1" applyFont="1" applyFill="1" applyBorder="1" applyAlignment="1">
      <alignment vertical="center"/>
    </xf>
    <xf numFmtId="0" fontId="3" fillId="0" borderId="8" xfId="0" applyFont="1" applyBorder="1" applyAlignment="1">
      <alignment vertical="center"/>
    </xf>
    <xf numFmtId="0" fontId="11" fillId="0" borderId="7" xfId="0" applyFont="1" applyBorder="1" applyAlignment="1">
      <alignment horizontal="center" vertical="center"/>
    </xf>
    <xf numFmtId="180" fontId="5" fillId="4" borderId="7" xfId="0" applyNumberFormat="1" applyFont="1" applyFill="1" applyBorder="1" applyAlignment="1">
      <alignment horizontal="center" vertical="center" wrapText="1"/>
    </xf>
    <xf numFmtId="181" fontId="5" fillId="21" borderId="7" xfId="0" applyNumberFormat="1" applyFont="1" applyFill="1" applyBorder="1" applyAlignment="1">
      <alignment horizontal="center" vertical="center" wrapText="1"/>
    </xf>
    <xf numFmtId="0" fontId="5" fillId="21" borderId="7" xfId="0" applyFont="1" applyFill="1" applyBorder="1" applyAlignment="1">
      <alignment horizontal="center" vertical="center" wrapText="1"/>
    </xf>
    <xf numFmtId="0" fontId="5" fillId="4" borderId="7" xfId="0" applyFont="1" applyFill="1" applyBorder="1" applyAlignment="1">
      <alignment horizontal="center" vertical="center"/>
    </xf>
    <xf numFmtId="180" fontId="5" fillId="4" borderId="7" xfId="0" applyNumberFormat="1" applyFont="1" applyFill="1" applyBorder="1" applyAlignment="1">
      <alignment horizontal="center" vertical="center"/>
    </xf>
    <xf numFmtId="181" fontId="5" fillId="4" borderId="7" xfId="0" applyNumberFormat="1" applyFont="1" applyFill="1" applyBorder="1" applyAlignment="1">
      <alignment horizontal="center" vertical="center"/>
    </xf>
    <xf numFmtId="0" fontId="14" fillId="2" borderId="7" xfId="0" applyFont="1" applyFill="1" applyBorder="1" applyAlignment="1">
      <alignment horizontal="center" vertical="center"/>
    </xf>
    <xf numFmtId="3" fontId="14" fillId="2" borderId="7" xfId="0" applyNumberFormat="1" applyFont="1" applyFill="1" applyBorder="1" applyAlignment="1">
      <alignment horizontal="center" vertical="center"/>
    </xf>
    <xf numFmtId="186" fontId="3" fillId="0" borderId="7" xfId="0" applyNumberFormat="1" applyFont="1" applyBorder="1" applyAlignment="1">
      <alignment vertical="center"/>
    </xf>
    <xf numFmtId="187" fontId="3" fillId="0" borderId="7" xfId="0" applyNumberFormat="1" applyFont="1" applyBorder="1" applyAlignment="1">
      <alignment vertical="center"/>
    </xf>
    <xf numFmtId="181" fontId="3" fillId="0" borderId="7" xfId="0" applyNumberFormat="1" applyFont="1" applyBorder="1" applyAlignment="1">
      <alignment vertical="center"/>
    </xf>
    <xf numFmtId="188" fontId="3" fillId="0" borderId="7" xfId="0" applyNumberFormat="1" applyFont="1" applyBorder="1" applyAlignment="1">
      <alignment vertical="center"/>
    </xf>
    <xf numFmtId="180" fontId="3" fillId="0" borderId="7" xfId="0" applyNumberFormat="1" applyFont="1" applyBorder="1" applyAlignment="1">
      <alignment vertical="center"/>
    </xf>
    <xf numFmtId="185" fontId="3" fillId="0" borderId="0" xfId="0" applyNumberFormat="1" applyFont="1" applyAlignment="1">
      <alignment vertical="center"/>
    </xf>
    <xf numFmtId="177" fontId="2" fillId="0" borderId="4" xfId="0" applyNumberFormat="1" applyFont="1" applyBorder="1" applyAlignment="1">
      <alignment horizontal="center" vertical="center"/>
    </xf>
    <xf numFmtId="176" fontId="3" fillId="0" borderId="0" xfId="0" applyNumberFormat="1" applyFont="1" applyAlignment="1">
      <alignment vertical="center"/>
    </xf>
    <xf numFmtId="177" fontId="3" fillId="2" borderId="30" xfId="0" applyNumberFormat="1" applyFont="1" applyFill="1" applyBorder="1" applyAlignment="1">
      <alignment vertical="center"/>
    </xf>
    <xf numFmtId="10" fontId="3" fillId="0" borderId="29" xfId="0" applyNumberFormat="1" applyFont="1" applyBorder="1" applyAlignment="1">
      <alignment vertical="center"/>
    </xf>
    <xf numFmtId="184" fontId="7" fillId="0" borderId="10" xfId="0" applyNumberFormat="1" applyFont="1" applyBorder="1" applyAlignment="1">
      <alignment vertical="center"/>
    </xf>
    <xf numFmtId="184" fontId="3" fillId="0" borderId="10" xfId="0" applyNumberFormat="1" applyFont="1" applyBorder="1" applyAlignment="1">
      <alignment horizontal="right" vertical="center"/>
    </xf>
    <xf numFmtId="10" fontId="3" fillId="0" borderId="31" xfId="0" applyNumberFormat="1" applyFont="1" applyBorder="1" applyAlignment="1">
      <alignment vertical="center"/>
    </xf>
    <xf numFmtId="176" fontId="3" fillId="2" borderId="11" xfId="0" applyNumberFormat="1" applyFont="1" applyFill="1" applyBorder="1" applyAlignment="1">
      <alignment horizontal="center" vertical="center"/>
    </xf>
    <xf numFmtId="0" fontId="16" fillId="0" borderId="0" xfId="0" applyFont="1" applyAlignment="1">
      <alignment horizontal="center" vertical="center"/>
    </xf>
    <xf numFmtId="182" fontId="2" fillId="0" borderId="0" xfId="0" applyNumberFormat="1" applyFont="1" applyAlignment="1">
      <alignment horizontal="center" vertical="center"/>
    </xf>
    <xf numFmtId="176" fontId="2" fillId="0" borderId="0" xfId="0" applyNumberFormat="1" applyFont="1" applyAlignment="1">
      <alignment horizontal="center" vertical="center"/>
    </xf>
    <xf numFmtId="177" fontId="2" fillId="0" borderId="0" xfId="0" applyNumberFormat="1" applyFont="1" applyAlignment="1">
      <alignment horizontal="center" vertical="center"/>
    </xf>
    <xf numFmtId="178" fontId="3" fillId="2" borderId="10" xfId="0" applyNumberFormat="1" applyFont="1" applyFill="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9" fontId="10" fillId="0" borderId="7" xfId="0" applyNumberFormat="1" applyFont="1" applyBorder="1" applyAlignment="1">
      <alignment horizontal="center" vertical="center"/>
    </xf>
    <xf numFmtId="179" fontId="3" fillId="0" borderId="11" xfId="0" applyNumberFormat="1" applyFont="1" applyBorder="1" applyAlignment="1">
      <alignment horizontal="center" vertical="center"/>
    </xf>
    <xf numFmtId="10" fontId="3" fillId="0" borderId="9" xfId="0" applyNumberFormat="1" applyFont="1" applyBorder="1" applyAlignment="1">
      <alignment vertical="center"/>
    </xf>
    <xf numFmtId="10" fontId="3" fillId="0" borderId="34" xfId="0" applyNumberFormat="1" applyFont="1" applyBorder="1" applyAlignment="1">
      <alignment vertical="center"/>
    </xf>
    <xf numFmtId="10" fontId="3" fillId="0" borderId="35" xfId="0" applyNumberFormat="1" applyFont="1" applyBorder="1" applyAlignment="1">
      <alignment vertical="center"/>
    </xf>
    <xf numFmtId="10" fontId="3" fillId="0" borderId="36" xfId="0" applyNumberFormat="1" applyFont="1" applyBorder="1" applyAlignment="1">
      <alignment vertical="center"/>
    </xf>
    <xf numFmtId="179" fontId="10" fillId="0" borderId="7" xfId="0" applyNumberFormat="1" applyFont="1" applyBorder="1" applyAlignment="1">
      <alignment horizontal="center" vertical="center"/>
    </xf>
    <xf numFmtId="176" fontId="4" fillId="4" borderId="4" xfId="0" applyNumberFormat="1" applyFont="1" applyFill="1" applyBorder="1" applyAlignment="1">
      <alignment horizontal="center" vertical="center"/>
    </xf>
    <xf numFmtId="0" fontId="6" fillId="2" borderId="9" xfId="0" applyFont="1" applyFill="1" applyBorder="1" applyAlignment="1">
      <alignment horizontal="center" vertical="center"/>
    </xf>
    <xf numFmtId="176" fontId="3" fillId="0" borderId="0" xfId="0" applyNumberFormat="1" applyFont="1" applyAlignment="1">
      <alignment horizontal="center" vertical="center"/>
    </xf>
    <xf numFmtId="176" fontId="7" fillId="0" borderId="0" xfId="0" applyNumberFormat="1" applyFont="1" applyAlignment="1">
      <alignment horizontal="center" vertical="center"/>
    </xf>
    <xf numFmtId="178" fontId="1" fillId="21" borderId="7" xfId="0" applyNumberFormat="1" applyFont="1" applyFill="1" applyBorder="1" applyAlignment="1">
      <alignment horizontal="center" vertical="center"/>
    </xf>
    <xf numFmtId="176" fontId="3" fillId="0" borderId="6" xfId="0" applyNumberFormat="1" applyFont="1" applyBorder="1" applyAlignment="1">
      <alignment horizontal="center" vertical="center"/>
    </xf>
    <xf numFmtId="0" fontId="8" fillId="0" borderId="10" xfId="0" applyFont="1" applyBorder="1" applyAlignment="1">
      <alignment vertical="center"/>
    </xf>
    <xf numFmtId="0" fontId="0" fillId="0" borderId="0" xfId="0" applyAlignment="1">
      <alignment vertical="center"/>
    </xf>
    <xf numFmtId="178" fontId="3" fillId="2" borderId="6" xfId="0" applyNumberFormat="1" applyFont="1" applyFill="1" applyBorder="1" applyAlignment="1">
      <alignment horizontal="center" vertical="center"/>
    </xf>
    <xf numFmtId="0" fontId="4" fillId="0" borderId="22" xfId="0" applyFont="1" applyBorder="1" applyAlignment="1">
      <alignment horizontal="center" vertical="center"/>
    </xf>
    <xf numFmtId="0" fontId="8" fillId="0" borderId="23" xfId="0" applyFont="1" applyBorder="1" applyAlignment="1">
      <alignment vertical="center"/>
    </xf>
    <xf numFmtId="0" fontId="8" fillId="0" borderId="15" xfId="0" applyFont="1" applyBorder="1" applyAlignment="1">
      <alignment vertical="center"/>
    </xf>
    <xf numFmtId="185" fontId="4" fillId="13" borderId="13" xfId="0" applyNumberFormat="1" applyFont="1" applyFill="1" applyBorder="1" applyAlignment="1">
      <alignment horizontal="center" vertical="center" wrapText="1"/>
    </xf>
    <xf numFmtId="0" fontId="8" fillId="0" borderId="14" xfId="0" applyFont="1" applyBorder="1" applyAlignment="1">
      <alignment vertical="center"/>
    </xf>
    <xf numFmtId="0" fontId="8" fillId="0" borderId="17" xfId="0" applyFont="1" applyBorder="1" applyAlignment="1">
      <alignment vertical="center"/>
    </xf>
    <xf numFmtId="0" fontId="8" fillId="0" borderId="26" xfId="0" applyFont="1" applyBorder="1" applyAlignment="1">
      <alignment vertical="center"/>
    </xf>
    <xf numFmtId="0" fontId="11" fillId="0" borderId="8" xfId="0" applyFont="1" applyBorder="1" applyAlignment="1">
      <alignment horizontal="center" vertical="center"/>
    </xf>
    <xf numFmtId="0" fontId="8" fillId="0" borderId="27" xfId="0" applyFont="1" applyBorder="1" applyAlignment="1">
      <alignment vertical="center"/>
    </xf>
    <xf numFmtId="0" fontId="8" fillId="0" borderId="28" xfId="0" applyFont="1" applyBorder="1" applyAlignment="1">
      <alignment vertical="center"/>
    </xf>
    <xf numFmtId="0" fontId="3" fillId="0" borderId="31" xfId="0" applyFont="1" applyBorder="1" applyAlignment="1">
      <alignment vertical="center"/>
    </xf>
    <xf numFmtId="0" fontId="8" fillId="0" borderId="29" xfId="0" applyFont="1" applyBorder="1" applyAlignment="1">
      <alignment vertical="center"/>
    </xf>
    <xf numFmtId="178" fontId="3" fillId="2" borderId="6" xfId="0" applyNumberFormat="1" applyFont="1" applyFill="1" applyBorder="1" applyAlignment="1">
      <alignment horizontal="right" vertical="center"/>
    </xf>
    <xf numFmtId="0" fontId="3" fillId="0" borderId="34" xfId="0" applyFont="1" applyBorder="1" applyAlignment="1">
      <alignment vertical="center"/>
    </xf>
    <xf numFmtId="0" fontId="20" fillId="0" borderId="17" xfId="0" applyFont="1" applyBorder="1" applyAlignment="1">
      <alignment horizontal="center" vertical="center"/>
    </xf>
    <xf numFmtId="176" fontId="3" fillId="0" borderId="6" xfId="0" applyNumberFormat="1" applyFont="1" applyBorder="1" applyAlignment="1">
      <alignment horizontal="right" vertical="center"/>
    </xf>
    <xf numFmtId="0" fontId="11" fillId="0" borderId="8" xfId="0" applyFont="1" applyBorder="1" applyAlignment="1">
      <alignment horizontal="center" vertical="center" wrapText="1"/>
    </xf>
    <xf numFmtId="185" fontId="4" fillId="13" borderId="25" xfId="0" applyNumberFormat="1" applyFont="1" applyFill="1" applyBorder="1" applyAlignment="1">
      <alignment horizontal="center" vertical="center" wrapText="1"/>
    </xf>
    <xf numFmtId="0" fontId="12" fillId="0" borderId="8" xfId="0" applyFont="1" applyBorder="1" applyAlignment="1">
      <alignment horizontal="center" vertical="center"/>
    </xf>
    <xf numFmtId="185" fontId="11" fillId="0" borderId="8" xfId="0" applyNumberFormat="1" applyFont="1" applyBorder="1" applyAlignment="1">
      <alignment horizontal="center" vertical="center"/>
    </xf>
    <xf numFmtId="0" fontId="8" fillId="0" borderId="34" xfId="0" applyFont="1" applyBorder="1" applyAlignment="1">
      <alignment vertical="center"/>
    </xf>
    <xf numFmtId="178" fontId="3" fillId="2" borderId="6" xfId="0" applyNumberFormat="1" applyFont="1" applyFill="1" applyBorder="1" applyAlignment="1">
      <alignment vertical="center"/>
    </xf>
    <xf numFmtId="176" fontId="3" fillId="0" borderId="6" xfId="0" applyNumberFormat="1" applyFont="1" applyBorder="1" applyAlignment="1">
      <alignment vertical="center"/>
    </xf>
    <xf numFmtId="0" fontId="3"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9" Type="http://customschemas.google.com/relationships/workbookmetadata" Target="metadata"/><Relationship Id="rId3" Type="http://schemas.openxmlformats.org/officeDocument/2006/relationships/worksheet" Target="worksheets/sheet3.xml"/><Relationship Id="rId42" Type="http://schemas.openxmlformats.org/officeDocument/2006/relationships/sharedStrings" Target="sharedStrings.xml"/><Relationship Id="rId2" Type="http://schemas.openxmlformats.org/officeDocument/2006/relationships/worksheet" Target="worksheets/sheet2.xml"/><Relationship Id="rId41" Type="http://schemas.openxmlformats.org/officeDocument/2006/relationships/styles" Target="styles.xml"/><Relationship Id="rId1" Type="http://schemas.openxmlformats.org/officeDocument/2006/relationships/worksheet" Target="worksheets/sheet1.xml"/><Relationship Id="rId40" Type="http://schemas.openxmlformats.org/officeDocument/2006/relationships/theme" Target="theme/theme1.xml"/><Relationship Id="rId4" Type="http://schemas.openxmlformats.org/officeDocument/2006/relationships/worksheet" Target="worksheets/sheet4.xml"/><Relationship Id="rId43"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985"/>
  <sheetViews>
    <sheetView showGridLines="0" workbookViewId="0">
      <pane xSplit="3" topLeftCell="D1" activePane="topRight" state="frozen"/>
      <selection pane="topRight" activeCell="E2" sqref="E2"/>
    </sheetView>
  </sheetViews>
  <sheetFormatPr defaultColWidth="14.42578125" defaultRowHeight="15" customHeight="1"/>
  <cols>
    <col min="1" max="1" width="13.7109375" customWidth="1"/>
    <col min="2" max="2" width="13.5703125" customWidth="1"/>
    <col min="3" max="3" width="16.42578125" customWidth="1"/>
    <col min="4" max="20" width="13.5703125" customWidth="1"/>
    <col min="21" max="21" width="18.5703125" customWidth="1"/>
    <col min="22" max="49" width="13.5703125" customWidth="1"/>
  </cols>
  <sheetData>
    <row r="1" spans="1:49" ht="28.5" customHeight="1">
      <c r="A1" s="155" t="s">
        <v>106</v>
      </c>
      <c r="B1" s="155"/>
      <c r="C1" s="1"/>
      <c r="D1" s="1"/>
      <c r="E1" s="1"/>
      <c r="F1" s="156"/>
      <c r="G1" s="157"/>
      <c r="H1" s="157"/>
      <c r="I1" s="157"/>
      <c r="J1" s="157"/>
      <c r="K1" s="157"/>
      <c r="L1" s="157"/>
      <c r="M1" s="3"/>
      <c r="N1" s="157"/>
      <c r="O1" s="1"/>
      <c r="P1" s="5"/>
      <c r="Q1" s="3"/>
      <c r="R1" s="1">
        <v>192</v>
      </c>
      <c r="S1" s="1"/>
      <c r="T1" s="155"/>
      <c r="U1" s="11"/>
      <c r="V1" s="157"/>
      <c r="W1" s="157"/>
      <c r="X1" s="155"/>
      <c r="Y1" s="155"/>
      <c r="Z1" s="155"/>
      <c r="AA1" s="155"/>
      <c r="AB1" s="155"/>
      <c r="AC1" s="157"/>
      <c r="AD1" s="155"/>
      <c r="AE1" s="155"/>
      <c r="AF1" s="155"/>
      <c r="AG1" s="155"/>
      <c r="AH1" s="155"/>
      <c r="AI1" s="155"/>
      <c r="AJ1" s="155"/>
      <c r="AK1" s="155"/>
      <c r="AL1" s="155"/>
      <c r="AM1" s="155"/>
      <c r="AN1" s="155"/>
      <c r="AO1" s="155"/>
      <c r="AP1" s="155"/>
      <c r="AQ1" s="155"/>
      <c r="AR1" s="155"/>
      <c r="AS1" s="155"/>
      <c r="AT1" s="155"/>
      <c r="AU1" s="155"/>
      <c r="AV1" s="155"/>
      <c r="AW1" s="155"/>
    </row>
    <row r="2" spans="1:49" ht="28.5" customHeight="1">
      <c r="A2" s="155"/>
      <c r="B2" s="158"/>
      <c r="C2" s="159" t="s">
        <v>101</v>
      </c>
      <c r="D2" s="160" t="s">
        <v>0</v>
      </c>
      <c r="E2" s="160" t="s">
        <v>1</v>
      </c>
      <c r="F2" s="161" t="s">
        <v>2</v>
      </c>
      <c r="G2" s="162" t="s">
        <v>3</v>
      </c>
      <c r="H2" s="163" t="s">
        <v>8</v>
      </c>
      <c r="I2" s="163" t="s">
        <v>102</v>
      </c>
      <c r="J2" s="163" t="s">
        <v>9</v>
      </c>
      <c r="K2" s="164" t="s">
        <v>10</v>
      </c>
      <c r="L2" s="14" t="s">
        <v>11</v>
      </c>
      <c r="M2" s="16" t="s">
        <v>12</v>
      </c>
      <c r="N2" s="16" t="s">
        <v>13</v>
      </c>
      <c r="O2" s="17" t="s">
        <v>14</v>
      </c>
      <c r="P2" s="18" t="s">
        <v>15</v>
      </c>
      <c r="Q2" s="18" t="s">
        <v>16</v>
      </c>
      <c r="R2" s="18" t="s">
        <v>17</v>
      </c>
      <c r="S2" s="19" t="s">
        <v>18</v>
      </c>
      <c r="T2" s="19" t="s">
        <v>19</v>
      </c>
      <c r="U2" s="20" t="s">
        <v>20</v>
      </c>
      <c r="V2" s="21" t="s">
        <v>93</v>
      </c>
      <c r="W2" s="146" t="s">
        <v>21</v>
      </c>
      <c r="X2" s="21" t="s">
        <v>22</v>
      </c>
      <c r="Y2" s="147" t="s">
        <v>23</v>
      </c>
      <c r="Z2" s="23" t="s">
        <v>21</v>
      </c>
      <c r="AA2" s="23" t="s">
        <v>24</v>
      </c>
      <c r="AB2" s="23" t="s">
        <v>26</v>
      </c>
      <c r="AC2" s="24" t="s">
        <v>27</v>
      </c>
      <c r="AD2" s="124" t="s">
        <v>94</v>
      </c>
      <c r="AE2" s="125" t="s">
        <v>95</v>
      </c>
      <c r="AF2" s="155"/>
      <c r="AG2" s="155"/>
      <c r="AH2" s="155"/>
      <c r="AI2" s="155"/>
      <c r="AJ2" s="155"/>
      <c r="AK2" s="155"/>
      <c r="AL2" s="155"/>
      <c r="AM2" s="155"/>
      <c r="AN2" s="155"/>
      <c r="AO2" s="155"/>
      <c r="AP2" s="155"/>
      <c r="AQ2" s="155"/>
      <c r="AR2" s="155"/>
      <c r="AS2" s="155"/>
      <c r="AT2" s="155"/>
      <c r="AU2" s="155"/>
      <c r="AV2" s="155"/>
      <c r="AW2" s="155"/>
    </row>
    <row r="3" spans="1:49" ht="28.5" customHeight="1">
      <c r="A3" s="155"/>
      <c r="B3" s="165"/>
      <c r="C3" s="42" t="s">
        <v>107</v>
      </c>
      <c r="D3" s="28">
        <f t="shared" ref="D3:D19" si="0">AC3/O3</f>
        <v>0.18064454785264461</v>
      </c>
      <c r="E3" s="29">
        <f t="shared" ref="E3:E19" si="1">AB3/O3</f>
        <v>0.42342160951212193</v>
      </c>
      <c r="F3" s="29">
        <f t="shared" ref="F3:F19" si="2">(S3+U3)/O3</f>
        <v>0.24277706165947729</v>
      </c>
      <c r="G3" s="30" t="e">
        <f t="shared" ref="G3:G19" si="3">H3/AG3</f>
        <v>#DIV/0!</v>
      </c>
      <c r="H3" s="31">
        <f>SUMIF(헤몬팜일일!$C$1:$C$40,$C3,헤몬팜일일!O$1:O$40)</f>
        <v>282</v>
      </c>
      <c r="I3" s="138">
        <f t="shared" ref="I3:I19" si="4">H3/7</f>
        <v>40.285714285714285</v>
      </c>
      <c r="J3" s="31">
        <f>SUMIF(헤몬팜일일!$C$1:$C$40,$C3,헤몬팜일일!P$1:P$40)</f>
        <v>282</v>
      </c>
      <c r="K3" s="31">
        <f>SUMIF(헤몬팜일일!$C$1:$C$40,$C3,헤몬팜일일!Q$1:Q$40)</f>
        <v>27</v>
      </c>
      <c r="L3" s="31">
        <f>SUMIF(헤몬팜일일!$C$1:$C$40,$C3,헤몬팜일일!S$1:S$40)</f>
        <v>0</v>
      </c>
      <c r="M3" s="31">
        <f>SUMIF(헤몬팜일일!$C$1:$C$40,$C3,헤몬팜일일!T$1:T$40)</f>
        <v>7882000</v>
      </c>
      <c r="N3" s="31">
        <f>SUMIF(헤몬팜일일!$C$1:$C$40,$C3,헤몬팜일일!U$1:U$40)</f>
        <v>0</v>
      </c>
      <c r="O3" s="31">
        <f>SUMIF(헤몬팜일일!$C$1:$C$40,$C3,헤몬팜일일!V$1:V$40)</f>
        <v>7882000</v>
      </c>
      <c r="P3" s="34">
        <f t="shared" ref="P3:P19" si="5">O3/J3</f>
        <v>27950.35460992908</v>
      </c>
      <c r="Q3" s="31">
        <f>SUMIF(헤몬팜일일!$C$1:$C$40,$C3,헤몬팜일일!X$1:X$40)</f>
        <v>17701.72</v>
      </c>
      <c r="R3" s="31">
        <f>SUMIF(헤몬팜일일!$C$1:$C$40,$C3,헤몬팜일일!Y$1:Y$40)</f>
        <v>2607107.3711999999</v>
      </c>
      <c r="S3" s="31">
        <f>SUMIF(헤몬팜일일!$C$1:$C$40,$C3,헤몬팜일일!Z$1:Z$40)</f>
        <v>1913568.8</v>
      </c>
      <c r="T3" s="31">
        <f>SUMIF(헤몬팜일일!$C$1:$C$40,$C3,헤몬팜일일!AA$1:AA$40)</f>
        <v>1739608</v>
      </c>
      <c r="U3" s="31">
        <f>SUMIF(헤몬팜일일!$C$1:$C$40,$C3,헤몬팜일일!AB$1:AB$40)</f>
        <v>0</v>
      </c>
      <c r="V3" s="31">
        <f>SUMIF(헤몬팜일일!$C$1:$C$40,$C3,헤몬팜일일!AC$1:AC$40)</f>
        <v>58644</v>
      </c>
      <c r="W3" s="152">
        <v>0.1</v>
      </c>
      <c r="X3" s="31">
        <f>SUMIF(헤몬팜일일!$C$1:$C$40,$C3,헤몬팜일일!AE$1:AE$40)</f>
        <v>860100</v>
      </c>
      <c r="Y3" s="28">
        <f t="shared" ref="Y3:Y19" si="6">W3+(X3/O3)</f>
        <v>0.20912205024105557</v>
      </c>
      <c r="Z3" s="31">
        <f>SUMIF(헤몬팜일일!$C$1:$C$40,$C3,헤몬팜일일!AG$1:AG$40)</f>
        <v>1648300.06</v>
      </c>
      <c r="AA3" s="31">
        <f>SUMIF(헤몬팜일일!$C$1:$C$40,$C3,헤몬팜일일!AH$1:AH$40)</f>
        <v>289183.44262545451</v>
      </c>
      <c r="AB3" s="31">
        <f>SUMIF(헤몬팜일일!$C$1:$C$40,$C3,헤몬팜일일!AJ$1:AK$40)</f>
        <v>3337409.1261745449</v>
      </c>
      <c r="AC3" s="31">
        <f>SUMIF(헤몬팜일일!$C$1:$C$40,$C3,헤몬팜일일!AK$1:AK$40)</f>
        <v>1423840.3261745449</v>
      </c>
      <c r="AD3" s="31">
        <f>SUMIF(헤몬팜일일!$C$1:$C$40,$C3,헤몬팜일일!AK$1:AK$40)</f>
        <v>1423840.3261745449</v>
      </c>
      <c r="AE3" s="31">
        <f>SUMIF(헤몬팜일일!$C$1:$C$40,$C3,헤몬팜일일!AL$1:AL$40)</f>
        <v>129.16800000000001</v>
      </c>
      <c r="AF3" s="155"/>
      <c r="AG3" s="155"/>
      <c r="AH3" s="155"/>
      <c r="AI3" s="155"/>
      <c r="AJ3" s="155"/>
      <c r="AK3" s="155"/>
      <c r="AL3" s="155"/>
      <c r="AM3" s="155"/>
      <c r="AN3" s="155"/>
      <c r="AO3" s="155"/>
      <c r="AP3" s="155"/>
      <c r="AQ3" s="155"/>
      <c r="AR3" s="155"/>
      <c r="AS3" s="155"/>
      <c r="AT3" s="155"/>
      <c r="AU3" s="155"/>
      <c r="AV3" s="155"/>
      <c r="AW3" s="155"/>
    </row>
    <row r="4" spans="1:49" ht="28.5" customHeight="1">
      <c r="A4" s="155"/>
      <c r="B4" s="158"/>
      <c r="C4" s="42" t="s">
        <v>108</v>
      </c>
      <c r="D4" s="28">
        <f t="shared" si="0"/>
        <v>-1.9440465358430119E-2</v>
      </c>
      <c r="E4" s="29">
        <f t="shared" si="1"/>
        <v>0.40985028354024833</v>
      </c>
      <c r="F4" s="29">
        <f t="shared" si="2"/>
        <v>0.42929074889867846</v>
      </c>
      <c r="G4" s="30" t="e">
        <f t="shared" si="3"/>
        <v>#DIV/0!</v>
      </c>
      <c r="H4" s="31">
        <f>SUMIF(헤몬팜일일!$C$1:$C$40,$C4,헤몬팜일일!O$1:O$40)</f>
        <v>1</v>
      </c>
      <c r="I4" s="138">
        <f t="shared" si="4"/>
        <v>0.14285714285714285</v>
      </c>
      <c r="J4" s="31">
        <f>SUMIF(헤몬팜일일!$C$1:$C$40,$C4,헤몬팜일일!P$1:P$40)</f>
        <v>1</v>
      </c>
      <c r="K4" s="31">
        <f>SUMIF(헤몬팜일일!$C$1:$C$40,$C4,헤몬팜일일!Q$1:Q$40)</f>
        <v>0</v>
      </c>
      <c r="L4" s="31">
        <f>SUMIF(헤몬팜일일!$C$1:$C$40,$C4,헤몬팜일일!S$1:S$40)</f>
        <v>0</v>
      </c>
      <c r="M4" s="31">
        <f>SUMIF(헤몬팜일일!$C$1:$C$40,$C4,헤몬팜일일!T$1:T$40)</f>
        <v>22700</v>
      </c>
      <c r="N4" s="31">
        <f>SUMIF(헤몬팜일일!$C$1:$C$40,$C4,헤몬팜일일!U$1:U$40)</f>
        <v>0</v>
      </c>
      <c r="O4" s="31">
        <f>SUMIF(헤몬팜일일!$C$1:$C$40,$C4,헤몬팜일일!V$1:V$40)</f>
        <v>22700</v>
      </c>
      <c r="P4" s="34">
        <f t="shared" si="5"/>
        <v>22700</v>
      </c>
      <c r="Q4" s="31">
        <f>SUMIF(헤몬팜일일!$C$1:$C$40,$C4,헤몬팜일일!X$1:X$40)</f>
        <v>14161.375999999998</v>
      </c>
      <c r="R4" s="31">
        <f>SUMIF(헤몬팜일일!$C$1:$C$40,$C4,헤몬팜일일!Y$1:Y$40)</f>
        <v>7377.3279999999995</v>
      </c>
      <c r="S4" s="31">
        <f>SUMIF(헤몬팜일일!$C$1:$C$40,$C4,헤몬팜일일!Z$1:Z$40)</f>
        <v>9744.9000000000015</v>
      </c>
      <c r="T4" s="31">
        <f>SUMIF(헤몬팜일일!$C$1:$C$40,$C4,헤몬팜일일!AA$1:AA$40)</f>
        <v>8859</v>
      </c>
      <c r="U4" s="31">
        <f>SUMIF(헤몬팜일일!$C$1:$C$40,$C4,헤몬팜일일!AB$1:AB$40)</f>
        <v>0</v>
      </c>
      <c r="V4" s="31">
        <f>SUMIF(헤몬팜일일!$C$1:$C$40,$C4,헤몬팜일일!AC$1:AC$40)</f>
        <v>0</v>
      </c>
      <c r="W4" s="152">
        <v>0.1</v>
      </c>
      <c r="X4" s="31">
        <f>SUMIF(헤몬팜일일!$C$1:$C$40,$C4,헤몬팜일일!AE$1:AE$40)</f>
        <v>2950</v>
      </c>
      <c r="Y4" s="28">
        <f t="shared" si="6"/>
        <v>0.22995594713656389</v>
      </c>
      <c r="Z4" s="31">
        <f>SUMIF(헤몬팜일일!$C$1:$C$40,$C4,헤몬팜일일!AG$1:AG$40)</f>
        <v>5220.03</v>
      </c>
      <c r="AA4" s="31">
        <f>SUMIF(헤몬팜일일!$C$1:$C$40,$C4,헤몬팜일일!AH$1:AH$40)</f>
        <v>799.04056363636346</v>
      </c>
      <c r="AB4" s="31">
        <f>SUMIF(헤몬팜일일!$C$1:$C$40,$C4,헤몬팜일일!AJ$1:AK$40)</f>
        <v>9303.6014363636368</v>
      </c>
      <c r="AC4" s="31">
        <f>SUMIF(헤몬팜일일!$C$1:$C$40,$C4,헤몬팜일일!AK$1:AK$40)</f>
        <v>-441.29856363636372</v>
      </c>
      <c r="AD4" s="31">
        <f>SUMIF(헤몬팜일일!$C$1:$C$40,$C4,헤몬팜일일!AK$1:AK$40)</f>
        <v>-441.29856363636372</v>
      </c>
      <c r="AE4" s="31">
        <f>SUMIF(헤몬팜일일!$C$1:$C$40,$C4,헤몬팜일일!AL$1:AL$40)</f>
        <v>97.2</v>
      </c>
      <c r="AF4" s="155"/>
      <c r="AG4" s="155"/>
      <c r="AH4" s="155"/>
      <c r="AI4" s="155"/>
      <c r="AJ4" s="155"/>
      <c r="AK4" s="155"/>
      <c r="AL4" s="155"/>
      <c r="AM4" s="155"/>
      <c r="AN4" s="155"/>
      <c r="AO4" s="155"/>
      <c r="AP4" s="155"/>
      <c r="AQ4" s="155"/>
      <c r="AR4" s="155"/>
      <c r="AS4" s="155"/>
      <c r="AT4" s="155"/>
      <c r="AU4" s="155"/>
      <c r="AV4" s="155"/>
      <c r="AW4" s="155"/>
    </row>
    <row r="5" spans="1:49" ht="28.5" customHeight="1">
      <c r="A5" s="155"/>
      <c r="B5" s="158"/>
      <c r="C5" s="42" t="s">
        <v>109</v>
      </c>
      <c r="D5" s="28" t="e">
        <f t="shared" si="0"/>
        <v>#REF!</v>
      </c>
      <c r="E5" s="29" t="e">
        <f t="shared" si="1"/>
        <v>#REF!</v>
      </c>
      <c r="F5" s="29">
        <f t="shared" si="2"/>
        <v>0.16581058951965066</v>
      </c>
      <c r="G5" s="30" t="e">
        <f t="shared" si="3"/>
        <v>#DIV/0!</v>
      </c>
      <c r="H5" s="31">
        <f>SUMIF(헤몬팜일일!$C$1:$C$40,$C5,헤몬팜일일!O$1:O$40)</f>
        <v>4</v>
      </c>
      <c r="I5" s="138">
        <f t="shared" si="4"/>
        <v>0.5714285714285714</v>
      </c>
      <c r="J5" s="31">
        <f>SUMIF(헤몬팜일일!$C$1:$C$40,$C5,헤몬팜일일!P$1:P$40)</f>
        <v>4</v>
      </c>
      <c r="K5" s="31">
        <f>SUMIF(헤몬팜일일!$C$1:$C$40,$C5,헤몬팜일일!Q$1:Q$40)</f>
        <v>1</v>
      </c>
      <c r="L5" s="31">
        <f>SUMIF(헤몬팜일일!$C$1:$C$40,$C5,헤몬팜일일!S$1:S$40)</f>
        <v>0</v>
      </c>
      <c r="M5" s="31">
        <f>SUMIF(헤몬팜일일!$C$1:$C$40,$C5,헤몬팜일일!T$1:T$40)</f>
        <v>183200</v>
      </c>
      <c r="N5" s="31">
        <f>SUMIF(헤몬팜일일!$C$1:$C$40,$C5,헤몬팜일일!U$1:U$40)</f>
        <v>0</v>
      </c>
      <c r="O5" s="31">
        <f>SUMIF(헤몬팜일일!$C$1:$C$40,$C5,헤몬팜일일!V$1:V$40)</f>
        <v>183200</v>
      </c>
      <c r="P5" s="34">
        <f t="shared" si="5"/>
        <v>45800</v>
      </c>
      <c r="Q5" s="31">
        <f>SUMIF(헤몬팜일일!$C$1:$C$40,$C5,헤몬팜일일!X$1:X$40)</f>
        <v>19980.816449999998</v>
      </c>
      <c r="R5" s="31" t="e">
        <f>SUMIF(헤몬팜일일!$C$1:$C$40,$C5,헤몬팜일일!Y$1:Y$40)</f>
        <v>#REF!</v>
      </c>
      <c r="S5" s="31">
        <f>SUMIF(헤몬팜일일!$C$1:$C$40,$C5,헤몬팜일일!Z$1:Z$40)</f>
        <v>30376.5</v>
      </c>
      <c r="T5" s="31">
        <f>SUMIF(헤몬팜일일!$C$1:$C$40,$C5,헤몬팜일일!AA$1:AA$40)</f>
        <v>27615</v>
      </c>
      <c r="U5" s="31">
        <f>SUMIF(헤몬팜일일!$C$1:$C$40,$C5,헤몬팜일일!AB$1:AB$40)</f>
        <v>0</v>
      </c>
      <c r="V5" s="31">
        <f>SUMIF(헤몬팜일일!$C$1:$C$40,$C5,헤몬팜일일!AC$1:AC$40)</f>
        <v>2310</v>
      </c>
      <c r="W5" s="152">
        <v>0.1</v>
      </c>
      <c r="X5" s="31">
        <f>SUMIF(헤몬팜일일!$C$1:$C$40,$C5,헤몬팜일일!AE$1:AE$40)</f>
        <v>16600</v>
      </c>
      <c r="Y5" s="28">
        <f t="shared" si="6"/>
        <v>0.19061135371179039</v>
      </c>
      <c r="Z5" s="31">
        <f>SUMIF(헤몬팜일일!$C$1:$C$40,$C5,헤몬팜일일!AG$1:AG$40)</f>
        <v>36752.06</v>
      </c>
      <c r="AA5" s="31" t="e">
        <f>SUMIF(헤몬팜일일!$C$1:$C$40,$C5,헤몬팜일일!AH$1:AH$40)</f>
        <v>#REF!</v>
      </c>
      <c r="AB5" s="31" t="e">
        <f>SUMIF(헤몬팜일일!$C$1:$C$40,$C5,헤몬팜일일!AJ$1:AK$40)</f>
        <v>#REF!</v>
      </c>
      <c r="AC5" s="31" t="e">
        <f>SUMIF(헤몬팜일일!$C$1:$C$40,$C5,헤몬팜일일!AK$1:AK$40)</f>
        <v>#REF!</v>
      </c>
      <c r="AD5" s="31" t="e">
        <f>SUMIF(헤몬팜일일!$C$1:$C$40,$C5,헤몬팜일일!AK$1:AK$40)</f>
        <v>#REF!</v>
      </c>
      <c r="AE5" s="31">
        <f>SUMIF(헤몬팜일일!$C$1:$C$40,$C5,헤몬팜일일!AL$1:AL$40)</f>
        <v>324</v>
      </c>
      <c r="AF5" s="155"/>
      <c r="AG5" s="155"/>
      <c r="AH5" s="155"/>
      <c r="AI5" s="155"/>
      <c r="AJ5" s="155"/>
      <c r="AK5" s="155"/>
      <c r="AL5" s="155"/>
      <c r="AM5" s="155"/>
      <c r="AN5" s="155"/>
      <c r="AO5" s="155"/>
      <c r="AP5" s="155"/>
      <c r="AQ5" s="155"/>
      <c r="AR5" s="155"/>
      <c r="AS5" s="155"/>
      <c r="AT5" s="155"/>
      <c r="AU5" s="155"/>
      <c r="AV5" s="155"/>
      <c r="AW5" s="155"/>
    </row>
    <row r="6" spans="1:49" ht="28.5" customHeight="1">
      <c r="A6" s="155"/>
      <c r="B6" s="158"/>
      <c r="C6" s="42" t="s">
        <v>110</v>
      </c>
      <c r="D6" s="28" t="e">
        <f t="shared" si="0"/>
        <v>#REF!</v>
      </c>
      <c r="E6" s="29" t="e">
        <f t="shared" si="1"/>
        <v>#REF!</v>
      </c>
      <c r="F6" s="29">
        <f t="shared" si="2"/>
        <v>0.43974145299145306</v>
      </c>
      <c r="G6" s="30" t="e">
        <f t="shared" si="3"/>
        <v>#DIV/0!</v>
      </c>
      <c r="H6" s="31">
        <f>SUMIF(헤몬팜일일!$C$1:$C$40,$C6,헤몬팜일일!O$1:O$40)</f>
        <v>10</v>
      </c>
      <c r="I6" s="138">
        <f t="shared" si="4"/>
        <v>1.4285714285714286</v>
      </c>
      <c r="J6" s="31">
        <f>SUMIF(헤몬팜일일!$C$1:$C$40,$C6,헤몬팜일일!P$1:P$40)</f>
        <v>10</v>
      </c>
      <c r="K6" s="31">
        <f>SUMIF(헤몬팜일일!$C$1:$C$40,$C6,헤몬팜일일!Q$1:Q$40)</f>
        <v>3</v>
      </c>
      <c r="L6" s="31">
        <f>SUMIF(헤몬팜일일!$C$1:$C$40,$C6,헤몬팜일일!S$1:S$40)</f>
        <v>0</v>
      </c>
      <c r="M6" s="31">
        <f>SUMIF(헤몬팜일일!$C$1:$C$40,$C6,헤몬팜일일!T$1:T$40)</f>
        <v>468000</v>
      </c>
      <c r="N6" s="31">
        <f>SUMIF(헤몬팜일일!$C$1:$C$40,$C6,헤몬팜일일!U$1:U$40)</f>
        <v>0</v>
      </c>
      <c r="O6" s="31">
        <f>SUMIF(헤몬팜일일!$C$1:$C$40,$C6,헤몬팜일일!V$1:V$40)</f>
        <v>468000</v>
      </c>
      <c r="P6" s="34">
        <f t="shared" si="5"/>
        <v>46800</v>
      </c>
      <c r="Q6" s="31">
        <f>SUMIF(헤몬팜일일!$C$1:$C$40,$C6,헤몬팜일일!X$1:X$40)</f>
        <v>19980.816449999998</v>
      </c>
      <c r="R6" s="31" t="e">
        <f>SUMIF(헤몬팜일일!$C$1:$C$40,$C6,헤몬팜일일!Y$1:Y$40)</f>
        <v>#REF!</v>
      </c>
      <c r="S6" s="31">
        <f>SUMIF(헤몬팜일일!$C$1:$C$40,$C6,헤몬팜일일!Z$1:Z$40)</f>
        <v>205799.00000000003</v>
      </c>
      <c r="T6" s="31">
        <f>SUMIF(헤몬팜일일!$C$1:$C$40,$C6,헤몬팜일일!AA$1:AA$40)</f>
        <v>187090</v>
      </c>
      <c r="U6" s="31">
        <f>SUMIF(헤몬팜일일!$C$1:$C$40,$C6,헤몬팜일일!AB$1:AB$40)</f>
        <v>0</v>
      </c>
      <c r="V6" s="31">
        <f>SUMIF(헤몬팜일일!$C$1:$C$40,$C6,헤몬팜일일!AC$1:AC$40)</f>
        <v>6930</v>
      </c>
      <c r="W6" s="152">
        <v>0.1</v>
      </c>
      <c r="X6" s="31">
        <f>SUMIF(헤몬팜일일!$C$1:$C$40,$C6,헤몬팜일일!AE$1:AE$40)</f>
        <v>41500</v>
      </c>
      <c r="Y6" s="28">
        <f t="shared" si="6"/>
        <v>0.18867521367521367</v>
      </c>
      <c r="Z6" s="31">
        <f>SUMIF(헤몬팜일일!$C$1:$C$40,$C6,헤몬팜일일!AG$1:AG$40)</f>
        <v>92980.06</v>
      </c>
      <c r="AA6" s="31" t="e">
        <f>SUMIF(헤몬팜일일!$C$1:$C$40,$C6,헤몬팜일일!AH$1:AH$40)</f>
        <v>#REF!</v>
      </c>
      <c r="AB6" s="31" t="e">
        <f>SUMIF(헤몬팜일일!$C$1:$C$40,$C6,헤몬팜일일!AJ$1:AK$40)</f>
        <v>#REF!</v>
      </c>
      <c r="AC6" s="31" t="e">
        <f>SUMIF(헤몬팜일일!$C$1:$C$40,$C6,헤몬팜일일!AK$1:AK$40)</f>
        <v>#REF!</v>
      </c>
      <c r="AD6" s="31" t="e">
        <f>SUMIF(헤몬팜일일!$C$1:$C$40,$C6,헤몬팜일일!AK$1:AK$40)</f>
        <v>#REF!</v>
      </c>
      <c r="AE6" s="31">
        <f>SUMIF(헤몬팜일일!$C$1:$C$40,$C6,헤몬팜일일!AL$1:AL$40)</f>
        <v>324</v>
      </c>
      <c r="AF6" s="155"/>
      <c r="AG6" s="155"/>
      <c r="AH6" s="155"/>
      <c r="AI6" s="155"/>
      <c r="AJ6" s="155"/>
      <c r="AK6" s="155"/>
      <c r="AL6" s="155"/>
      <c r="AM6" s="155"/>
      <c r="AN6" s="155"/>
      <c r="AO6" s="155"/>
      <c r="AP6" s="155"/>
      <c r="AQ6" s="155"/>
      <c r="AR6" s="155"/>
      <c r="AS6" s="155"/>
      <c r="AT6" s="155"/>
      <c r="AU6" s="155"/>
      <c r="AV6" s="155"/>
      <c r="AW6" s="155"/>
    </row>
    <row r="7" spans="1:49" ht="28.5" customHeight="1">
      <c r="A7" s="155"/>
      <c r="B7" s="158"/>
      <c r="C7" s="42" t="s">
        <v>32</v>
      </c>
      <c r="D7" s="28" t="e">
        <f t="shared" si="0"/>
        <v>#REF!</v>
      </c>
      <c r="E7" s="29" t="e">
        <f t="shared" si="1"/>
        <v>#REF!</v>
      </c>
      <c r="F7" s="29">
        <f t="shared" si="2"/>
        <v>0.27204765886287624</v>
      </c>
      <c r="G7" s="30" t="e">
        <f t="shared" si="3"/>
        <v>#DIV/0!</v>
      </c>
      <c r="H7" s="31">
        <f>SUMIF(헤몬팜일일!$C$1:$C$40,$C7,헤몬팜일일!O$1:O$40)</f>
        <v>4</v>
      </c>
      <c r="I7" s="138">
        <f t="shared" si="4"/>
        <v>0.5714285714285714</v>
      </c>
      <c r="J7" s="31">
        <f>SUMIF(헤몬팜일일!$C$1:$C$40,$C7,헤몬팜일일!P$1:P$40)</f>
        <v>4</v>
      </c>
      <c r="K7" s="31">
        <f>SUMIF(헤몬팜일일!$C$1:$C$40,$C7,헤몬팜일일!Q$1:Q$40)</f>
        <v>0</v>
      </c>
      <c r="L7" s="31">
        <f>SUMIF(헤몬팜일일!$C$1:$C$40,$C7,헤몬팜일일!S$1:S$40)</f>
        <v>0</v>
      </c>
      <c r="M7" s="31">
        <f>SUMIF(헤몬팜일일!$C$1:$C$40,$C7,헤몬팜일일!T$1:T$40)</f>
        <v>239200</v>
      </c>
      <c r="N7" s="31">
        <f>SUMIF(헤몬팜일일!$C$1:$C$40,$C7,헤몬팜일일!U$1:U$40)</f>
        <v>0</v>
      </c>
      <c r="O7" s="31">
        <f>SUMIF(헤몬팜일일!$C$1:$C$40,$C7,헤몬팜일일!V$1:V$40)</f>
        <v>239200</v>
      </c>
      <c r="P7" s="34">
        <f t="shared" si="5"/>
        <v>59800</v>
      </c>
      <c r="Q7" s="31">
        <f>SUMIF(헤몬팜일일!$C$1:$C$40,$C7,헤몬팜일일!X$1:X$40)</f>
        <v>26552.579999999998</v>
      </c>
      <c r="R7" s="31" t="e">
        <f>SUMIF(헤몬팜일일!$C$1:$C$40,$C7,헤몬팜일일!Y$1:Y$40)</f>
        <v>#REF!</v>
      </c>
      <c r="S7" s="31">
        <f>SUMIF(헤몬팜일일!$C$1:$C$40,$C7,헤몬팜일일!Z$1:Z$40)</f>
        <v>65073.8</v>
      </c>
      <c r="T7" s="31">
        <f>SUMIF(헤몬팜일일!$C$1:$C$40,$C7,헤몬팜일일!AA$1:AA$40)</f>
        <v>59158</v>
      </c>
      <c r="U7" s="31">
        <f>SUMIF(헤몬팜일일!$C$1:$C$40,$C7,헤몬팜일일!AB$1:AB$40)</f>
        <v>0</v>
      </c>
      <c r="V7" s="31">
        <f>SUMIF(헤몬팜일일!$C$1:$C$40,$C7,헤몬팜일일!AC$1:AC$40)</f>
        <v>0</v>
      </c>
      <c r="W7" s="152">
        <v>0.1</v>
      </c>
      <c r="X7" s="31">
        <f>SUMIF(헤몬팜일일!$C$1:$C$40,$C7,헤몬팜일일!AE$1:AE$40)</f>
        <v>19300</v>
      </c>
      <c r="Y7" s="28">
        <f t="shared" si="6"/>
        <v>0.180685618729097</v>
      </c>
      <c r="Z7" s="31">
        <f>SUMIF(헤몬팜일일!$C$1:$C$40,$C7,헤몬팜일일!AG$1:AG$40)</f>
        <v>45133.66</v>
      </c>
      <c r="AA7" s="31" t="e">
        <f>SUMIF(헤몬팜일일!$C$1:$C$40,$C7,헤몬팜일일!AH$1:AH$40)</f>
        <v>#REF!</v>
      </c>
      <c r="AB7" s="31" t="e">
        <f>SUMIF(헤몬팜일일!$C$1:$C$40,$C7,헤몬팜일일!AJ$1:AK$40)</f>
        <v>#REF!</v>
      </c>
      <c r="AC7" s="31" t="e">
        <f>SUMIF(헤몬팜일일!$C$1:$C$40,$C7,헤몬팜일일!AK$1:AK$40)</f>
        <v>#REF!</v>
      </c>
      <c r="AD7" s="31" t="e">
        <f>SUMIF(헤몬팜일일!$C$1:$C$40,$C7,헤몬팜일일!AK$1:AK$40)</f>
        <v>#REF!</v>
      </c>
      <c r="AE7" s="31">
        <f>SUMIF(헤몬팜일일!$C$1:$C$40,$C7,헤몬팜일일!AL$1:AL$40)</f>
        <v>743.04</v>
      </c>
      <c r="AF7" s="155"/>
      <c r="AG7" s="155"/>
      <c r="AH7" s="155"/>
      <c r="AI7" s="155"/>
      <c r="AJ7" s="155"/>
      <c r="AK7" s="155"/>
      <c r="AL7" s="155"/>
      <c r="AM7" s="155"/>
      <c r="AN7" s="155"/>
      <c r="AO7" s="155"/>
      <c r="AP7" s="155"/>
      <c r="AQ7" s="155"/>
      <c r="AR7" s="155"/>
      <c r="AS7" s="155"/>
      <c r="AT7" s="155"/>
      <c r="AU7" s="155"/>
      <c r="AV7" s="155"/>
      <c r="AW7" s="155"/>
    </row>
    <row r="8" spans="1:49" ht="28.5" customHeight="1">
      <c r="A8" s="155"/>
      <c r="B8" s="158"/>
      <c r="C8" s="42" t="s">
        <v>33</v>
      </c>
      <c r="D8" s="28" t="e">
        <f t="shared" si="0"/>
        <v>#REF!</v>
      </c>
      <c r="E8" s="29" t="e">
        <f t="shared" si="1"/>
        <v>#REF!</v>
      </c>
      <c r="F8" s="29">
        <f t="shared" si="2"/>
        <v>0.20002565204929781</v>
      </c>
      <c r="G8" s="30" t="e">
        <f t="shared" si="3"/>
        <v>#DIV/0!</v>
      </c>
      <c r="H8" s="31">
        <f>SUMIF(헤몬팜일일!$C$1:$C$40,$C8,헤몬팜일일!O$1:O$40)</f>
        <v>10</v>
      </c>
      <c r="I8" s="138">
        <f t="shared" si="4"/>
        <v>1.4285714285714286</v>
      </c>
      <c r="J8" s="31">
        <f>SUMIF(헤몬팜일일!$C$1:$C$40,$C8,헤몬팜일일!P$1:P$40)</f>
        <v>10</v>
      </c>
      <c r="K8" s="31">
        <f>SUMIF(헤몬팜일일!$C$1:$C$40,$C8,헤몬팜일일!Q$1:Q$40)</f>
        <v>0</v>
      </c>
      <c r="L8" s="31">
        <f>SUMIF(헤몬팜일일!$C$1:$C$40,$C8,헤몬팜일일!S$1:S$40)</f>
        <v>0</v>
      </c>
      <c r="M8" s="31">
        <f>SUMIF(헤몬팜일일!$C$1:$C$40,$C8,헤몬팜일일!T$1:T$40)</f>
        <v>697800</v>
      </c>
      <c r="N8" s="31">
        <f>SUMIF(헤몬팜일일!$C$1:$C$40,$C8,헤몬팜일일!U$1:U$40)</f>
        <v>0</v>
      </c>
      <c r="O8" s="31">
        <f>SUMIF(헤몬팜일일!$C$1:$C$40,$C8,헤몬팜일일!V$1:V$40)</f>
        <v>697800</v>
      </c>
      <c r="P8" s="34">
        <f t="shared" si="5"/>
        <v>69780</v>
      </c>
      <c r="Q8" s="31">
        <f>SUMIF(헤몬팜일일!$C$1:$C$40,$C8,헤몬팜일일!X$1:X$40)</f>
        <v>26552.579999999998</v>
      </c>
      <c r="R8" s="31" t="e">
        <f>SUMIF(헤몬팜일일!$C$1:$C$40,$C8,헤몬팜일일!Y$1:Y$40)</f>
        <v>#REF!</v>
      </c>
      <c r="S8" s="31">
        <f>SUMIF(헤몬팜일일!$C$1:$C$40,$C8,헤몬팜일일!Z$1:Z$40)</f>
        <v>139577.90000000002</v>
      </c>
      <c r="T8" s="31">
        <f>SUMIF(헤몬팜일일!$C$1:$C$40,$C8,헤몬팜일일!AA$1:AA$40)</f>
        <v>126889</v>
      </c>
      <c r="U8" s="31">
        <f>SUMIF(헤몬팜일일!$C$1:$C$40,$C8,헤몬팜일일!AB$1:AB$40)</f>
        <v>0</v>
      </c>
      <c r="V8" s="31">
        <f>SUMIF(헤몬팜일일!$C$1:$C$40,$C8,헤몬팜일일!AC$1:AC$40)</f>
        <v>0</v>
      </c>
      <c r="W8" s="152">
        <v>0.1</v>
      </c>
      <c r="X8" s="31">
        <f>SUMIF(헤몬팜일일!$C$1:$C$40,$C8,헤몬팜일일!AE$1:AE$40)</f>
        <v>48250</v>
      </c>
      <c r="Y8" s="28">
        <f t="shared" si="6"/>
        <v>0.16914588707366007</v>
      </c>
      <c r="Z8" s="31">
        <f>SUMIF(헤몬팜일일!$C$1:$C$40,$C8,헤몬팜일일!AG$1:AG$40)</f>
        <v>123612.45999999999</v>
      </c>
      <c r="AA8" s="31" t="e">
        <f>SUMIF(헤몬팜일일!$C$1:$C$40,$C8,헤몬팜일일!AH$1:AH$40)</f>
        <v>#REF!</v>
      </c>
      <c r="AB8" s="31" t="e">
        <f>SUMIF(헤몬팜일일!$C$1:$C$40,$C8,헤몬팜일일!AJ$1:AK$40)</f>
        <v>#REF!</v>
      </c>
      <c r="AC8" s="31" t="e">
        <f>SUMIF(헤몬팜일일!$C$1:$C$40,$C8,헤몬팜일일!AK$1:AK$40)</f>
        <v>#REF!</v>
      </c>
      <c r="AD8" s="31" t="e">
        <f>SUMIF(헤몬팜일일!$C$1:$C$40,$C8,헤몬팜일일!AK$1:AK$40)</f>
        <v>#REF!</v>
      </c>
      <c r="AE8" s="31">
        <f>SUMIF(헤몬팜일일!$C$1:$C$40,$C8,헤몬팜일일!AL$1:AL$40)</f>
        <v>743.04</v>
      </c>
      <c r="AF8" s="155"/>
      <c r="AG8" s="155"/>
      <c r="AH8" s="155"/>
      <c r="AI8" s="155"/>
      <c r="AJ8" s="155"/>
      <c r="AK8" s="155"/>
      <c r="AL8" s="155"/>
      <c r="AM8" s="155"/>
      <c r="AN8" s="155"/>
      <c r="AO8" s="155"/>
      <c r="AP8" s="155"/>
      <c r="AQ8" s="155"/>
      <c r="AR8" s="155"/>
      <c r="AS8" s="155"/>
      <c r="AT8" s="155"/>
      <c r="AU8" s="155"/>
      <c r="AV8" s="155"/>
      <c r="AW8" s="155"/>
    </row>
    <row r="9" spans="1:49" ht="28.5" customHeight="1">
      <c r="A9" s="155"/>
      <c r="B9" s="158"/>
      <c r="C9" s="42" t="s">
        <v>111</v>
      </c>
      <c r="D9" s="28">
        <f t="shared" si="0"/>
        <v>-0.67714418624807393</v>
      </c>
      <c r="E9" s="29">
        <f t="shared" si="1"/>
        <v>0.42153214271956863</v>
      </c>
      <c r="F9" s="29">
        <f t="shared" si="2"/>
        <v>1.0986763289676424</v>
      </c>
      <c r="G9" s="30" t="e">
        <f t="shared" si="3"/>
        <v>#DIV/0!</v>
      </c>
      <c r="H9" s="31">
        <f>SUMIF(헤몬팜일일!$C$1:$C$40,$C9,헤몬팜일일!O$1:O$40)</f>
        <v>22</v>
      </c>
      <c r="I9" s="138">
        <f t="shared" si="4"/>
        <v>3.1428571428571428</v>
      </c>
      <c r="J9" s="31">
        <f>SUMIF(헤몬팜일일!$C$1:$C$40,$C9,헤몬팜일일!P$1:P$40)</f>
        <v>12</v>
      </c>
      <c r="K9" s="31">
        <f>SUMIF(헤몬팜일일!$C$1:$C$40,$C9,헤몬팜일일!Q$1:Q$40)</f>
        <v>2</v>
      </c>
      <c r="L9" s="31">
        <f>SUMIF(헤몬팜일일!$C$1:$C$40,$C9,헤몬팜일일!S$1:S$40)</f>
        <v>10</v>
      </c>
      <c r="M9" s="31">
        <f>SUMIF(헤몬팜일일!$C$1:$C$40,$C9,헤몬팜일일!T$1:T$40)</f>
        <v>377780</v>
      </c>
      <c r="N9" s="31">
        <f>SUMIF(헤몬팜일일!$C$1:$C$40,$C9,헤몬팜일일!U$1:U$40)</f>
        <v>170100</v>
      </c>
      <c r="O9" s="31">
        <f>SUMIF(헤몬팜일일!$C$1:$C$40,$C9,헤몬팜일일!V$1:V$40)</f>
        <v>207680</v>
      </c>
      <c r="P9" s="34">
        <f t="shared" si="5"/>
        <v>17306.666666666668</v>
      </c>
      <c r="Q9" s="31">
        <f>SUMIF(헤몬팜일일!$C$1:$C$40,$C9,헤몬팜일일!X$1:X$40)</f>
        <v>10178.489</v>
      </c>
      <c r="R9" s="31">
        <f>SUMIF(헤몬팜일일!$C$1:$C$40,$C9,헤몬팜일일!Y$1:Y$40)</f>
        <v>61515.894</v>
      </c>
      <c r="S9" s="31">
        <f>SUMIF(헤몬팜일일!$C$1:$C$40,$C9,헤몬팜일일!Z$1:Z$40)</f>
        <v>129498.6</v>
      </c>
      <c r="T9" s="31">
        <f>SUMIF(헤몬팜일일!$C$1:$C$40,$C9,헤몬팜일일!AA$1:AA$40)</f>
        <v>117726</v>
      </c>
      <c r="U9" s="31">
        <f>SUMIF(헤몬팜일일!$C$1:$C$40,$C9,헤몬팜일일!AB$1:AB$40)</f>
        <v>98674.5</v>
      </c>
      <c r="V9" s="31">
        <f>SUMIF(헤몬팜일일!$C$1:$C$40,$C9,헤몬팜일일!AC$1:AC$40)</f>
        <v>4620</v>
      </c>
      <c r="W9" s="152">
        <v>0.1</v>
      </c>
      <c r="X9" s="31">
        <f>SUMIF(헤몬팜일일!$C$1:$C$40,$C9,헤몬팜일일!AE$1:AE$40)</f>
        <v>34800</v>
      </c>
      <c r="Y9" s="28">
        <f t="shared" si="6"/>
        <v>0.26756548536209557</v>
      </c>
      <c r="Z9" s="31">
        <f>SUMIF(헤몬팜일일!$C$1:$C$40,$C9,헤몬팜일일!AG$1:AG$40)</f>
        <v>50999.099999999991</v>
      </c>
      <c r="AA9" s="31">
        <f>SUMIF(헤몬팜일일!$C$1:$C$40,$C9,헤몬팜일일!AH$1:AH$40)</f>
        <v>7621.2105999999985</v>
      </c>
      <c r="AB9" s="31">
        <f>SUMIF(헤몬팜일일!$C$1:$C$40,$C9,헤몬팜일일!AJ$1:AK$40)</f>
        <v>87543.795400000017</v>
      </c>
      <c r="AC9" s="31">
        <f>SUMIF(헤몬팜일일!$C$1:$C$40,$C9,헤몬팜일일!AK$1:AK$40)</f>
        <v>-140629.3046</v>
      </c>
      <c r="AD9" s="31">
        <f>SUMIF(헤몬팜일일!$C$1:$C$40,$C9,헤몬팜일일!AK$1:AK$40)</f>
        <v>-140629.3046</v>
      </c>
      <c r="AE9" s="31">
        <f>SUMIF(헤몬팜일일!$C$1:$C$40,$C9,헤몬팜일일!AL$1:AL$40)</f>
        <v>12.15</v>
      </c>
      <c r="AF9" s="155"/>
      <c r="AG9" s="155"/>
      <c r="AH9" s="155"/>
      <c r="AI9" s="155"/>
      <c r="AJ9" s="155"/>
      <c r="AK9" s="155"/>
      <c r="AL9" s="155"/>
      <c r="AM9" s="155"/>
      <c r="AN9" s="155"/>
      <c r="AO9" s="155"/>
      <c r="AP9" s="155"/>
      <c r="AQ9" s="155"/>
      <c r="AR9" s="155"/>
      <c r="AS9" s="155"/>
      <c r="AT9" s="155"/>
      <c r="AU9" s="155"/>
      <c r="AV9" s="155"/>
      <c r="AW9" s="155"/>
    </row>
    <row r="10" spans="1:49" ht="28.5" customHeight="1">
      <c r="A10" s="155"/>
      <c r="B10" s="158"/>
      <c r="C10" s="42" t="s">
        <v>112</v>
      </c>
      <c r="D10" s="28" t="e">
        <f t="shared" si="0"/>
        <v>#REF!</v>
      </c>
      <c r="E10" s="29" t="e">
        <f t="shared" si="1"/>
        <v>#REF!</v>
      </c>
      <c r="F10" s="29">
        <f t="shared" si="2"/>
        <v>0.14649162479061978</v>
      </c>
      <c r="G10" s="30" t="e">
        <f t="shared" si="3"/>
        <v>#DIV/0!</v>
      </c>
      <c r="H10" s="31">
        <f>SUMIF(헤몬팜일일!$C$1:$C$40,$C10,헤몬팜일일!O$1:O$40)</f>
        <v>15</v>
      </c>
      <c r="I10" s="138">
        <f t="shared" si="4"/>
        <v>2.1428571428571428</v>
      </c>
      <c r="J10" s="31">
        <f>SUMIF(헤몬팜일일!$C$1:$C$40,$C10,헤몬팜일일!P$1:P$40)</f>
        <v>15</v>
      </c>
      <c r="K10" s="31">
        <f>SUMIF(헤몬팜일일!$C$1:$C$40,$C10,헤몬팜일일!Q$1:Q$40)</f>
        <v>1</v>
      </c>
      <c r="L10" s="31">
        <f>SUMIF(헤몬팜일일!$C$1:$C$40,$C10,헤몬팜일일!S$1:S$40)</f>
        <v>0</v>
      </c>
      <c r="M10" s="31">
        <f>SUMIF(헤몬팜일일!$C$1:$C$40,$C10,헤몬팜일일!T$1:T$40)</f>
        <v>597000</v>
      </c>
      <c r="N10" s="31">
        <f>SUMIF(헤몬팜일일!$C$1:$C$40,$C10,헤몬팜일일!U$1:U$40)</f>
        <v>0</v>
      </c>
      <c r="O10" s="31">
        <f>SUMIF(헤몬팜일일!$C$1:$C$40,$C10,헤몬팜일일!V$1:V$40)</f>
        <v>597000</v>
      </c>
      <c r="P10" s="34">
        <f t="shared" si="5"/>
        <v>39800</v>
      </c>
      <c r="Q10" s="31">
        <f>SUMIF(헤몬팜일일!$C$1:$C$40,$C10,헤몬팜일일!X$1:X$40)</f>
        <v>15710.276499999998</v>
      </c>
      <c r="R10" s="31" t="e">
        <f>SUMIF(헤몬팜일일!$C$1:$C$40,$C10,헤몬팜일일!Y$1:Y$40)</f>
        <v>#REF!</v>
      </c>
      <c r="S10" s="31">
        <f>SUMIF(헤몬팜일일!$C$1:$C$40,$C10,헤몬팜일일!Z$1:Z$40)</f>
        <v>87455.500000000015</v>
      </c>
      <c r="T10" s="31">
        <f>SUMIF(헤몬팜일일!$C$1:$C$40,$C10,헤몬팜일일!AA$1:AA$40)</f>
        <v>79505</v>
      </c>
      <c r="U10" s="31">
        <f>SUMIF(헤몬팜일일!$C$1:$C$40,$C10,헤몬팜일일!AB$1:AB$40)</f>
        <v>0</v>
      </c>
      <c r="V10" s="31">
        <f>SUMIF(헤몬팜일일!$C$1:$C$40,$C10,헤몬팜일일!AC$1:AC$40)</f>
        <v>2310</v>
      </c>
      <c r="W10" s="152">
        <v>0.1</v>
      </c>
      <c r="X10" s="31">
        <f>SUMIF(헤몬팜일일!$C$1:$C$40,$C10,헤몬팜일일!AE$1:AE$40)</f>
        <v>62250</v>
      </c>
      <c r="Y10" s="28">
        <f t="shared" si="6"/>
        <v>0.20427135678391961</v>
      </c>
      <c r="Z10" s="31">
        <f>SUMIF(헤몬팜일일!$C$1:$C$40,$C10,헤몬팜일일!AG$1:AG$40)</f>
        <v>110010.06</v>
      </c>
      <c r="AA10" s="31" t="e">
        <f>SUMIF(헤몬팜일일!$C$1:$C$40,$C10,헤몬팜일일!AH$1:AH$40)</f>
        <v>#REF!</v>
      </c>
      <c r="AB10" s="31" t="e">
        <f>SUMIF(헤몬팜일일!$C$1:$C$40,$C10,헤몬팜일일!AJ$1:AK$40)</f>
        <v>#REF!</v>
      </c>
      <c r="AC10" s="31" t="e">
        <f>SUMIF(헤몬팜일일!$C$1:$C$40,$C10,헤몬팜일일!AK$1:AK$40)</f>
        <v>#REF!</v>
      </c>
      <c r="AD10" s="31" t="e">
        <f>SUMIF(헤몬팜일일!$C$1:$C$40,$C10,헤몬팜일일!AK$1:AK$40)</f>
        <v>#REF!</v>
      </c>
      <c r="AE10" s="31">
        <f>SUMIF(헤몬팜일일!$C$1:$C$40,$C10,헤몬팜일일!AL$1:AL$40)</f>
        <v>352.83599999999996</v>
      </c>
      <c r="AF10" s="155"/>
      <c r="AG10" s="155"/>
      <c r="AH10" s="155"/>
      <c r="AI10" s="155"/>
      <c r="AJ10" s="155"/>
      <c r="AK10" s="155"/>
      <c r="AL10" s="155"/>
      <c r="AM10" s="155"/>
      <c r="AN10" s="155"/>
      <c r="AO10" s="155"/>
      <c r="AP10" s="155"/>
      <c r="AQ10" s="155"/>
      <c r="AR10" s="155"/>
      <c r="AS10" s="155"/>
      <c r="AT10" s="155"/>
      <c r="AU10" s="155"/>
      <c r="AV10" s="155"/>
      <c r="AW10" s="155"/>
    </row>
    <row r="11" spans="1:49" ht="28.5" customHeight="1">
      <c r="A11" s="155"/>
      <c r="B11" s="158"/>
      <c r="C11" s="42" t="s">
        <v>113</v>
      </c>
      <c r="D11" s="28" t="e">
        <f t="shared" si="0"/>
        <v>#REF!</v>
      </c>
      <c r="E11" s="29" t="e">
        <f t="shared" si="1"/>
        <v>#REF!</v>
      </c>
      <c r="F11" s="29">
        <f t="shared" si="2"/>
        <v>0.19664957264957267</v>
      </c>
      <c r="G11" s="30" t="e">
        <f t="shared" si="3"/>
        <v>#DIV/0!</v>
      </c>
      <c r="H11" s="31">
        <f>SUMIF(헤몬팜일일!$C$1:$C$40,$C11,헤몬팜일일!O$1:O$40)</f>
        <v>3</v>
      </c>
      <c r="I11" s="138">
        <f t="shared" si="4"/>
        <v>0.42857142857142855</v>
      </c>
      <c r="J11" s="31">
        <f>SUMIF(헤몬팜일일!$C$1:$C$40,$C11,헤몬팜일일!P$1:P$40)</f>
        <v>3</v>
      </c>
      <c r="K11" s="31">
        <f>SUMIF(헤몬팜일일!$C$1:$C$40,$C11,헤몬팜일일!Q$1:Q$40)</f>
        <v>0</v>
      </c>
      <c r="L11" s="31">
        <f>SUMIF(헤몬팜일일!$C$1:$C$40,$C11,헤몬팜일일!S$1:S$40)</f>
        <v>0</v>
      </c>
      <c r="M11" s="31">
        <f>SUMIF(헤몬팜일일!$C$1:$C$40,$C11,헤몬팜일일!T$1:T$40)</f>
        <v>128700</v>
      </c>
      <c r="N11" s="31">
        <f>SUMIF(헤몬팜일일!$C$1:$C$40,$C11,헤몬팜일일!U$1:U$40)</f>
        <v>0</v>
      </c>
      <c r="O11" s="31">
        <f>SUMIF(헤몬팜일일!$C$1:$C$40,$C11,헤몬팜일일!V$1:V$40)</f>
        <v>128700</v>
      </c>
      <c r="P11" s="34">
        <f t="shared" si="5"/>
        <v>42900</v>
      </c>
      <c r="Q11" s="31">
        <f>SUMIF(헤몬팜일일!$C$1:$C$40,$C11,헤몬팜일일!X$1:X$40)</f>
        <v>15710.276499999998</v>
      </c>
      <c r="R11" s="31" t="e">
        <f>SUMIF(헤몬팜일일!$C$1:$C$40,$C11,헤몬팜일일!Y$1:Y$40)</f>
        <v>#REF!</v>
      </c>
      <c r="S11" s="31">
        <f>SUMIF(헤몬팜일일!$C$1:$C$40,$C11,헤몬팜일일!Z$1:Z$40)</f>
        <v>25308.800000000003</v>
      </c>
      <c r="T11" s="31">
        <f>SUMIF(헤몬팜일일!$C$1:$C$40,$C11,헤몬팜일일!AA$1:AA$40)</f>
        <v>23008</v>
      </c>
      <c r="U11" s="31">
        <f>SUMIF(헤몬팜일일!$C$1:$C$40,$C11,헤몬팜일일!AB$1:AB$40)</f>
        <v>0</v>
      </c>
      <c r="V11" s="31">
        <f>SUMIF(헤몬팜일일!$C$1:$C$40,$C11,헤몬팜일일!AC$1:AC$40)</f>
        <v>0</v>
      </c>
      <c r="W11" s="152">
        <v>0.1</v>
      </c>
      <c r="X11" s="31">
        <f>SUMIF(헤몬팜일일!$C$1:$C$40,$C11,헤몬팜일일!AE$1:AE$40)</f>
        <v>5700</v>
      </c>
      <c r="Y11" s="28">
        <f t="shared" si="6"/>
        <v>0.14428904428904429</v>
      </c>
      <c r="Z11" s="31">
        <f>SUMIF(헤몬팜일일!$C$1:$C$40,$C11,헤몬팜일일!AG$1:AG$40)</f>
        <v>15738.630000000001</v>
      </c>
      <c r="AA11" s="31" t="e">
        <f>SUMIF(헤몬팜일일!$C$1:$C$40,$C11,헤몬팜일일!AH$1:AH$40)</f>
        <v>#REF!</v>
      </c>
      <c r="AB11" s="31" t="e">
        <f>SUMIF(헤몬팜일일!$C$1:$C$40,$C11,헤몬팜일일!AJ$1:AK$40)</f>
        <v>#REF!</v>
      </c>
      <c r="AC11" s="31" t="e">
        <f>SUMIF(헤몬팜일일!$C$1:$C$40,$C11,헤몬팜일일!AK$1:AK$40)</f>
        <v>#REF!</v>
      </c>
      <c r="AD11" s="31" t="e">
        <f>SUMIF(헤몬팜일일!$C$1:$C$40,$C11,헤몬팜일일!AK$1:AK$40)</f>
        <v>#REF!</v>
      </c>
      <c r="AE11" s="31">
        <f>SUMIF(헤몬팜일일!$C$1:$C$40,$C11,헤몬팜일일!AL$1:AL$40)</f>
        <v>352.83599999999996</v>
      </c>
      <c r="AF11" s="155"/>
      <c r="AG11" s="155"/>
      <c r="AH11" s="155"/>
      <c r="AI11" s="155"/>
      <c r="AJ11" s="155"/>
      <c r="AK11" s="155"/>
      <c r="AL11" s="155"/>
      <c r="AM11" s="155"/>
      <c r="AN11" s="155"/>
      <c r="AO11" s="155"/>
      <c r="AP11" s="155"/>
      <c r="AQ11" s="155"/>
      <c r="AR11" s="155"/>
      <c r="AS11" s="155"/>
      <c r="AT11" s="155"/>
      <c r="AU11" s="155"/>
      <c r="AV11" s="155"/>
      <c r="AW11" s="155"/>
    </row>
    <row r="12" spans="1:49" ht="28.5" customHeight="1">
      <c r="A12" s="155"/>
      <c r="B12" s="158"/>
      <c r="C12" s="42" t="s">
        <v>114</v>
      </c>
      <c r="D12" s="28">
        <f t="shared" si="0"/>
        <v>0.32060720179924246</v>
      </c>
      <c r="E12" s="29">
        <f t="shared" si="1"/>
        <v>0.36298871221590912</v>
      </c>
      <c r="F12" s="29">
        <f t="shared" si="2"/>
        <v>4.2381510416666671E-2</v>
      </c>
      <c r="G12" s="30" t="e">
        <f t="shared" si="3"/>
        <v>#DIV/0!</v>
      </c>
      <c r="H12" s="31">
        <f>SUMIF(헤몬팜일일!$C$1:$C$40,$C12,헤몬팜일일!O$1:O$40)</f>
        <v>12</v>
      </c>
      <c r="I12" s="138">
        <f t="shared" si="4"/>
        <v>1.7142857142857142</v>
      </c>
      <c r="J12" s="31">
        <f>SUMIF(헤몬팜일일!$C$1:$C$40,$C12,헤몬팜일일!P$1:P$40)</f>
        <v>12</v>
      </c>
      <c r="K12" s="31">
        <f>SUMIF(헤몬팜일일!$C$1:$C$40,$C12,헤몬팜일일!Q$1:Q$40)</f>
        <v>0</v>
      </c>
      <c r="L12" s="31">
        <f>SUMIF(헤몬팜일일!$C$1:$C$40,$C12,헤몬팜일일!S$1:S$40)</f>
        <v>0</v>
      </c>
      <c r="M12" s="31">
        <f>SUMIF(헤몬팜일일!$C$1:$C$40,$C12,헤몬팜일일!T$1:T$40)</f>
        <v>230400</v>
      </c>
      <c r="N12" s="31">
        <f>SUMIF(헤몬팜일일!$C$1:$C$40,$C12,헤몬팜일일!U$1:U$40)</f>
        <v>0</v>
      </c>
      <c r="O12" s="31">
        <f>SUMIF(헤몬팜일일!$C$1:$C$40,$C12,헤몬팜일일!V$1:V$40)</f>
        <v>230400</v>
      </c>
      <c r="P12" s="34">
        <f t="shared" si="5"/>
        <v>19200</v>
      </c>
      <c r="Q12" s="31">
        <f>SUMIF(헤몬팜일일!$C$1:$C$40,$C12,헤몬팜일일!X$1:X$40)</f>
        <v>12745.238399999998</v>
      </c>
      <c r="R12" s="31">
        <f>SUMIF(헤몬팜일일!$C$1:$C$40,$C12,헤몬팜일일!Y$1:Y$40)</f>
        <v>81257.222399999984</v>
      </c>
      <c r="S12" s="31">
        <f>SUMIF(헤몬팜일일!$C$1:$C$40,$C12,헤몬팜일일!Z$1:Z$40)</f>
        <v>9764.7000000000007</v>
      </c>
      <c r="T12" s="31">
        <f>SUMIF(헤몬팜일일!$C$1:$C$40,$C12,헤몬팜일일!AA$1:AA$40)</f>
        <v>8877</v>
      </c>
      <c r="U12" s="31">
        <f>SUMIF(헤몬팜일일!$C$1:$C$40,$C12,헤몬팜일일!AB$1:AB$40)</f>
        <v>0</v>
      </c>
      <c r="V12" s="31">
        <f>SUMIF(헤몬팜일일!$C$1:$C$40,$C12,헤몬팜일일!AC$1:AC$40)</f>
        <v>0</v>
      </c>
      <c r="W12" s="152">
        <v>0.1</v>
      </c>
      <c r="X12" s="31">
        <f>SUMIF(헤몬팜일일!$C$1:$C$40,$C12,헤몬팜일일!AE$1:AE$40)</f>
        <v>40200</v>
      </c>
      <c r="Y12" s="28">
        <f t="shared" si="6"/>
        <v>0.27447916666666666</v>
      </c>
      <c r="Z12" s="31">
        <f>SUMIF(헤몬팜일일!$C$1:$C$40,$C12,헤몬팜일일!AG$1:AG$40)</f>
        <v>58632.06</v>
      </c>
      <c r="AA12" s="31">
        <f>SUMIF(헤몬팜일일!$C$1:$C$40,$C12,헤몬팜일일!AH$1:AH$40)</f>
        <v>6878.1183054545436</v>
      </c>
      <c r="AB12" s="31">
        <f>SUMIF(헤몬팜일일!$C$1:$C$40,$C12,헤몬팜일일!AJ$1:AK$40)</f>
        <v>83632.599294545464</v>
      </c>
      <c r="AC12" s="31">
        <f>SUMIF(헤몬팜일일!$C$1:$C$40,$C12,헤몬팜일일!AK$1:AK$40)</f>
        <v>73867.899294545467</v>
      </c>
      <c r="AD12" s="31">
        <f>SUMIF(헤몬팜일일!$C$1:$C$40,$C12,헤몬팜일일!AK$1:AK$40)</f>
        <v>73867.899294545467</v>
      </c>
      <c r="AE12" s="31">
        <f>SUMIF(헤몬팜일일!$C$1:$C$40,$C12,헤몬팜일일!AL$1:AL$40)</f>
        <v>130.68</v>
      </c>
      <c r="AF12" s="155"/>
      <c r="AG12" s="155"/>
      <c r="AH12" s="155"/>
      <c r="AI12" s="155"/>
      <c r="AJ12" s="155"/>
      <c r="AK12" s="155"/>
      <c r="AL12" s="155"/>
      <c r="AM12" s="155"/>
      <c r="AN12" s="155"/>
      <c r="AO12" s="155"/>
      <c r="AP12" s="155"/>
      <c r="AQ12" s="155"/>
      <c r="AR12" s="155"/>
      <c r="AS12" s="155"/>
      <c r="AT12" s="155"/>
      <c r="AU12" s="155"/>
      <c r="AV12" s="155"/>
      <c r="AW12" s="155"/>
    </row>
    <row r="13" spans="1:49" ht="28.5" customHeight="1">
      <c r="A13" s="155"/>
      <c r="B13" s="158"/>
      <c r="C13" s="42" t="s">
        <v>115</v>
      </c>
      <c r="D13" s="28" t="e">
        <f t="shared" si="0"/>
        <v>#REF!</v>
      </c>
      <c r="E13" s="29" t="e">
        <f t="shared" si="1"/>
        <v>#REF!</v>
      </c>
      <c r="F13" s="29" t="e">
        <f t="shared" si="2"/>
        <v>#DIV/0!</v>
      </c>
      <c r="G13" s="30" t="e">
        <f t="shared" si="3"/>
        <v>#DIV/0!</v>
      </c>
      <c r="H13" s="31">
        <f>SUMIF(헤몬팜일일!$C$1:$C$40,$C13,헤몬팜일일!O$1:O$40)</f>
        <v>0</v>
      </c>
      <c r="I13" s="138">
        <f t="shared" si="4"/>
        <v>0</v>
      </c>
      <c r="J13" s="31">
        <f>SUMIF(헤몬팜일일!$C$1:$C$40,$C13,헤몬팜일일!P$1:P$40)</f>
        <v>0</v>
      </c>
      <c r="K13" s="31">
        <f>SUMIF(헤몬팜일일!$C$1:$C$40,$C13,헤몬팜일일!Q$1:Q$40)</f>
        <v>1</v>
      </c>
      <c r="L13" s="31">
        <f>SUMIF(헤몬팜일일!$C$1:$C$40,$C13,헤몬팜일일!S$1:S$40)</f>
        <v>0</v>
      </c>
      <c r="M13" s="31">
        <f>SUMIF(헤몬팜일일!$C$1:$C$40,$C13,헤몬팜일일!T$1:T$40)</f>
        <v>0</v>
      </c>
      <c r="N13" s="31">
        <f>SUMIF(헤몬팜일일!$C$1:$C$40,$C13,헤몬팜일일!U$1:U$40)</f>
        <v>0</v>
      </c>
      <c r="O13" s="31">
        <f>SUMIF(헤몬팜일일!$C$1:$C$40,$C13,헤몬팜일일!V$1:V$40)</f>
        <v>0</v>
      </c>
      <c r="P13" s="34" t="e">
        <f t="shared" si="5"/>
        <v>#DIV/0!</v>
      </c>
      <c r="Q13" s="31">
        <f>SUMIF(헤몬팜일일!$C$1:$C$40,$C13,헤몬팜일일!X$1:X$40)</f>
        <v>24339.864999999998</v>
      </c>
      <c r="R13" s="31" t="e">
        <f>SUMIF(헤몬팜일일!$C$1:$C$40,$C13,헤몬팜일일!Y$1:Y$40)</f>
        <v>#REF!</v>
      </c>
      <c r="S13" s="31">
        <f>SUMIF(헤몬팜일일!$C$1:$C$40,$C13,헤몬팜일일!Z$1:Z$40)</f>
        <v>69991.899999999994</v>
      </c>
      <c r="T13" s="31">
        <f>SUMIF(헤몬팜일일!$C$1:$C$40,$C13,헤몬팜일일!AA$1:AA$40)</f>
        <v>63629</v>
      </c>
      <c r="U13" s="31">
        <f>SUMIF(헤몬팜일일!$C$1:$C$40,$C13,헤몬팜일일!AB$1:AB$40)</f>
        <v>0</v>
      </c>
      <c r="V13" s="31">
        <f>SUMIF(헤몬팜일일!$C$1:$C$40,$C13,헤몬팜일일!AC$1:AC$40)</f>
        <v>2310</v>
      </c>
      <c r="W13" s="152">
        <v>0.1</v>
      </c>
      <c r="X13" s="31">
        <f>SUMIF(헤몬팜일일!$C$1:$C$40,$C13,헤몬팜일일!AE$1:AE$40)</f>
        <v>0</v>
      </c>
      <c r="Y13" s="28" t="e">
        <f t="shared" si="6"/>
        <v>#DIV/0!</v>
      </c>
      <c r="Z13" s="31">
        <f>SUMIF(헤몬팜일일!$C$1:$C$40,$C13,헤몬팜일일!AG$1:AG$40)</f>
        <v>0</v>
      </c>
      <c r="AA13" s="31" t="e">
        <f>SUMIF(헤몬팜일일!$C$1:$C$40,$C13,헤몬팜일일!AH$1:AH$40)</f>
        <v>#REF!</v>
      </c>
      <c r="AB13" s="31" t="e">
        <f>SUMIF(헤몬팜일일!$C$1:$C$40,$C13,헤몬팜일일!AJ$1:AK$40)</f>
        <v>#REF!</v>
      </c>
      <c r="AC13" s="31" t="e">
        <f>SUMIF(헤몬팜일일!$C$1:$C$40,$C13,헤몬팜일일!AK$1:AK$40)</f>
        <v>#REF!</v>
      </c>
      <c r="AD13" s="31" t="e">
        <f>SUMIF(헤몬팜일일!$C$1:$C$40,$C13,헤몬팜일일!AK$1:AK$40)</f>
        <v>#REF!</v>
      </c>
      <c r="AE13" s="31">
        <f>SUMIF(헤몬팜일일!$C$1:$C$40,$C13,헤몬팜일일!AL$1:AL$40)</f>
        <v>362.88000000000005</v>
      </c>
      <c r="AF13" s="155"/>
      <c r="AG13" s="155"/>
      <c r="AH13" s="155"/>
      <c r="AI13" s="155"/>
      <c r="AJ13" s="155"/>
      <c r="AK13" s="155"/>
      <c r="AL13" s="155"/>
      <c r="AM13" s="155"/>
      <c r="AN13" s="155"/>
      <c r="AO13" s="155"/>
      <c r="AP13" s="155"/>
      <c r="AQ13" s="155"/>
      <c r="AR13" s="155"/>
      <c r="AS13" s="155"/>
      <c r="AT13" s="155"/>
      <c r="AU13" s="155"/>
      <c r="AV13" s="155"/>
      <c r="AW13" s="155"/>
    </row>
    <row r="14" spans="1:49" ht="28.5" customHeight="1">
      <c r="A14" s="155"/>
      <c r="B14" s="158"/>
      <c r="C14" s="42" t="s">
        <v>116</v>
      </c>
      <c r="D14" s="28" t="e">
        <f t="shared" si="0"/>
        <v>#REF!</v>
      </c>
      <c r="E14" s="29" t="e">
        <f t="shared" si="1"/>
        <v>#REF!</v>
      </c>
      <c r="F14" s="29">
        <f t="shared" si="2"/>
        <v>0.21803949484563265</v>
      </c>
      <c r="G14" s="30" t="e">
        <f t="shared" si="3"/>
        <v>#DIV/0!</v>
      </c>
      <c r="H14" s="31">
        <f>SUMIF(헤몬팜일일!$C$1:$C$40,$C14,헤몬팜일일!O$1:O$40)</f>
        <v>6</v>
      </c>
      <c r="I14" s="138">
        <f t="shared" si="4"/>
        <v>0.8571428571428571</v>
      </c>
      <c r="J14" s="31">
        <f>SUMIF(헤몬팜일일!$C$1:$C$40,$C14,헤몬팜일일!P$1:P$40)</f>
        <v>6</v>
      </c>
      <c r="K14" s="31">
        <f>SUMIF(헤몬팜일일!$C$1:$C$40,$C14,헤몬팜일일!Q$1:Q$40)</f>
        <v>2</v>
      </c>
      <c r="L14" s="31">
        <f>SUMIF(헤몬팜일일!$C$1:$C$40,$C14,헤몬팜일일!S$1:S$40)</f>
        <v>0</v>
      </c>
      <c r="M14" s="31">
        <f>SUMIF(헤몬팜일일!$C$1:$C$40,$C14,헤몬팜일일!T$1:T$40)</f>
        <v>379290</v>
      </c>
      <c r="N14" s="31">
        <f>SUMIF(헤몬팜일일!$C$1:$C$40,$C14,헤몬팜일일!U$1:U$40)</f>
        <v>0</v>
      </c>
      <c r="O14" s="31">
        <f>SUMIF(헤몬팜일일!$C$1:$C$40,$C14,헤몬팜일일!V$1:V$40)</f>
        <v>379290</v>
      </c>
      <c r="P14" s="34">
        <f t="shared" si="5"/>
        <v>63215</v>
      </c>
      <c r="Q14" s="31">
        <f>SUMIF(헤몬팜일일!$C$1:$C$40,$C14,헤몬팜일일!X$1:X$40)</f>
        <v>24339.864999999998</v>
      </c>
      <c r="R14" s="31" t="e">
        <f>SUMIF(헤몬팜일일!$C$1:$C$40,$C14,헤몬팜일일!Y$1:Y$40)</f>
        <v>#REF!</v>
      </c>
      <c r="S14" s="31">
        <f>SUMIF(헤몬팜일일!$C$1:$C$40,$C14,헤몬팜일일!Z$1:Z$40)</f>
        <v>82700.200000000012</v>
      </c>
      <c r="T14" s="31">
        <f>SUMIF(헤몬팜일일!$C$1:$C$40,$C14,헤몬팜일일!AA$1:AA$40)</f>
        <v>75182</v>
      </c>
      <c r="U14" s="31">
        <f>SUMIF(헤몬팜일일!$C$1:$C$40,$C14,헤몬팜일일!AB$1:AB$40)</f>
        <v>0</v>
      </c>
      <c r="V14" s="31">
        <f>SUMIF(헤몬팜일일!$C$1:$C$40,$C14,헤몬팜일일!AC$1:AC$40)</f>
        <v>4620</v>
      </c>
      <c r="W14" s="152">
        <v>0.1</v>
      </c>
      <c r="X14" s="31">
        <f>SUMIF(헤몬팜일일!$C$1:$C$40,$C14,헤몬팜일일!AE$1:AE$40)</f>
        <v>28950</v>
      </c>
      <c r="Y14" s="28">
        <f t="shared" si="6"/>
        <v>0.17632682116586254</v>
      </c>
      <c r="Z14" s="31">
        <f>SUMIF(헤몬팜일일!$C$1:$C$40,$C14,헤몬팜일일!AG$1:AG$40)</f>
        <v>58534.679999999993</v>
      </c>
      <c r="AA14" s="31" t="e">
        <f>SUMIF(헤몬팜일일!$C$1:$C$40,$C14,헤몬팜일일!AH$1:AH$40)</f>
        <v>#REF!</v>
      </c>
      <c r="AB14" s="31" t="e">
        <f>SUMIF(헤몬팜일일!$C$1:$C$40,$C14,헤몬팜일일!AJ$1:AK$40)</f>
        <v>#REF!</v>
      </c>
      <c r="AC14" s="31" t="e">
        <f>SUMIF(헤몬팜일일!$C$1:$C$40,$C14,헤몬팜일일!AK$1:AK$40)</f>
        <v>#REF!</v>
      </c>
      <c r="AD14" s="31" t="e">
        <f>SUMIF(헤몬팜일일!$C$1:$C$40,$C14,헤몬팜일일!AK$1:AK$40)</f>
        <v>#REF!</v>
      </c>
      <c r="AE14" s="31">
        <f>SUMIF(헤몬팜일일!$C$1:$C$40,$C14,헤몬팜일일!AL$1:AL$40)</f>
        <v>362.88000000000005</v>
      </c>
      <c r="AF14" s="155"/>
      <c r="AG14" s="155"/>
      <c r="AH14" s="155"/>
      <c r="AI14" s="155"/>
      <c r="AJ14" s="155"/>
      <c r="AK14" s="155"/>
      <c r="AL14" s="155"/>
      <c r="AM14" s="155"/>
      <c r="AN14" s="155"/>
      <c r="AO14" s="155"/>
      <c r="AP14" s="155"/>
      <c r="AQ14" s="155"/>
      <c r="AR14" s="155"/>
      <c r="AS14" s="155"/>
      <c r="AT14" s="155"/>
      <c r="AU14" s="155"/>
      <c r="AV14" s="155"/>
      <c r="AW14" s="155"/>
    </row>
    <row r="15" spans="1:49" ht="28.5" customHeight="1">
      <c r="A15" s="155"/>
      <c r="B15" s="158"/>
      <c r="C15" s="42" t="s">
        <v>117</v>
      </c>
      <c r="D15" s="28">
        <f t="shared" si="0"/>
        <v>0.32190238010797878</v>
      </c>
      <c r="E15" s="29">
        <f t="shared" si="1"/>
        <v>0.49826617811651369</v>
      </c>
      <c r="F15" s="29">
        <f t="shared" si="2"/>
        <v>0.17636379800853486</v>
      </c>
      <c r="G15" s="30" t="e">
        <f t="shared" si="3"/>
        <v>#DIV/0!</v>
      </c>
      <c r="H15" s="31">
        <f>SUMIF(헤몬팜일일!$C$1:$C$40,$C15,헤몬팜일일!O$1:O$40)</f>
        <v>19</v>
      </c>
      <c r="I15" s="138">
        <f t="shared" si="4"/>
        <v>2.7142857142857144</v>
      </c>
      <c r="J15" s="31">
        <f>SUMIF(헤몬팜일일!$C$1:$C$40,$C15,헤몬팜일일!P$1:P$40)</f>
        <v>19</v>
      </c>
      <c r="K15" s="31">
        <f>SUMIF(헤몬팜일일!$C$1:$C$40,$C15,헤몬팜일일!Q$1:Q$40)</f>
        <v>6</v>
      </c>
      <c r="L15" s="31">
        <f>SUMIF(헤몬팜일일!$C$1:$C$40,$C15,헤몬팜일일!S$1:S$40)</f>
        <v>0</v>
      </c>
      <c r="M15" s="31">
        <f>SUMIF(헤몬팜일일!$C$1:$C$40,$C15,헤몬팜일일!T$1:T$40)</f>
        <v>337440</v>
      </c>
      <c r="N15" s="31">
        <f>SUMIF(헤몬팜일일!$C$1:$C$40,$C15,헤몬팜일일!U$1:U$40)</f>
        <v>0</v>
      </c>
      <c r="O15" s="31">
        <f>SUMIF(헤몬팜일일!$C$1:$C$40,$C15,헤몬팜일일!V$1:V$40)</f>
        <v>337440</v>
      </c>
      <c r="P15" s="34">
        <f t="shared" si="5"/>
        <v>17760</v>
      </c>
      <c r="Q15" s="31">
        <f>SUMIF(헤몬팜일일!$C$1:$C$40,$C15,헤몬팜일일!X$1:X$40)</f>
        <v>7965.7739999999994</v>
      </c>
      <c r="R15" s="31">
        <f>SUMIF(헤몬팜일일!$C$1:$C$40,$C15,헤몬팜일일!Y$1:Y$40)</f>
        <v>91906.993799999997</v>
      </c>
      <c r="S15" s="31">
        <f>SUMIF(헤몬팜일일!$C$1:$C$40,$C15,헤몬팜일일!Z$1:Z$40)</f>
        <v>59512.200000000004</v>
      </c>
      <c r="T15" s="31">
        <f>SUMIF(헤몬팜일일!$C$1:$C$40,$C15,헤몬팜일일!AA$1:AA$40)</f>
        <v>54102</v>
      </c>
      <c r="U15" s="31">
        <f>SUMIF(헤몬팜일일!$C$1:$C$40,$C15,헤몬팜일일!AB$1:AB$40)</f>
        <v>0</v>
      </c>
      <c r="V15" s="31">
        <f>SUMIF(헤몬팜일일!$C$1:$C$40,$C15,헤몬팜일일!AC$1:AC$40)</f>
        <v>13860</v>
      </c>
      <c r="W15" s="152">
        <v>0.1</v>
      </c>
      <c r="X15" s="31">
        <f>SUMIF(헤몬팜일일!$C$1:$C$40,$C15,헤몬팜일일!AE$1:AE$40)</f>
        <v>36100</v>
      </c>
      <c r="Y15" s="28">
        <f t="shared" si="6"/>
        <v>0.20698198198198198</v>
      </c>
      <c r="Z15" s="31">
        <f>SUMIF(헤몬팜일일!$C$1:$C$40,$C15,헤몬팜일일!AG$1:AG$40)</f>
        <v>62420.380000000005</v>
      </c>
      <c r="AA15" s="31">
        <f>SUMIF(헤몬팜일일!$C$1:$C$40,$C15,헤몬팜일일!AH$1:AH$40)</f>
        <v>14977.687056363635</v>
      </c>
      <c r="AB15" s="31">
        <f>SUMIF(헤몬팜일일!$C$1:$C$40,$C15,헤몬팜일일!AJ$1:AK$40)</f>
        <v>168134.93914363638</v>
      </c>
      <c r="AC15" s="31">
        <f>SUMIF(헤몬팜일일!$C$1:$C$40,$C15,헤몬팜일일!AK$1:AK$40)</f>
        <v>108622.73914363637</v>
      </c>
      <c r="AD15" s="31">
        <f>SUMIF(헤몬팜일일!$C$1:$C$40,$C15,헤몬팜일일!AK$1:AK$40)</f>
        <v>108622.73914363637</v>
      </c>
      <c r="AE15" s="31">
        <f>SUMIF(헤몬팜일일!$C$1:$C$40,$C15,헤몬팜일일!AL$1:AL$40)</f>
        <v>279.93600000000004</v>
      </c>
      <c r="AF15" s="155"/>
      <c r="AG15" s="155"/>
      <c r="AH15" s="155"/>
      <c r="AI15" s="155"/>
      <c r="AJ15" s="155"/>
      <c r="AK15" s="155"/>
      <c r="AL15" s="155"/>
      <c r="AM15" s="155"/>
      <c r="AN15" s="155"/>
      <c r="AO15" s="155"/>
      <c r="AP15" s="155"/>
      <c r="AQ15" s="155"/>
      <c r="AR15" s="155"/>
      <c r="AS15" s="155"/>
      <c r="AT15" s="155"/>
      <c r="AU15" s="155"/>
      <c r="AV15" s="155"/>
      <c r="AW15" s="155"/>
    </row>
    <row r="16" spans="1:49" ht="28.5" customHeight="1">
      <c r="A16" s="155"/>
      <c r="B16" s="158"/>
      <c r="C16" s="42" t="s">
        <v>31</v>
      </c>
      <c r="D16" s="28">
        <f t="shared" si="0"/>
        <v>-0.64984123253588522</v>
      </c>
      <c r="E16" s="29">
        <f t="shared" si="1"/>
        <v>0.40281953301435414</v>
      </c>
      <c r="F16" s="29">
        <f t="shared" si="2"/>
        <v>1.0526607655502394</v>
      </c>
      <c r="G16" s="30" t="e">
        <f t="shared" si="3"/>
        <v>#DIV/0!</v>
      </c>
      <c r="H16" s="31">
        <f>SUMIF(헤몬팜일일!$C$1:$C$40,$C16,헤몬팜일일!O$1:O$40)</f>
        <v>20</v>
      </c>
      <c r="I16" s="138">
        <f t="shared" si="4"/>
        <v>2.8571428571428572</v>
      </c>
      <c r="J16" s="31">
        <f>SUMIF(헤몬팜일일!$C$1:$C$40,$C16,헤몬팜일일!P$1:P$40)</f>
        <v>10</v>
      </c>
      <c r="K16" s="31">
        <f>SUMIF(헤몬팜일일!$C$1:$C$40,$C16,헤몬팜일일!Q$1:Q$40)</f>
        <v>3</v>
      </c>
      <c r="L16" s="31">
        <f>SUMIF(헤몬팜일일!$C$1:$C$40,$C16,헤몬팜일일!S$1:S$40)</f>
        <v>10</v>
      </c>
      <c r="M16" s="31">
        <f>SUMIF(헤몬팜일일!$C$1:$C$40,$C16,헤몬팜일일!T$1:T$40)</f>
        <v>418000</v>
      </c>
      <c r="N16" s="31">
        <f>SUMIF(헤몬팜일일!$C$1:$C$40,$C16,헤몬팜일일!U$1:U$40)</f>
        <v>209000</v>
      </c>
      <c r="O16" s="31">
        <f>SUMIF(헤몬팜일일!$C$1:$C$40,$C16,헤몬팜일일!V$1:V$40)</f>
        <v>209000</v>
      </c>
      <c r="P16" s="34">
        <f t="shared" si="5"/>
        <v>20900</v>
      </c>
      <c r="Q16" s="31">
        <f>SUMIF(헤몬팜일일!$C$1:$C$40,$C16,헤몬팜일일!X$1:X$40)</f>
        <v>13276.289999999999</v>
      </c>
      <c r="R16" s="31">
        <f>SUMIF(헤몬팜일일!$C$1:$C$40,$C16,헤몬팜일일!Y$1:Y$40)</f>
        <v>66856.073999999993</v>
      </c>
      <c r="S16" s="31">
        <f>SUMIF(헤몬팜일일!$C$1:$C$40,$C16,헤몬팜일일!Z$1:Z$40)</f>
        <v>94194.1</v>
      </c>
      <c r="T16" s="31">
        <f>SUMIF(헤몬팜일일!$C$1:$C$40,$C16,헤몬팜일일!AA$1:AA$40)</f>
        <v>85631</v>
      </c>
      <c r="U16" s="31">
        <f>SUMIF(헤몬팜일일!$C$1:$C$40,$C16,헤몬팜일일!AB$1:AB$40)</f>
        <v>125812</v>
      </c>
      <c r="V16" s="31">
        <f>SUMIF(헤몬팜일일!$C$1:$C$40,$C16,헤몬팜일일!AC$1:AC$40)</f>
        <v>6930</v>
      </c>
      <c r="W16" s="152">
        <v>0.1</v>
      </c>
      <c r="X16" s="31">
        <f>SUMIF(헤몬팜일일!$C$1:$C$40,$C16,헤몬팜일일!AE$1:AE$40)</f>
        <v>34000</v>
      </c>
      <c r="Y16" s="28">
        <f t="shared" si="6"/>
        <v>0.26267942583732057</v>
      </c>
      <c r="Z16" s="31">
        <f>SUMIF(헤몬팜일일!$C$1:$C$40,$C16,헤몬팜일일!AG$1:AG$40)</f>
        <v>50720.029999999992</v>
      </c>
      <c r="AA16" s="31">
        <f>SUMIF(헤몬팜일일!$C$1:$C$40,$C16,헤몬팜일일!AH$1:AH$40)</f>
        <v>7234.6135999999969</v>
      </c>
      <c r="AB16" s="31">
        <f>SUMIF(헤몬팜일일!$C$1:$C$40,$C16,헤몬팜일일!AJ$1:AK$40)</f>
        <v>84189.282400000011</v>
      </c>
      <c r="AC16" s="31">
        <f>SUMIF(헤몬팜일일!$C$1:$C$40,$C16,헤몬팜일일!AK$1:AK$40)</f>
        <v>-135816.81760000001</v>
      </c>
      <c r="AD16" s="31">
        <f>SUMIF(헤몬팜일일!$C$1:$C$40,$C16,헤몬팜일일!AK$1:AK$40)</f>
        <v>-135816.81760000001</v>
      </c>
      <c r="AE16" s="31">
        <f>SUMIF(헤몬팜일일!$C$1:$C$40,$C16,헤몬팜일일!AL$1:AL$40)</f>
        <v>15.552</v>
      </c>
      <c r="AF16" s="155"/>
      <c r="AG16" s="155"/>
      <c r="AH16" s="155"/>
      <c r="AI16" s="155"/>
      <c r="AJ16" s="155"/>
      <c r="AK16" s="155"/>
      <c r="AL16" s="155"/>
      <c r="AM16" s="155"/>
      <c r="AN16" s="155"/>
      <c r="AO16" s="155"/>
      <c r="AP16" s="155"/>
      <c r="AQ16" s="155"/>
      <c r="AR16" s="155"/>
      <c r="AS16" s="155"/>
      <c r="AT16" s="155"/>
      <c r="AU16" s="155"/>
      <c r="AV16" s="155"/>
      <c r="AW16" s="155"/>
    </row>
    <row r="17" spans="1:49" ht="28.5" customHeight="1">
      <c r="A17" s="155"/>
      <c r="B17" s="158"/>
      <c r="C17" s="42" t="s">
        <v>118</v>
      </c>
      <c r="D17" s="28">
        <f t="shared" si="0"/>
        <v>0.22373182582046885</v>
      </c>
      <c r="E17" s="29">
        <f t="shared" si="1"/>
        <v>0.43956151135506011</v>
      </c>
      <c r="F17" s="29">
        <f t="shared" si="2"/>
        <v>0.21582968553459123</v>
      </c>
      <c r="G17" s="30" t="e">
        <f t="shared" si="3"/>
        <v>#DIV/0!</v>
      </c>
      <c r="H17" s="31">
        <f>SUMIF(헤몬팜일일!$C$1:$C$40,$C17,헤몬팜일일!O$1:O$40)</f>
        <v>16</v>
      </c>
      <c r="I17" s="138">
        <f t="shared" si="4"/>
        <v>2.2857142857142856</v>
      </c>
      <c r="J17" s="31">
        <f>SUMIF(헤몬팜일일!$C$1:$C$40,$C17,헤몬팜일일!P$1:P$40)</f>
        <v>16</v>
      </c>
      <c r="K17" s="31">
        <f>SUMIF(헤몬팜일일!$C$1:$C$40,$C17,헤몬팜일일!Q$1:Q$40)</f>
        <v>1</v>
      </c>
      <c r="L17" s="31">
        <f>SUMIF(헤몬팜일일!$C$1:$C$40,$C17,헤몬팜일일!S$1:S$40)</f>
        <v>0</v>
      </c>
      <c r="M17" s="31">
        <f>SUMIF(헤몬팜일일!$C$1:$C$40,$C17,헤몬팜일일!T$1:T$40)</f>
        <v>397500</v>
      </c>
      <c r="N17" s="31">
        <f>SUMIF(헤몬팜일일!$C$1:$C$40,$C17,헤몬팜일일!U$1:U$40)</f>
        <v>0</v>
      </c>
      <c r="O17" s="31">
        <f>SUMIF(헤몬팜일일!$C$1:$C$40,$C17,헤몬팜일일!V$1:V$40)</f>
        <v>397500</v>
      </c>
      <c r="P17" s="34">
        <f t="shared" si="5"/>
        <v>24843.75</v>
      </c>
      <c r="Q17" s="31">
        <f>SUMIF(헤몬팜일일!$C$1:$C$40,$C17,헤몬팜일일!X$1:X$40)</f>
        <v>16816.633999999998</v>
      </c>
      <c r="R17" s="31">
        <f>SUMIF(헤몬팜일일!$C$1:$C$40,$C17,헤몬팜일일!Y$1:Y$40)</f>
        <v>137275.34399999998</v>
      </c>
      <c r="S17" s="31">
        <f>SUMIF(헤몬팜일일!$C$1:$C$40,$C17,헤몬팜일일!Z$1:Z$40)</f>
        <v>85792.300000000017</v>
      </c>
      <c r="T17" s="31">
        <f>SUMIF(헤몬팜일일!$C$1:$C$40,$C17,헤몬팜일일!AA$1:AA$40)</f>
        <v>77993</v>
      </c>
      <c r="U17" s="31">
        <f>SUMIF(헤몬팜일일!$C$1:$C$40,$C17,헤몬팜일일!AB$1:AB$40)</f>
        <v>0</v>
      </c>
      <c r="V17" s="31">
        <f>SUMIF(헤몬팜일일!$C$1:$C$40,$C17,헤몬팜일일!AC$1:AC$40)</f>
        <v>2310</v>
      </c>
      <c r="W17" s="152">
        <v>0.1</v>
      </c>
      <c r="X17" s="31">
        <f>SUMIF(헤몬팜일일!$C$1:$C$40,$C17,헤몬팜일일!AE$1:AE$40)</f>
        <v>30400</v>
      </c>
      <c r="Y17" s="28">
        <f t="shared" si="6"/>
        <v>0.17647798742138365</v>
      </c>
      <c r="Z17" s="31">
        <f>SUMIF(헤몬팜일일!$C$1:$C$40,$C17,헤몬팜일일!AG$1:AG$40)</f>
        <v>70150.060000000012</v>
      </c>
      <c r="AA17" s="31">
        <f>SUMIF(헤몬팜일일!$C$1:$C$40,$C17,헤몬팜일일!AH$1:AH$40)</f>
        <v>15348.895236363633</v>
      </c>
      <c r="AB17" s="31">
        <f>SUMIF(헤몬팜일일!$C$1:$C$40,$C17,헤몬팜일일!AJ$1:AK$40)</f>
        <v>174725.70076363639</v>
      </c>
      <c r="AC17" s="31">
        <f>SUMIF(헤몬팜일일!$C$1:$C$40,$C17,헤몬팜일일!AK$1:AK$40)</f>
        <v>88933.400763636368</v>
      </c>
      <c r="AD17" s="31">
        <f>SUMIF(헤몬팜일일!$C$1:$C$40,$C17,헤몬팜일일!AK$1:AK$40)</f>
        <v>88933.400763636368</v>
      </c>
      <c r="AE17" s="31">
        <f>SUMIF(헤몬팜일일!$C$1:$C$40,$C17,헤몬팜일일!AL$1:AL$40)</f>
        <v>56.159999999999989</v>
      </c>
      <c r="AF17" s="155"/>
      <c r="AG17" s="155"/>
      <c r="AH17" s="155"/>
      <c r="AI17" s="155"/>
      <c r="AJ17" s="155"/>
      <c r="AK17" s="155"/>
      <c r="AL17" s="155"/>
      <c r="AM17" s="155"/>
      <c r="AN17" s="155"/>
      <c r="AO17" s="155"/>
      <c r="AP17" s="155"/>
      <c r="AQ17" s="155"/>
      <c r="AR17" s="155"/>
      <c r="AS17" s="155"/>
      <c r="AT17" s="155"/>
      <c r="AU17" s="155"/>
      <c r="AV17" s="155"/>
      <c r="AW17" s="155"/>
    </row>
    <row r="18" spans="1:49" ht="28.5" customHeight="1">
      <c r="A18" s="155"/>
      <c r="B18" s="158"/>
      <c r="C18" s="42" t="s">
        <v>119</v>
      </c>
      <c r="D18" s="28">
        <f t="shared" si="0"/>
        <v>0.25168106201256313</v>
      </c>
      <c r="E18" s="29">
        <f t="shared" si="1"/>
        <v>0.43513921689866197</v>
      </c>
      <c r="F18" s="29">
        <f t="shared" si="2"/>
        <v>0.18345815488609882</v>
      </c>
      <c r="G18" s="30" t="e">
        <f t="shared" si="3"/>
        <v>#DIV/0!</v>
      </c>
      <c r="H18" s="31">
        <f>SUMIF(헤몬팜일일!$C$1:$C$40,$C18,헤몬팜일일!O$1:O$40)</f>
        <v>33</v>
      </c>
      <c r="I18" s="138">
        <f t="shared" si="4"/>
        <v>4.7142857142857144</v>
      </c>
      <c r="J18" s="31">
        <f>SUMIF(헤몬팜일일!$C$1:$C$40,$C18,헤몬팜일일!P$1:P$40)</f>
        <v>33</v>
      </c>
      <c r="K18" s="31">
        <f>SUMIF(헤몬팜일일!$C$1:$C$40,$C18,헤몬팜일일!Q$1:Q$40)</f>
        <v>5</v>
      </c>
      <c r="L18" s="31">
        <f>SUMIF(헤몬팜일일!$C$1:$C$40,$C18,헤몬팜일일!S$1:S$40)</f>
        <v>0</v>
      </c>
      <c r="M18" s="31">
        <f>SUMIF(헤몬팜일일!$C$1:$C$40,$C18,헤몬팜일일!T$1:T$40)</f>
        <v>819570</v>
      </c>
      <c r="N18" s="31">
        <f>SUMIF(헤몬팜일일!$C$1:$C$40,$C18,헤몬팜일일!U$1:U$40)</f>
        <v>0</v>
      </c>
      <c r="O18" s="31">
        <f>SUMIF(헤몬팜일일!$C$1:$C$40,$C18,헤몬팜일일!V$1:V$40)</f>
        <v>819570</v>
      </c>
      <c r="P18" s="34">
        <f t="shared" si="5"/>
        <v>24835.454545454544</v>
      </c>
      <c r="Q18" s="31">
        <f>SUMIF(헤몬팜일일!$C$1:$C$40,$C18,헤몬팜일일!X$1:X$40)</f>
        <v>13718.832999999999</v>
      </c>
      <c r="R18" s="31">
        <f>SUMIF(헤몬팜일일!$C$1:$C$40,$C18,헤몬팜일일!Y$1:Y$40)</f>
        <v>239369.39729999995</v>
      </c>
      <c r="S18" s="31">
        <f>SUMIF(헤몬팜일일!$C$1:$C$40,$C18,헤몬팜일일!Z$1:Z$40)</f>
        <v>150356.80000000002</v>
      </c>
      <c r="T18" s="31">
        <f>SUMIF(헤몬팜일일!$C$1:$C$40,$C18,헤몬팜일일!AA$1:AA$40)</f>
        <v>136688</v>
      </c>
      <c r="U18" s="31">
        <f>SUMIF(헤몬팜일일!$C$1:$C$40,$C18,헤몬팜일일!AB$1:AB$40)</f>
        <v>0</v>
      </c>
      <c r="V18" s="31">
        <f>SUMIF(헤몬팜일일!$C$1:$C$40,$C18,헤몬팜일일!AC$1:AC$40)</f>
        <v>11550</v>
      </c>
      <c r="W18" s="152">
        <v>0.1</v>
      </c>
      <c r="X18" s="31">
        <f>SUMIF(헤몬팜일일!$C$1:$C$40,$C18,헤몬팜일일!AE$1:AE$40)</f>
        <v>103950</v>
      </c>
      <c r="Y18" s="28">
        <f t="shared" si="6"/>
        <v>0.22683480361653063</v>
      </c>
      <c r="Z18" s="31">
        <f>SUMIF(헤몬팜일일!$C$1:$C$40,$C18,헤몬팜일일!AG$1:AG$40)</f>
        <v>192463.62</v>
      </c>
      <c r="AA18" s="31">
        <f>SUMIF(헤몬팜일일!$C$1:$C$40,$C18,헤몬팜일일!AH$1:AH$40)</f>
        <v>31109.934706363634</v>
      </c>
      <c r="AB18" s="31">
        <f>SUMIF(헤몬팜일일!$C$1:$C$40,$C18,헤몬팜일일!AJ$1:AK$40)</f>
        <v>356627.0479936364</v>
      </c>
      <c r="AC18" s="31">
        <f>SUMIF(헤몬팜일일!$C$1:$C$40,$C18,헤몬팜일일!AK$1:AK$40)</f>
        <v>206270.24799363638</v>
      </c>
      <c r="AD18" s="31">
        <f>SUMIF(헤몬팜일일!$C$1:$C$40,$C18,헤몬팜일일!AK$1:AK$40)</f>
        <v>206270.24799363638</v>
      </c>
      <c r="AE18" s="31">
        <f>SUMIF(헤몬팜일일!$C$1:$C$40,$C18,헤몬팜일일!AL$1:AL$40)</f>
        <v>129.16800000000001</v>
      </c>
      <c r="AF18" s="155"/>
      <c r="AG18" s="155"/>
      <c r="AH18" s="155"/>
      <c r="AI18" s="155"/>
      <c r="AJ18" s="155"/>
      <c r="AK18" s="155"/>
      <c r="AL18" s="155"/>
      <c r="AM18" s="155"/>
      <c r="AN18" s="155"/>
      <c r="AO18" s="155"/>
      <c r="AP18" s="155"/>
      <c r="AQ18" s="155"/>
      <c r="AR18" s="155"/>
      <c r="AS18" s="155"/>
      <c r="AT18" s="155"/>
      <c r="AU18" s="155"/>
      <c r="AV18" s="155"/>
      <c r="AW18" s="155"/>
    </row>
    <row r="19" spans="1:49" ht="28.5" customHeight="1">
      <c r="A19" s="155"/>
      <c r="B19" s="158"/>
      <c r="C19" s="42" t="s">
        <v>120</v>
      </c>
      <c r="D19" s="28">
        <f t="shared" si="0"/>
        <v>2.2045069597301672</v>
      </c>
      <c r="E19" s="29">
        <f t="shared" si="1"/>
        <v>0.41353929866223027</v>
      </c>
      <c r="F19" s="29">
        <f t="shared" si="2"/>
        <v>-1.790967661067937</v>
      </c>
      <c r="G19" s="30" t="e">
        <f t="shared" si="3"/>
        <v>#DIV/0!</v>
      </c>
      <c r="H19" s="31">
        <f>SUMIF(헤몬팜일일!$C$1:$C$40,$C19,헤몬팜일일!O$1:O$40)</f>
        <v>-1</v>
      </c>
      <c r="I19" s="138">
        <f t="shared" si="4"/>
        <v>-0.14285714285714285</v>
      </c>
      <c r="J19" s="31">
        <f>SUMIF(헤몬팜일일!$C$1:$C$40,$C19,헤몬팜일일!P$1:P$40)</f>
        <v>-1</v>
      </c>
      <c r="K19" s="31">
        <f>SUMIF(헤몬팜일일!$C$1:$C$40,$C19,헤몬팜일일!Q$1:Q$40)</f>
        <v>1</v>
      </c>
      <c r="L19" s="31">
        <f>SUMIF(헤몬팜일일!$C$1:$C$40,$C19,헤몬팜일일!S$1:S$40)</f>
        <v>0</v>
      </c>
      <c r="M19" s="31">
        <f>SUMIF(헤몬팜일일!$C$1:$C$40,$C19,헤몬팜일일!T$1:T$40)</f>
        <v>-39890</v>
      </c>
      <c r="N19" s="31">
        <f>SUMIF(헤몬팜일일!$C$1:$C$40,$C19,헤몬팜일일!U$1:U$40)</f>
        <v>0</v>
      </c>
      <c r="O19" s="31">
        <f>SUMIF(헤몬팜일일!$C$1:$C$40,$C19,헤몬팜일일!V$1:V$40)</f>
        <v>-39890</v>
      </c>
      <c r="P19" s="34">
        <f t="shared" si="5"/>
        <v>39890</v>
      </c>
      <c r="Q19" s="31">
        <f>SUMIF(헤몬팜일일!$C$1:$C$40,$C19,헤몬팜일일!X$1:X$40)</f>
        <v>27437.665999999997</v>
      </c>
      <c r="R19" s="31">
        <f>SUMIF(헤몬팜일일!$C$1:$C$40,$C19,헤몬팜일일!Y$1:Y$40)</f>
        <v>-14113.034599999999</v>
      </c>
      <c r="S19" s="31">
        <f>SUMIF(헤몬팜일일!$C$1:$C$40,$C19,헤몬팜일일!Z$1:Z$40)</f>
        <v>71441.700000000012</v>
      </c>
      <c r="T19" s="31">
        <f>SUMIF(헤몬팜일일!$C$1:$C$40,$C19,헤몬팜일일!AA$1:AA$40)</f>
        <v>64947</v>
      </c>
      <c r="U19" s="31">
        <f>SUMIF(헤몬팜일일!$C$1:$C$40,$C19,헤몬팜일일!AB$1:AB$40)</f>
        <v>0</v>
      </c>
      <c r="V19" s="31">
        <f>SUMIF(헤몬팜일일!$C$1:$C$40,$C19,헤몬팜일일!AC$1:AC$40)</f>
        <v>2310</v>
      </c>
      <c r="W19" s="152">
        <v>0.1</v>
      </c>
      <c r="X19" s="31">
        <f>SUMIF(헤몬팜일일!$C$1:$C$40,$C19,헤몬팜일일!AE$1:AE$40)</f>
        <v>-3550</v>
      </c>
      <c r="Y19" s="28">
        <f t="shared" si="6"/>
        <v>0.18899473552268739</v>
      </c>
      <c r="Z19" s="31">
        <f>SUMIF(헤몬팜일일!$C$1:$C$40,$C19,헤몬팜일일!AG$1:AG$40)</f>
        <v>-7858.0899999999992</v>
      </c>
      <c r="AA19" s="31">
        <f>SUMIF(헤몬팜일일!$C$1:$C$40,$C19,헤몬팜일일!AH$1:AH$40)</f>
        <v>-1422.7927763636362</v>
      </c>
      <c r="AB19" s="31">
        <f>SUMIF(헤몬팜일일!$C$1:$C$40,$C19,헤몬팜일일!AJ$1:AK$40)</f>
        <v>-16496.082623636365</v>
      </c>
      <c r="AC19" s="31">
        <f>SUMIF(헤몬팜일일!$C$1:$C$40,$C19,헤몬팜일일!AK$1:AK$40)</f>
        <v>-87937.782623636376</v>
      </c>
      <c r="AD19" s="31">
        <f>SUMIF(헤몬팜일일!$C$1:$C$40,$C19,헤몬팜일일!AK$1:AK$40)</f>
        <v>-87937.782623636376</v>
      </c>
      <c r="AE19" s="31">
        <f>SUMIF(헤몬팜일일!$C$1:$C$40,$C19,헤몬팜일일!AL$1:AL$40)</f>
        <v>129.16800000000001</v>
      </c>
      <c r="AF19" s="155"/>
      <c r="AG19" s="155"/>
      <c r="AH19" s="155"/>
      <c r="AI19" s="155"/>
      <c r="AJ19" s="155"/>
      <c r="AK19" s="155"/>
      <c r="AL19" s="155"/>
      <c r="AM19" s="155"/>
      <c r="AN19" s="155"/>
      <c r="AO19" s="155"/>
      <c r="AP19" s="155"/>
      <c r="AQ19" s="155"/>
      <c r="AR19" s="155"/>
      <c r="AS19" s="155"/>
      <c r="AT19" s="155"/>
      <c r="AU19" s="155"/>
      <c r="AV19" s="155"/>
      <c r="AW19" s="155"/>
    </row>
    <row r="20" spans="1:49" ht="28.5" customHeight="1">
      <c r="A20" s="155"/>
      <c r="B20" s="104"/>
      <c r="C20" s="104"/>
      <c r="D20" s="29" t="e">
        <f>AC20/P20</f>
        <v>#REF!</v>
      </c>
      <c r="E20" s="166" t="e">
        <f>AB20/P20</f>
        <v>#REF!</v>
      </c>
      <c r="F20" s="29" t="e">
        <f>T20/P20</f>
        <v>#DIV/0!</v>
      </c>
      <c r="G20" s="128"/>
      <c r="H20" s="128">
        <f t="shared" ref="H20:N20" si="7">SUM(H3:H19)</f>
        <v>456</v>
      </c>
      <c r="I20" s="128">
        <f t="shared" si="7"/>
        <v>65.142857142857153</v>
      </c>
      <c r="J20" s="128">
        <f t="shared" si="7"/>
        <v>436</v>
      </c>
      <c r="K20" s="128">
        <f t="shared" si="7"/>
        <v>53</v>
      </c>
      <c r="L20" s="128">
        <f t="shared" si="7"/>
        <v>20</v>
      </c>
      <c r="M20" s="128">
        <f t="shared" si="7"/>
        <v>13138690</v>
      </c>
      <c r="N20" s="128">
        <f t="shared" si="7"/>
        <v>379100</v>
      </c>
      <c r="O20" s="128">
        <v>12759590</v>
      </c>
      <c r="P20" s="128"/>
      <c r="Q20" s="167">
        <f t="shared" ref="Q20:V20" si="8">SUM(Q3:Q19)</f>
        <v>307169.09629999998</v>
      </c>
      <c r="R20" s="128" t="e">
        <f t="shared" si="8"/>
        <v>#REF!</v>
      </c>
      <c r="S20" s="128">
        <f t="shared" si="8"/>
        <v>3230157.7</v>
      </c>
      <c r="T20" s="128">
        <f t="shared" si="8"/>
        <v>2936507</v>
      </c>
      <c r="U20" s="128">
        <f t="shared" si="8"/>
        <v>224486.5</v>
      </c>
      <c r="V20" s="128">
        <f t="shared" si="8"/>
        <v>118704</v>
      </c>
      <c r="W20" s="154">
        <v>0.09</v>
      </c>
      <c r="X20" s="128">
        <f>SUM(X3:X19)</f>
        <v>1361500</v>
      </c>
      <c r="Y20" s="28"/>
      <c r="Z20" s="128">
        <f t="shared" ref="Z20:AC20" si="9">SUM(Z3:Z19)</f>
        <v>2613808.8600000003</v>
      </c>
      <c r="AA20" s="128" t="e">
        <f t="shared" si="9"/>
        <v>#REF!</v>
      </c>
      <c r="AB20" s="128" t="e">
        <f t="shared" si="9"/>
        <v>#REF!</v>
      </c>
      <c r="AC20" s="128" t="e">
        <f t="shared" si="9"/>
        <v>#REF!</v>
      </c>
      <c r="AD20" s="26"/>
      <c r="AE20" s="26"/>
      <c r="AF20" s="155"/>
      <c r="AG20" s="155"/>
      <c r="AH20" s="155"/>
      <c r="AI20" s="155"/>
      <c r="AJ20" s="155"/>
      <c r="AK20" s="155"/>
      <c r="AL20" s="155"/>
      <c r="AM20" s="155"/>
      <c r="AN20" s="155"/>
      <c r="AO20" s="155"/>
      <c r="AP20" s="155"/>
      <c r="AQ20" s="155"/>
      <c r="AR20" s="155"/>
      <c r="AS20" s="155"/>
      <c r="AT20" s="155"/>
      <c r="AU20" s="155"/>
      <c r="AV20" s="155"/>
      <c r="AW20" s="155"/>
    </row>
    <row r="21" spans="1:49" ht="28.5" customHeight="1">
      <c r="A21" s="155"/>
      <c r="B21" s="1"/>
      <c r="C21" s="1"/>
      <c r="D21" s="10"/>
      <c r="E21" s="10"/>
      <c r="F21" s="156"/>
      <c r="G21" s="1"/>
      <c r="H21" s="1"/>
      <c r="I21" s="1"/>
      <c r="J21" s="1"/>
      <c r="K21" s="3"/>
      <c r="L21" s="3"/>
      <c r="M21" s="1"/>
      <c r="N21" s="157"/>
      <c r="O21" s="1"/>
      <c r="P21" s="1"/>
      <c r="Q21" s="3"/>
      <c r="R21" s="11"/>
      <c r="S21" s="157"/>
      <c r="T21" s="157"/>
      <c r="U21" s="157"/>
      <c r="V21" s="155"/>
      <c r="W21" s="155"/>
      <c r="X21" s="168">
        <v>552344</v>
      </c>
      <c r="Y21" s="168">
        <v>926423</v>
      </c>
      <c r="Z21" s="168">
        <f>X21+Y21</f>
        <v>1478767</v>
      </c>
      <c r="AA21" s="157"/>
      <c r="AB21" s="1"/>
      <c r="AC21" s="11"/>
      <c r="AD21" s="155"/>
      <c r="AE21" s="155"/>
      <c r="AF21" s="155"/>
      <c r="AG21" s="155"/>
      <c r="AH21" s="155"/>
      <c r="AI21" s="155"/>
      <c r="AJ21" s="155"/>
      <c r="AK21" s="155"/>
      <c r="AL21" s="155"/>
      <c r="AM21" s="155"/>
      <c r="AN21" s="155"/>
      <c r="AO21" s="155"/>
      <c r="AP21" s="155"/>
      <c r="AQ21" s="155"/>
      <c r="AR21" s="155"/>
      <c r="AS21" s="155"/>
      <c r="AT21" s="155"/>
      <c r="AU21" s="155"/>
      <c r="AV21" s="155"/>
      <c r="AW21" s="155"/>
    </row>
    <row r="22" spans="1:49" ht="28.5" customHeight="1">
      <c r="A22" s="26"/>
      <c r="B22" s="158"/>
      <c r="C22" s="159" t="s">
        <v>103</v>
      </c>
      <c r="D22" s="160" t="s">
        <v>0</v>
      </c>
      <c r="E22" s="160" t="s">
        <v>1</v>
      </c>
      <c r="F22" s="161" t="s">
        <v>2</v>
      </c>
      <c r="G22" s="162" t="s">
        <v>3</v>
      </c>
      <c r="H22" s="163" t="s">
        <v>8</v>
      </c>
      <c r="I22" s="163" t="s">
        <v>102</v>
      </c>
      <c r="J22" s="163" t="s">
        <v>9</v>
      </c>
      <c r="K22" s="164" t="s">
        <v>10</v>
      </c>
      <c r="L22" s="14" t="s">
        <v>11</v>
      </c>
      <c r="M22" s="16" t="s">
        <v>12</v>
      </c>
      <c r="N22" s="16" t="s">
        <v>13</v>
      </c>
      <c r="O22" s="17" t="s">
        <v>14</v>
      </c>
      <c r="P22" s="18" t="s">
        <v>15</v>
      </c>
      <c r="Q22" s="18" t="s">
        <v>16</v>
      </c>
      <c r="R22" s="18" t="s">
        <v>17</v>
      </c>
      <c r="S22" s="19" t="s">
        <v>18</v>
      </c>
      <c r="T22" s="19" t="s">
        <v>19</v>
      </c>
      <c r="U22" s="20" t="s">
        <v>20</v>
      </c>
      <c r="V22" s="21" t="s">
        <v>93</v>
      </c>
      <c r="W22" s="146" t="s">
        <v>21</v>
      </c>
      <c r="X22" s="21" t="s">
        <v>22</v>
      </c>
      <c r="Y22" s="147" t="s">
        <v>23</v>
      </c>
      <c r="Z22" s="23" t="s">
        <v>21</v>
      </c>
      <c r="AA22" s="23" t="s">
        <v>24</v>
      </c>
      <c r="AB22" s="23" t="s">
        <v>26</v>
      </c>
      <c r="AC22" s="24" t="s">
        <v>27</v>
      </c>
      <c r="AD22" s="124" t="s">
        <v>94</v>
      </c>
      <c r="AE22" s="125" t="s">
        <v>95</v>
      </c>
      <c r="AF22" s="26"/>
      <c r="AG22" s="26"/>
      <c r="AH22" s="26"/>
      <c r="AI22" s="26"/>
      <c r="AJ22" s="26"/>
      <c r="AK22" s="26"/>
      <c r="AL22" s="26"/>
      <c r="AM22" s="26"/>
      <c r="AN22" s="26"/>
      <c r="AO22" s="26"/>
      <c r="AP22" s="27"/>
      <c r="AQ22" s="27"/>
      <c r="AR22" s="27"/>
      <c r="AS22" s="27"/>
      <c r="AT22" s="27"/>
      <c r="AU22" s="27"/>
      <c r="AV22" s="26"/>
      <c r="AW22" s="26"/>
    </row>
    <row r="23" spans="1:49" ht="28.5" customHeight="1">
      <c r="A23" s="26"/>
      <c r="B23" s="165"/>
      <c r="C23" s="42" t="s">
        <v>107</v>
      </c>
      <c r="D23" s="28">
        <f t="shared" ref="D23:D39" si="10">AC23/O23</f>
        <v>0.16845660368257595</v>
      </c>
      <c r="E23" s="29">
        <f t="shared" ref="E23:E39" si="11">AB23/O23</f>
        <v>0.42290674705048281</v>
      </c>
      <c r="F23" s="29">
        <f t="shared" ref="F23:F39" si="12">(S23+U23)/O23</f>
        <v>0.25445014336790683</v>
      </c>
      <c r="G23" s="30" t="e">
        <f t="shared" ref="G23:G39" si="13">H23/AG23</f>
        <v>#DIV/0!</v>
      </c>
      <c r="H23" s="31">
        <f>SUMIF(헤몬팜일일!$C$1:$C$140,$C23,헤몬팜일일!O$1:O$140)</f>
        <v>1012</v>
      </c>
      <c r="I23" s="138">
        <f t="shared" ref="I23:I39" si="14">H23/7</f>
        <v>144.57142857142858</v>
      </c>
      <c r="J23" s="31">
        <f>SUMIF(헤몬팜일일!$C$1:$C$140,$C23,헤몬팜일일!P$1:P$140)</f>
        <v>1012</v>
      </c>
      <c r="K23" s="31">
        <f>SUMIF(헤몬팜일일!$C$1:$C$140,$C23,헤몬팜일일!Q$1:Q$140)</f>
        <v>85</v>
      </c>
      <c r="L23" s="31">
        <f>SUMIF(헤몬팜일일!$C$1:$C$140,$C23,헤몬팜일일!S$1:S$140)</f>
        <v>0</v>
      </c>
      <c r="M23" s="31">
        <f>SUMIF(헤몬팜일일!$C$1:$C$140,$C23,헤몬팜일일!T$1:T$140)</f>
        <v>28249000</v>
      </c>
      <c r="N23" s="31">
        <f>SUMIF(헤몬팜일일!$C$1:$C$140,$C23,헤몬팜일일!U$1:U$140)</f>
        <v>0</v>
      </c>
      <c r="O23" s="31">
        <f>SUMIF(헤몬팜일일!$C$1:$C$140,$C23,헤몬팜일일!V$1:V$140)</f>
        <v>28249000</v>
      </c>
      <c r="P23" s="34">
        <f t="shared" ref="P23:P39" si="15">O23/J23</f>
        <v>27914.03162055336</v>
      </c>
      <c r="Q23" s="34">
        <f t="shared" ref="Q23:Q39" si="16">R23/J23</f>
        <v>9245.0616000000009</v>
      </c>
      <c r="R23" s="31">
        <f>SUMIF(헤몬팜일일!$C$1:$C$140,$C23,헤몬팜일일!Y$1:Y$140)</f>
        <v>9356002.3392000012</v>
      </c>
      <c r="S23" s="31">
        <f>SUMIF(헤몬팜일일!$C$1:$C$140,$C23,헤몬팜일일!Z$1:Z$140)</f>
        <v>7187962.1000000006</v>
      </c>
      <c r="T23" s="31">
        <f>SUMIF(헤몬팜일일!$C$1:$C$140,$C23,헤몬팜일일!AA$1:AA$140)</f>
        <v>6534511</v>
      </c>
      <c r="U23" s="31">
        <f>SUMIF(헤몬팜일일!$C$1:$C$140,$C23,헤몬팜일일!AB$1:AB$140)</f>
        <v>0</v>
      </c>
      <c r="V23" s="31">
        <f>SUMIF(헤몬팜일일!$C$1:$C$140,$C23,헤몬팜일일!AC$1:AC$140)</f>
        <v>184620</v>
      </c>
      <c r="W23" s="152">
        <v>0.1</v>
      </c>
      <c r="X23" s="31">
        <f>SUMIF(헤몬팜일일!$C$1:$C$140,$C23,헤몬팜일일!AE$1:AE$140)</f>
        <v>3086600</v>
      </c>
      <c r="Y23" s="28">
        <f t="shared" ref="Y23:Y39" si="17">W23+(X23/O23)</f>
        <v>0.20926404474494673</v>
      </c>
      <c r="Z23" s="31">
        <f>SUMIF(헤몬팜일일!$C$1:$C$140,$C23,헤몬팜일일!AG$1:AG$140)</f>
        <v>5911500.2100000009</v>
      </c>
      <c r="AA23" s="31">
        <f>SUMIF(헤몬팜일일!$C$1:$C$140,$C23,헤몬팜일일!AH$1:AH$140)</f>
        <v>1034804.7533709088</v>
      </c>
      <c r="AB23" s="31">
        <f>SUMIF(헤몬팜일일!$C$1:$C$140,$C23,헤몬팜일일!AJ$1:AJ$140)</f>
        <v>11946692.697429089</v>
      </c>
      <c r="AC23" s="31">
        <f>SUMIF(헤몬팜일일!$C$1:$C$140,$C23,헤몬팜일일!AK$1:AK$140)</f>
        <v>4758730.5974290883</v>
      </c>
      <c r="AD23" s="31">
        <f>SUMIF(헤몬팜일일!$C$1:$C$140,$C23,헤몬팜일일!AK$1:AK$140)</f>
        <v>4758730.5974290883</v>
      </c>
      <c r="AE23" s="31">
        <f>SUMIF(헤몬팜일일!$C$1:$C$140,$C23,헤몬팜일일!AL$1:AL$140)</f>
        <v>452.08800000000002</v>
      </c>
      <c r="AF23" s="26"/>
      <c r="AG23" s="26"/>
      <c r="AH23" s="26"/>
      <c r="AI23" s="26"/>
      <c r="AJ23" s="26"/>
      <c r="AK23" s="26"/>
      <c r="AL23" s="26"/>
      <c r="AM23" s="26"/>
      <c r="AN23" s="26"/>
      <c r="AO23" s="26"/>
      <c r="AP23" s="27"/>
      <c r="AQ23" s="27"/>
      <c r="AR23" s="27"/>
      <c r="AS23" s="27"/>
      <c r="AT23" s="27"/>
      <c r="AU23" s="27"/>
      <c r="AV23" s="26"/>
      <c r="AW23" s="26"/>
    </row>
    <row r="24" spans="1:49" ht="28.5" customHeight="1">
      <c r="A24" s="26"/>
      <c r="B24" s="158"/>
      <c r="C24" s="42" t="s">
        <v>108</v>
      </c>
      <c r="D24" s="28">
        <f t="shared" si="10"/>
        <v>0.12485845094112932</v>
      </c>
      <c r="E24" s="29">
        <f t="shared" si="11"/>
        <v>0.40985052142571088</v>
      </c>
      <c r="F24" s="29">
        <f t="shared" si="12"/>
        <v>0.28499207048458153</v>
      </c>
      <c r="G24" s="30" t="e">
        <f t="shared" si="13"/>
        <v>#DIV/0!</v>
      </c>
      <c r="H24" s="31">
        <f>SUMIF(헤몬팜일일!$C$1:$C$140,$C24,헤몬팜일일!O$1:O$140)</f>
        <v>5</v>
      </c>
      <c r="I24" s="138">
        <f t="shared" si="14"/>
        <v>0.7142857142857143</v>
      </c>
      <c r="J24" s="31">
        <f>SUMIF(헤몬팜일일!$C$1:$C$140,$C24,헤몬팜일일!P$1:P$140)</f>
        <v>5</v>
      </c>
      <c r="K24" s="31">
        <f>SUMIF(헤몬팜일일!$C$1:$C$140,$C24,헤몬팜일일!Q$1:Q$140)</f>
        <v>0</v>
      </c>
      <c r="L24" s="31">
        <f>SUMIF(헤몬팜일일!$C$1:$C$140,$C24,헤몬팜일일!S$1:S$140)</f>
        <v>0</v>
      </c>
      <c r="M24" s="31">
        <f>SUMIF(헤몬팜일일!$C$1:$C$140,$C24,헤몬팜일일!T$1:T$140)</f>
        <v>113500</v>
      </c>
      <c r="N24" s="31">
        <f>SUMIF(헤몬팜일일!$C$1:$C$140,$C24,헤몬팜일일!U$1:U$140)</f>
        <v>0</v>
      </c>
      <c r="O24" s="31">
        <f>SUMIF(헤몬팜일일!$C$1:$C$140,$C24,헤몬팜일일!V$1:V$140)</f>
        <v>113500</v>
      </c>
      <c r="P24" s="34">
        <f t="shared" si="15"/>
        <v>22700</v>
      </c>
      <c r="Q24" s="34">
        <f t="shared" si="16"/>
        <v>7377.3279999999995</v>
      </c>
      <c r="R24" s="31">
        <f>SUMIF(헤몬팜일일!$C$1:$C$140,$C24,헤몬팜일일!Y$1:Y$140)</f>
        <v>36886.639999999999</v>
      </c>
      <c r="S24" s="31">
        <f>SUMIF(헤몬팜일일!$C$1:$C$140,$C24,헤몬팜일일!Z$1:Z$140)</f>
        <v>32346.600000000002</v>
      </c>
      <c r="T24" s="31">
        <f>SUMIF(헤몬팜일일!$C$1:$C$140,$C24,헤몬팜일일!AA$1:AA$140)</f>
        <v>29406</v>
      </c>
      <c r="U24" s="31">
        <f>SUMIF(헤몬팜일일!$C$1:$C$140,$C24,헤몬팜일일!AB$1:AB$140)</f>
        <v>0</v>
      </c>
      <c r="V24" s="31">
        <f>SUMIF(헤몬팜일일!$C$1:$C$140,$C24,헤몬팜일일!AC$1:AC$140)</f>
        <v>0</v>
      </c>
      <c r="W24" s="152">
        <v>0.1</v>
      </c>
      <c r="X24" s="31">
        <f>SUMIF(헤몬팜일일!$C$1:$C$140,$C24,헤몬팜일일!AE$1:AE$140)</f>
        <v>14750</v>
      </c>
      <c r="Y24" s="28">
        <f t="shared" si="17"/>
        <v>0.22995594713656389</v>
      </c>
      <c r="Z24" s="31">
        <f>SUMIF(헤몬팜일일!$C$1:$C$140,$C24,헤몬팜일일!AG$1:AG$140)</f>
        <v>26100.120000000003</v>
      </c>
      <c r="AA24" s="31">
        <f>SUMIF(헤몬팜일일!$C$1:$C$140,$C24,헤몬팜일일!AH$1:AH$140)</f>
        <v>3995.205818181817</v>
      </c>
      <c r="AB24" s="31">
        <f>SUMIF(헤몬팜일일!$C$1:$C$140,$C24,헤몬팜일일!AJ$1:AJ$140)</f>
        <v>46518.034181818184</v>
      </c>
      <c r="AC24" s="31">
        <f>SUMIF(헤몬팜일일!$C$1:$C$140,$C24,헤몬팜일일!AK$1:AK$140)</f>
        <v>14171.434181818178</v>
      </c>
      <c r="AD24" s="31">
        <f>SUMIF(헤몬팜일일!$C$1:$C$140,$C24,헤몬팜일일!AK$1:AK$140)</f>
        <v>14171.434181818178</v>
      </c>
      <c r="AE24" s="31">
        <f>SUMIF(헤몬팜일일!$C$1:$C$140,$C24,헤몬팜일일!AL$1:AL$140)</f>
        <v>340.20000000000005</v>
      </c>
      <c r="AF24" s="26"/>
      <c r="AG24" s="26"/>
      <c r="AH24" s="26"/>
      <c r="AI24" s="26"/>
      <c r="AJ24" s="26"/>
      <c r="AK24" s="26"/>
      <c r="AL24" s="26"/>
      <c r="AM24" s="26"/>
      <c r="AN24" s="26"/>
      <c r="AO24" s="26"/>
      <c r="AP24" s="27"/>
      <c r="AQ24" s="27"/>
      <c r="AR24" s="27"/>
      <c r="AS24" s="27"/>
      <c r="AT24" s="27"/>
      <c r="AU24" s="27"/>
      <c r="AV24" s="26"/>
      <c r="AW24" s="26"/>
    </row>
    <row r="25" spans="1:49" ht="28.5" customHeight="1">
      <c r="A25" s="26"/>
      <c r="B25" s="158"/>
      <c r="C25" s="42" t="s">
        <v>109</v>
      </c>
      <c r="D25" s="28" t="e">
        <f t="shared" si="10"/>
        <v>#REF!</v>
      </c>
      <c r="E25" s="29" t="e">
        <f t="shared" si="11"/>
        <v>#REF!</v>
      </c>
      <c r="F25" s="29">
        <f t="shared" si="12"/>
        <v>0.36720572537603108</v>
      </c>
      <c r="G25" s="30" t="e">
        <f t="shared" si="13"/>
        <v>#DIV/0!</v>
      </c>
      <c r="H25" s="31">
        <f>SUMIF(헤몬팜일일!$C$1:$C$140,$C25,헤몬팜일일!O$1:O$140)</f>
        <v>9</v>
      </c>
      <c r="I25" s="138">
        <f t="shared" si="14"/>
        <v>1.2857142857142858</v>
      </c>
      <c r="J25" s="31">
        <f>SUMIF(헤몬팜일일!$C$1:$C$140,$C25,헤몬팜일일!P$1:P$140)</f>
        <v>9</v>
      </c>
      <c r="K25" s="31">
        <f>SUMIF(헤몬팜일일!$C$1:$C$140,$C25,헤몬팜일일!Q$1:Q$140)</f>
        <v>1</v>
      </c>
      <c r="L25" s="31">
        <f>SUMIF(헤몬팜일일!$C$1:$C$140,$C25,헤몬팜일일!S$1:S$140)</f>
        <v>0</v>
      </c>
      <c r="M25" s="31">
        <f>SUMIF(헤몬팜일일!$C$1:$C$140,$C25,헤몬팜일일!T$1:T$140)</f>
        <v>412200</v>
      </c>
      <c r="N25" s="31">
        <f>SUMIF(헤몬팜일일!$C$1:$C$140,$C25,헤몬팜일일!U$1:U$140)</f>
        <v>0</v>
      </c>
      <c r="O25" s="31">
        <f>SUMIF(헤몬팜일일!$C$1:$C$140,$C25,헤몬팜일일!V$1:V$140)</f>
        <v>412200</v>
      </c>
      <c r="P25" s="34">
        <f t="shared" si="15"/>
        <v>45800</v>
      </c>
      <c r="Q25" s="34" t="e">
        <f t="shared" si="16"/>
        <v>#REF!</v>
      </c>
      <c r="R25" s="31" t="e">
        <f>SUMIF(헤몬팜일일!$C$1:$C$140,$C25,헤몬팜일일!Y$1:Y$140)</f>
        <v>#REF!</v>
      </c>
      <c r="S25" s="31">
        <f>SUMIF(헤몬팜일일!$C$1:$C$140,$C25,헤몬팜일일!Z$1:Z$140)</f>
        <v>151362.20000000001</v>
      </c>
      <c r="T25" s="31">
        <f>SUMIF(헤몬팜일일!$C$1:$C$140,$C25,헤몬팜일일!AA$1:AA$140)</f>
        <v>137602</v>
      </c>
      <c r="U25" s="31">
        <f>SUMIF(헤몬팜일일!$C$1:$C$140,$C25,헤몬팜일일!AB$1:AB$140)</f>
        <v>0</v>
      </c>
      <c r="V25" s="31">
        <f>SUMIF(헤몬팜일일!$C$1:$C$140,$C25,헤몬팜일일!AC$1:AC$140)</f>
        <v>2310</v>
      </c>
      <c r="W25" s="152">
        <v>0.1</v>
      </c>
      <c r="X25" s="31">
        <f>SUMIF(헤몬팜일일!$C$1:$C$140,$C25,헤몬팜일일!AE$1:AE$140)</f>
        <v>37350</v>
      </c>
      <c r="Y25" s="28">
        <f t="shared" si="17"/>
        <v>0.19061135371179039</v>
      </c>
      <c r="Z25" s="31">
        <f>SUMIF(헤몬팜일일!$C$1:$C$140,$C25,헤몬팜일일!AG$1:AG$140)</f>
        <v>82692.179999999993</v>
      </c>
      <c r="AA25" s="31" t="e">
        <f>SUMIF(헤몬팜일일!$C$1:$C$140,$C25,헤몬팜일일!AH$1:AH$140)</f>
        <v>#REF!</v>
      </c>
      <c r="AB25" s="31" t="e">
        <f>SUMIF(헤몬팜일일!$C$1:$C$140,$C25,헤몬팜일일!AJ$1:AJ$140)</f>
        <v>#REF!</v>
      </c>
      <c r="AC25" s="31" t="e">
        <f>SUMIF(헤몬팜일일!$C$1:$C$140,$C25,헤몬팜일일!AK$1:AK$140)</f>
        <v>#REF!</v>
      </c>
      <c r="AD25" s="31" t="e">
        <f>SUMIF(헤몬팜일일!$C$1:$C$140,$C25,헤몬팜일일!AK$1:AK$140)</f>
        <v>#REF!</v>
      </c>
      <c r="AE25" s="31">
        <f>SUMIF(헤몬팜일일!$C$1:$C$140,$C25,헤몬팜일일!AL$1:AL$140)</f>
        <v>1134</v>
      </c>
      <c r="AF25" s="26"/>
      <c r="AG25" s="26"/>
      <c r="AH25" s="26"/>
      <c r="AI25" s="26"/>
      <c r="AJ25" s="26"/>
      <c r="AK25" s="26"/>
      <c r="AL25" s="26"/>
      <c r="AM25" s="26"/>
      <c r="AN25" s="26"/>
      <c r="AO25" s="26"/>
      <c r="AP25" s="27"/>
      <c r="AQ25" s="27"/>
      <c r="AR25" s="27"/>
      <c r="AS25" s="27"/>
      <c r="AT25" s="27"/>
      <c r="AU25" s="27"/>
      <c r="AV25" s="26"/>
      <c r="AW25" s="26"/>
    </row>
    <row r="26" spans="1:49" ht="28.5" customHeight="1">
      <c r="A26" s="26"/>
      <c r="B26" s="158"/>
      <c r="C26" s="42" t="s">
        <v>110</v>
      </c>
      <c r="D26" s="28" t="e">
        <f t="shared" si="10"/>
        <v>#REF!</v>
      </c>
      <c r="E26" s="29" t="e">
        <f t="shared" si="11"/>
        <v>#REF!</v>
      </c>
      <c r="F26" s="29">
        <f t="shared" si="12"/>
        <v>0.41999038461538463</v>
      </c>
      <c r="G26" s="30" t="e">
        <f t="shared" si="13"/>
        <v>#DIV/0!</v>
      </c>
      <c r="H26" s="31">
        <f>SUMIF(헤몬팜일일!$C$1:$C$140,$C26,헤몬팜일일!O$1:O$140)</f>
        <v>22</v>
      </c>
      <c r="I26" s="138">
        <f t="shared" si="14"/>
        <v>3.1428571428571428</v>
      </c>
      <c r="J26" s="31">
        <f>SUMIF(헤몬팜일일!$C$1:$C$140,$C26,헤몬팜일일!P$1:P$140)</f>
        <v>22</v>
      </c>
      <c r="K26" s="31">
        <f>SUMIF(헤몬팜일일!$C$1:$C$140,$C26,헤몬팜일일!Q$1:Q$140)</f>
        <v>8</v>
      </c>
      <c r="L26" s="31">
        <f>SUMIF(헤몬팜일일!$C$1:$C$140,$C26,헤몬팜일일!S$1:S$140)</f>
        <v>0</v>
      </c>
      <c r="M26" s="31">
        <f>SUMIF(헤몬팜일일!$C$1:$C$140,$C26,헤몬팜일일!T$1:T$140)</f>
        <v>1029600</v>
      </c>
      <c r="N26" s="31">
        <f>SUMIF(헤몬팜일일!$C$1:$C$140,$C26,헤몬팜일일!U$1:U$140)</f>
        <v>0</v>
      </c>
      <c r="O26" s="31">
        <f>SUMIF(헤몬팜일일!$C$1:$C$140,$C26,헤몬팜일일!V$1:V$140)</f>
        <v>1029600</v>
      </c>
      <c r="P26" s="34">
        <f t="shared" si="15"/>
        <v>46800</v>
      </c>
      <c r="Q26" s="34" t="e">
        <f t="shared" si="16"/>
        <v>#REF!</v>
      </c>
      <c r="R26" s="31" t="e">
        <f>SUMIF(헤몬팜일일!$C$1:$C$140,$C26,헤몬팜일일!Y$1:Y$140)</f>
        <v>#REF!</v>
      </c>
      <c r="S26" s="31">
        <f>SUMIF(헤몬팜일일!$C$1:$C$140,$C26,헤몬팜일일!Z$1:Z$140)</f>
        <v>432422.10000000003</v>
      </c>
      <c r="T26" s="31">
        <f>SUMIF(헤몬팜일일!$C$1:$C$140,$C26,헤몬팜일일!AA$1:AA$140)</f>
        <v>393111</v>
      </c>
      <c r="U26" s="31">
        <f>SUMIF(헤몬팜일일!$C$1:$C$140,$C26,헤몬팜일일!AB$1:AB$140)</f>
        <v>0</v>
      </c>
      <c r="V26" s="31">
        <f>SUMIF(헤몬팜일일!$C$1:$C$140,$C26,헤몬팜일일!AC$1:AC$140)</f>
        <v>18480</v>
      </c>
      <c r="W26" s="152">
        <v>0.1</v>
      </c>
      <c r="X26" s="31">
        <f>SUMIF(헤몬팜일일!$C$1:$C$140,$C26,헤몬팜일일!AE$1:AE$140)</f>
        <v>91300</v>
      </c>
      <c r="Y26" s="28">
        <f t="shared" si="17"/>
        <v>0.18867521367521367</v>
      </c>
      <c r="Z26" s="31">
        <f>SUMIF(헤몬팜일일!$C$1:$C$140,$C26,헤몬팜일일!AG$1:AG$140)</f>
        <v>204556.18</v>
      </c>
      <c r="AA26" s="31" t="e">
        <f>SUMIF(헤몬팜일일!$C$1:$C$140,$C26,헤몬팜일일!AH$1:AH$140)</f>
        <v>#REF!</v>
      </c>
      <c r="AB26" s="31" t="e">
        <f>SUMIF(헤몬팜일일!$C$1:$C$140,$C26,헤몬팜일일!AJ$1:AJ$140)</f>
        <v>#REF!</v>
      </c>
      <c r="AC26" s="31" t="e">
        <f>SUMIF(헤몬팜일일!$C$1:$C$140,$C26,헤몬팜일일!AK$1:AK$140)</f>
        <v>#REF!</v>
      </c>
      <c r="AD26" s="31" t="e">
        <f>SUMIF(헤몬팜일일!$C$1:$C$140,$C26,헤몬팜일일!AK$1:AK$140)</f>
        <v>#REF!</v>
      </c>
      <c r="AE26" s="31">
        <f>SUMIF(헤몬팜일일!$C$1:$C$140,$C26,헤몬팜일일!AL$1:AL$140)</f>
        <v>1134</v>
      </c>
      <c r="AF26" s="26"/>
      <c r="AG26" s="26"/>
      <c r="AH26" s="26"/>
      <c r="AI26" s="26"/>
      <c r="AJ26" s="26"/>
      <c r="AK26" s="26"/>
      <c r="AL26" s="26"/>
      <c r="AM26" s="26"/>
      <c r="AN26" s="26"/>
      <c r="AO26" s="26"/>
      <c r="AP26" s="27"/>
      <c r="AQ26" s="27"/>
      <c r="AR26" s="27"/>
      <c r="AS26" s="27"/>
      <c r="AT26" s="27"/>
      <c r="AU26" s="27"/>
      <c r="AV26" s="26"/>
      <c r="AW26" s="26"/>
    </row>
    <row r="27" spans="1:49" ht="28.5" customHeight="1">
      <c r="A27" s="26"/>
      <c r="B27" s="158"/>
      <c r="C27" s="42" t="s">
        <v>32</v>
      </c>
      <c r="D27" s="28" t="e">
        <f t="shared" si="10"/>
        <v>#REF!</v>
      </c>
      <c r="E27" s="29" t="e">
        <f t="shared" si="11"/>
        <v>#REF!</v>
      </c>
      <c r="F27" s="29">
        <f t="shared" si="12"/>
        <v>0.42336204013377932</v>
      </c>
      <c r="G27" s="30" t="e">
        <f t="shared" si="13"/>
        <v>#DIV/0!</v>
      </c>
      <c r="H27" s="31">
        <f>SUMIF(헤몬팜일일!$C$1:$C$140,$C27,헤몬팜일일!O$1:O$140)</f>
        <v>6</v>
      </c>
      <c r="I27" s="138">
        <f t="shared" si="14"/>
        <v>0.8571428571428571</v>
      </c>
      <c r="J27" s="31">
        <f>SUMIF(헤몬팜일일!$C$1:$C$140,$C27,헤몬팜일일!P$1:P$140)</f>
        <v>6</v>
      </c>
      <c r="K27" s="31">
        <f>SUMIF(헤몬팜일일!$C$1:$C$140,$C27,헤몬팜일일!Q$1:Q$140)</f>
        <v>1</v>
      </c>
      <c r="L27" s="31">
        <f>SUMIF(헤몬팜일일!$C$1:$C$140,$C27,헤몬팜일일!S$1:S$140)</f>
        <v>0</v>
      </c>
      <c r="M27" s="31">
        <f>SUMIF(헤몬팜일일!$C$1:$C$140,$C27,헤몬팜일일!T$1:T$140)</f>
        <v>358800</v>
      </c>
      <c r="N27" s="31">
        <f>SUMIF(헤몬팜일일!$C$1:$C$140,$C27,헤몬팜일일!U$1:U$140)</f>
        <v>0</v>
      </c>
      <c r="O27" s="31">
        <f>SUMIF(헤몬팜일일!$C$1:$C$140,$C27,헤몬팜일일!V$1:V$140)</f>
        <v>358800</v>
      </c>
      <c r="P27" s="34">
        <f t="shared" si="15"/>
        <v>59800</v>
      </c>
      <c r="Q27" s="34" t="e">
        <f t="shared" si="16"/>
        <v>#REF!</v>
      </c>
      <c r="R27" s="31" t="e">
        <f>SUMIF(헤몬팜일일!$C$1:$C$140,$C27,헤몬팜일일!Y$1:Y$140)</f>
        <v>#REF!</v>
      </c>
      <c r="S27" s="31">
        <f>SUMIF(헤몬팜일일!$C$1:$C$140,$C27,헤몬팜일일!Z$1:Z$140)</f>
        <v>151902.30000000002</v>
      </c>
      <c r="T27" s="31">
        <f>SUMIF(헤몬팜일일!$C$1:$C$140,$C27,헤몬팜일일!AA$1:AA$140)</f>
        <v>138093</v>
      </c>
      <c r="U27" s="31">
        <f>SUMIF(헤몬팜일일!$C$1:$C$140,$C27,헤몬팜일일!AB$1:AB$140)</f>
        <v>0</v>
      </c>
      <c r="V27" s="31">
        <f>SUMIF(헤몬팜일일!$C$1:$C$140,$C27,헤몬팜일일!AC$1:AC$140)</f>
        <v>2310</v>
      </c>
      <c r="W27" s="152">
        <v>0.1</v>
      </c>
      <c r="X27" s="31">
        <f>SUMIF(헤몬팜일일!$C$1:$C$140,$C27,헤몬팜일일!AE$1:AE$140)</f>
        <v>28950</v>
      </c>
      <c r="Y27" s="28">
        <f t="shared" si="17"/>
        <v>0.180685618729097</v>
      </c>
      <c r="Z27" s="31">
        <f>SUMIF(헤몬팜일일!$C$1:$C$140,$C27,헤몬팜일일!AG$1:AG$140)</f>
        <v>67700.490000000005</v>
      </c>
      <c r="AA27" s="31" t="e">
        <f>SUMIF(헤몬팜일일!$C$1:$C$140,$C27,헤몬팜일일!AH$1:AH$140)</f>
        <v>#REF!</v>
      </c>
      <c r="AB27" s="31" t="e">
        <f>SUMIF(헤몬팜일일!$C$1:$C$140,$C27,헤몬팜일일!AJ$1:AJ$140)</f>
        <v>#REF!</v>
      </c>
      <c r="AC27" s="31" t="e">
        <f>SUMIF(헤몬팜일일!$C$1:$C$140,$C27,헤몬팜일일!AK$1:AK$140)</f>
        <v>#REF!</v>
      </c>
      <c r="AD27" s="31" t="e">
        <f>SUMIF(헤몬팜일일!$C$1:$C$140,$C27,헤몬팜일일!AK$1:AK$140)</f>
        <v>#REF!</v>
      </c>
      <c r="AE27" s="31">
        <f>SUMIF(헤몬팜일일!$C$1:$C$140,$C27,헤몬팜일일!AL$1:AL$140)</f>
        <v>2600.64</v>
      </c>
      <c r="AF27" s="26"/>
      <c r="AG27" s="26"/>
      <c r="AH27" s="26"/>
      <c r="AI27" s="26"/>
      <c r="AJ27" s="26"/>
      <c r="AK27" s="26"/>
      <c r="AL27" s="26"/>
      <c r="AM27" s="26"/>
      <c r="AN27" s="26"/>
      <c r="AO27" s="26"/>
      <c r="AP27" s="27"/>
      <c r="AQ27" s="27"/>
      <c r="AR27" s="27"/>
      <c r="AS27" s="27"/>
      <c r="AT27" s="27"/>
      <c r="AU27" s="27"/>
      <c r="AV27" s="26"/>
      <c r="AW27" s="26"/>
    </row>
    <row r="28" spans="1:49" ht="28.5" customHeight="1">
      <c r="A28" s="26"/>
      <c r="B28" s="158"/>
      <c r="C28" s="42" t="s">
        <v>33</v>
      </c>
      <c r="D28" s="28" t="e">
        <f t="shared" si="10"/>
        <v>#REF!</v>
      </c>
      <c r="E28" s="29" t="e">
        <f t="shared" si="11"/>
        <v>#REF!</v>
      </c>
      <c r="F28" s="29">
        <f t="shared" si="12"/>
        <v>0.3514594977070794</v>
      </c>
      <c r="G28" s="30" t="e">
        <f t="shared" si="13"/>
        <v>#DIV/0!</v>
      </c>
      <c r="H28" s="31">
        <f>SUMIF(헤몬팜일일!$C$1:$C$140,$C28,헤몬팜일일!O$1:O$140)</f>
        <v>16</v>
      </c>
      <c r="I28" s="138">
        <f t="shared" si="14"/>
        <v>2.2857142857142856</v>
      </c>
      <c r="J28" s="31">
        <f>SUMIF(헤몬팜일일!$C$1:$C$140,$C28,헤몬팜일일!P$1:P$140)</f>
        <v>16</v>
      </c>
      <c r="K28" s="31">
        <f>SUMIF(헤몬팜일일!$C$1:$C$140,$C28,헤몬팜일일!Q$1:Q$140)</f>
        <v>4</v>
      </c>
      <c r="L28" s="31">
        <f>SUMIF(헤몬팜일일!$C$1:$C$140,$C28,헤몬팜일일!S$1:S$140)</f>
        <v>0</v>
      </c>
      <c r="M28" s="31">
        <f>SUMIF(헤몬팜일일!$C$1:$C$140,$C28,헤몬팜일일!T$1:T$140)</f>
        <v>1116480</v>
      </c>
      <c r="N28" s="31">
        <f>SUMIF(헤몬팜일일!$C$1:$C$140,$C28,헤몬팜일일!U$1:U$140)</f>
        <v>0</v>
      </c>
      <c r="O28" s="31">
        <f>SUMIF(헤몬팜일일!$C$1:$C$140,$C28,헤몬팜일일!V$1:V$140)</f>
        <v>1116480</v>
      </c>
      <c r="P28" s="34">
        <f t="shared" si="15"/>
        <v>69780</v>
      </c>
      <c r="Q28" s="34" t="e">
        <f t="shared" si="16"/>
        <v>#REF!</v>
      </c>
      <c r="R28" s="31" t="e">
        <f>SUMIF(헤몬팜일일!$C$1:$C$140,$C28,헤몬팜일일!Y$1:Y$140)</f>
        <v>#REF!</v>
      </c>
      <c r="S28" s="31">
        <f>SUMIF(헤몬팜일일!$C$1:$C$140,$C28,헤몬팜일일!Z$1:Z$140)</f>
        <v>392397.5</v>
      </c>
      <c r="T28" s="31">
        <f>SUMIF(헤몬팜일일!$C$1:$C$140,$C28,헤몬팜일일!AA$1:AA$140)</f>
        <v>356725</v>
      </c>
      <c r="U28" s="31">
        <f>SUMIF(헤몬팜일일!$C$1:$C$140,$C28,헤몬팜일일!AB$1:AB$140)</f>
        <v>0</v>
      </c>
      <c r="V28" s="31">
        <f>SUMIF(헤몬팜일일!$C$1:$C$140,$C28,헤몬팜일일!AC$1:AC$140)</f>
        <v>9240</v>
      </c>
      <c r="W28" s="152">
        <v>0.1</v>
      </c>
      <c r="X28" s="31">
        <f>SUMIF(헤몬팜일일!$C$1:$C$140,$C28,헤몬팜일일!AE$1:AE$140)</f>
        <v>77200</v>
      </c>
      <c r="Y28" s="28">
        <f t="shared" si="17"/>
        <v>0.16914588707366007</v>
      </c>
      <c r="Z28" s="31">
        <f>SUMIF(헤몬팜일일!$C$1:$C$140,$C28,헤몬팜일일!AG$1:AG$140)</f>
        <v>197780.02</v>
      </c>
      <c r="AA28" s="31" t="e">
        <f>SUMIF(헤몬팜일일!$C$1:$C$140,$C28,헤몬팜일일!AH$1:AH$140)</f>
        <v>#REF!</v>
      </c>
      <c r="AB28" s="31" t="e">
        <f>SUMIF(헤몬팜일일!$C$1:$C$140,$C28,헤몬팜일일!AJ$1:AJ$140)</f>
        <v>#REF!</v>
      </c>
      <c r="AC28" s="31" t="e">
        <f>SUMIF(헤몬팜일일!$C$1:$C$140,$C28,헤몬팜일일!AK$1:AK$140)</f>
        <v>#REF!</v>
      </c>
      <c r="AD28" s="31" t="e">
        <f>SUMIF(헤몬팜일일!$C$1:$C$140,$C28,헤몬팜일일!AK$1:AK$140)</f>
        <v>#REF!</v>
      </c>
      <c r="AE28" s="31">
        <f>SUMIF(헤몬팜일일!$C$1:$C$140,$C28,헤몬팜일일!AL$1:AL$140)</f>
        <v>2600.64</v>
      </c>
      <c r="AF28" s="26"/>
      <c r="AG28" s="26"/>
      <c r="AH28" s="26"/>
      <c r="AI28" s="26"/>
      <c r="AJ28" s="26"/>
      <c r="AK28" s="26"/>
      <c r="AL28" s="26"/>
      <c r="AM28" s="26"/>
      <c r="AN28" s="26"/>
      <c r="AO28" s="26"/>
      <c r="AP28" s="27"/>
      <c r="AQ28" s="27"/>
      <c r="AR28" s="27"/>
      <c r="AS28" s="27"/>
      <c r="AT28" s="27"/>
      <c r="AU28" s="27"/>
      <c r="AV28" s="26"/>
      <c r="AW28" s="26"/>
    </row>
    <row r="29" spans="1:49" ht="28.5" customHeight="1">
      <c r="A29" s="26"/>
      <c r="B29" s="158"/>
      <c r="C29" s="42" t="s">
        <v>111</v>
      </c>
      <c r="D29" s="28">
        <f t="shared" si="10"/>
        <v>-0.43335976029488743</v>
      </c>
      <c r="E29" s="29">
        <f t="shared" si="11"/>
        <v>0.39776706094049913</v>
      </c>
      <c r="F29" s="29">
        <f t="shared" si="12"/>
        <v>0.8311268212353865</v>
      </c>
      <c r="G29" s="30" t="e">
        <f t="shared" si="13"/>
        <v>#DIV/0!</v>
      </c>
      <c r="H29" s="31">
        <f>SUMIF(헤몬팜일일!$C$1:$C$140,$C29,헤몬팜일일!O$1:O$140)</f>
        <v>91</v>
      </c>
      <c r="I29" s="138">
        <f t="shared" si="14"/>
        <v>13</v>
      </c>
      <c r="J29" s="31">
        <f>SUMIF(헤몬팜일일!$C$1:$C$140,$C29,헤몬팜일일!P$1:P$140)</f>
        <v>56</v>
      </c>
      <c r="K29" s="31">
        <f>SUMIF(헤몬팜일일!$C$1:$C$140,$C29,헤몬팜일일!Q$1:Q$140)</f>
        <v>6</v>
      </c>
      <c r="L29" s="31">
        <f>SUMIF(헤몬팜일일!$C$1:$C$140,$C29,헤몬팜일일!S$1:S$140)</f>
        <v>35</v>
      </c>
      <c r="M29" s="31">
        <f>SUMIF(헤몬팜일일!$C$1:$C$140,$C29,헤몬팜일일!T$1:T$140)</f>
        <v>1490060</v>
      </c>
      <c r="N29" s="31">
        <f>SUMIF(헤몬팜일일!$C$1:$C$140,$C29,헤몬팜일일!U$1:U$140)</f>
        <v>573100</v>
      </c>
      <c r="O29" s="31">
        <f>SUMIF(헤몬팜일일!$C$1:$C$140,$C29,헤몬팜일일!V$1:V$140)</f>
        <v>916960</v>
      </c>
      <c r="P29" s="34">
        <f t="shared" si="15"/>
        <v>16374.285714285714</v>
      </c>
      <c r="Q29" s="34">
        <f t="shared" si="16"/>
        <v>5126.3244999999997</v>
      </c>
      <c r="R29" s="31">
        <f>SUMIF(헤몬팜일일!$C$1:$C$140,$C29,헤몬팜일일!Y$1:Y$140)</f>
        <v>287074.17199999996</v>
      </c>
      <c r="S29" s="31">
        <f>SUMIF(헤몬팜일일!$C$1:$C$140,$C29,헤몬팜일일!Z$1:Z$140)</f>
        <v>416749.3</v>
      </c>
      <c r="T29" s="31">
        <f>SUMIF(헤몬팜일일!$C$1:$C$140,$C29,헤몬팜일일!AA$1:AA$140)</f>
        <v>378863</v>
      </c>
      <c r="U29" s="31">
        <f>SUMIF(헤몬팜일일!$C$1:$C$140,$C29,헤몬팜일일!AB$1:AB$140)</f>
        <v>345360.75</v>
      </c>
      <c r="V29" s="31">
        <f>SUMIF(헤몬팜일일!$C$1:$C$140,$C29,헤몬팜일일!AC$1:AC$140)</f>
        <v>13860</v>
      </c>
      <c r="W29" s="152">
        <v>0.1</v>
      </c>
      <c r="X29" s="31">
        <f>SUMIF(헤몬팜일일!$C$1:$C$140,$C29,헤몬팜일일!AE$1:AE$140)</f>
        <v>162400</v>
      </c>
      <c r="Y29" s="28">
        <f t="shared" si="17"/>
        <v>0.27710696213575292</v>
      </c>
      <c r="Z29" s="31">
        <f>SUMIF(헤몬팜일일!$C$1:$C$140,$C29,헤몬팜일일!AG$1:AG$140)</f>
        <v>233923.08999999997</v>
      </c>
      <c r="AA29" s="31">
        <f>SUMIF(헤몬팜일일!$C$1:$C$140,$C29,헤몬팜일일!AH$1:AH$140)</f>
        <v>31226.253799999999</v>
      </c>
      <c r="AB29" s="31">
        <f>SUMIF(헤몬팜일일!$C$1:$C$140,$C29,헤몬팜일일!AJ$1:AJ$140)</f>
        <v>364736.48420000006</v>
      </c>
      <c r="AC29" s="31">
        <f>SUMIF(헤몬팜일일!$C$1:$C$140,$C29,헤몬팜일일!AK$1:AK$140)</f>
        <v>-397373.56579999998</v>
      </c>
      <c r="AD29" s="31">
        <f>SUMIF(헤몬팜일일!$C$1:$C$140,$C29,헤몬팜일일!AK$1:AK$140)</f>
        <v>-397373.56579999998</v>
      </c>
      <c r="AE29" s="31">
        <f>SUMIF(헤몬팜일일!$C$1:$C$140,$C29,헤몬팜일일!AL$1:AL$140)</f>
        <v>42.525000000000006</v>
      </c>
      <c r="AF29" s="26"/>
      <c r="AG29" s="26"/>
      <c r="AH29" s="26"/>
      <c r="AI29" s="26"/>
      <c r="AJ29" s="26"/>
      <c r="AK29" s="26"/>
      <c r="AL29" s="26"/>
      <c r="AM29" s="26"/>
      <c r="AN29" s="26"/>
      <c r="AO29" s="26"/>
      <c r="AP29" s="27"/>
      <c r="AQ29" s="27"/>
      <c r="AR29" s="27"/>
      <c r="AS29" s="27"/>
      <c r="AT29" s="27"/>
      <c r="AU29" s="27"/>
      <c r="AV29" s="26"/>
      <c r="AW29" s="26"/>
    </row>
    <row r="30" spans="1:49" ht="28.5" customHeight="1">
      <c r="A30" s="26"/>
      <c r="B30" s="158"/>
      <c r="C30" s="42" t="s">
        <v>112</v>
      </c>
      <c r="D30" s="28" t="e">
        <f t="shared" si="10"/>
        <v>#REF!</v>
      </c>
      <c r="E30" s="29" t="e">
        <f t="shared" si="11"/>
        <v>#REF!</v>
      </c>
      <c r="F30" s="29">
        <f t="shared" si="12"/>
        <v>0.25633333333333336</v>
      </c>
      <c r="G30" s="30" t="e">
        <f t="shared" si="13"/>
        <v>#DIV/0!</v>
      </c>
      <c r="H30" s="31">
        <f>SUMIF(헤몬팜일일!$C$1:$C$140,$C30,헤몬팜일일!O$1:O$140)</f>
        <v>33</v>
      </c>
      <c r="I30" s="138">
        <f t="shared" si="14"/>
        <v>4.7142857142857144</v>
      </c>
      <c r="J30" s="31">
        <f>SUMIF(헤몬팜일일!$C$1:$C$140,$C30,헤몬팜일일!P$1:P$140)</f>
        <v>33</v>
      </c>
      <c r="K30" s="31">
        <f>SUMIF(헤몬팜일일!$C$1:$C$140,$C30,헤몬팜일일!Q$1:Q$140)</f>
        <v>3</v>
      </c>
      <c r="L30" s="31">
        <f>SUMIF(헤몬팜일일!$C$1:$C$140,$C30,헤몬팜일일!S$1:S$140)</f>
        <v>0</v>
      </c>
      <c r="M30" s="31">
        <f>SUMIF(헤몬팜일일!$C$1:$C$140,$C30,헤몬팜일일!T$1:T$140)</f>
        <v>1313400</v>
      </c>
      <c r="N30" s="31">
        <f>SUMIF(헤몬팜일일!$C$1:$C$140,$C30,헤몬팜일일!U$1:U$140)</f>
        <v>0</v>
      </c>
      <c r="O30" s="31">
        <f>SUMIF(헤몬팜일일!$C$1:$C$140,$C30,헤몬팜일일!V$1:V$140)</f>
        <v>1313400</v>
      </c>
      <c r="P30" s="34">
        <f t="shared" si="15"/>
        <v>39800</v>
      </c>
      <c r="Q30" s="34" t="e">
        <f t="shared" si="16"/>
        <v>#REF!</v>
      </c>
      <c r="R30" s="31" t="e">
        <f>SUMIF(헤몬팜일일!$C$1:$C$140,$C30,헤몬팜일일!Y$1:Y$140)</f>
        <v>#REF!</v>
      </c>
      <c r="S30" s="31">
        <f>SUMIF(헤몬팜일일!$C$1:$C$140,$C30,헤몬팜일일!Z$1:Z$140)</f>
        <v>336668.2</v>
      </c>
      <c r="T30" s="31">
        <f>SUMIF(헤몬팜일일!$C$1:$C$140,$C30,헤몬팜일일!AA$1:AA$140)</f>
        <v>306062</v>
      </c>
      <c r="U30" s="31">
        <f>SUMIF(헤몬팜일일!$C$1:$C$140,$C30,헤몬팜일일!AB$1:AB$140)</f>
        <v>0</v>
      </c>
      <c r="V30" s="31">
        <f>SUMIF(헤몬팜일일!$C$1:$C$140,$C30,헤몬팜일일!AC$1:AC$140)</f>
        <v>6930</v>
      </c>
      <c r="W30" s="152">
        <v>0.1</v>
      </c>
      <c r="X30" s="31">
        <f>SUMIF(헤몬팜일일!$C$1:$C$140,$C30,헤몬팜일일!AE$1:AE$140)</f>
        <v>136950</v>
      </c>
      <c r="Y30" s="28">
        <f t="shared" si="17"/>
        <v>0.20427135678391961</v>
      </c>
      <c r="Z30" s="31">
        <f>SUMIF(헤몬팜일일!$C$1:$C$140,$C30,헤몬팜일일!AG$1:AG$140)</f>
        <v>242022.21</v>
      </c>
      <c r="AA30" s="31" t="e">
        <f>SUMIF(헤몬팜일일!$C$1:$C$140,$C30,헤몬팜일일!AH$1:AH$140)</f>
        <v>#REF!</v>
      </c>
      <c r="AB30" s="31" t="e">
        <f>SUMIF(헤몬팜일일!$C$1:$C$140,$C30,헤몬팜일일!AJ$1:AJ$140)</f>
        <v>#REF!</v>
      </c>
      <c r="AC30" s="31" t="e">
        <f>SUMIF(헤몬팜일일!$C$1:$C$140,$C30,헤몬팜일일!AK$1:AK$140)</f>
        <v>#REF!</v>
      </c>
      <c r="AD30" s="31" t="e">
        <f>SUMIF(헤몬팜일일!$C$1:$C$140,$C30,헤몬팜일일!AK$1:AK$140)</f>
        <v>#REF!</v>
      </c>
      <c r="AE30" s="31">
        <f>SUMIF(헤몬팜일일!$C$1:$C$140,$C30,헤몬팜일일!AL$1:AL$140)</f>
        <v>1234.9259999999997</v>
      </c>
      <c r="AF30" s="26"/>
      <c r="AG30" s="26"/>
      <c r="AH30" s="26"/>
      <c r="AI30" s="26"/>
      <c r="AJ30" s="26"/>
      <c r="AK30" s="26"/>
      <c r="AL30" s="26"/>
      <c r="AM30" s="26"/>
      <c r="AN30" s="26"/>
      <c r="AO30" s="26"/>
      <c r="AP30" s="27"/>
      <c r="AQ30" s="27"/>
      <c r="AR30" s="27"/>
      <c r="AS30" s="27"/>
      <c r="AT30" s="27"/>
      <c r="AU30" s="27"/>
      <c r="AV30" s="26"/>
      <c r="AW30" s="26"/>
    </row>
    <row r="31" spans="1:49" ht="28.5" customHeight="1">
      <c r="A31" s="26"/>
      <c r="B31" s="158"/>
      <c r="C31" s="42" t="s">
        <v>113</v>
      </c>
      <c r="D31" s="28" t="e">
        <f t="shared" si="10"/>
        <v>#REF!</v>
      </c>
      <c r="E31" s="29" t="e">
        <f t="shared" si="11"/>
        <v>#REF!</v>
      </c>
      <c r="F31" s="29">
        <f t="shared" si="12"/>
        <v>0.33643956043956047</v>
      </c>
      <c r="G31" s="30" t="e">
        <f t="shared" si="13"/>
        <v>#DIV/0!</v>
      </c>
      <c r="H31" s="31">
        <f>SUMIF(헤몬팜일일!$C$1:$C$140,$C31,헤몬팜일일!O$1:O$140)</f>
        <v>7</v>
      </c>
      <c r="I31" s="138">
        <f t="shared" si="14"/>
        <v>1</v>
      </c>
      <c r="J31" s="31">
        <f>SUMIF(헤몬팜일일!$C$1:$C$140,$C31,헤몬팜일일!P$1:P$140)</f>
        <v>7</v>
      </c>
      <c r="K31" s="31">
        <f>SUMIF(헤몬팜일일!$C$1:$C$140,$C31,헤몬팜일일!Q$1:Q$140)</f>
        <v>2</v>
      </c>
      <c r="L31" s="31">
        <f>SUMIF(헤몬팜일일!$C$1:$C$140,$C31,헤몬팜일일!S$1:S$140)</f>
        <v>0</v>
      </c>
      <c r="M31" s="31">
        <f>SUMIF(헤몬팜일일!$C$1:$C$140,$C31,헤몬팜일일!T$1:T$140)</f>
        <v>300300</v>
      </c>
      <c r="N31" s="31">
        <f>SUMIF(헤몬팜일일!$C$1:$C$140,$C31,헤몬팜일일!U$1:U$140)</f>
        <v>0</v>
      </c>
      <c r="O31" s="31">
        <f>SUMIF(헤몬팜일일!$C$1:$C$140,$C31,헤몬팜일일!V$1:V$140)</f>
        <v>300300</v>
      </c>
      <c r="P31" s="34">
        <f t="shared" si="15"/>
        <v>42900</v>
      </c>
      <c r="Q31" s="34" t="e">
        <f t="shared" si="16"/>
        <v>#REF!</v>
      </c>
      <c r="R31" s="31" t="e">
        <f>SUMIF(헤몬팜일일!$C$1:$C$140,$C31,헤몬팜일일!Y$1:Y$140)</f>
        <v>#REF!</v>
      </c>
      <c r="S31" s="31">
        <f>SUMIF(헤몬팜일일!$C$1:$C$140,$C31,헤몬팜일일!Z$1:Z$140)</f>
        <v>101032.80000000002</v>
      </c>
      <c r="T31" s="31">
        <f>SUMIF(헤몬팜일일!$C$1:$C$140,$C31,헤몬팜일일!AA$1:AA$140)</f>
        <v>91848</v>
      </c>
      <c r="U31" s="31">
        <f>SUMIF(헤몬팜일일!$C$1:$C$140,$C31,헤몬팜일일!AB$1:AB$140)</f>
        <v>0</v>
      </c>
      <c r="V31" s="31">
        <f>SUMIF(헤몬팜일일!$C$1:$C$140,$C31,헤몬팜일일!AC$1:AC$140)</f>
        <v>4620</v>
      </c>
      <c r="W31" s="152">
        <v>0.1</v>
      </c>
      <c r="X31" s="31">
        <f>SUMIF(헤몬팜일일!$C$1:$C$140,$C31,헤몬팜일일!AE$1:AE$140)</f>
        <v>13300</v>
      </c>
      <c r="Y31" s="28">
        <f t="shared" si="17"/>
        <v>0.14428904428904429</v>
      </c>
      <c r="Z31" s="31">
        <f>SUMIF(헤몬팜일일!$C$1:$C$140,$C31,헤몬팜일일!AG$1:AG$140)</f>
        <v>36723.490000000005</v>
      </c>
      <c r="AA31" s="31" t="e">
        <f>SUMIF(헤몬팜일일!$C$1:$C$140,$C31,헤몬팜일일!AH$1:AH$140)</f>
        <v>#REF!</v>
      </c>
      <c r="AB31" s="31" t="e">
        <f>SUMIF(헤몬팜일일!$C$1:$C$140,$C31,헤몬팜일일!AJ$1:AJ$140)</f>
        <v>#REF!</v>
      </c>
      <c r="AC31" s="31" t="e">
        <f>SUMIF(헤몬팜일일!$C$1:$C$140,$C31,헤몬팜일일!AK$1:AK$140)</f>
        <v>#REF!</v>
      </c>
      <c r="AD31" s="31" t="e">
        <f>SUMIF(헤몬팜일일!$C$1:$C$140,$C31,헤몬팜일일!AK$1:AK$140)</f>
        <v>#REF!</v>
      </c>
      <c r="AE31" s="31">
        <f>SUMIF(헤몬팜일일!$C$1:$C$140,$C31,헤몬팜일일!AL$1:AL$140)</f>
        <v>1234.9259999999997</v>
      </c>
      <c r="AF31" s="26"/>
      <c r="AG31" s="26"/>
      <c r="AH31" s="26"/>
      <c r="AI31" s="26"/>
      <c r="AJ31" s="26"/>
      <c r="AK31" s="26"/>
      <c r="AL31" s="26"/>
      <c r="AM31" s="26"/>
      <c r="AN31" s="26"/>
      <c r="AO31" s="26"/>
      <c r="AP31" s="27"/>
      <c r="AQ31" s="27"/>
      <c r="AR31" s="27"/>
      <c r="AS31" s="27"/>
      <c r="AT31" s="27"/>
      <c r="AU31" s="27"/>
      <c r="AV31" s="26"/>
      <c r="AW31" s="26"/>
    </row>
    <row r="32" spans="1:49" ht="28.5" customHeight="1">
      <c r="A32" s="26"/>
      <c r="B32" s="158"/>
      <c r="C32" s="42" t="s">
        <v>114</v>
      </c>
      <c r="D32" s="28">
        <f t="shared" si="10"/>
        <v>0.32140589253200108</v>
      </c>
      <c r="E32" s="29">
        <f t="shared" si="11"/>
        <v>0.36298877687108155</v>
      </c>
      <c r="F32" s="29">
        <f t="shared" si="12"/>
        <v>4.1582884339080466E-2</v>
      </c>
      <c r="G32" s="30" t="e">
        <f t="shared" si="13"/>
        <v>#DIV/0!</v>
      </c>
      <c r="H32" s="31">
        <f>SUMIF(헤몬팜일일!$C$1:$C$140,$C32,헤몬팜일일!O$1:O$140)</f>
        <v>58</v>
      </c>
      <c r="I32" s="138">
        <f t="shared" si="14"/>
        <v>8.2857142857142865</v>
      </c>
      <c r="J32" s="31">
        <f>SUMIF(헤몬팜일일!$C$1:$C$140,$C32,헤몬팜일일!P$1:P$140)</f>
        <v>58</v>
      </c>
      <c r="K32" s="31">
        <f>SUMIF(헤몬팜일일!$C$1:$C$140,$C32,헤몬팜일일!Q$1:Q$140)</f>
        <v>5</v>
      </c>
      <c r="L32" s="31">
        <f>SUMIF(헤몬팜일일!$C$1:$C$140,$C32,헤몬팜일일!S$1:S$140)</f>
        <v>0</v>
      </c>
      <c r="M32" s="31">
        <f>SUMIF(헤몬팜일일!$C$1:$C$140,$C32,헤몬팜일일!T$1:T$140)</f>
        <v>1113600</v>
      </c>
      <c r="N32" s="31">
        <f>SUMIF(헤몬팜일일!$C$1:$C$140,$C32,헤몬팜일일!U$1:U$140)</f>
        <v>0</v>
      </c>
      <c r="O32" s="31">
        <f>SUMIF(헤몬팜일일!$C$1:$C$140,$C32,헤몬팜일일!V$1:V$140)</f>
        <v>1113600</v>
      </c>
      <c r="P32" s="34">
        <f t="shared" si="15"/>
        <v>19200</v>
      </c>
      <c r="Q32" s="34">
        <f t="shared" si="16"/>
        <v>6771.435199999999</v>
      </c>
      <c r="R32" s="31">
        <f>SUMIF(헤몬팜일일!$C$1:$C$140,$C32,헤몬팜일일!Y$1:Y$140)</f>
        <v>392743.24159999995</v>
      </c>
      <c r="S32" s="31">
        <f>SUMIF(헤몬팜일일!$C$1:$C$140,$C32,헤몬팜일일!Z$1:Z$140)</f>
        <v>46306.700000000004</v>
      </c>
      <c r="T32" s="31">
        <f>SUMIF(헤몬팜일일!$C$1:$C$140,$C32,헤몬팜일일!AA$1:AA$140)</f>
        <v>42097</v>
      </c>
      <c r="U32" s="31">
        <f>SUMIF(헤몬팜일일!$C$1:$C$140,$C32,헤몬팜일일!AB$1:AB$140)</f>
        <v>0</v>
      </c>
      <c r="V32" s="31">
        <f>SUMIF(헤몬팜일일!$C$1:$C$140,$C32,헤몬팜일일!AC$1:AC$140)</f>
        <v>11550</v>
      </c>
      <c r="W32" s="152">
        <v>0.1</v>
      </c>
      <c r="X32" s="31">
        <f>SUMIF(헤몬팜일일!$C$1:$C$140,$C32,헤몬팜일일!AE$1:AE$140)</f>
        <v>194300</v>
      </c>
      <c r="Y32" s="28">
        <f t="shared" si="17"/>
        <v>0.27447916666666666</v>
      </c>
      <c r="Z32" s="31">
        <f>SUMIF(헤몬팜일일!$C$1:$C$140,$C32,헤몬팜일일!AG$1:AG$140)</f>
        <v>283388.20999999996</v>
      </c>
      <c r="AA32" s="31">
        <f>SUMIF(헤몬팜일일!$C$1:$C$140,$C32,헤몬팜일일!AH$1:AH$140)</f>
        <v>33244.246476363638</v>
      </c>
      <c r="AB32" s="31">
        <f>SUMIF(헤몬팜일일!$C$1:$C$140,$C32,헤몬팜일일!AJ$1:AJ$140)</f>
        <v>404224.30192363641</v>
      </c>
      <c r="AC32" s="31">
        <f>SUMIF(헤몬팜일일!$C$1:$C$140,$C32,헤몬팜일일!AK$1:AK$140)</f>
        <v>357917.60192363639</v>
      </c>
      <c r="AD32" s="31">
        <f>SUMIF(헤몬팜일일!$C$1:$C$140,$C32,헤몬팜일일!AK$1:AK$140)</f>
        <v>357917.60192363639</v>
      </c>
      <c r="AE32" s="31">
        <f>SUMIF(헤몬팜일일!$C$1:$C$140,$C32,헤몬팜일일!AL$1:AL$140)</f>
        <v>457.38000000000011</v>
      </c>
      <c r="AF32" s="26"/>
      <c r="AG32" s="26"/>
      <c r="AH32" s="26"/>
      <c r="AI32" s="26"/>
      <c r="AJ32" s="26"/>
      <c r="AK32" s="26"/>
      <c r="AL32" s="26"/>
      <c r="AM32" s="26"/>
      <c r="AN32" s="26"/>
      <c r="AO32" s="26"/>
      <c r="AP32" s="27"/>
      <c r="AQ32" s="27"/>
      <c r="AR32" s="27"/>
      <c r="AS32" s="27"/>
      <c r="AT32" s="27"/>
      <c r="AU32" s="27"/>
      <c r="AV32" s="26"/>
      <c r="AW32" s="26"/>
    </row>
    <row r="33" spans="1:49" ht="28.5" customHeight="1">
      <c r="A33" s="26"/>
      <c r="B33" s="158"/>
      <c r="C33" s="42" t="s">
        <v>115</v>
      </c>
      <c r="D33" s="28" t="e">
        <f t="shared" si="10"/>
        <v>#REF!</v>
      </c>
      <c r="E33" s="29" t="e">
        <f t="shared" si="11"/>
        <v>#REF!</v>
      </c>
      <c r="F33" s="29">
        <f t="shared" si="12"/>
        <v>0.46436694038929444</v>
      </c>
      <c r="G33" s="30" t="e">
        <f t="shared" si="13"/>
        <v>#DIV/0!</v>
      </c>
      <c r="H33" s="31">
        <f>SUMIF(헤몬팜일일!$C$1:$C$140,$C33,헤몬팜일일!O$1:O$140)</f>
        <v>12</v>
      </c>
      <c r="I33" s="138">
        <f t="shared" si="14"/>
        <v>1.7142857142857142</v>
      </c>
      <c r="J33" s="31">
        <f>SUMIF(헤몬팜일일!$C$1:$C$140,$C33,헤몬팜일일!P$1:P$140)</f>
        <v>12</v>
      </c>
      <c r="K33" s="31">
        <f>SUMIF(헤몬팜일일!$C$1:$C$140,$C33,헤몬팜일일!Q$1:Q$140)</f>
        <v>4</v>
      </c>
      <c r="L33" s="31">
        <f>SUMIF(헤몬팜일일!$C$1:$C$140,$C33,헤몬팜일일!S$1:S$140)</f>
        <v>0</v>
      </c>
      <c r="M33" s="31">
        <f>SUMIF(헤몬팜일일!$C$1:$C$140,$C33,헤몬팜일일!T$1:T$140)</f>
        <v>657600</v>
      </c>
      <c r="N33" s="31">
        <f>SUMIF(헤몬팜일일!$C$1:$C$140,$C33,헤몬팜일일!U$1:U$140)</f>
        <v>0</v>
      </c>
      <c r="O33" s="31">
        <f>SUMIF(헤몬팜일일!$C$1:$C$140,$C33,헤몬팜일일!V$1:V$140)</f>
        <v>657600</v>
      </c>
      <c r="P33" s="34">
        <f t="shared" si="15"/>
        <v>54800</v>
      </c>
      <c r="Q33" s="34" t="e">
        <f t="shared" si="16"/>
        <v>#REF!</v>
      </c>
      <c r="R33" s="31" t="e">
        <f>SUMIF(헤몬팜일일!$C$1:$C$140,$C33,헤몬팜일일!Y$1:Y$140)</f>
        <v>#REF!</v>
      </c>
      <c r="S33" s="31">
        <f>SUMIF(헤몬팜일일!$C$1:$C$140,$C33,헤몬팜일일!Z$1:Z$140)</f>
        <v>305367.7</v>
      </c>
      <c r="T33" s="31">
        <f>SUMIF(헤몬팜일일!$C$1:$C$140,$C33,헤몬팜일일!AA$1:AA$140)</f>
        <v>277607</v>
      </c>
      <c r="U33" s="31">
        <f>SUMIF(헤몬팜일일!$C$1:$C$140,$C33,헤몬팜일일!AB$1:AB$140)</f>
        <v>0</v>
      </c>
      <c r="V33" s="31">
        <f>SUMIF(헤몬팜일일!$C$1:$C$140,$C33,헤몬팜일일!AC$1:AC$140)</f>
        <v>9240</v>
      </c>
      <c r="W33" s="152">
        <v>0.1</v>
      </c>
      <c r="X33" s="31">
        <f>SUMIF(헤몬팜일일!$C$1:$C$140,$C33,헤몬팜일일!AE$1:AE$140)</f>
        <v>57900</v>
      </c>
      <c r="Y33" s="28">
        <f t="shared" si="17"/>
        <v>0.18804744525547445</v>
      </c>
      <c r="Z33" s="31">
        <f>SUMIF(헤몬팜일일!$C$1:$C$140,$C33,헤몬팜일일!AG$1:AG$140)</f>
        <v>109192.92</v>
      </c>
      <c r="AA33" s="31" t="e">
        <f>SUMIF(헤몬팜일일!$C$1:$C$140,$C33,헤몬팜일일!AH$1:AH$140)</f>
        <v>#REF!</v>
      </c>
      <c r="AB33" s="31" t="e">
        <f>SUMIF(헤몬팜일일!$C$1:$C$140,$C33,헤몬팜일일!AJ$1:AJ$140)</f>
        <v>#REF!</v>
      </c>
      <c r="AC33" s="31" t="e">
        <f>SUMIF(헤몬팜일일!$C$1:$C$140,$C33,헤몬팜일일!AK$1:AK$140)</f>
        <v>#REF!</v>
      </c>
      <c r="AD33" s="31" t="e">
        <f>SUMIF(헤몬팜일일!$C$1:$C$140,$C33,헤몬팜일일!AK$1:AK$140)</f>
        <v>#REF!</v>
      </c>
      <c r="AE33" s="31">
        <f>SUMIF(헤몬팜일일!$C$1:$C$140,$C33,헤몬팜일일!AL$1:AL$140)</f>
        <v>1270.0800000000002</v>
      </c>
      <c r="AF33" s="26"/>
      <c r="AG33" s="26"/>
      <c r="AH33" s="26"/>
      <c r="AI33" s="26"/>
      <c r="AJ33" s="26"/>
      <c r="AK33" s="26"/>
      <c r="AL33" s="26"/>
      <c r="AM33" s="26"/>
      <c r="AN33" s="26"/>
      <c r="AO33" s="26"/>
      <c r="AP33" s="27"/>
      <c r="AQ33" s="27"/>
      <c r="AR33" s="27"/>
      <c r="AS33" s="27"/>
      <c r="AT33" s="27"/>
      <c r="AU33" s="27"/>
      <c r="AV33" s="26"/>
      <c r="AW33" s="26"/>
    </row>
    <row r="34" spans="1:49" ht="28.5" customHeight="1">
      <c r="A34" s="26"/>
      <c r="B34" s="158"/>
      <c r="C34" s="42" t="s">
        <v>116</v>
      </c>
      <c r="D34" s="28" t="e">
        <f t="shared" si="10"/>
        <v>#REF!</v>
      </c>
      <c r="E34" s="29" t="e">
        <f t="shared" si="11"/>
        <v>#REF!</v>
      </c>
      <c r="F34" s="29">
        <f t="shared" si="12"/>
        <v>0.20648078376616261</v>
      </c>
      <c r="G34" s="30" t="e">
        <f t="shared" si="13"/>
        <v>#DIV/0!</v>
      </c>
      <c r="H34" s="31">
        <f>SUMIF(헤몬팜일일!$C$1:$C$140,$C34,헤몬팜일일!O$1:O$140)</f>
        <v>28</v>
      </c>
      <c r="I34" s="138">
        <f t="shared" si="14"/>
        <v>4</v>
      </c>
      <c r="J34" s="31">
        <f>SUMIF(헤몬팜일일!$C$1:$C$140,$C34,헤몬팜일일!P$1:P$140)</f>
        <v>28</v>
      </c>
      <c r="K34" s="31">
        <f>SUMIF(헤몬팜일일!$C$1:$C$140,$C34,헤몬팜일일!Q$1:Q$140)</f>
        <v>3</v>
      </c>
      <c r="L34" s="31">
        <f>SUMIF(헤몬팜일일!$C$1:$C$140,$C34,헤몬팜일일!S$1:S$140)</f>
        <v>0</v>
      </c>
      <c r="M34" s="31">
        <f>SUMIF(헤몬팜일일!$C$1:$C$140,$C34,헤몬팜일일!T$1:T$140)</f>
        <v>1733170</v>
      </c>
      <c r="N34" s="31">
        <f>SUMIF(헤몬팜일일!$C$1:$C$140,$C34,헤몬팜일일!U$1:U$140)</f>
        <v>0</v>
      </c>
      <c r="O34" s="31">
        <f>SUMIF(헤몬팜일일!$C$1:$C$140,$C34,헤몬팜일일!V$1:V$140)</f>
        <v>1733170</v>
      </c>
      <c r="P34" s="34">
        <f t="shared" si="15"/>
        <v>61898.928571428572</v>
      </c>
      <c r="Q34" s="34" t="e">
        <f t="shared" si="16"/>
        <v>#REF!</v>
      </c>
      <c r="R34" s="31" t="e">
        <f>SUMIF(헤몬팜일일!$C$1:$C$140,$C34,헤몬팜일일!Y$1:Y$140)</f>
        <v>#REF!</v>
      </c>
      <c r="S34" s="31">
        <f>SUMIF(헤몬팜일일!$C$1:$C$140,$C34,헤몬팜일일!Z$1:Z$140)</f>
        <v>357866.30000000005</v>
      </c>
      <c r="T34" s="31">
        <f>SUMIF(헤몬팜일일!$C$1:$C$140,$C34,헤몬팜일일!AA$1:AA$140)</f>
        <v>325333</v>
      </c>
      <c r="U34" s="31">
        <f>SUMIF(헤몬팜일일!$C$1:$C$140,$C34,헤몬팜일일!AB$1:AB$140)</f>
        <v>0</v>
      </c>
      <c r="V34" s="31">
        <f>SUMIF(헤몬팜일일!$C$1:$C$140,$C34,헤몬팜일일!AC$1:AC$140)</f>
        <v>6930</v>
      </c>
      <c r="W34" s="152">
        <v>0.1</v>
      </c>
      <c r="X34" s="31">
        <f>SUMIF(헤몬팜일일!$C$1:$C$140,$C34,헤몬팜일일!AE$1:AE$140)</f>
        <v>135100</v>
      </c>
      <c r="Y34" s="28">
        <f t="shared" si="17"/>
        <v>0.17794965294806625</v>
      </c>
      <c r="Z34" s="31">
        <f>SUMIF(헤몬팜일일!$C$1:$C$140,$C34,헤몬팜일일!AG$1:AG$140)</f>
        <v>270287.43999999994</v>
      </c>
      <c r="AA34" s="31" t="e">
        <f>SUMIF(헤몬팜일일!$C$1:$C$140,$C34,헤몬팜일일!AH$1:AH$140)</f>
        <v>#REF!</v>
      </c>
      <c r="AB34" s="31" t="e">
        <f>SUMIF(헤몬팜일일!$C$1:$C$140,$C34,헤몬팜일일!AJ$1:AJ$140)</f>
        <v>#REF!</v>
      </c>
      <c r="AC34" s="31" t="e">
        <f>SUMIF(헤몬팜일일!$C$1:$C$140,$C34,헤몬팜일일!AK$1:AK$140)</f>
        <v>#REF!</v>
      </c>
      <c r="AD34" s="31" t="e">
        <f>SUMIF(헤몬팜일일!$C$1:$C$140,$C34,헤몬팜일일!AK$1:AK$140)</f>
        <v>#REF!</v>
      </c>
      <c r="AE34" s="31">
        <f>SUMIF(헤몬팜일일!$C$1:$C$140,$C34,헤몬팜일일!AL$1:AL$140)</f>
        <v>1270.0800000000002</v>
      </c>
      <c r="AF34" s="26"/>
      <c r="AG34" s="26"/>
      <c r="AH34" s="26"/>
      <c r="AI34" s="26"/>
      <c r="AJ34" s="26"/>
      <c r="AK34" s="26"/>
      <c r="AL34" s="26"/>
      <c r="AM34" s="26"/>
      <c r="AN34" s="26"/>
      <c r="AO34" s="26"/>
      <c r="AP34" s="27"/>
      <c r="AQ34" s="27"/>
      <c r="AR34" s="27"/>
      <c r="AS34" s="27"/>
      <c r="AT34" s="27"/>
      <c r="AU34" s="27"/>
      <c r="AV34" s="26"/>
      <c r="AW34" s="26"/>
    </row>
    <row r="35" spans="1:49" ht="28.5" customHeight="1">
      <c r="A35" s="26"/>
      <c r="B35" s="158"/>
      <c r="C35" s="42" t="s">
        <v>117</v>
      </c>
      <c r="D35" s="28">
        <f t="shared" si="10"/>
        <v>0.37370749686320531</v>
      </c>
      <c r="E35" s="29">
        <f t="shared" si="11"/>
        <v>0.49826628183865684</v>
      </c>
      <c r="F35" s="29">
        <f t="shared" si="12"/>
        <v>0.12455878497545164</v>
      </c>
      <c r="G35" s="30" t="e">
        <f t="shared" si="13"/>
        <v>#DIV/0!</v>
      </c>
      <c r="H35" s="31">
        <f>SUMIF(헤몬팜일일!$C$1:$C$140,$C35,헤몬팜일일!O$1:O$140)</f>
        <v>189</v>
      </c>
      <c r="I35" s="138">
        <f t="shared" si="14"/>
        <v>27</v>
      </c>
      <c r="J35" s="31">
        <f>SUMIF(헤몬팜일일!$C$1:$C$140,$C35,헤몬팜일일!P$1:P$140)</f>
        <v>189</v>
      </c>
      <c r="K35" s="31">
        <f>SUMIF(헤몬팜일일!$C$1:$C$140,$C35,헤몬팜일일!Q$1:Q$140)</f>
        <v>25</v>
      </c>
      <c r="L35" s="31">
        <f>SUMIF(헤몬팜일일!$C$1:$C$140,$C35,헤몬팜일일!S$1:S$140)</f>
        <v>0</v>
      </c>
      <c r="M35" s="31">
        <f>SUMIF(헤몬팜일일!$C$1:$C$140,$C35,헤몬팜일일!T$1:T$140)</f>
        <v>3356640</v>
      </c>
      <c r="N35" s="31">
        <f>SUMIF(헤몬팜일일!$C$1:$C$140,$C35,헤몬팜일일!U$1:U$140)</f>
        <v>0</v>
      </c>
      <c r="O35" s="31">
        <f>SUMIF(헤몬팜일일!$C$1:$C$140,$C35,헤몬팜일일!V$1:V$140)</f>
        <v>3356640</v>
      </c>
      <c r="P35" s="34">
        <f t="shared" si="15"/>
        <v>17760</v>
      </c>
      <c r="Q35" s="34">
        <f t="shared" si="16"/>
        <v>4837.2101999999995</v>
      </c>
      <c r="R35" s="31">
        <f>SUMIF(헤몬팜일일!$C$1:$C$140,$C35,헤몬팜일일!Y$1:Y$140)</f>
        <v>914232.72779999988</v>
      </c>
      <c r="S35" s="31">
        <f>SUMIF(헤몬팜일일!$C$1:$C$140,$C35,헤몬팜일일!Z$1:Z$140)</f>
        <v>418099</v>
      </c>
      <c r="T35" s="31">
        <f>SUMIF(헤몬팜일일!$C$1:$C$140,$C35,헤몬팜일일!AA$1:AA$140)</f>
        <v>380090</v>
      </c>
      <c r="U35" s="31">
        <f>SUMIF(헤몬팜일일!$C$1:$C$140,$C35,헤몬팜일일!AB$1:AB$140)</f>
        <v>0</v>
      </c>
      <c r="V35" s="31">
        <f>SUMIF(헤몬팜일일!$C$1:$C$140,$C35,헤몬팜일일!AC$1:AC$140)</f>
        <v>57750</v>
      </c>
      <c r="W35" s="152">
        <v>0.1</v>
      </c>
      <c r="X35" s="31">
        <f>SUMIF(헤몬팜일일!$C$1:$C$140,$C35,헤몬팜일일!AE$1:AE$140)</f>
        <v>359100</v>
      </c>
      <c r="Y35" s="28">
        <f t="shared" si="17"/>
        <v>0.20698198198198198</v>
      </c>
      <c r="Z35" s="31">
        <f>SUMIF(헤몬팜일일!$C$1:$C$140,$C35,헤몬팜일일!AG$1:AG$140)</f>
        <v>620918.13000000012</v>
      </c>
      <c r="AA35" s="31">
        <f>SUMIF(헤몬팜일일!$C$1:$C$140,$C35,헤몬팜일일!AH$1:AH$140)</f>
        <v>148988.60992909086</v>
      </c>
      <c r="AB35" s="31">
        <f>SUMIF(헤몬팜일일!$C$1:$C$140,$C35,헤몬팜일일!AJ$1:AJ$140)</f>
        <v>1672500.5322709091</v>
      </c>
      <c r="AC35" s="31">
        <f>SUMIF(헤몬팜일일!$C$1:$C$140,$C35,헤몬팜일일!AK$1:AK$140)</f>
        <v>1254401.5322709095</v>
      </c>
      <c r="AD35" s="31">
        <f>SUMIF(헤몬팜일일!$C$1:$C$140,$C35,헤몬팜일일!AK$1:AK$140)</f>
        <v>1254401.5322709095</v>
      </c>
      <c r="AE35" s="31">
        <f>SUMIF(헤몬팜일일!$C$1:$C$140,$C35,헤몬팜일일!AL$1:AL$140)</f>
        <v>979.77600000000029</v>
      </c>
      <c r="AF35" s="26"/>
      <c r="AG35" s="26"/>
      <c r="AH35" s="26"/>
      <c r="AI35" s="26"/>
      <c r="AJ35" s="26"/>
      <c r="AK35" s="26"/>
      <c r="AL35" s="26"/>
      <c r="AM35" s="26"/>
      <c r="AN35" s="26"/>
      <c r="AO35" s="26"/>
      <c r="AP35" s="27"/>
      <c r="AQ35" s="27"/>
      <c r="AR35" s="27"/>
      <c r="AS35" s="27"/>
      <c r="AT35" s="27"/>
      <c r="AU35" s="27"/>
      <c r="AV35" s="26"/>
      <c r="AW35" s="26"/>
    </row>
    <row r="36" spans="1:49" ht="28.5" customHeight="1">
      <c r="A36" s="26"/>
      <c r="B36" s="158"/>
      <c r="C36" s="42" t="s">
        <v>31</v>
      </c>
      <c r="D36" s="28">
        <f t="shared" si="10"/>
        <v>-5.2592436635006755E-2</v>
      </c>
      <c r="E36" s="29">
        <f t="shared" si="11"/>
        <v>0.4028195465114619</v>
      </c>
      <c r="F36" s="29">
        <f t="shared" si="12"/>
        <v>0.45541198314646864</v>
      </c>
      <c r="G36" s="30" t="e">
        <f t="shared" si="13"/>
        <v>#DIV/0!</v>
      </c>
      <c r="H36" s="31">
        <f>SUMIF(헤몬팜일일!$C$1:$C$140,$C36,헤몬팜일일!O$1:O$140)</f>
        <v>79</v>
      </c>
      <c r="I36" s="138">
        <f t="shared" si="14"/>
        <v>11.285714285714286</v>
      </c>
      <c r="J36" s="31">
        <f>SUMIF(헤몬팜일일!$C$1:$C$140,$C36,헤몬팜일일!P$1:P$140)</f>
        <v>67</v>
      </c>
      <c r="K36" s="31">
        <f>SUMIF(헤몬팜일일!$C$1:$C$140,$C36,헤몬팜일일!Q$1:Q$140)</f>
        <v>11</v>
      </c>
      <c r="L36" s="31">
        <f>SUMIF(헤몬팜일일!$C$1:$C$140,$C36,헤몬팜일일!S$1:S$140)</f>
        <v>12</v>
      </c>
      <c r="M36" s="31">
        <f>SUMIF(헤몬팜일일!$C$1:$C$140,$C36,헤몬팜일일!T$1:T$140)</f>
        <v>1651100</v>
      </c>
      <c r="N36" s="31">
        <f>SUMIF(헤몬팜일일!$C$1:$C$140,$C36,헤몬팜일일!U$1:U$140)</f>
        <v>250800</v>
      </c>
      <c r="O36" s="31">
        <f>SUMIF(헤몬팜일일!$C$1:$C$140,$C36,헤몬팜일일!V$1:V$140)</f>
        <v>1400300</v>
      </c>
      <c r="P36" s="34">
        <f t="shared" si="15"/>
        <v>20900</v>
      </c>
      <c r="Q36" s="34">
        <f t="shared" si="16"/>
        <v>6685.6073999999999</v>
      </c>
      <c r="R36" s="31">
        <f>SUMIF(헤몬팜일일!$C$1:$C$140,$C36,헤몬팜일일!Y$1:Y$140)</f>
        <v>447935.69579999999</v>
      </c>
      <c r="S36" s="31">
        <f>SUMIF(헤몬팜일일!$C$1:$C$140,$C36,헤몬팜일일!Z$1:Z$140)</f>
        <v>428025.4</v>
      </c>
      <c r="T36" s="31">
        <f>SUMIF(헤몬팜일일!$C$1:$C$140,$C36,헤몬팜일일!AA$1:AA$140)</f>
        <v>389114</v>
      </c>
      <c r="U36" s="31">
        <f>SUMIF(헤몬팜일일!$C$1:$C$140,$C36,헤몬팜일일!AB$1:AB$140)</f>
        <v>209688</v>
      </c>
      <c r="V36" s="31">
        <f>SUMIF(헤몬팜일일!$C$1:$C$140,$C36,헤몬팜일일!AC$1:AC$140)</f>
        <v>25410</v>
      </c>
      <c r="W36" s="152">
        <v>0.1</v>
      </c>
      <c r="X36" s="31">
        <f>SUMIF(헤몬팜일일!$C$1:$C$140,$C36,헤몬팜일일!AE$1:AE$140)</f>
        <v>227800</v>
      </c>
      <c r="Y36" s="28">
        <f t="shared" si="17"/>
        <v>0.26267942583732057</v>
      </c>
      <c r="Z36" s="31">
        <f>SUMIF(헤몬팜일일!$C$1:$C$140,$C36,헤몬팜일일!AG$1:AG$140)</f>
        <v>339824.18</v>
      </c>
      <c r="AA36" s="31">
        <f>SUMIF(헤몬팜일일!$C$1:$C$140,$C36,헤몬팜일일!AH$1:AH$140)</f>
        <v>48471.913220000009</v>
      </c>
      <c r="AB36" s="31">
        <f>SUMIF(헤몬팜일일!$C$1:$C$140,$C36,헤몬팜일일!AJ$1:AJ$140)</f>
        <v>564068.21098000009</v>
      </c>
      <c r="AC36" s="31">
        <f>SUMIF(헤몬팜일일!$C$1:$C$140,$C36,헤몬팜일일!AK$1:AK$140)</f>
        <v>-73645.189019999962</v>
      </c>
      <c r="AD36" s="31">
        <f>SUMIF(헤몬팜일일!$C$1:$C$140,$C36,헤몬팜일일!AK$1:AK$140)</f>
        <v>-73645.189019999962</v>
      </c>
      <c r="AE36" s="31">
        <f>SUMIF(헤몬팜일일!$C$1:$C$140,$C36,헤몬팜일일!AL$1:AL$140)</f>
        <v>54.431999999999988</v>
      </c>
      <c r="AF36" s="26"/>
      <c r="AG36" s="26"/>
      <c r="AH36" s="26"/>
      <c r="AI36" s="26"/>
      <c r="AJ36" s="26"/>
      <c r="AK36" s="26"/>
      <c r="AL36" s="26"/>
      <c r="AM36" s="26"/>
      <c r="AN36" s="26"/>
      <c r="AO36" s="26"/>
      <c r="AP36" s="27"/>
      <c r="AQ36" s="27"/>
      <c r="AR36" s="27"/>
      <c r="AS36" s="27"/>
      <c r="AT36" s="27"/>
      <c r="AU36" s="27"/>
      <c r="AV36" s="26"/>
      <c r="AW36" s="26"/>
    </row>
    <row r="37" spans="1:49" ht="28.5" customHeight="1">
      <c r="A37" s="26"/>
      <c r="B37" s="158"/>
      <c r="C37" s="42" t="s">
        <v>118</v>
      </c>
      <c r="D37" s="28">
        <f t="shared" si="10"/>
        <v>0.12397298943218175</v>
      </c>
      <c r="E37" s="29">
        <f t="shared" si="11"/>
        <v>0.43920725889538831</v>
      </c>
      <c r="F37" s="29">
        <f t="shared" si="12"/>
        <v>0.31523426946320665</v>
      </c>
      <c r="G37" s="30" t="e">
        <f t="shared" si="13"/>
        <v>#DIV/0!</v>
      </c>
      <c r="H37" s="31">
        <f>SUMIF(헤몬팜일일!$C$1:$C$140,$C37,헤몬팜일일!O$1:O$140)</f>
        <v>34</v>
      </c>
      <c r="I37" s="138">
        <f t="shared" si="14"/>
        <v>4.8571428571428568</v>
      </c>
      <c r="J37" s="31">
        <f>SUMIF(헤몬팜일일!$C$1:$C$140,$C37,헤몬팜일일!P$1:P$140)</f>
        <v>34</v>
      </c>
      <c r="K37" s="31">
        <f>SUMIF(헤몬팜일일!$C$1:$C$140,$C37,헤몬팜일일!Q$1:Q$140)</f>
        <v>2</v>
      </c>
      <c r="L37" s="31">
        <f>SUMIF(헤몬팜일일!$C$1:$C$140,$C37,헤몬팜일일!S$1:S$140)</f>
        <v>0</v>
      </c>
      <c r="M37" s="31">
        <f>SUMIF(헤몬팜일일!$C$1:$C$140,$C37,헤몬팜일일!T$1:T$140)</f>
        <v>843900</v>
      </c>
      <c r="N37" s="31">
        <f>SUMIF(헤몬팜일일!$C$1:$C$140,$C37,헤몬팜일일!U$1:U$140)</f>
        <v>0</v>
      </c>
      <c r="O37" s="31">
        <f>SUMIF(헤몬팜일일!$C$1:$C$140,$C37,헤몬팜일일!V$1:V$140)</f>
        <v>843900</v>
      </c>
      <c r="P37" s="34">
        <f t="shared" si="15"/>
        <v>24820.588235294119</v>
      </c>
      <c r="Q37" s="34">
        <f t="shared" si="16"/>
        <v>8579.7089999999989</v>
      </c>
      <c r="R37" s="31">
        <f>SUMIF(헤몬팜일일!$C$1:$C$140,$C37,헤몬팜일일!Y$1:Y$140)</f>
        <v>291710.10599999997</v>
      </c>
      <c r="S37" s="31">
        <f>SUMIF(헤몬팜일일!$C$1:$C$140,$C37,헤몬팜일일!Z$1:Z$140)</f>
        <v>266026.20000000007</v>
      </c>
      <c r="T37" s="31">
        <f>SUMIF(헤몬팜일일!$C$1:$C$140,$C37,헤몬팜일일!AA$1:AA$140)</f>
        <v>241842</v>
      </c>
      <c r="U37" s="31">
        <f>SUMIF(헤몬팜일일!$C$1:$C$140,$C37,헤몬팜일일!AB$1:AB$140)</f>
        <v>0</v>
      </c>
      <c r="V37" s="31">
        <f>SUMIF(헤몬팜일일!$C$1:$C$140,$C37,헤몬팜일일!AC$1:AC$140)</f>
        <v>4620</v>
      </c>
      <c r="W37" s="152">
        <v>0.1</v>
      </c>
      <c r="X37" s="31">
        <f>SUMIF(헤몬팜일일!$C$1:$C$140,$C37,헤몬팜일일!AE$1:AE$140)</f>
        <v>64600</v>
      </c>
      <c r="Y37" s="28">
        <f t="shared" si="17"/>
        <v>0.17654935418888495</v>
      </c>
      <c r="Z37" s="31">
        <f>SUMIF(헤몬팜일일!$C$1:$C$140,$C37,헤몬팜일일!AG$1:AG$140)</f>
        <v>148990.21000000002</v>
      </c>
      <c r="AA37" s="31">
        <f>SUMIF(헤몬팜일일!$C$1:$C$140,$C37,헤몬팜일일!AH$1:AH$140)</f>
        <v>32552.678218181813</v>
      </c>
      <c r="AB37" s="31">
        <f>SUMIF(헤몬팜일일!$C$1:$C$140,$C37,헤몬팜일일!AJ$1:AJ$140)</f>
        <v>370647.00578181818</v>
      </c>
      <c r="AC37" s="31">
        <f>SUMIF(헤몬팜일일!$C$1:$C$140,$C37,헤몬팜일일!AK$1:AK$140)</f>
        <v>104620.80578181818</v>
      </c>
      <c r="AD37" s="31">
        <f>SUMIF(헤몬팜일일!$C$1:$C$140,$C37,헤몬팜일일!AK$1:AK$140)</f>
        <v>104620.80578181818</v>
      </c>
      <c r="AE37" s="31">
        <f>SUMIF(헤몬팜일일!$C$1:$C$140,$C37,헤몬팜일일!AL$1:AL$140)</f>
        <v>196.55999999999995</v>
      </c>
      <c r="AF37" s="26"/>
      <c r="AG37" s="26"/>
      <c r="AH37" s="26"/>
      <c r="AI37" s="26"/>
      <c r="AJ37" s="26"/>
      <c r="AK37" s="26"/>
      <c r="AL37" s="26"/>
      <c r="AM37" s="26"/>
      <c r="AN37" s="26"/>
      <c r="AO37" s="26"/>
      <c r="AP37" s="27"/>
      <c r="AQ37" s="27"/>
      <c r="AR37" s="27"/>
      <c r="AS37" s="27"/>
      <c r="AT37" s="27"/>
      <c r="AU37" s="27"/>
      <c r="AV37" s="26"/>
      <c r="AW37" s="26"/>
    </row>
    <row r="38" spans="1:49" ht="28.5" customHeight="1">
      <c r="A38" s="26"/>
      <c r="B38" s="158"/>
      <c r="C38" s="42" t="s">
        <v>119</v>
      </c>
      <c r="D38" s="28">
        <f t="shared" si="10"/>
        <v>0.24072603193127759</v>
      </c>
      <c r="E38" s="29">
        <f t="shared" si="11"/>
        <v>0.43458432554035248</v>
      </c>
      <c r="F38" s="29">
        <f t="shared" si="12"/>
        <v>0.19385829360907492</v>
      </c>
      <c r="G38" s="30" t="e">
        <f t="shared" si="13"/>
        <v>#DIV/0!</v>
      </c>
      <c r="H38" s="31">
        <f>SUMIF(헤몬팜일일!$C$1:$C$140,$C38,헤몬팜일일!O$1:O$140)</f>
        <v>168</v>
      </c>
      <c r="I38" s="138">
        <f t="shared" si="14"/>
        <v>24</v>
      </c>
      <c r="J38" s="31">
        <f>SUMIF(헤몬팜일일!$C$1:$C$140,$C38,헤몬팜일일!P$1:P$140)</f>
        <v>168</v>
      </c>
      <c r="K38" s="31">
        <f>SUMIF(헤몬팜일일!$C$1:$C$140,$C38,헤몬팜일일!Q$1:Q$140)</f>
        <v>25</v>
      </c>
      <c r="L38" s="31">
        <f>SUMIF(헤몬팜일일!$C$1:$C$140,$C38,헤몬팜일일!S$1:S$140)</f>
        <v>0</v>
      </c>
      <c r="M38" s="31">
        <f>SUMIF(헤몬팜일일!$C$1:$C$140,$C38,헤몬팜일일!T$1:T$140)</f>
        <v>4166220</v>
      </c>
      <c r="N38" s="31">
        <f>SUMIF(헤몬팜일일!$C$1:$C$140,$C38,헤몬팜일일!U$1:U$140)</f>
        <v>0</v>
      </c>
      <c r="O38" s="31">
        <f>SUMIF(헤몬팜일일!$C$1:$C$140,$C38,헤몬팜일일!V$1:V$140)</f>
        <v>4166220</v>
      </c>
      <c r="P38" s="34">
        <f t="shared" si="15"/>
        <v>24798.928571428572</v>
      </c>
      <c r="Q38" s="34">
        <f t="shared" si="16"/>
        <v>7253.6180999999979</v>
      </c>
      <c r="R38" s="31">
        <f>SUMIF(헤몬팜일일!$C$1:$C$140,$C38,헤몬팜일일!Y$1:Y$140)</f>
        <v>1218607.8407999997</v>
      </c>
      <c r="S38" s="31">
        <f>SUMIF(헤몬팜일일!$C$1:$C$140,$C38,헤몬팜일일!Z$1:Z$140)</f>
        <v>807656.3</v>
      </c>
      <c r="T38" s="31">
        <f>SUMIF(헤몬팜일일!$C$1:$C$140,$C38,헤몬팜일일!AA$1:AA$140)</f>
        <v>734233</v>
      </c>
      <c r="U38" s="31">
        <f>SUMIF(헤몬팜일일!$C$1:$C$140,$C38,헤몬팜일일!AB$1:AB$140)</f>
        <v>0</v>
      </c>
      <c r="V38" s="31">
        <f>SUMIF(헤몬팜일일!$C$1:$C$140,$C38,헤몬팜일일!AC$1:AC$140)</f>
        <v>57750</v>
      </c>
      <c r="W38" s="152">
        <v>0.1</v>
      </c>
      <c r="X38" s="31">
        <f>SUMIF(헤몬팜일일!$C$1:$C$140,$C38,헤몬팜일일!AE$1:AE$140)</f>
        <v>529200</v>
      </c>
      <c r="Y38" s="28">
        <f t="shared" si="17"/>
        <v>0.22702161671731211</v>
      </c>
      <c r="Z38" s="31">
        <f>SUMIF(헤몬팜일일!$C$1:$C$140,$C38,헤몬팜일일!AG$1:AG$140)</f>
        <v>979151.97000000009</v>
      </c>
      <c r="AA38" s="31">
        <f>SUMIF(헤몬팜일일!$C$1:$C$140,$C38,헤몬팜일일!AH$1:AH$140)</f>
        <v>157886.28044727267</v>
      </c>
      <c r="AB38" s="31">
        <f>SUMIF(헤몬팜일일!$C$1:$C$140,$C38,헤몬팜일일!AJ$1:AJ$140)</f>
        <v>1810573.9087527273</v>
      </c>
      <c r="AC38" s="31">
        <f>SUMIF(헤몬팜일일!$C$1:$C$140,$C38,헤몬팜일일!AK$1:AK$140)</f>
        <v>1002917.6087527273</v>
      </c>
      <c r="AD38" s="31">
        <f>SUMIF(헤몬팜일일!$C$1:$C$140,$C38,헤몬팜일일!AK$1:AK$140)</f>
        <v>1002917.6087527273</v>
      </c>
      <c r="AE38" s="31">
        <f>SUMIF(헤몬팜일일!$C$1:$C$140,$C38,헤몬팜일일!AL$1:AL$140)</f>
        <v>452.08800000000002</v>
      </c>
      <c r="AF38" s="26"/>
      <c r="AG38" s="26"/>
      <c r="AH38" s="26"/>
      <c r="AI38" s="26"/>
      <c r="AJ38" s="26"/>
      <c r="AK38" s="26"/>
      <c r="AL38" s="26"/>
      <c r="AM38" s="26"/>
      <c r="AN38" s="26"/>
      <c r="AO38" s="26"/>
      <c r="AP38" s="27"/>
      <c r="AQ38" s="27"/>
      <c r="AR38" s="27"/>
      <c r="AS38" s="27"/>
      <c r="AT38" s="27"/>
      <c r="AU38" s="27"/>
      <c r="AV38" s="26"/>
      <c r="AW38" s="26"/>
    </row>
    <row r="39" spans="1:49" ht="28.5" customHeight="1">
      <c r="A39" s="26"/>
      <c r="B39" s="158"/>
      <c r="C39" s="42" t="s">
        <v>120</v>
      </c>
      <c r="D39" s="28">
        <f t="shared" si="10"/>
        <v>-3.6761922120372708</v>
      </c>
      <c r="E39" s="29">
        <f t="shared" si="11"/>
        <v>0.41173022563586004</v>
      </c>
      <c r="F39" s="29">
        <f t="shared" si="12"/>
        <v>4.0879224376731305</v>
      </c>
      <c r="G39" s="30" t="e">
        <f t="shared" si="13"/>
        <v>#DIV/0!</v>
      </c>
      <c r="H39" s="31">
        <f>SUMIF(헤몬팜일일!$C$1:$C$140,$C39,헤몬팜일일!O$1:O$140)</f>
        <v>1</v>
      </c>
      <c r="I39" s="138">
        <f t="shared" si="14"/>
        <v>0.14285714285714285</v>
      </c>
      <c r="J39" s="31">
        <f>SUMIF(헤몬팜일일!$C$1:$C$140,$C39,헤몬팜일일!P$1:P$140)</f>
        <v>1</v>
      </c>
      <c r="K39" s="31">
        <f>SUMIF(헤몬팜일일!$C$1:$C$140,$C39,헤몬팜일일!Q$1:Q$140)</f>
        <v>4</v>
      </c>
      <c r="L39" s="31">
        <f>SUMIF(헤몬팜일일!$C$1:$C$140,$C39,헤몬팜일일!S$1:S$140)</f>
        <v>0</v>
      </c>
      <c r="M39" s="31">
        <f>SUMIF(헤몬팜일일!$C$1:$C$140,$C39,헤몬팜일일!T$1:T$140)</f>
        <v>39710</v>
      </c>
      <c r="N39" s="31">
        <f>SUMIF(헤몬팜일일!$C$1:$C$140,$C39,헤몬팜일일!U$1:U$140)</f>
        <v>0</v>
      </c>
      <c r="O39" s="31">
        <f>SUMIF(헤몬팜일일!$C$1:$C$140,$C39,헤몬팜일일!V$1:V$140)</f>
        <v>39710</v>
      </c>
      <c r="P39" s="34">
        <f t="shared" si="15"/>
        <v>39710</v>
      </c>
      <c r="Q39" s="34">
        <f t="shared" si="16"/>
        <v>14113.034599999999</v>
      </c>
      <c r="R39" s="31">
        <f>SUMIF(헤몬팜일일!$C$1:$C$140,$C39,헤몬팜일일!Y$1:Y$140)</f>
        <v>14113.034599999999</v>
      </c>
      <c r="S39" s="31">
        <f>SUMIF(헤몬팜일일!$C$1:$C$140,$C39,헤몬팜일일!Z$1:Z$140)</f>
        <v>162331.40000000002</v>
      </c>
      <c r="T39" s="31">
        <f>SUMIF(헤몬팜일일!$C$1:$C$140,$C39,헤몬팜일일!AA$1:AA$140)</f>
        <v>147574</v>
      </c>
      <c r="U39" s="31">
        <f>SUMIF(헤몬팜일일!$C$1:$C$140,$C39,헤몬팜일일!AB$1:AB$140)</f>
        <v>0</v>
      </c>
      <c r="V39" s="31">
        <f>SUMIF(헤몬팜일일!$C$1:$C$140,$C39,헤몬팜일일!AC$1:AC$140)</f>
        <v>9240</v>
      </c>
      <c r="W39" s="152">
        <v>0.1</v>
      </c>
      <c r="X39" s="31">
        <f>SUMIF(헤몬팜일일!$C$1:$C$140,$C39,헤몬팜일일!AE$1:AE$140)</f>
        <v>3550</v>
      </c>
      <c r="Y39" s="28">
        <f t="shared" si="17"/>
        <v>0.18939813648954923</v>
      </c>
      <c r="Z39" s="31">
        <f>SUMIF(헤몬팜일일!$C$1:$C$140,$C39,헤몬팜일일!AG$1:AG$140)</f>
        <v>7838.8000000000011</v>
      </c>
      <c r="AA39" s="31">
        <f>SUMIF(헤몬팜일일!$C$1:$C$140,$C39,헤몬팜일일!AH$1:AH$140)</f>
        <v>1408.3581399999998</v>
      </c>
      <c r="AB39" s="31">
        <f>SUMIF(헤몬팜일일!$C$1:$C$140,$C39,헤몬팜일일!AJ$1:AJ$140)</f>
        <v>16349.807260000001</v>
      </c>
      <c r="AC39" s="31">
        <f>SUMIF(헤몬팜일일!$C$1:$C$140,$C39,헤몬팜일일!AK$1:AK$140)</f>
        <v>-145981.59274000002</v>
      </c>
      <c r="AD39" s="31">
        <f>SUMIF(헤몬팜일일!$C$1:$C$140,$C39,헤몬팜일일!AK$1:AK$140)</f>
        <v>-145981.59274000002</v>
      </c>
      <c r="AE39" s="31">
        <f>SUMIF(헤몬팜일일!$C$1:$C$140,$C39,헤몬팜일일!AL$1:AL$140)</f>
        <v>452.08800000000002</v>
      </c>
      <c r="AF39" s="26"/>
      <c r="AG39" s="26"/>
      <c r="AH39" s="26"/>
      <c r="AI39" s="26"/>
      <c r="AJ39" s="26"/>
      <c r="AK39" s="26"/>
      <c r="AL39" s="26"/>
      <c r="AM39" s="26"/>
      <c r="AN39" s="26"/>
      <c r="AO39" s="26"/>
      <c r="AP39" s="27"/>
      <c r="AQ39" s="27"/>
      <c r="AR39" s="27"/>
      <c r="AS39" s="27"/>
      <c r="AT39" s="27"/>
      <c r="AU39" s="27"/>
      <c r="AV39" s="26"/>
      <c r="AW39" s="26"/>
    </row>
    <row r="40" spans="1:49" ht="28.5" customHeight="1">
      <c r="A40" s="26"/>
      <c r="B40" s="104"/>
      <c r="C40" s="104"/>
      <c r="D40" s="29" t="e">
        <f>AC40/P40</f>
        <v>#REF!</v>
      </c>
      <c r="E40" s="166" t="e">
        <f>AB40/P40</f>
        <v>#REF!</v>
      </c>
      <c r="F40" s="29" t="e">
        <f>T40/P40</f>
        <v>#DIV/0!</v>
      </c>
      <c r="G40" s="128"/>
      <c r="H40" s="128">
        <f t="shared" ref="H40:O40" si="18">SUM(H23:H39)</f>
        <v>1770</v>
      </c>
      <c r="I40" s="128">
        <f t="shared" si="18"/>
        <v>252.85714285714286</v>
      </c>
      <c r="J40" s="128">
        <f t="shared" si="18"/>
        <v>1723</v>
      </c>
      <c r="K40" s="128">
        <f t="shared" si="18"/>
        <v>189</v>
      </c>
      <c r="L40" s="128">
        <f t="shared" si="18"/>
        <v>47</v>
      </c>
      <c r="M40" s="128">
        <f t="shared" si="18"/>
        <v>47945280</v>
      </c>
      <c r="N40" s="128">
        <f t="shared" si="18"/>
        <v>823900</v>
      </c>
      <c r="O40" s="128">
        <f t="shared" si="18"/>
        <v>47121380</v>
      </c>
      <c r="P40" s="128"/>
      <c r="Q40" s="128" t="e">
        <f t="shared" ref="Q40:V40" si="19">SUM(Q23:Q39)</f>
        <v>#REF!</v>
      </c>
      <c r="R40" s="128" t="e">
        <f t="shared" si="19"/>
        <v>#REF!</v>
      </c>
      <c r="S40" s="128">
        <f t="shared" si="19"/>
        <v>11994522.1</v>
      </c>
      <c r="T40" s="128">
        <f t="shared" si="19"/>
        <v>10904111</v>
      </c>
      <c r="U40" s="128">
        <f t="shared" si="19"/>
        <v>555048.75</v>
      </c>
      <c r="V40" s="128">
        <f t="shared" si="19"/>
        <v>424860</v>
      </c>
      <c r="W40" s="154">
        <v>0.09</v>
      </c>
      <c r="X40" s="128">
        <f>SUM(X23:X39)</f>
        <v>5220350</v>
      </c>
      <c r="Y40" s="28"/>
      <c r="Z40" s="128">
        <f t="shared" ref="Z40:AC40" si="20">SUM(Z23:Z39)</f>
        <v>9762589.8500000034</v>
      </c>
      <c r="AA40" s="128" t="e">
        <f t="shared" si="20"/>
        <v>#REF!</v>
      </c>
      <c r="AB40" s="128" t="e">
        <f t="shared" si="20"/>
        <v>#REF!</v>
      </c>
      <c r="AC40" s="128" t="e">
        <f t="shared" si="20"/>
        <v>#REF!</v>
      </c>
      <c r="AD40" s="26"/>
      <c r="AE40" s="26"/>
      <c r="AF40" s="26"/>
      <c r="AG40" s="26"/>
      <c r="AH40" s="26"/>
      <c r="AI40" s="26"/>
      <c r="AJ40" s="26"/>
      <c r="AK40" s="26"/>
      <c r="AL40" s="26"/>
      <c r="AM40" s="26"/>
      <c r="AN40" s="26"/>
      <c r="AO40" s="26"/>
      <c r="AP40" s="27"/>
      <c r="AQ40" s="27"/>
      <c r="AR40" s="27"/>
      <c r="AS40" s="27"/>
      <c r="AT40" s="27"/>
      <c r="AU40" s="27"/>
      <c r="AV40" s="26"/>
      <c r="AW40" s="26"/>
    </row>
    <row r="41" spans="1:49" ht="28.5" customHeight="1">
      <c r="A41" s="155"/>
      <c r="B41" s="155"/>
      <c r="C41" s="1"/>
      <c r="D41" s="10"/>
      <c r="E41" s="10"/>
      <c r="F41" s="156"/>
      <c r="G41" s="10"/>
      <c r="H41" s="10"/>
      <c r="I41" s="10"/>
      <c r="J41" s="10"/>
      <c r="K41" s="10"/>
      <c r="L41" s="10"/>
      <c r="M41" s="10"/>
      <c r="N41" s="10"/>
      <c r="O41" s="10"/>
      <c r="P41" s="10"/>
      <c r="Q41" s="10"/>
      <c r="R41" s="10"/>
      <c r="S41" s="10"/>
      <c r="T41" s="1"/>
      <c r="U41" s="10"/>
      <c r="V41" s="10"/>
      <c r="W41" s="10"/>
      <c r="X41" s="8"/>
      <c r="Y41" s="59"/>
      <c r="Z41" s="1"/>
      <c r="AA41" s="8"/>
      <c r="AB41" s="157"/>
      <c r="AC41" s="1"/>
      <c r="AD41" s="155"/>
      <c r="AE41" s="155"/>
      <c r="AF41" s="155"/>
      <c r="AG41" s="155"/>
      <c r="AH41" s="155"/>
      <c r="AI41" s="155"/>
      <c r="AJ41" s="155"/>
      <c r="AK41" s="155"/>
      <c r="AL41" s="155"/>
      <c r="AM41" s="155"/>
      <c r="AN41" s="155"/>
      <c r="AO41" s="155"/>
      <c r="AP41" s="7"/>
      <c r="AQ41" s="7"/>
      <c r="AR41" s="7"/>
      <c r="AS41" s="7"/>
      <c r="AT41" s="7"/>
      <c r="AU41" s="7"/>
    </row>
    <row r="42" spans="1:49" ht="28.5" customHeight="1">
      <c r="A42" s="26"/>
      <c r="B42" s="158"/>
      <c r="C42" s="159" t="s">
        <v>96</v>
      </c>
      <c r="D42" s="160" t="s">
        <v>0</v>
      </c>
      <c r="E42" s="160" t="s">
        <v>1</v>
      </c>
      <c r="F42" s="161" t="s">
        <v>2</v>
      </c>
      <c r="G42" s="162" t="s">
        <v>3</v>
      </c>
      <c r="H42" s="163" t="s">
        <v>8</v>
      </c>
      <c r="I42" s="163" t="s">
        <v>102</v>
      </c>
      <c r="J42" s="163" t="s">
        <v>9</v>
      </c>
      <c r="K42" s="164" t="s">
        <v>10</v>
      </c>
      <c r="L42" s="14" t="s">
        <v>11</v>
      </c>
      <c r="M42" s="16" t="s">
        <v>12</v>
      </c>
      <c r="N42" s="16" t="s">
        <v>13</v>
      </c>
      <c r="O42" s="17" t="s">
        <v>14</v>
      </c>
      <c r="P42" s="18" t="s">
        <v>15</v>
      </c>
      <c r="Q42" s="18" t="s">
        <v>16</v>
      </c>
      <c r="R42" s="18" t="s">
        <v>17</v>
      </c>
      <c r="S42" s="19" t="s">
        <v>18</v>
      </c>
      <c r="T42" s="19" t="s">
        <v>19</v>
      </c>
      <c r="U42" s="20" t="s">
        <v>20</v>
      </c>
      <c r="V42" s="21" t="s">
        <v>93</v>
      </c>
      <c r="W42" s="146" t="s">
        <v>21</v>
      </c>
      <c r="X42" s="21" t="s">
        <v>22</v>
      </c>
      <c r="Y42" s="147" t="s">
        <v>23</v>
      </c>
      <c r="Z42" s="23" t="s">
        <v>21</v>
      </c>
      <c r="AA42" s="23" t="s">
        <v>24</v>
      </c>
      <c r="AB42" s="23" t="s">
        <v>26</v>
      </c>
      <c r="AC42" s="24" t="s">
        <v>27</v>
      </c>
      <c r="AD42" s="124" t="s">
        <v>94</v>
      </c>
      <c r="AE42" s="125" t="s">
        <v>95</v>
      </c>
      <c r="AF42" s="26"/>
      <c r="AG42" s="26"/>
      <c r="AH42" s="26"/>
      <c r="AI42" s="26"/>
      <c r="AJ42" s="26"/>
      <c r="AK42" s="26"/>
      <c r="AL42" s="26"/>
      <c r="AM42" s="26"/>
      <c r="AN42" s="26"/>
      <c r="AO42" s="26"/>
      <c r="AP42" s="27"/>
      <c r="AQ42" s="27"/>
      <c r="AR42" s="27"/>
      <c r="AS42" s="27"/>
      <c r="AT42" s="27"/>
      <c r="AU42" s="27"/>
      <c r="AV42" s="26"/>
      <c r="AW42" s="26"/>
    </row>
    <row r="43" spans="1:49" ht="28.5" customHeight="1">
      <c r="A43" s="26"/>
      <c r="B43" s="165"/>
      <c r="C43" s="42" t="s">
        <v>107</v>
      </c>
      <c r="D43" s="28">
        <f t="shared" ref="D43:D59" si="21">AC43/O43</f>
        <v>0.2213428015574658</v>
      </c>
      <c r="E43" s="29">
        <f t="shared" ref="E43:E59" si="22">AB43/O43</f>
        <v>0.42270749894844212</v>
      </c>
      <c r="F43" s="29">
        <f t="shared" ref="F43:F59" si="23">(S43+U43)/O43</f>
        <v>0.20136469739097629</v>
      </c>
      <c r="G43" s="30" t="e">
        <f t="shared" ref="G43:G59" si="24">H43/AG43</f>
        <v>#DIV/0!</v>
      </c>
      <c r="H43" s="31">
        <f>SUMIF(헤몬팜일일!$C$142:$C$240,$C43,헤몬팜일일!O$142:O$240)</f>
        <v>1311</v>
      </c>
      <c r="I43" s="138">
        <f t="shared" ref="I43:I55" si="25">H43/7</f>
        <v>187.28571428571428</v>
      </c>
      <c r="J43" s="31">
        <f>SUMIF(헤몬팜일일!$C$142:$C$240,$C43,헤몬팜일일!P$142:P$240)</f>
        <v>1311</v>
      </c>
      <c r="K43" s="31">
        <f>SUMIF(헤몬팜일일!$C$142:$C$240,$C43,헤몬팜일일!Q$142:Q$240)</f>
        <v>107</v>
      </c>
      <c r="L43" s="31">
        <f>SUMIF(헤몬팜일일!$C$142:$C$240,$C43,헤몬팜일일!S$142:S$240)</f>
        <v>0</v>
      </c>
      <c r="M43" s="31">
        <f>SUMIF(헤몬팜일일!$C$142:$C$240,$C43,헤몬팜일일!T$142:T$240)</f>
        <v>36576900</v>
      </c>
      <c r="N43" s="31">
        <f>SUMIF(헤몬팜일일!$C$142:$C$240,$C43,헤몬팜일일!U$142:U$240)</f>
        <v>0</v>
      </c>
      <c r="O43" s="31">
        <f>SUMIF(헤몬팜일일!$C$142:$C$240,$C43,헤몬팜일일!V$142:V$240)</f>
        <v>36576900</v>
      </c>
      <c r="P43" s="34">
        <f t="shared" ref="P43:P59" si="26">O43/J43</f>
        <v>27900</v>
      </c>
      <c r="Q43" s="34">
        <f t="shared" ref="Q43:Q59" si="27">R43/J43</f>
        <v>9245.0616000000009</v>
      </c>
      <c r="R43" s="31">
        <f>SUMIF(헤몬팜일일!$C$142:$C$240,$C43,헤몬팜일일!Y$142:Y$240)</f>
        <v>12120275.757600002</v>
      </c>
      <c r="S43" s="31">
        <f>SUMIF(헤몬팜일일!$C$142:$C$240,$C43,헤몬팜일일!Z$142:Z$240)</f>
        <v>7365296.4000000004</v>
      </c>
      <c r="T43" s="31">
        <f>SUMIF(헤몬팜일일!$C$142:$C$240,$C43,헤몬팜일일!AA$142:AA$240)</f>
        <v>6695724</v>
      </c>
      <c r="U43" s="31">
        <f>SUMIF(헤몬팜일일!$C$142:$C$240,$C43,헤몬팜일일!AB$142:AB$240)</f>
        <v>0</v>
      </c>
      <c r="V43" s="31">
        <f>SUMIF(헤몬팜일일!$C$142:$C$240,$C43,헤몬팜일일!AC$142:AC$240)</f>
        <v>232404</v>
      </c>
      <c r="W43" s="152">
        <v>0.1</v>
      </c>
      <c r="X43" s="31">
        <f>SUMIF(헤몬팜일일!$C$142:$C$240,$C43,헤몬팜일일!AE$142:AE$240)</f>
        <v>3998550</v>
      </c>
      <c r="Y43" s="28">
        <f t="shared" ref="Y43:Y59" si="28">W43+(X43/O43)</f>
        <v>0.20931899641577062</v>
      </c>
      <c r="Z43" s="31">
        <f>SUMIF(헤몬팜일일!$C$142:$C$240,$C43,헤몬팜일일!AG$142:AG$240)</f>
        <v>7656240.1500000004</v>
      </c>
      <c r="AA43" s="31">
        <f>SUMIF(헤몬팜일일!$C$142:$C$240,$C43,헤몬팜일일!AH$142:AH$240)</f>
        <v>1339054.1741127269</v>
      </c>
      <c r="AB43" s="31">
        <f>SUMIF(헤몬팜일일!$C$142:$C$240,$C43,헤몬팜일일!AJ$142:AJ$240)</f>
        <v>15461329.918287272</v>
      </c>
      <c r="AC43" s="31">
        <f>SUMIF(헤몬팜일일!$C$142:$C$240,$C43,헤몬팜일일!AK$142:AK$240)</f>
        <v>8096033.5182872713</v>
      </c>
      <c r="AD43" s="31">
        <f>SUMIF(헤몬팜일일!$C$1:$C$140,$C43,헤몬팜일일!AK$1:AK$140)</f>
        <v>4758730.5974290883</v>
      </c>
      <c r="AE43" s="31">
        <f>SUMIF(헤몬팜일일!$C$1:$C$140,$C43,헤몬팜일일!AL$1:AL$140)</f>
        <v>452.08800000000002</v>
      </c>
      <c r="AF43" s="26"/>
      <c r="AG43" s="26"/>
      <c r="AH43" s="26"/>
      <c r="AI43" s="26"/>
      <c r="AJ43" s="26"/>
      <c r="AK43" s="26"/>
      <c r="AL43" s="26"/>
      <c r="AM43" s="26"/>
      <c r="AN43" s="26"/>
      <c r="AO43" s="26"/>
      <c r="AP43" s="27"/>
      <c r="AQ43" s="27"/>
      <c r="AR43" s="27"/>
      <c r="AS43" s="27"/>
      <c r="AT43" s="27"/>
      <c r="AU43" s="27"/>
      <c r="AV43" s="26"/>
      <c r="AW43" s="26"/>
    </row>
    <row r="44" spans="1:49" ht="28.5" customHeight="1">
      <c r="A44" s="26"/>
      <c r="B44" s="158"/>
      <c r="C44" s="42" t="s">
        <v>108</v>
      </c>
      <c r="D44" s="28">
        <f t="shared" si="21"/>
        <v>0.2243675781761644</v>
      </c>
      <c r="E44" s="29">
        <f t="shared" si="22"/>
        <v>0.40985112313599853</v>
      </c>
      <c r="F44" s="29">
        <f t="shared" si="23"/>
        <v>0.18548354495983416</v>
      </c>
      <c r="G44" s="30" t="e">
        <f t="shared" si="24"/>
        <v>#DIV/0!</v>
      </c>
      <c r="H44" s="31">
        <f>SUMIF(헤몬팜일일!$C$142:$C$240,$C44,헤몬팜일일!O$142:O$240)</f>
        <v>17</v>
      </c>
      <c r="I44" s="138">
        <f t="shared" si="25"/>
        <v>2.4285714285714284</v>
      </c>
      <c r="J44" s="31">
        <f>SUMIF(헤몬팜일일!$C$142:$C$240,$C44,헤몬팜일일!P$142:P$240)</f>
        <v>17</v>
      </c>
      <c r="K44" s="31">
        <f>SUMIF(헤몬팜일일!$C$142:$C$240,$C44,헤몬팜일일!Q$142:Q$240)</f>
        <v>1</v>
      </c>
      <c r="L44" s="31">
        <f>SUMIF(헤몬팜일일!$C$142:$C$240,$C44,헤몬팜일일!S$142:S$240)</f>
        <v>0</v>
      </c>
      <c r="M44" s="31">
        <f>SUMIF(헤몬팜일일!$C$142:$C$240,$C44,헤몬팜일일!T$142:T$240)</f>
        <v>385900</v>
      </c>
      <c r="N44" s="31">
        <f>SUMIF(헤몬팜일일!$C$142:$C$240,$C44,헤몬팜일일!U$142:U$240)</f>
        <v>0</v>
      </c>
      <c r="O44" s="31">
        <f>SUMIF(헤몬팜일일!$C$142:$C$240,$C44,헤몬팜일일!V$142:V$240)</f>
        <v>385900</v>
      </c>
      <c r="P44" s="34">
        <f t="shared" si="26"/>
        <v>22700</v>
      </c>
      <c r="Q44" s="34">
        <f t="shared" si="27"/>
        <v>7377.3279999999995</v>
      </c>
      <c r="R44" s="31">
        <f>SUMIF(헤몬팜일일!$C$142:$C$240,$C44,헤몬팜일일!Y$142:Y$240)</f>
        <v>125414.57599999999</v>
      </c>
      <c r="S44" s="31">
        <f>SUMIF(헤몬팜일일!$C$142:$C$240,$C44,헤몬팜일일!Z$142:Z$240)</f>
        <v>71578.100000000006</v>
      </c>
      <c r="T44" s="31">
        <f>SUMIF(헤몬팜일일!$C$142:$C$240,$C44,헤몬팜일일!AA$142:AA$240)</f>
        <v>65071</v>
      </c>
      <c r="U44" s="31">
        <f>SUMIF(헤몬팜일일!$C$142:$C$240,$C44,헤몬팜일일!AB$142:AB$240)</f>
        <v>0</v>
      </c>
      <c r="V44" s="31">
        <f>SUMIF(헤몬팜일일!$C$142:$C$240,$C44,헤몬팜일일!AC$142:AC$240)</f>
        <v>2172</v>
      </c>
      <c r="W44" s="152">
        <v>0.1</v>
      </c>
      <c r="X44" s="31">
        <f>SUMIF(헤몬팜일일!$C$142:$C$240,$C44,헤몬팜일일!AE$142:AE$240)</f>
        <v>50150</v>
      </c>
      <c r="Y44" s="28">
        <f t="shared" si="28"/>
        <v>0.22995594713656389</v>
      </c>
      <c r="Z44" s="31">
        <f>SUMIF(헤몬팜일일!$C$142:$C$240,$C44,헤몬팜일일!AG$142:AG$240)</f>
        <v>88740.150000000009</v>
      </c>
      <c r="AA44" s="31">
        <f>SUMIF(헤몬팜일일!$C$142:$C$240,$C44,헤몬팜일일!AH$142:AH$240)</f>
        <v>13583.72558181818</v>
      </c>
      <c r="AB44" s="31">
        <f>SUMIF(헤몬팜일일!$C$142:$C$240,$C44,헤몬팜일일!AJ$142:AJ$240)</f>
        <v>158161.54841818183</v>
      </c>
      <c r="AC44" s="31">
        <f>SUMIF(헤몬팜일일!$C$142:$C$240,$C44,헤몬팜일일!AK$142:AK$240)</f>
        <v>86583.448418181841</v>
      </c>
      <c r="AD44" s="31">
        <f>SUMIF(헤몬팜일일!$C$1:$C$140,$C44,헤몬팜일일!AK$1:AK$140)</f>
        <v>14171.434181818178</v>
      </c>
      <c r="AE44" s="31">
        <f>SUMIF(헤몬팜일일!$C$1:$C$140,$C44,헤몬팜일일!AL$1:AL$140)</f>
        <v>340.20000000000005</v>
      </c>
      <c r="AF44" s="26"/>
      <c r="AG44" s="26"/>
      <c r="AH44" s="26"/>
      <c r="AI44" s="26"/>
      <c r="AJ44" s="26"/>
      <c r="AK44" s="26"/>
      <c r="AL44" s="26"/>
      <c r="AM44" s="26"/>
      <c r="AN44" s="26"/>
      <c r="AO44" s="26"/>
      <c r="AP44" s="27"/>
      <c r="AQ44" s="27"/>
      <c r="AR44" s="27"/>
      <c r="AS44" s="27"/>
      <c r="AT44" s="27"/>
      <c r="AU44" s="27"/>
      <c r="AV44" s="26"/>
      <c r="AW44" s="26"/>
    </row>
    <row r="45" spans="1:49" ht="28.5" customHeight="1">
      <c r="A45" s="26"/>
      <c r="B45" s="158"/>
      <c r="C45" s="42" t="s">
        <v>109</v>
      </c>
      <c r="D45" s="28" t="e">
        <f t="shared" si="21"/>
        <v>#REF!</v>
      </c>
      <c r="E45" s="29" t="e">
        <f t="shared" si="22"/>
        <v>#REF!</v>
      </c>
      <c r="F45" s="29">
        <f t="shared" si="23"/>
        <v>0.32792895532415189</v>
      </c>
      <c r="G45" s="30" t="e">
        <f t="shared" si="24"/>
        <v>#DIV/0!</v>
      </c>
      <c r="H45" s="31">
        <f>SUMIF(헤몬팜일일!$C$142:$C$240,$C45,헤몬팜일일!O$142:O$240)</f>
        <v>26</v>
      </c>
      <c r="I45" s="138">
        <f t="shared" si="25"/>
        <v>3.7142857142857144</v>
      </c>
      <c r="J45" s="31">
        <f>SUMIF(헤몬팜일일!$C$142:$C$240,$C45,헤몬팜일일!P$142:P$240)</f>
        <v>26</v>
      </c>
      <c r="K45" s="31">
        <f>SUMIF(헤몬팜일일!$C$142:$C$240,$C45,헤몬팜일일!Q$142:Q$240)</f>
        <v>3</v>
      </c>
      <c r="L45" s="31">
        <f>SUMIF(헤몬팜일일!$C$142:$C$240,$C45,헤몬팜일일!S$142:S$240)</f>
        <v>0</v>
      </c>
      <c r="M45" s="31">
        <f>SUMIF(헤몬팜일일!$C$142:$C$240,$C45,헤몬팜일일!T$142:T$240)</f>
        <v>1190800</v>
      </c>
      <c r="N45" s="31">
        <f>SUMIF(헤몬팜일일!$C$142:$C$240,$C45,헤몬팜일일!U$142:U$240)</f>
        <v>0</v>
      </c>
      <c r="O45" s="31">
        <f>SUMIF(헤몬팜일일!$C$142:$C$240,$C45,헤몬팜일일!V$142:V$240)</f>
        <v>1190800</v>
      </c>
      <c r="P45" s="34">
        <f t="shared" si="26"/>
        <v>45800</v>
      </c>
      <c r="Q45" s="34" t="e">
        <f t="shared" si="27"/>
        <v>#REF!</v>
      </c>
      <c r="R45" s="31" t="e">
        <f>SUMIF(헤몬팜일일!$C$142:$C$240,$C45,헤몬팜일일!Y$142:Y$240)</f>
        <v>#REF!</v>
      </c>
      <c r="S45" s="31">
        <f>SUMIF(헤몬팜일일!$C$142:$C$240,$C45,헤몬팜일일!Z$142:Z$240)</f>
        <v>390497.80000000005</v>
      </c>
      <c r="T45" s="31">
        <f>SUMIF(헤몬팜일일!$C$142:$C$240,$C45,헤몬팜일일!AA$142:AA$240)</f>
        <v>354998</v>
      </c>
      <c r="U45" s="31">
        <f>SUMIF(헤몬팜일일!$C$142:$C$240,$C45,헤몬팜일일!AB$142:AB$240)</f>
        <v>0</v>
      </c>
      <c r="V45" s="31">
        <f>SUMIF(헤몬팜일일!$C$142:$C$240,$C45,헤몬팜일일!AC$142:AC$240)</f>
        <v>6930</v>
      </c>
      <c r="W45" s="152">
        <v>0.1</v>
      </c>
      <c r="X45" s="31">
        <f>SUMIF(헤몬팜일일!$C$142:$C$240,$C45,헤몬팜일일!AE$142:AE$240)</f>
        <v>107900</v>
      </c>
      <c r="Y45" s="28">
        <f t="shared" si="28"/>
        <v>0.19061135371179039</v>
      </c>
      <c r="Z45" s="31">
        <f>SUMIF(헤몬팜일일!$C$142:$C$240,$C45,헤몬팜일일!AG$142:AG$240)</f>
        <v>238888.15</v>
      </c>
      <c r="AA45" s="31" t="e">
        <f>SUMIF(헤몬팜일일!$C$142:$C$240,$C45,헤몬팜일일!AH$142:AH$240)</f>
        <v>#REF!</v>
      </c>
      <c r="AB45" s="31" t="e">
        <f>SUMIF(헤몬팜일일!$C$142:$C$240,$C45,헤몬팜일일!AJ$142:AJ$240)</f>
        <v>#REF!</v>
      </c>
      <c r="AC45" s="31" t="e">
        <f>SUMIF(헤몬팜일일!$C$142:$C$240,$C45,헤몬팜일일!AK$142:AK$240)</f>
        <v>#REF!</v>
      </c>
      <c r="AD45" s="31" t="e">
        <f>SUMIF(헤몬팜일일!$C$1:$C$140,$C45,헤몬팜일일!AK$1:AK$140)</f>
        <v>#REF!</v>
      </c>
      <c r="AE45" s="31">
        <f>SUMIF(헤몬팜일일!$C$1:$C$140,$C45,헤몬팜일일!AL$1:AL$140)</f>
        <v>1134</v>
      </c>
      <c r="AF45" s="26"/>
      <c r="AG45" s="26"/>
      <c r="AH45" s="26"/>
      <c r="AI45" s="26"/>
      <c r="AJ45" s="26"/>
      <c r="AK45" s="26"/>
      <c r="AL45" s="26"/>
      <c r="AM45" s="26"/>
      <c r="AN45" s="26"/>
      <c r="AO45" s="26"/>
      <c r="AP45" s="27"/>
      <c r="AQ45" s="27"/>
      <c r="AR45" s="27"/>
      <c r="AS45" s="27"/>
      <c r="AT45" s="27"/>
      <c r="AU45" s="27"/>
      <c r="AV45" s="26"/>
      <c r="AW45" s="26"/>
    </row>
    <row r="46" spans="1:49" ht="28.5" customHeight="1">
      <c r="A46" s="26"/>
      <c r="B46" s="158"/>
      <c r="C46" s="42" t="s">
        <v>110</v>
      </c>
      <c r="D46" s="28" t="e">
        <f t="shared" si="21"/>
        <v>#REF!</v>
      </c>
      <c r="E46" s="29" t="e">
        <f t="shared" si="22"/>
        <v>#REF!</v>
      </c>
      <c r="F46" s="29">
        <f t="shared" si="23"/>
        <v>0.25075198412698413</v>
      </c>
      <c r="G46" s="30" t="e">
        <f t="shared" si="24"/>
        <v>#DIV/0!</v>
      </c>
      <c r="H46" s="31">
        <f>SUMIF(헤몬팜일일!$C$142:$C$240,$C46,헤몬팜일일!O$142:O$240)</f>
        <v>14</v>
      </c>
      <c r="I46" s="138">
        <f t="shared" si="25"/>
        <v>2</v>
      </c>
      <c r="J46" s="31">
        <f>SUMIF(헤몬팜일일!$C$142:$C$240,$C46,헤몬팜일일!P$142:P$240)</f>
        <v>14</v>
      </c>
      <c r="K46" s="31">
        <f>SUMIF(헤몬팜일일!$C$142:$C$240,$C46,헤몬팜일일!Q$142:Q$240)</f>
        <v>3</v>
      </c>
      <c r="L46" s="31">
        <f>SUMIF(헤몬팜일일!$C$142:$C$240,$C46,헤몬팜일일!S$142:S$240)</f>
        <v>0</v>
      </c>
      <c r="M46" s="31">
        <f>SUMIF(헤몬팜일일!$C$142:$C$240,$C46,헤몬팜일일!T$142:T$240)</f>
        <v>655200</v>
      </c>
      <c r="N46" s="31">
        <f>SUMIF(헤몬팜일일!$C$142:$C$240,$C46,헤몬팜일일!U$142:U$240)</f>
        <v>0</v>
      </c>
      <c r="O46" s="31">
        <f>SUMIF(헤몬팜일일!$C$142:$C$240,$C46,헤몬팜일일!V$142:V$240)</f>
        <v>655200</v>
      </c>
      <c r="P46" s="34">
        <f t="shared" si="26"/>
        <v>46800</v>
      </c>
      <c r="Q46" s="34" t="e">
        <f t="shared" si="27"/>
        <v>#REF!</v>
      </c>
      <c r="R46" s="31" t="e">
        <f>SUMIF(헤몬팜일일!$C$142:$C$240,$C46,헤몬팜일일!Y$142:Y$240)</f>
        <v>#REF!</v>
      </c>
      <c r="S46" s="31">
        <f>SUMIF(헤몬팜일일!$C$142:$C$240,$C46,헤몬팜일일!Z$142:Z$240)</f>
        <v>164292.70000000001</v>
      </c>
      <c r="T46" s="31">
        <f>SUMIF(헤몬팜일일!$C$142:$C$240,$C46,헤몬팜일일!AA$142:AA$240)</f>
        <v>149357</v>
      </c>
      <c r="U46" s="31">
        <f>SUMIF(헤몬팜일일!$C$142:$C$240,$C46,헤몬팜일일!AB$142:AB$240)</f>
        <v>0</v>
      </c>
      <c r="V46" s="31">
        <f>SUMIF(헤몬팜일일!$C$142:$C$240,$C46,헤몬팜일일!AC$142:AC$240)</f>
        <v>6930</v>
      </c>
      <c r="W46" s="152">
        <v>0.1</v>
      </c>
      <c r="X46" s="31">
        <f>SUMIF(헤몬팜일일!$C$142:$C$240,$C46,헤몬팜일일!AE$142:AE$240)</f>
        <v>58100</v>
      </c>
      <c r="Y46" s="28">
        <f t="shared" si="28"/>
        <v>0.18867521367521367</v>
      </c>
      <c r="Z46" s="31">
        <f>SUMIF(헤몬팜일일!$C$142:$C$240,$C46,헤몬팜일일!AG$142:AG$240)</f>
        <v>130172.15</v>
      </c>
      <c r="AA46" s="31" t="e">
        <f>SUMIF(헤몬팜일일!$C$142:$C$240,$C46,헤몬팜일일!AH$142:AH$240)</f>
        <v>#REF!</v>
      </c>
      <c r="AB46" s="31" t="e">
        <f>SUMIF(헤몬팜일일!$C$142:$C$240,$C46,헤몬팜일일!AJ$142:AJ$240)</f>
        <v>#REF!</v>
      </c>
      <c r="AC46" s="31" t="e">
        <f>SUMIF(헤몬팜일일!$C$142:$C$240,$C46,헤몬팜일일!AK$142:AK$240)</f>
        <v>#REF!</v>
      </c>
      <c r="AD46" s="31" t="e">
        <f>SUMIF(헤몬팜일일!$C$1:$C$140,$C46,헤몬팜일일!AK$1:AK$140)</f>
        <v>#REF!</v>
      </c>
      <c r="AE46" s="31">
        <f>SUMIF(헤몬팜일일!$C$1:$C$140,$C46,헤몬팜일일!AL$1:AL$140)</f>
        <v>1134</v>
      </c>
      <c r="AF46" s="26"/>
      <c r="AG46" s="26"/>
      <c r="AH46" s="26"/>
      <c r="AI46" s="26"/>
      <c r="AJ46" s="26"/>
      <c r="AK46" s="26"/>
      <c r="AL46" s="26"/>
      <c r="AM46" s="26"/>
      <c r="AN46" s="26"/>
      <c r="AO46" s="26"/>
      <c r="AP46" s="27"/>
      <c r="AQ46" s="27"/>
      <c r="AR46" s="27"/>
      <c r="AS46" s="27"/>
      <c r="AT46" s="27"/>
      <c r="AU46" s="27"/>
      <c r="AV46" s="26"/>
      <c r="AW46" s="26"/>
    </row>
    <row r="47" spans="1:49" ht="28.5" customHeight="1">
      <c r="A47" s="26"/>
      <c r="B47" s="158"/>
      <c r="C47" s="42" t="s">
        <v>32</v>
      </c>
      <c r="D47" s="28" t="e">
        <f t="shared" si="21"/>
        <v>#REF!</v>
      </c>
      <c r="E47" s="29" t="e">
        <f t="shared" si="22"/>
        <v>#REF!</v>
      </c>
      <c r="F47" s="29" t="e">
        <f t="shared" si="23"/>
        <v>#DIV/0!</v>
      </c>
      <c r="G47" s="30" t="e">
        <f t="shared" si="24"/>
        <v>#DIV/0!</v>
      </c>
      <c r="H47" s="31">
        <f>SUMIF(헤몬팜일일!$C$142:$C$240,$C47,헤몬팜일일!O$142:O$240)</f>
        <v>0</v>
      </c>
      <c r="I47" s="138">
        <f t="shared" si="25"/>
        <v>0</v>
      </c>
      <c r="J47" s="31">
        <f>SUMIF(헤몬팜일일!$C$142:$C$240,$C47,헤몬팜일일!P$142:P$240)</f>
        <v>0</v>
      </c>
      <c r="K47" s="31">
        <f>SUMIF(헤몬팜일일!$C$142:$C$240,$C47,헤몬팜일일!Q$142:Q$240)</f>
        <v>0</v>
      </c>
      <c r="L47" s="31">
        <f>SUMIF(헤몬팜일일!$C$142:$C$240,$C47,헤몬팜일일!S$142:S$240)</f>
        <v>0</v>
      </c>
      <c r="M47" s="31">
        <f>SUMIF(헤몬팜일일!$C$142:$C$240,$C47,헤몬팜일일!T$142:T$240)</f>
        <v>0</v>
      </c>
      <c r="N47" s="31">
        <f>SUMIF(헤몬팜일일!$C$142:$C$240,$C47,헤몬팜일일!U$142:U$240)</f>
        <v>0</v>
      </c>
      <c r="O47" s="31">
        <f>SUMIF(헤몬팜일일!$C$142:$C$240,$C47,헤몬팜일일!V$142:V$240)</f>
        <v>0</v>
      </c>
      <c r="P47" s="34" t="e">
        <f t="shared" si="26"/>
        <v>#DIV/0!</v>
      </c>
      <c r="Q47" s="34" t="e">
        <f t="shared" si="27"/>
        <v>#REF!</v>
      </c>
      <c r="R47" s="31" t="e">
        <f>SUMIF(헤몬팜일일!$C$142:$C$240,$C47,헤몬팜일일!Y$142:Y$240)</f>
        <v>#REF!</v>
      </c>
      <c r="S47" s="31">
        <f>SUMIF(헤몬팜일일!$C$142:$C$240,$C47,헤몬팜일일!Z$142:Z$240)</f>
        <v>123216.50000000003</v>
      </c>
      <c r="T47" s="31">
        <f>SUMIF(헤몬팜일일!$C$142:$C$240,$C47,헤몬팜일일!AA$142:AA$240)</f>
        <v>112015</v>
      </c>
      <c r="U47" s="31">
        <f>SUMIF(헤몬팜일일!$C$142:$C$240,$C47,헤몬팜일일!AB$142:AB$240)</f>
        <v>0</v>
      </c>
      <c r="V47" s="31">
        <f>SUMIF(헤몬팜일일!$C$142:$C$240,$C47,헤몬팜일일!AC$142:AC$240)</f>
        <v>0</v>
      </c>
      <c r="W47" s="152">
        <v>0.1</v>
      </c>
      <c r="X47" s="31">
        <f>SUMIF(헤몬팜일일!$C$142:$C$240,$C47,헤몬팜일일!AE$142:AE$240)</f>
        <v>0</v>
      </c>
      <c r="Y47" s="28" t="e">
        <f t="shared" si="28"/>
        <v>#DIV/0!</v>
      </c>
      <c r="Z47" s="31">
        <f>SUMIF(헤몬팜일일!$C$142:$C$240,$C47,헤몬팜일일!AG$142:AG$240)</f>
        <v>6.0000000001309672E-2</v>
      </c>
      <c r="AA47" s="31" t="e">
        <f>SUMIF(헤몬팜일일!$C$142:$C$240,$C47,헤몬팜일일!AH$142:AH$240)</f>
        <v>#REF!</v>
      </c>
      <c r="AB47" s="31" t="e">
        <f>SUMIF(헤몬팜일일!$C$142:$C$240,$C47,헤몬팜일일!AJ$142:AJ$240)</f>
        <v>#REF!</v>
      </c>
      <c r="AC47" s="31" t="e">
        <f>SUMIF(헤몬팜일일!$C$142:$C$240,$C47,헤몬팜일일!AK$142:AK$240)</f>
        <v>#REF!</v>
      </c>
      <c r="AD47" s="31" t="e">
        <f>SUMIF(헤몬팜일일!$C$1:$C$140,$C47,헤몬팜일일!AK$1:AK$140)</f>
        <v>#REF!</v>
      </c>
      <c r="AE47" s="31">
        <f>SUMIF(헤몬팜일일!$C$1:$C$140,$C47,헤몬팜일일!AL$1:AL$140)</f>
        <v>2600.64</v>
      </c>
      <c r="AF47" s="26"/>
      <c r="AG47" s="26"/>
      <c r="AH47" s="26"/>
      <c r="AI47" s="26"/>
      <c r="AJ47" s="26"/>
      <c r="AK47" s="26"/>
      <c r="AL47" s="26"/>
      <c r="AM47" s="26"/>
      <c r="AN47" s="26"/>
      <c r="AO47" s="26"/>
      <c r="AP47" s="27"/>
      <c r="AQ47" s="27"/>
      <c r="AR47" s="27"/>
      <c r="AS47" s="27"/>
      <c r="AT47" s="27"/>
      <c r="AU47" s="27"/>
      <c r="AV47" s="26"/>
      <c r="AW47" s="26"/>
    </row>
    <row r="48" spans="1:49" ht="28.5" customHeight="1">
      <c r="A48" s="26"/>
      <c r="B48" s="158"/>
      <c r="C48" s="42" t="s">
        <v>33</v>
      </c>
      <c r="D48" s="28" t="e">
        <f t="shared" si="21"/>
        <v>#REF!</v>
      </c>
      <c r="E48" s="29" t="e">
        <f t="shared" si="22"/>
        <v>#REF!</v>
      </c>
      <c r="F48" s="29">
        <f t="shared" si="23"/>
        <v>0.62449285054616099</v>
      </c>
      <c r="G48" s="30" t="e">
        <f t="shared" si="24"/>
        <v>#DIV/0!</v>
      </c>
      <c r="H48" s="31">
        <f>SUMIF(헤몬팜일일!$C$142:$C$240,$C48,헤몬팜일일!O$142:O$240)</f>
        <v>9</v>
      </c>
      <c r="I48" s="138">
        <f t="shared" si="25"/>
        <v>1.2857142857142858</v>
      </c>
      <c r="J48" s="31">
        <f>SUMIF(헤몬팜일일!$C$142:$C$240,$C48,헤몬팜일일!P$142:P$240)</f>
        <v>9</v>
      </c>
      <c r="K48" s="31">
        <f>SUMIF(헤몬팜일일!$C$142:$C$240,$C48,헤몬팜일일!Q$142:Q$240)</f>
        <v>3</v>
      </c>
      <c r="L48" s="31">
        <f>SUMIF(헤몬팜일일!$C$142:$C$240,$C48,헤몬팜일일!S$142:S$240)</f>
        <v>0</v>
      </c>
      <c r="M48" s="31">
        <f>SUMIF(헤몬팜일일!$C$142:$C$240,$C48,헤몬팜일일!T$142:T$240)</f>
        <v>628020</v>
      </c>
      <c r="N48" s="31">
        <f>SUMIF(헤몬팜일일!$C$142:$C$240,$C48,헤몬팜일일!U$142:U$240)</f>
        <v>0</v>
      </c>
      <c r="O48" s="31">
        <f>SUMIF(헤몬팜일일!$C$142:$C$240,$C48,헤몬팜일일!V$142:V$240)</f>
        <v>628020</v>
      </c>
      <c r="P48" s="34">
        <f t="shared" si="26"/>
        <v>69780</v>
      </c>
      <c r="Q48" s="34" t="e">
        <f t="shared" si="27"/>
        <v>#REF!</v>
      </c>
      <c r="R48" s="31" t="e">
        <f>SUMIF(헤몬팜일일!$C$142:$C$240,$C48,헤몬팜일일!Y$142:Y$240)</f>
        <v>#REF!</v>
      </c>
      <c r="S48" s="31">
        <f>SUMIF(헤몬팜일일!$C$142:$C$240,$C48,헤몬팜일일!Z$142:Z$240)</f>
        <v>392194.00000000006</v>
      </c>
      <c r="T48" s="31">
        <f>SUMIF(헤몬팜일일!$C$142:$C$240,$C48,헤몬팜일일!AA$142:AA$240)</f>
        <v>356540</v>
      </c>
      <c r="U48" s="31">
        <f>SUMIF(헤몬팜일일!$C$142:$C$240,$C48,헤몬팜일일!AB$142:AB$240)</f>
        <v>0</v>
      </c>
      <c r="V48" s="31">
        <f>SUMIF(헤몬팜일일!$C$142:$C$240,$C48,헤몬팜일일!AC$142:AC$240)</f>
        <v>6930</v>
      </c>
      <c r="W48" s="152">
        <v>0.1</v>
      </c>
      <c r="X48" s="31">
        <f>SUMIF(헤몬팜일일!$C$142:$C$240,$C48,헤몬팜일일!AE$142:AE$240)</f>
        <v>43425</v>
      </c>
      <c r="Y48" s="28">
        <f t="shared" si="28"/>
        <v>0.16914588707366007</v>
      </c>
      <c r="Z48" s="31">
        <f>SUMIF(헤몬팜일일!$C$142:$C$240,$C48,헤몬팜일일!AG$142:AG$240)</f>
        <v>111251.24999999999</v>
      </c>
      <c r="AA48" s="31" t="e">
        <f>SUMIF(헤몬팜일일!$C$142:$C$240,$C48,헤몬팜일일!AH$142:AH$240)</f>
        <v>#REF!</v>
      </c>
      <c r="AB48" s="31" t="e">
        <f>SUMIF(헤몬팜일일!$C$142:$C$240,$C48,헤몬팜일일!AJ$142:AJ$240)</f>
        <v>#REF!</v>
      </c>
      <c r="AC48" s="31" t="e">
        <f>SUMIF(헤몬팜일일!$C$142:$C$240,$C48,헤몬팜일일!AK$142:AK$240)</f>
        <v>#REF!</v>
      </c>
      <c r="AD48" s="31" t="e">
        <f>SUMIF(헤몬팜일일!$C$1:$C$140,$C48,헤몬팜일일!AK$1:AK$140)</f>
        <v>#REF!</v>
      </c>
      <c r="AE48" s="31">
        <f>SUMIF(헤몬팜일일!$C$1:$C$140,$C48,헤몬팜일일!AL$1:AL$140)</f>
        <v>2600.64</v>
      </c>
      <c r="AF48" s="26"/>
      <c r="AG48" s="26"/>
      <c r="AH48" s="26"/>
      <c r="AI48" s="26"/>
      <c r="AJ48" s="26"/>
      <c r="AK48" s="26"/>
      <c r="AL48" s="26"/>
      <c r="AM48" s="26"/>
      <c r="AN48" s="26"/>
      <c r="AO48" s="26"/>
      <c r="AP48" s="27"/>
      <c r="AQ48" s="27"/>
      <c r="AR48" s="27"/>
      <c r="AS48" s="27"/>
      <c r="AT48" s="27"/>
      <c r="AU48" s="27"/>
      <c r="AV48" s="26"/>
      <c r="AW48" s="26"/>
    </row>
    <row r="49" spans="1:49" ht="28.5" customHeight="1">
      <c r="A49" s="26"/>
      <c r="B49" s="158"/>
      <c r="C49" s="42" t="s">
        <v>111</v>
      </c>
      <c r="D49" s="28">
        <f t="shared" si="21"/>
        <v>-0.99445322519797696</v>
      </c>
      <c r="E49" s="29">
        <f t="shared" si="22"/>
        <v>0.39080830020361645</v>
      </c>
      <c r="F49" s="29">
        <f t="shared" si="23"/>
        <v>1.3852615254015934</v>
      </c>
      <c r="G49" s="30" t="e">
        <f t="shared" si="24"/>
        <v>#DIV/0!</v>
      </c>
      <c r="H49" s="31">
        <f>SUMIF(헤몬팜일일!$C$142:$C$240,$C49,헤몬팜일일!O$142:O$240)</f>
        <v>39</v>
      </c>
      <c r="I49" s="138">
        <f t="shared" si="25"/>
        <v>5.5714285714285712</v>
      </c>
      <c r="J49" s="31">
        <f>SUMIF(헤몬팜일일!$C$142:$C$240,$C49,헤몬팜일일!P$142:P$240)</f>
        <v>19</v>
      </c>
      <c r="K49" s="31">
        <f>SUMIF(헤몬팜일일!$C$142:$C$240,$C49,헤몬팜일일!Q$142:Q$240)</f>
        <v>3</v>
      </c>
      <c r="L49" s="31">
        <f>SUMIF(헤몬팜일일!$C$142:$C$240,$C49,헤몬팜일일!S$142:S$240)</f>
        <v>20</v>
      </c>
      <c r="M49" s="31">
        <f>SUMIF(헤몬팜일일!$C$142:$C$240,$C49,헤몬팜일일!T$142:T$240)</f>
        <v>628680</v>
      </c>
      <c r="N49" s="31">
        <f>SUMIF(헤몬팜일일!$C$142:$C$240,$C49,헤몬팜일일!U$142:U$240)</f>
        <v>322400</v>
      </c>
      <c r="O49" s="31">
        <f>SUMIF(헤몬팜일일!$C$142:$C$240,$C49,헤몬팜일일!V$142:V$240)</f>
        <v>306280</v>
      </c>
      <c r="P49" s="34">
        <f t="shared" si="26"/>
        <v>16120</v>
      </c>
      <c r="Q49" s="34">
        <f t="shared" si="27"/>
        <v>5126.3244999999997</v>
      </c>
      <c r="R49" s="31">
        <f>SUMIF(헤몬팜일일!$C$142:$C$240,$C49,헤몬팜일일!Y$142:Y$240)</f>
        <v>97400.165500000003</v>
      </c>
      <c r="S49" s="31">
        <f>SUMIF(헤몬팜일일!$C$142:$C$240,$C49,헤몬팜일일!Z$142:Z$240)</f>
        <v>226928.90000000002</v>
      </c>
      <c r="T49" s="31">
        <f>SUMIF(헤몬팜일일!$C$142:$C$240,$C49,헤몬팜일일!AA$142:AA$240)</f>
        <v>206299</v>
      </c>
      <c r="U49" s="31">
        <f>SUMIF(헤몬팜일일!$C$142:$C$240,$C49,헤몬팜일일!AB$142:AB$240)</f>
        <v>197349</v>
      </c>
      <c r="V49" s="31">
        <f>SUMIF(헤몬팜일일!$C$142:$C$240,$C49,헤몬팜일일!AC$142:AC$240)</f>
        <v>6930</v>
      </c>
      <c r="W49" s="152">
        <v>0.1</v>
      </c>
      <c r="X49" s="31">
        <f>SUMIF(헤몬팜일일!$C$142:$C$240,$C49,헤몬팜일일!AE$142:AE$240)</f>
        <v>55100</v>
      </c>
      <c r="Y49" s="28">
        <f t="shared" si="28"/>
        <v>0.27990074441687346</v>
      </c>
      <c r="Z49" s="31">
        <f>SUMIF(헤몬팜일일!$C$142:$C$240,$C49,헤몬팜일일!AG$142:AG$240)</f>
        <v>78989.989999999991</v>
      </c>
      <c r="AA49" s="31">
        <f>SUMIF(헤몬팜일일!$C$142:$C$240,$C49,헤몬팜일일!AH$142:AH$240)</f>
        <v>10193.078313636361</v>
      </c>
      <c r="AB49" s="31">
        <f>SUMIF(헤몬팜일일!$C$142:$C$240,$C49,헤몬팜일일!AJ$142:AJ$240)</f>
        <v>119696.76618636365</v>
      </c>
      <c r="AC49" s="31">
        <f>SUMIF(헤몬팜일일!$C$142:$C$240,$C49,헤몬팜일일!AK$142:AK$240)</f>
        <v>-304581.13381363638</v>
      </c>
      <c r="AD49" s="31">
        <f>SUMIF(헤몬팜일일!$C$1:$C$140,$C49,헤몬팜일일!AK$1:AK$140)</f>
        <v>-397373.56579999998</v>
      </c>
      <c r="AE49" s="31">
        <f>SUMIF(헤몬팜일일!$C$1:$C$140,$C49,헤몬팜일일!AL$1:AL$140)</f>
        <v>42.525000000000006</v>
      </c>
      <c r="AF49" s="26"/>
      <c r="AG49" s="26"/>
      <c r="AH49" s="26"/>
      <c r="AI49" s="26"/>
      <c r="AJ49" s="26"/>
      <c r="AK49" s="26"/>
      <c r="AL49" s="26"/>
      <c r="AM49" s="26"/>
      <c r="AN49" s="26"/>
      <c r="AO49" s="26"/>
      <c r="AP49" s="27"/>
      <c r="AQ49" s="27"/>
      <c r="AR49" s="27"/>
      <c r="AS49" s="27"/>
      <c r="AT49" s="27"/>
      <c r="AU49" s="27"/>
      <c r="AV49" s="26"/>
      <c r="AW49" s="26"/>
    </row>
    <row r="50" spans="1:49" ht="28.5" customHeight="1">
      <c r="A50" s="26"/>
      <c r="B50" s="158"/>
      <c r="C50" s="42" t="s">
        <v>112</v>
      </c>
      <c r="D50" s="28" t="e">
        <f t="shared" si="21"/>
        <v>#REF!</v>
      </c>
      <c r="E50" s="29" t="e">
        <f t="shared" si="22"/>
        <v>#REF!</v>
      </c>
      <c r="F50" s="29">
        <f t="shared" si="23"/>
        <v>0.34080909175507174</v>
      </c>
      <c r="G50" s="30" t="e">
        <f t="shared" si="24"/>
        <v>#DIV/0!</v>
      </c>
      <c r="H50" s="31">
        <f>SUMIF(헤몬팜일일!$C$142:$C$240,$C50,헤몬팜일일!O$142:O$240)</f>
        <v>54</v>
      </c>
      <c r="I50" s="138">
        <f t="shared" si="25"/>
        <v>7.7142857142857144</v>
      </c>
      <c r="J50" s="31">
        <f>SUMIF(헤몬팜일일!$C$142:$C$240,$C50,헤몬팜일일!P$142:P$240)</f>
        <v>54</v>
      </c>
      <c r="K50" s="31">
        <f>SUMIF(헤몬팜일일!$C$142:$C$240,$C50,헤몬팜일일!Q$142:Q$240)</f>
        <v>9</v>
      </c>
      <c r="L50" s="31">
        <f>SUMIF(헤몬팜일일!$C$142:$C$240,$C50,헤몬팜일일!S$142:S$240)</f>
        <v>0</v>
      </c>
      <c r="M50" s="31">
        <f>SUMIF(헤몬팜일일!$C$142:$C$240,$C50,헤몬팜일일!T$142:T$240)</f>
        <v>2149200</v>
      </c>
      <c r="N50" s="31">
        <f>SUMIF(헤몬팜일일!$C$142:$C$240,$C50,헤몬팜일일!U$142:U$240)</f>
        <v>0</v>
      </c>
      <c r="O50" s="31">
        <f>SUMIF(헤몬팜일일!$C$142:$C$240,$C50,헤몬팜일일!V$142:V$240)</f>
        <v>2149200</v>
      </c>
      <c r="P50" s="34">
        <f t="shared" si="26"/>
        <v>39800</v>
      </c>
      <c r="Q50" s="34" t="e">
        <f t="shared" si="27"/>
        <v>#REF!</v>
      </c>
      <c r="R50" s="31" t="e">
        <f>SUMIF(헤몬팜일일!$C$142:$C$240,$C50,헤몬팜일일!Y$142:Y$240)</f>
        <v>#REF!</v>
      </c>
      <c r="S50" s="31">
        <f>SUMIF(헤몬팜일일!$C$142:$C$240,$C50,헤몬팜일일!Z$142:Z$240)</f>
        <v>732466.90000000014</v>
      </c>
      <c r="T50" s="31">
        <f>SUMIF(헤몬팜일일!$C$142:$C$240,$C50,헤몬팜일일!AA$142:AA$240)</f>
        <v>665879</v>
      </c>
      <c r="U50" s="31">
        <f>SUMIF(헤몬팜일일!$C$142:$C$240,$C50,헤몬팜일일!AB$142:AB$240)</f>
        <v>0</v>
      </c>
      <c r="V50" s="31">
        <f>SUMIF(헤몬팜일일!$C$142:$C$240,$C50,헤몬팜일일!AC$142:AC$240)</f>
        <v>20790</v>
      </c>
      <c r="W50" s="152">
        <v>0.1</v>
      </c>
      <c r="X50" s="31">
        <f>SUMIF(헤몬팜일일!$C$142:$C$240,$C50,헤몬팜일일!AE$142:AE$240)</f>
        <v>224100</v>
      </c>
      <c r="Y50" s="28">
        <f t="shared" si="28"/>
        <v>0.20427135678391961</v>
      </c>
      <c r="Z50" s="31">
        <f>SUMIF(헤몬팜일일!$C$142:$C$240,$C50,헤몬팜일일!AG$142:AG$240)</f>
        <v>396036.15</v>
      </c>
      <c r="AA50" s="31" t="e">
        <f>SUMIF(헤몬팜일일!$C$142:$C$240,$C50,헤몬팜일일!AH$142:AH$240)</f>
        <v>#REF!</v>
      </c>
      <c r="AB50" s="31" t="e">
        <f>SUMIF(헤몬팜일일!$C$142:$C$240,$C50,헤몬팜일일!AJ$142:AJ$240)</f>
        <v>#REF!</v>
      </c>
      <c r="AC50" s="31" t="e">
        <f>SUMIF(헤몬팜일일!$C$142:$C$240,$C50,헤몬팜일일!AK$142:AK$240)</f>
        <v>#REF!</v>
      </c>
      <c r="AD50" s="31" t="e">
        <f>SUMIF(헤몬팜일일!$C$1:$C$140,$C50,헤몬팜일일!AK$1:AK$140)</f>
        <v>#REF!</v>
      </c>
      <c r="AE50" s="31">
        <f>SUMIF(헤몬팜일일!$C$1:$C$140,$C50,헤몬팜일일!AL$1:AL$140)</f>
        <v>1234.9259999999997</v>
      </c>
      <c r="AF50" s="26"/>
      <c r="AG50" s="26"/>
      <c r="AH50" s="26"/>
      <c r="AI50" s="26"/>
      <c r="AJ50" s="26"/>
      <c r="AK50" s="26"/>
      <c r="AL50" s="26"/>
      <c r="AM50" s="26"/>
      <c r="AN50" s="26"/>
      <c r="AO50" s="26"/>
      <c r="AP50" s="27"/>
      <c r="AQ50" s="27"/>
      <c r="AR50" s="27"/>
      <c r="AS50" s="27"/>
      <c r="AT50" s="27"/>
      <c r="AU50" s="27"/>
      <c r="AV50" s="26"/>
      <c r="AW50" s="26"/>
    </row>
    <row r="51" spans="1:49" ht="28.5" customHeight="1">
      <c r="A51" s="26"/>
      <c r="B51" s="158"/>
      <c r="C51" s="42" t="s">
        <v>113</v>
      </c>
      <c r="D51" s="28" t="e">
        <f t="shared" si="21"/>
        <v>#REF!</v>
      </c>
      <c r="E51" s="29" t="e">
        <f t="shared" si="22"/>
        <v>#REF!</v>
      </c>
      <c r="F51" s="29">
        <f t="shared" si="23"/>
        <v>0.22839173789173789</v>
      </c>
      <c r="G51" s="30" t="e">
        <f t="shared" si="24"/>
        <v>#DIV/0!</v>
      </c>
      <c r="H51" s="31">
        <f>SUMIF(헤몬팜일일!$C$142:$C$240,$C51,헤몬팜일일!O$142:O$240)</f>
        <v>18</v>
      </c>
      <c r="I51" s="138">
        <f t="shared" si="25"/>
        <v>2.5714285714285716</v>
      </c>
      <c r="J51" s="31">
        <f>SUMIF(헤몬팜일일!$C$142:$C$240,$C51,헤몬팜일일!P$142:P$240)</f>
        <v>18</v>
      </c>
      <c r="K51" s="31">
        <f>SUMIF(헤몬팜일일!$C$142:$C$240,$C51,헤몬팜일일!Q$142:Q$240)</f>
        <v>3</v>
      </c>
      <c r="L51" s="31">
        <f>SUMIF(헤몬팜일일!$C$142:$C$240,$C51,헤몬팜일일!S$142:S$240)</f>
        <v>0</v>
      </c>
      <c r="M51" s="31">
        <f>SUMIF(헤몬팜일일!$C$142:$C$240,$C51,헤몬팜일일!T$142:T$240)</f>
        <v>772200</v>
      </c>
      <c r="N51" s="31">
        <f>SUMIF(헤몬팜일일!$C$142:$C$240,$C51,헤몬팜일일!U$142:U$240)</f>
        <v>0</v>
      </c>
      <c r="O51" s="31">
        <f>SUMIF(헤몬팜일일!$C$142:$C$240,$C51,헤몬팜일일!V$142:V$240)</f>
        <v>772200</v>
      </c>
      <c r="P51" s="34">
        <f t="shared" si="26"/>
        <v>42900</v>
      </c>
      <c r="Q51" s="34" t="e">
        <f t="shared" si="27"/>
        <v>#REF!</v>
      </c>
      <c r="R51" s="31" t="e">
        <f>SUMIF(헤몬팜일일!$C$142:$C$240,$C51,헤몬팜일일!Y$142:Y$240)</f>
        <v>#REF!</v>
      </c>
      <c r="S51" s="31">
        <f>SUMIF(헤몬팜일일!$C$142:$C$240,$C51,헤몬팜일일!Z$142:Z$240)</f>
        <v>176364.1</v>
      </c>
      <c r="T51" s="31">
        <f>SUMIF(헤몬팜일일!$C$142:$C$240,$C51,헤몬팜일일!AA$142:AA$240)</f>
        <v>160331</v>
      </c>
      <c r="U51" s="31">
        <f>SUMIF(헤몬팜일일!$C$142:$C$240,$C51,헤몬팜일일!AB$142:AB$240)</f>
        <v>0</v>
      </c>
      <c r="V51" s="31">
        <f>SUMIF(헤몬팜일일!$C$142:$C$240,$C51,헤몬팜일일!AC$142:AC$240)</f>
        <v>6930</v>
      </c>
      <c r="W51" s="152">
        <v>0.1</v>
      </c>
      <c r="X51" s="31">
        <f>SUMIF(헤몬팜일일!$C$142:$C$240,$C51,헤몬팜일일!AE$142:AE$240)</f>
        <v>34200</v>
      </c>
      <c r="Y51" s="28">
        <f t="shared" si="28"/>
        <v>0.14428904428904429</v>
      </c>
      <c r="Z51" s="31">
        <f>SUMIF(헤몬팜일일!$C$142:$C$240,$C51,헤몬팜일일!AG$142:AG$240)</f>
        <v>94431.75</v>
      </c>
      <c r="AA51" s="31" t="e">
        <f>SUMIF(헤몬팜일일!$C$142:$C$240,$C51,헤몬팜일일!AH$142:AH$240)</f>
        <v>#REF!</v>
      </c>
      <c r="AB51" s="31" t="e">
        <f>SUMIF(헤몬팜일일!$C$142:$C$240,$C51,헤몬팜일일!AJ$142:AJ$240)</f>
        <v>#REF!</v>
      </c>
      <c r="AC51" s="31" t="e">
        <f>SUMIF(헤몬팜일일!$C$142:$C$240,$C51,헤몬팜일일!AK$142:AK$240)</f>
        <v>#REF!</v>
      </c>
      <c r="AD51" s="31" t="e">
        <f>SUMIF(헤몬팜일일!$C$1:$C$140,$C51,헤몬팜일일!AK$1:AK$140)</f>
        <v>#REF!</v>
      </c>
      <c r="AE51" s="31">
        <f>SUMIF(헤몬팜일일!$C$1:$C$140,$C51,헤몬팜일일!AL$1:AL$140)</f>
        <v>1234.9259999999997</v>
      </c>
      <c r="AF51" s="26"/>
      <c r="AG51" s="26"/>
      <c r="AH51" s="26"/>
      <c r="AI51" s="26"/>
      <c r="AJ51" s="26"/>
      <c r="AK51" s="26"/>
      <c r="AL51" s="26"/>
      <c r="AM51" s="26"/>
      <c r="AN51" s="26"/>
      <c r="AO51" s="26"/>
      <c r="AP51" s="27"/>
      <c r="AQ51" s="27"/>
      <c r="AR51" s="27"/>
      <c r="AS51" s="27"/>
      <c r="AT51" s="27"/>
      <c r="AU51" s="27"/>
      <c r="AV51" s="26"/>
      <c r="AW51" s="26"/>
    </row>
    <row r="52" spans="1:49" ht="28.5" customHeight="1">
      <c r="A52" s="26"/>
      <c r="B52" s="158"/>
      <c r="C52" s="42" t="s">
        <v>114</v>
      </c>
      <c r="D52" s="28">
        <f t="shared" si="21"/>
        <v>0.30837635750099696</v>
      </c>
      <c r="E52" s="29">
        <f t="shared" si="22"/>
        <v>0.36298888491327758</v>
      </c>
      <c r="F52" s="29">
        <f t="shared" si="23"/>
        <v>5.4612527412280697E-2</v>
      </c>
      <c r="G52" s="30" t="e">
        <f t="shared" si="24"/>
        <v>#DIV/0!</v>
      </c>
      <c r="H52" s="31">
        <f>SUMIF(헤몬팜일일!$C$142:$C$240,$C52,헤몬팜일일!O$142:O$240)</f>
        <v>114</v>
      </c>
      <c r="I52" s="138">
        <f t="shared" si="25"/>
        <v>16.285714285714285</v>
      </c>
      <c r="J52" s="31">
        <f>SUMIF(헤몬팜일일!$C$142:$C$240,$C52,헤몬팜일일!P$142:P$240)</f>
        <v>114</v>
      </c>
      <c r="K52" s="31">
        <f>SUMIF(헤몬팜일일!$C$142:$C$240,$C52,헤몬팜일일!Q$142:Q$240)</f>
        <v>11</v>
      </c>
      <c r="L52" s="31">
        <f>SUMIF(헤몬팜일일!$C$142:$C$240,$C52,헤몬팜일일!S$142:S$240)</f>
        <v>0</v>
      </c>
      <c r="M52" s="31">
        <f>SUMIF(헤몬팜일일!$C$142:$C$240,$C52,헤몬팜일일!T$142:T$240)</f>
        <v>2188800</v>
      </c>
      <c r="N52" s="31">
        <f>SUMIF(헤몬팜일일!$C$142:$C$240,$C52,헤몬팜일일!U$142:U$240)</f>
        <v>0</v>
      </c>
      <c r="O52" s="31">
        <f>SUMIF(헤몬팜일일!$C$142:$C$240,$C52,헤몬팜일일!V$142:V$240)</f>
        <v>2188800</v>
      </c>
      <c r="P52" s="34">
        <f t="shared" si="26"/>
        <v>19200</v>
      </c>
      <c r="Q52" s="34">
        <f t="shared" si="27"/>
        <v>6771.435199999999</v>
      </c>
      <c r="R52" s="31">
        <f>SUMIF(헤몬팜일일!$C$142:$C$240,$C52,헤몬팜일일!Y$142:Y$240)</f>
        <v>771943.61279999989</v>
      </c>
      <c r="S52" s="31">
        <f>SUMIF(헤몬팜일일!$C$142:$C$240,$C52,헤몬팜일일!Z$142:Z$240)</f>
        <v>119535.9</v>
      </c>
      <c r="T52" s="31">
        <f>SUMIF(헤몬팜일일!$C$142:$C$240,$C52,헤몬팜일일!AA$142:AA$240)</f>
        <v>108669</v>
      </c>
      <c r="U52" s="31">
        <f>SUMIF(헤몬팜일일!$C$142:$C$240,$C52,헤몬팜일일!AB$142:AB$240)</f>
        <v>0</v>
      </c>
      <c r="V52" s="31">
        <f>SUMIF(헤몬팜일일!$C$142:$C$240,$C52,헤몬팜일일!AC$142:AC$240)</f>
        <v>25410</v>
      </c>
      <c r="W52" s="152">
        <v>0.1</v>
      </c>
      <c r="X52" s="31">
        <f>SUMIF(헤몬팜일일!$C$142:$C$240,$C52,헤몬팜일일!AE$142:AE$240)</f>
        <v>381900</v>
      </c>
      <c r="Y52" s="28">
        <f t="shared" si="28"/>
        <v>0.27447916666666666</v>
      </c>
      <c r="Z52" s="31">
        <f>SUMIF(헤몬팜일일!$C$142:$C$240,$C52,헤몬팜일일!AG$142:AG$240)</f>
        <v>557004.14999999991</v>
      </c>
      <c r="AA52" s="31">
        <f>SUMIF(헤몬팜일일!$C$142:$C$240,$C52,헤몬팜일일!AH$142:AH$240)</f>
        <v>65342.165901818196</v>
      </c>
      <c r="AB52" s="31">
        <f>SUMIF(헤몬팜일일!$C$142:$C$240,$C52,헤몬팜일일!AJ$142:AJ$240)</f>
        <v>794510.07129818201</v>
      </c>
      <c r="AC52" s="31">
        <f>SUMIF(헤몬팜일일!$C$142:$C$240,$C52,헤몬팜일일!AK$142:AK$240)</f>
        <v>674974.1712981821</v>
      </c>
      <c r="AD52" s="31">
        <f>SUMIF(헤몬팜일일!$C$1:$C$140,$C52,헤몬팜일일!AK$1:AK$140)</f>
        <v>357917.60192363639</v>
      </c>
      <c r="AE52" s="31">
        <f>SUMIF(헤몬팜일일!$C$1:$C$140,$C52,헤몬팜일일!AL$1:AL$140)</f>
        <v>457.38000000000011</v>
      </c>
      <c r="AF52" s="26"/>
      <c r="AG52" s="26"/>
      <c r="AH52" s="26"/>
      <c r="AI52" s="26"/>
      <c r="AJ52" s="26"/>
      <c r="AK52" s="26"/>
      <c r="AL52" s="26"/>
      <c r="AM52" s="26"/>
      <c r="AN52" s="26"/>
      <c r="AO52" s="26"/>
      <c r="AP52" s="27"/>
      <c r="AQ52" s="27"/>
      <c r="AR52" s="27"/>
      <c r="AS52" s="27"/>
      <c r="AT52" s="27"/>
      <c r="AU52" s="27"/>
      <c r="AV52" s="26"/>
      <c r="AW52" s="26"/>
    </row>
    <row r="53" spans="1:49" ht="28.5" customHeight="1">
      <c r="A53" s="26"/>
      <c r="B53" s="158"/>
      <c r="C53" s="42" t="s">
        <v>115</v>
      </c>
      <c r="D53" s="28" t="e">
        <f t="shared" si="21"/>
        <v>#REF!</v>
      </c>
      <c r="E53" s="29" t="e">
        <f t="shared" si="22"/>
        <v>#REF!</v>
      </c>
      <c r="F53" s="29">
        <f t="shared" si="23"/>
        <v>0.287841697080292</v>
      </c>
      <c r="G53" s="30" t="e">
        <f t="shared" si="24"/>
        <v>#DIV/0!</v>
      </c>
      <c r="H53" s="31">
        <f>SUMIF(헤몬팜일일!$C$142:$C$240,$C53,헤몬팜일일!O$142:O$240)</f>
        <v>28</v>
      </c>
      <c r="I53" s="138">
        <f t="shared" si="25"/>
        <v>4</v>
      </c>
      <c r="J53" s="31">
        <f>SUMIF(헤몬팜일일!$C$142:$C$240,$C53,헤몬팜일일!P$142:P$240)</f>
        <v>28</v>
      </c>
      <c r="K53" s="31">
        <f>SUMIF(헤몬팜일일!$C$142:$C$240,$C53,헤몬팜일일!Q$142:Q$240)</f>
        <v>5</v>
      </c>
      <c r="L53" s="31">
        <f>SUMIF(헤몬팜일일!$C$142:$C$240,$C53,헤몬팜일일!S$142:S$240)</f>
        <v>0</v>
      </c>
      <c r="M53" s="31">
        <f>SUMIF(헤몬팜일일!$C$142:$C$240,$C53,헤몬팜일일!T$142:T$240)</f>
        <v>1534400</v>
      </c>
      <c r="N53" s="31">
        <f>SUMIF(헤몬팜일일!$C$142:$C$240,$C53,헤몬팜일일!U$142:U$240)</f>
        <v>0</v>
      </c>
      <c r="O53" s="31">
        <f>SUMIF(헤몬팜일일!$C$142:$C$240,$C53,헤몬팜일일!V$142:V$240)</f>
        <v>1534400</v>
      </c>
      <c r="P53" s="34">
        <f t="shared" si="26"/>
        <v>54800</v>
      </c>
      <c r="Q53" s="34" t="e">
        <f t="shared" si="27"/>
        <v>#REF!</v>
      </c>
      <c r="R53" s="31" t="e">
        <f>SUMIF(헤몬팜일일!$C$142:$C$240,$C53,헤몬팜일일!Y$142:Y$240)</f>
        <v>#REF!</v>
      </c>
      <c r="S53" s="31">
        <f>SUMIF(헤몬팜일일!$C$142:$C$240,$C53,헤몬팜일일!Z$142:Z$240)</f>
        <v>441664.30000000005</v>
      </c>
      <c r="T53" s="31">
        <f>SUMIF(헤몬팜일일!$C$142:$C$240,$C53,헤몬팜일일!AA$142:AA$240)</f>
        <v>401513</v>
      </c>
      <c r="U53" s="31">
        <f>SUMIF(헤몬팜일일!$C$142:$C$240,$C53,헤몬팜일일!AB$142:AB$240)</f>
        <v>0</v>
      </c>
      <c r="V53" s="31">
        <f>SUMIF(헤몬팜일일!$C$142:$C$240,$C53,헤몬팜일일!AC$142:AC$240)</f>
        <v>11550</v>
      </c>
      <c r="W53" s="152">
        <v>0.1</v>
      </c>
      <c r="X53" s="31">
        <f>SUMIF(헤몬팜일일!$C$142:$C$240,$C53,헤몬팜일일!AE$142:AE$240)</f>
        <v>135100</v>
      </c>
      <c r="Y53" s="28">
        <f t="shared" si="28"/>
        <v>0.18804744525547445</v>
      </c>
      <c r="Z53" s="31">
        <f>SUMIF(헤몬팜일일!$C$142:$C$240,$C53,헤몬팜일일!AG$142:AG$240)</f>
        <v>254783.34999999998</v>
      </c>
      <c r="AA53" s="31" t="e">
        <f>SUMIF(헤몬팜일일!$C$142:$C$240,$C53,헤몬팜일일!AH$142:AH$240)</f>
        <v>#REF!</v>
      </c>
      <c r="AB53" s="31" t="e">
        <f>SUMIF(헤몬팜일일!$C$142:$C$240,$C53,헤몬팜일일!AJ$142:AJ$240)</f>
        <v>#REF!</v>
      </c>
      <c r="AC53" s="31" t="e">
        <f>SUMIF(헤몬팜일일!$C$142:$C$240,$C53,헤몬팜일일!AK$142:AK$240)</f>
        <v>#REF!</v>
      </c>
      <c r="AD53" s="31" t="e">
        <f>SUMIF(헤몬팜일일!$C$1:$C$140,$C53,헤몬팜일일!AK$1:AK$140)</f>
        <v>#REF!</v>
      </c>
      <c r="AE53" s="31">
        <f>SUMIF(헤몬팜일일!$C$1:$C$140,$C53,헤몬팜일일!AL$1:AL$140)</f>
        <v>1270.0800000000002</v>
      </c>
      <c r="AF53" s="26"/>
      <c r="AG53" s="26"/>
      <c r="AH53" s="26"/>
      <c r="AI53" s="26"/>
      <c r="AJ53" s="26"/>
      <c r="AK53" s="26"/>
      <c r="AL53" s="26"/>
      <c r="AM53" s="26"/>
      <c r="AN53" s="26"/>
      <c r="AO53" s="26"/>
      <c r="AP53" s="27"/>
      <c r="AQ53" s="27"/>
      <c r="AR53" s="27"/>
      <c r="AS53" s="27"/>
      <c r="AT53" s="27"/>
      <c r="AU53" s="27"/>
      <c r="AV53" s="26"/>
      <c r="AW53" s="26"/>
    </row>
    <row r="54" spans="1:49" ht="28.5" customHeight="1">
      <c r="A54" s="26"/>
      <c r="B54" s="158"/>
      <c r="C54" s="42" t="s">
        <v>116</v>
      </c>
      <c r="D54" s="28" t="e">
        <f t="shared" si="21"/>
        <v>#REF!</v>
      </c>
      <c r="E54" s="29" t="e">
        <f t="shared" si="22"/>
        <v>#REF!</v>
      </c>
      <c r="F54" s="29">
        <f t="shared" si="23"/>
        <v>0.21204756771324618</v>
      </c>
      <c r="G54" s="30" t="e">
        <f t="shared" si="24"/>
        <v>#DIV/0!</v>
      </c>
      <c r="H54" s="31">
        <f>SUMIF(헤몬팜일일!$C$142:$C$240,$C54,헤몬팜일일!O$142:O$240)</f>
        <v>41</v>
      </c>
      <c r="I54" s="138">
        <f t="shared" si="25"/>
        <v>5.8571428571428568</v>
      </c>
      <c r="J54" s="31">
        <f>SUMIF(헤몬팜일일!$C$142:$C$240,$C54,헤몬팜일일!P$142:P$240)</f>
        <v>41</v>
      </c>
      <c r="K54" s="31">
        <f>SUMIF(헤몬팜일일!$C$142:$C$240,$C54,헤몬팜일일!Q$142:Q$240)</f>
        <v>4</v>
      </c>
      <c r="L54" s="31">
        <f>SUMIF(헤몬팜일일!$C$142:$C$240,$C54,헤몬팜일일!S$142:S$240)</f>
        <v>0</v>
      </c>
      <c r="M54" s="31">
        <f>SUMIF(헤몬팜일일!$C$142:$C$240,$C54,헤몬팜일일!T$142:T$240)</f>
        <v>2523140</v>
      </c>
      <c r="N54" s="31">
        <f>SUMIF(헤몬팜일일!$C$142:$C$240,$C54,헤몬팜일일!U$142:U$240)</f>
        <v>0</v>
      </c>
      <c r="O54" s="31">
        <f>SUMIF(헤몬팜일일!$C$142:$C$240,$C54,헤몬팜일일!V$142:V$240)</f>
        <v>2523140</v>
      </c>
      <c r="P54" s="34">
        <f t="shared" si="26"/>
        <v>61540</v>
      </c>
      <c r="Q54" s="34" t="e">
        <f t="shared" si="27"/>
        <v>#REF!</v>
      </c>
      <c r="R54" s="31" t="e">
        <f>SUMIF(헤몬팜일일!$C$142:$C$240,$C54,헤몬팜일일!Y$142:Y$240)</f>
        <v>#REF!</v>
      </c>
      <c r="S54" s="31">
        <f>SUMIF(헤몬팜일일!$C$142:$C$240,$C54,헤몬팜일일!Z$142:Z$240)</f>
        <v>535025.69999999995</v>
      </c>
      <c r="T54" s="31">
        <f>SUMIF(헤몬팜일일!$C$142:$C$240,$C54,헤몬팜일일!AA$142:AA$240)</f>
        <v>486387</v>
      </c>
      <c r="U54" s="31">
        <f>SUMIF(헤몬팜일일!$C$142:$C$240,$C54,헤몬팜일일!AB$142:AB$240)</f>
        <v>0</v>
      </c>
      <c r="V54" s="31">
        <f>SUMIF(헤몬팜일일!$C$142:$C$240,$C54,헤몬팜일일!AC$142:AC$240)</f>
        <v>9240</v>
      </c>
      <c r="W54" s="152">
        <v>0.1</v>
      </c>
      <c r="X54" s="31">
        <f>SUMIF(헤몬팜일일!$C$142:$C$240,$C54,헤몬팜일일!AE$142:AE$240)</f>
        <v>197825</v>
      </c>
      <c r="Y54" s="28">
        <f t="shared" si="28"/>
        <v>0.1784042898927527</v>
      </c>
      <c r="Z54" s="31">
        <f>SUMIF(헤몬팜일일!$C$142:$C$240,$C54,헤몬팜일일!AG$142:AG$240)</f>
        <v>394630.06999999995</v>
      </c>
      <c r="AA54" s="31" t="e">
        <f>SUMIF(헤몬팜일일!$C$142:$C$240,$C54,헤몬팜일일!AH$142:AH$240)</f>
        <v>#REF!</v>
      </c>
      <c r="AB54" s="31" t="e">
        <f>SUMIF(헤몬팜일일!$C$142:$C$240,$C54,헤몬팜일일!AJ$142:AJ$240)</f>
        <v>#REF!</v>
      </c>
      <c r="AC54" s="31" t="e">
        <f>SUMIF(헤몬팜일일!$C$142:$C$240,$C54,헤몬팜일일!AK$142:AK$240)</f>
        <v>#REF!</v>
      </c>
      <c r="AD54" s="31" t="e">
        <f>SUMIF(헤몬팜일일!$C$1:$C$140,$C54,헤몬팜일일!AK$1:AK$140)</f>
        <v>#REF!</v>
      </c>
      <c r="AE54" s="31">
        <f>SUMIF(헤몬팜일일!$C$1:$C$140,$C54,헤몬팜일일!AL$1:AL$140)</f>
        <v>1270.0800000000002</v>
      </c>
      <c r="AF54" s="26"/>
      <c r="AG54" s="26"/>
      <c r="AH54" s="26"/>
      <c r="AI54" s="26"/>
      <c r="AJ54" s="26"/>
      <c r="AK54" s="26"/>
      <c r="AL54" s="26"/>
      <c r="AM54" s="26"/>
      <c r="AN54" s="26"/>
      <c r="AO54" s="26"/>
      <c r="AP54" s="27"/>
      <c r="AQ54" s="27"/>
      <c r="AR54" s="27"/>
      <c r="AS54" s="27"/>
      <c r="AT54" s="27"/>
      <c r="AU54" s="27"/>
      <c r="AV54" s="26"/>
      <c r="AW54" s="26"/>
    </row>
    <row r="55" spans="1:49" ht="28.5" customHeight="1">
      <c r="A55" s="26"/>
      <c r="B55" s="158"/>
      <c r="C55" s="42" t="s">
        <v>117</v>
      </c>
      <c r="D55" s="28">
        <f t="shared" si="21"/>
        <v>0.34798416534716536</v>
      </c>
      <c r="E55" s="29">
        <f t="shared" si="22"/>
        <v>0.49826627781677785</v>
      </c>
      <c r="F55" s="29">
        <f t="shared" si="23"/>
        <v>0.15028211246961248</v>
      </c>
      <c r="G55" s="30" t="e">
        <f t="shared" si="24"/>
        <v>#DIV/0!</v>
      </c>
      <c r="H55" s="31">
        <f>SUMIF(헤몬팜일일!$C$142:$C$240,$C55,헤몬팜일일!O$142:O$240)</f>
        <v>126</v>
      </c>
      <c r="I55" s="138">
        <f t="shared" si="25"/>
        <v>18</v>
      </c>
      <c r="J55" s="31">
        <f>SUMIF(헤몬팜일일!$C$142:$C$240,$C55,헤몬팜일일!P$142:P$240)</f>
        <v>126</v>
      </c>
      <c r="K55" s="31">
        <f>SUMIF(헤몬팜일일!$C$142:$C$240,$C55,헤몬팜일일!Q$142:Q$240)</f>
        <v>16</v>
      </c>
      <c r="L55" s="31">
        <f>SUMIF(헤몬팜일일!$C$142:$C$240,$C55,헤몬팜일일!S$142:S$240)</f>
        <v>0</v>
      </c>
      <c r="M55" s="31">
        <f>SUMIF(헤몬팜일일!$C$142:$C$240,$C55,헤몬팜일일!T$142:T$240)</f>
        <v>2237760</v>
      </c>
      <c r="N55" s="31">
        <f>SUMIF(헤몬팜일일!$C$142:$C$240,$C55,헤몬팜일일!U$142:U$240)</f>
        <v>0</v>
      </c>
      <c r="O55" s="31">
        <f>SUMIF(헤몬팜일일!$C$142:$C$240,$C55,헤몬팜일일!V$142:V$240)</f>
        <v>2237760</v>
      </c>
      <c r="P55" s="34">
        <f t="shared" si="26"/>
        <v>17760</v>
      </c>
      <c r="Q55" s="34">
        <f t="shared" si="27"/>
        <v>4837.2101999999995</v>
      </c>
      <c r="R55" s="31">
        <f>SUMIF(헤몬팜일일!$C$142:$C$240,$C55,헤몬팜일일!Y$142:Y$240)</f>
        <v>609488.4852</v>
      </c>
      <c r="S55" s="31">
        <f>SUMIF(헤몬팜일일!$C$142:$C$240,$C55,헤몬팜일일!Z$142:Z$240)</f>
        <v>336295.30000000005</v>
      </c>
      <c r="T55" s="31">
        <f>SUMIF(헤몬팜일일!$C$142:$C$240,$C55,헤몬팜일일!AA$142:AA$240)</f>
        <v>305723</v>
      </c>
      <c r="U55" s="31">
        <f>SUMIF(헤몬팜일일!$C$142:$C$240,$C55,헤몬팜일일!AB$142:AB$240)</f>
        <v>0</v>
      </c>
      <c r="V55" s="31">
        <f>SUMIF(헤몬팜일일!$C$142:$C$240,$C55,헤몬팜일일!AC$142:AC$240)</f>
        <v>36960</v>
      </c>
      <c r="W55" s="152">
        <v>0.1</v>
      </c>
      <c r="X55" s="31">
        <f>SUMIF(헤몬팜일일!$C$142:$C$240,$C55,헤몬팜일일!AE$142:AE$240)</f>
        <v>239400</v>
      </c>
      <c r="Y55" s="28">
        <f t="shared" si="28"/>
        <v>0.20698198198198198</v>
      </c>
      <c r="Z55" s="31">
        <f>SUMIF(헤몬팜일일!$C$142:$C$240,$C55,헤몬팜일일!AG$142:AG$240)</f>
        <v>413945.43000000005</v>
      </c>
      <c r="AA55" s="31">
        <f>SUMIF(헤몬팜일일!$C$142:$C$240,$C55,헤몬팜일일!AH$142:AH$240)</f>
        <v>99325.738952727246</v>
      </c>
      <c r="AB55" s="31">
        <f>SUMIF(헤몬팜일일!$C$142:$C$240,$C55,헤몬팜일일!AJ$142:AJ$240)</f>
        <v>1115000.3458472728</v>
      </c>
      <c r="AC55" s="31">
        <f>SUMIF(헤몬팜일일!$C$142:$C$240,$C55,헤몬팜일일!AK$142:AK$240)</f>
        <v>778705.04584727273</v>
      </c>
      <c r="AD55" s="31">
        <f>SUMIF(헤몬팜일일!$C$1:$C$140,$C55,헤몬팜일일!AK$1:AK$140)</f>
        <v>1254401.5322709095</v>
      </c>
      <c r="AE55" s="31">
        <f>SUMIF(헤몬팜일일!$C$1:$C$140,$C55,헤몬팜일일!AL$1:AL$140)</f>
        <v>979.77600000000029</v>
      </c>
      <c r="AF55" s="26"/>
      <c r="AG55" s="26"/>
      <c r="AH55" s="26"/>
      <c r="AI55" s="26"/>
      <c r="AJ55" s="26"/>
      <c r="AK55" s="26"/>
      <c r="AL55" s="26"/>
      <c r="AM55" s="26"/>
      <c r="AN55" s="26"/>
      <c r="AO55" s="26"/>
      <c r="AP55" s="27"/>
      <c r="AQ55" s="27"/>
      <c r="AR55" s="27"/>
      <c r="AS55" s="27"/>
      <c r="AT55" s="27"/>
      <c r="AU55" s="27"/>
      <c r="AV55" s="26"/>
      <c r="AW55" s="26"/>
    </row>
    <row r="56" spans="1:49" ht="28.5" customHeight="1">
      <c r="A56" s="26"/>
      <c r="B56" s="158"/>
      <c r="C56" s="42" t="s">
        <v>31</v>
      </c>
      <c r="D56" s="28">
        <f t="shared" si="21"/>
        <v>-9.1164425019081095E-3</v>
      </c>
      <c r="E56" s="29">
        <f t="shared" si="22"/>
        <v>0.39226507037319741</v>
      </c>
      <c r="F56" s="29">
        <f t="shared" si="23"/>
        <v>0.40138151287510543</v>
      </c>
      <c r="G56" s="30" t="e">
        <f t="shared" si="24"/>
        <v>#DIV/0!</v>
      </c>
      <c r="H56" s="31">
        <f>SUMIF(헤몬팜일일!$C$142:$C$240,$C56,헤몬팜일일!O$142:O$240)</f>
        <v>137</v>
      </c>
      <c r="I56" s="138">
        <f>J56/7</f>
        <v>17.428571428571427</v>
      </c>
      <c r="J56" s="31">
        <f>SUMIF(헤몬팜일일!$C$142:$C$240,$C56,헤몬팜일일!P$142:P$240)</f>
        <v>122</v>
      </c>
      <c r="K56" s="31">
        <f>SUMIF(헤몬팜일일!$C$142:$C$240,$C56,헤몬팜일일!Q$142:Q$240)</f>
        <v>15</v>
      </c>
      <c r="L56" s="31">
        <f>SUMIF(헤몬팜일일!$C$142:$C$240,$C56,헤몬팜일일!S$142:S$240)</f>
        <v>15</v>
      </c>
      <c r="M56" s="31">
        <f>SUMIF(헤몬팜일일!$C$142:$C$240,$C56,헤몬팜일일!T$142:T$240)</f>
        <v>2786300</v>
      </c>
      <c r="N56" s="31">
        <f>SUMIF(헤몬팜일일!$C$142:$C$240,$C56,헤몬팜일일!U$142:U$240)</f>
        <v>297000</v>
      </c>
      <c r="O56" s="31">
        <f>SUMIF(헤몬팜일일!$C$142:$C$240,$C56,헤몬팜일일!V$142:V$240)</f>
        <v>2489300</v>
      </c>
      <c r="P56" s="34">
        <f t="shared" si="26"/>
        <v>20404.098360655738</v>
      </c>
      <c r="Q56" s="34">
        <f t="shared" si="27"/>
        <v>6685.6073999999999</v>
      </c>
      <c r="R56" s="31">
        <f>SUMIF(헤몬팜일일!$C$142:$C$240,$C56,헤몬팜일일!Y$142:Y$240)</f>
        <v>815644.10279999999</v>
      </c>
      <c r="S56" s="31">
        <f>SUMIF(헤몬팜일일!$C$142:$C$240,$C56,헤몬팜일일!Z$142:Z$240)</f>
        <v>758015.5</v>
      </c>
      <c r="T56" s="31">
        <f>SUMIF(헤몬팜일일!$C$142:$C$240,$C56,헤몬팜일일!AA$142:AA$240)</f>
        <v>689105</v>
      </c>
      <c r="U56" s="31">
        <f>SUMIF(헤몬팜일일!$C$142:$C$240,$C56,헤몬팜일일!AB$142:AB$240)</f>
        <v>241143.5</v>
      </c>
      <c r="V56" s="31">
        <f>SUMIF(헤몬팜일일!$C$142:$C$240,$C56,헤몬팜일일!AC$142:AC$240)</f>
        <v>34650</v>
      </c>
      <c r="W56" s="152">
        <v>0.1</v>
      </c>
      <c r="X56" s="31">
        <f>SUMIF(헤몬팜일일!$C$142:$C$240,$C56,헤몬팜일일!AE$142:AE$240)</f>
        <v>414800</v>
      </c>
      <c r="Y56" s="28">
        <f t="shared" si="28"/>
        <v>0.26663319005342867</v>
      </c>
      <c r="Z56" s="31">
        <f>SUMIF(헤몬팜일일!$C$142:$C$240,$C56,헤몬팜일일!AG$142:AG$240)</f>
        <v>613944.14999999991</v>
      </c>
      <c r="AA56" s="31">
        <f>SUMIF(헤몬팜일일!$C$142:$C$240,$C56,헤몬팜일일!AH$142:AH$240)</f>
        <v>83246.307520000002</v>
      </c>
      <c r="AB56" s="31">
        <f>SUMIF(헤몬팜일일!$C$142:$C$240,$C56,헤몬팜일일!AJ$142:AJ$240)</f>
        <v>976465.4396800003</v>
      </c>
      <c r="AC56" s="31">
        <f>SUMIF(헤몬팜일일!$C$142:$C$240,$C56,헤몬팜일일!AK$142:AK$240)</f>
        <v>-22693.560319999859</v>
      </c>
      <c r="AD56" s="31">
        <f>SUMIF(헤몬팜일일!$C$1:$C$140,$C56,헤몬팜일일!AK$1:AK$140)</f>
        <v>-73645.189019999962</v>
      </c>
      <c r="AE56" s="31">
        <f>SUMIF(헤몬팜일일!$C$1:$C$140,$C56,헤몬팜일일!AL$1:AL$140)</f>
        <v>54.431999999999988</v>
      </c>
      <c r="AF56" s="26"/>
      <c r="AG56" s="26"/>
      <c r="AH56" s="26"/>
      <c r="AI56" s="26"/>
      <c r="AJ56" s="26"/>
      <c r="AK56" s="26"/>
      <c r="AL56" s="26"/>
      <c r="AM56" s="26"/>
      <c r="AN56" s="26"/>
      <c r="AO56" s="26"/>
      <c r="AP56" s="27"/>
      <c r="AQ56" s="27"/>
      <c r="AR56" s="27"/>
      <c r="AS56" s="27"/>
      <c r="AT56" s="27"/>
      <c r="AU56" s="27"/>
      <c r="AV56" s="26"/>
      <c r="AW56" s="26"/>
    </row>
    <row r="57" spans="1:49" ht="28.5" customHeight="1">
      <c r="A57" s="26"/>
      <c r="B57" s="158"/>
      <c r="C57" s="42" t="s">
        <v>118</v>
      </c>
      <c r="D57" s="28">
        <f t="shared" si="21"/>
        <v>6.0529426130451251E-2</v>
      </c>
      <c r="E57" s="29">
        <f t="shared" si="22"/>
        <v>0.43889193913773533</v>
      </c>
      <c r="F57" s="29">
        <f t="shared" si="23"/>
        <v>0.37836251300728413</v>
      </c>
      <c r="G57" s="30" t="e">
        <f t="shared" si="24"/>
        <v>#DIV/0!</v>
      </c>
      <c r="H57" s="31">
        <f>SUMIF(헤몬팜일일!$C$142:$C$240,$C57,헤몬팜일일!O$142:O$240)</f>
        <v>31</v>
      </c>
      <c r="I57" s="138">
        <f t="shared" ref="I57:I59" si="29">H57/7</f>
        <v>4.4285714285714288</v>
      </c>
      <c r="J57" s="31">
        <f>SUMIF(헤몬팜일일!$C$142:$C$240,$C57,헤몬팜일일!P$142:P$240)</f>
        <v>31</v>
      </c>
      <c r="K57" s="31">
        <f>SUMIF(헤몬팜일일!$C$142:$C$240,$C57,헤몬팜일일!Q$142:Q$240)</f>
        <v>3</v>
      </c>
      <c r="L57" s="31">
        <f>SUMIF(헤몬팜일일!$C$142:$C$240,$C57,헤몬팜일일!S$142:S$240)</f>
        <v>0</v>
      </c>
      <c r="M57" s="31">
        <f>SUMIF(헤몬팜일일!$C$142:$C$240,$C57,헤몬팜일일!T$142:T$240)</f>
        <v>768800</v>
      </c>
      <c r="N57" s="31">
        <f>SUMIF(헤몬팜일일!$C$142:$C$240,$C57,헤몬팜일일!U$142:U$240)</f>
        <v>0</v>
      </c>
      <c r="O57" s="31">
        <f>SUMIF(헤몬팜일일!$C$142:$C$240,$C57,헤몬팜일일!V$142:V$240)</f>
        <v>768800</v>
      </c>
      <c r="P57" s="34">
        <f t="shared" si="26"/>
        <v>24800</v>
      </c>
      <c r="Q57" s="34">
        <f t="shared" si="27"/>
        <v>8579.7089999999989</v>
      </c>
      <c r="R57" s="31">
        <f>SUMIF(헤몬팜일일!$C$142:$C$240,$C57,헤몬팜일일!Y$142:Y$240)</f>
        <v>265970.97899999999</v>
      </c>
      <c r="S57" s="31">
        <f>SUMIF(헤몬팜일일!$C$142:$C$240,$C57,헤몬팜일일!Z$142:Z$240)</f>
        <v>290885.10000000003</v>
      </c>
      <c r="T57" s="31">
        <f>SUMIF(헤몬팜일일!$C$142:$C$240,$C57,헤몬팜일일!AA$142:AA$240)</f>
        <v>264441</v>
      </c>
      <c r="U57" s="31">
        <f>SUMIF(헤몬팜일일!$C$142:$C$240,$C57,헤몬팜일일!AB$142:AB$240)</f>
        <v>0</v>
      </c>
      <c r="V57" s="31">
        <f>SUMIF(헤몬팜일일!$C$142:$C$240,$C57,헤몬팜일일!AC$142:AC$240)</f>
        <v>6930</v>
      </c>
      <c r="W57" s="152">
        <v>0.1</v>
      </c>
      <c r="X57" s="31">
        <f>SUMIF(헤몬팜일일!$C$142:$C$240,$C57,헤몬팜일일!AE$142:AE$240)</f>
        <v>58900</v>
      </c>
      <c r="Y57" s="28">
        <f t="shared" si="28"/>
        <v>0.17661290322580647</v>
      </c>
      <c r="Z57" s="31">
        <f>SUMIF(헤몬팜일일!$C$142:$C$240,$C57,헤몬팜일일!AG$142:AG$240)</f>
        <v>135780.15000000002</v>
      </c>
      <c r="AA57" s="31">
        <f>SUMIF(헤몬팜일일!$C$142:$C$240,$C57,헤몬팜일일!AH$142:AH$240)</f>
        <v>29628.748190909086</v>
      </c>
      <c r="AB57" s="31">
        <f>SUMIF(헤몬팜일일!$C$142:$C$240,$C57,헤몬팜일일!AJ$142:AJ$240)</f>
        <v>337420.12280909094</v>
      </c>
      <c r="AC57" s="31">
        <f>SUMIF(헤몬팜일일!$C$142:$C$240,$C57,헤몬팜일일!AK$142:AK$240)</f>
        <v>46535.022809090922</v>
      </c>
      <c r="AD57" s="31">
        <f>SUMIF(헤몬팜일일!$C$1:$C$140,$C57,헤몬팜일일!AK$1:AK$140)</f>
        <v>104620.80578181818</v>
      </c>
      <c r="AE57" s="31">
        <f>SUMIF(헤몬팜일일!$C$1:$C$140,$C57,헤몬팜일일!AL$1:AL$140)</f>
        <v>196.55999999999995</v>
      </c>
      <c r="AF57" s="26"/>
      <c r="AG57" s="26"/>
      <c r="AH57" s="26"/>
      <c r="AI57" s="26"/>
      <c r="AJ57" s="26"/>
      <c r="AK57" s="26"/>
      <c r="AL57" s="26"/>
      <c r="AM57" s="26"/>
      <c r="AN57" s="26"/>
      <c r="AO57" s="26"/>
      <c r="AP57" s="27"/>
      <c r="AQ57" s="27"/>
      <c r="AR57" s="27"/>
      <c r="AS57" s="27"/>
      <c r="AT57" s="27"/>
      <c r="AU57" s="27"/>
      <c r="AV57" s="26"/>
      <c r="AW57" s="26"/>
    </row>
    <row r="58" spans="1:49" ht="28.5" customHeight="1">
      <c r="A58" s="26"/>
      <c r="B58" s="158"/>
      <c r="C58" s="42" t="s">
        <v>119</v>
      </c>
      <c r="D58" s="28">
        <f t="shared" si="21"/>
        <v>0.25719827588479838</v>
      </c>
      <c r="E58" s="29">
        <f t="shared" si="22"/>
        <v>0.43444844913497155</v>
      </c>
      <c r="F58" s="29">
        <f t="shared" si="23"/>
        <v>0.17725017325017325</v>
      </c>
      <c r="G58" s="30" t="e">
        <f t="shared" si="24"/>
        <v>#DIV/0!</v>
      </c>
      <c r="H58" s="31">
        <f>SUMIF(헤몬팜일일!$C$142:$C$240,$C58,헤몬팜일일!O$142:O$240)</f>
        <v>195</v>
      </c>
      <c r="I58" s="138">
        <f t="shared" si="29"/>
        <v>27.857142857142858</v>
      </c>
      <c r="J58" s="31">
        <f>SUMIF(헤몬팜일일!$C$142:$C$240,$C58,헤몬팜일일!P$142:P$240)</f>
        <v>195</v>
      </c>
      <c r="K58" s="31">
        <f>SUMIF(헤몬팜일일!$C$142:$C$240,$C58,헤몬팜일일!Q$142:Q$240)</f>
        <v>25</v>
      </c>
      <c r="L58" s="31">
        <f>SUMIF(헤몬팜일일!$C$142:$C$240,$C58,헤몬팜일일!S$142:S$240)</f>
        <v>0</v>
      </c>
      <c r="M58" s="31">
        <f>SUMIF(헤몬팜일일!$C$142:$C$240,$C58,헤몬팜일일!T$142:T$240)</f>
        <v>4834050</v>
      </c>
      <c r="N58" s="31">
        <f>SUMIF(헤몬팜일일!$C$142:$C$240,$C58,헤몬팜일일!U$142:U$240)</f>
        <v>0</v>
      </c>
      <c r="O58" s="31">
        <f>SUMIF(헤몬팜일일!$C$142:$C$240,$C58,헤몬팜일일!V$142:V$240)</f>
        <v>4834050</v>
      </c>
      <c r="P58" s="34">
        <f t="shared" si="26"/>
        <v>24790</v>
      </c>
      <c r="Q58" s="34">
        <f t="shared" si="27"/>
        <v>7253.6180999999988</v>
      </c>
      <c r="R58" s="31">
        <f>SUMIF(헤몬팜일일!$C$142:$C$240,$C58,헤몬팜일일!Y$142:Y$240)</f>
        <v>1414455.5294999997</v>
      </c>
      <c r="S58" s="31">
        <f>SUMIF(헤몬팜일일!$C$142:$C$240,$C58,헤몬팜일일!Z$142:Z$240)</f>
        <v>856836.20000000007</v>
      </c>
      <c r="T58" s="31">
        <f>SUMIF(헤몬팜일일!$C$142:$C$240,$C58,헤몬팜일일!AA$142:AA$240)</f>
        <v>778942</v>
      </c>
      <c r="U58" s="31">
        <f>SUMIF(헤몬팜일일!$C$142:$C$240,$C58,헤몬팜일일!AB$142:AB$240)</f>
        <v>0</v>
      </c>
      <c r="V58" s="31">
        <f>SUMIF(헤몬팜일일!$C$142:$C$240,$C58,헤몬팜일일!AC$142:AC$240)</f>
        <v>57750</v>
      </c>
      <c r="W58" s="152">
        <v>0.1</v>
      </c>
      <c r="X58" s="31">
        <f>SUMIF(헤몬팜일일!$C$142:$C$240,$C58,헤몬팜일일!AE$142:AE$240)</f>
        <v>614250</v>
      </c>
      <c r="Y58" s="28">
        <f t="shared" si="28"/>
        <v>0.22706736587333604</v>
      </c>
      <c r="Z58" s="31">
        <f>SUMIF(헤몬팜일일!$C$142:$C$240,$C58,헤몬팜일일!AG$142:AG$240)</f>
        <v>1136327.5500000003</v>
      </c>
      <c r="AA58" s="31">
        <f>SUMIF(헤몬팜일일!$C$142:$C$240,$C58,헤몬팜일일!AH$142:AH$240)</f>
        <v>183121.39495909092</v>
      </c>
      <c r="AB58" s="31">
        <f>SUMIF(헤몬팜일일!$C$142:$C$240,$C58,헤몬팜일일!AJ$142:AJ$240)</f>
        <v>2100145.5255409093</v>
      </c>
      <c r="AC58" s="31">
        <f>SUMIF(헤몬팜일일!$C$142:$C$240,$C58,헤몬팜일일!AK$142:AK$240)</f>
        <v>1243309.3255409095</v>
      </c>
      <c r="AD58" s="31">
        <f>SUMIF(헤몬팜일일!$C$1:$C$140,$C58,헤몬팜일일!AK$1:AK$140)</f>
        <v>1002917.6087527273</v>
      </c>
      <c r="AE58" s="31">
        <f>SUMIF(헤몬팜일일!$C$1:$C$140,$C58,헤몬팜일일!AL$1:AL$140)</f>
        <v>452.08800000000002</v>
      </c>
      <c r="AF58" s="26"/>
      <c r="AG58" s="26"/>
      <c r="AH58" s="26"/>
      <c r="AI58" s="26"/>
      <c r="AJ58" s="26"/>
      <c r="AK58" s="26"/>
      <c r="AL58" s="26"/>
      <c r="AM58" s="26"/>
      <c r="AN58" s="26"/>
      <c r="AO58" s="26"/>
      <c r="AP58" s="27"/>
      <c r="AQ58" s="27"/>
      <c r="AR58" s="27"/>
      <c r="AS58" s="27"/>
      <c r="AT58" s="27"/>
      <c r="AU58" s="27"/>
      <c r="AV58" s="26"/>
      <c r="AW58" s="26"/>
    </row>
    <row r="59" spans="1:49" ht="28.5" customHeight="1">
      <c r="A59" s="26"/>
      <c r="B59" s="158"/>
      <c r="C59" s="42" t="s">
        <v>120</v>
      </c>
      <c r="D59" s="28">
        <f t="shared" si="21"/>
        <v>-1.4964016283462769</v>
      </c>
      <c r="E59" s="29">
        <f t="shared" si="22"/>
        <v>0.4126373163773413</v>
      </c>
      <c r="F59" s="29">
        <f t="shared" si="23"/>
        <v>1.909038944723618</v>
      </c>
      <c r="G59" s="30" t="e">
        <f t="shared" si="24"/>
        <v>#DIV/0!</v>
      </c>
      <c r="H59" s="31">
        <f>SUMIF(헤몬팜일일!$C$142:$C$240,$C59,헤몬팜일일!O$142:O$240)</f>
        <v>4</v>
      </c>
      <c r="I59" s="138">
        <f t="shared" si="29"/>
        <v>0.5714285714285714</v>
      </c>
      <c r="J59" s="31">
        <f>SUMIF(헤몬팜일일!$C$142:$C$240,$C59,헤몬팜일일!P$142:P$240)</f>
        <v>4</v>
      </c>
      <c r="K59" s="31">
        <f>SUMIF(헤몬팜일일!$C$142:$C$240,$C59,헤몬팜일일!Q$142:Q$240)</f>
        <v>1</v>
      </c>
      <c r="L59" s="31">
        <f>SUMIF(헤몬팜일일!$C$142:$C$240,$C59,헤몬팜일일!S$142:S$240)</f>
        <v>0</v>
      </c>
      <c r="M59" s="31">
        <f>SUMIF(헤몬팜일일!$C$142:$C$240,$C59,헤몬팜일일!T$142:T$240)</f>
        <v>159200</v>
      </c>
      <c r="N59" s="31">
        <f>SUMIF(헤몬팜일일!$C$142:$C$240,$C59,헤몬팜일일!U$142:U$240)</f>
        <v>0</v>
      </c>
      <c r="O59" s="31">
        <f>SUMIF(헤몬팜일일!$C$142:$C$240,$C59,헤몬팜일일!V$142:V$240)</f>
        <v>159200</v>
      </c>
      <c r="P59" s="34">
        <f t="shared" si="26"/>
        <v>39800</v>
      </c>
      <c r="Q59" s="34">
        <f t="shared" si="27"/>
        <v>14113.034599999999</v>
      </c>
      <c r="R59" s="31">
        <f>SUMIF(헤몬팜일일!$C$142:$C$240,$C59,헤몬팜일일!Y$142:Y$240)</f>
        <v>56452.138399999996</v>
      </c>
      <c r="S59" s="31">
        <f>SUMIF(헤몬팜일일!$C$142:$C$240,$C59,헤몬팜일일!Z$142:Z$240)</f>
        <v>303919</v>
      </c>
      <c r="T59" s="31">
        <f>SUMIF(헤몬팜일일!$C$142:$C$240,$C59,헤몬팜일일!AA$142:AA$240)</f>
        <v>276290</v>
      </c>
      <c r="U59" s="31">
        <f>SUMIF(헤몬팜일일!$C$142:$C$240,$C59,헤몬팜일일!AB$142:AB$240)</f>
        <v>0</v>
      </c>
      <c r="V59" s="31">
        <f>SUMIF(헤몬팜일일!$C$142:$C$240,$C59,헤몬팜일일!AC$142:AC$240)</f>
        <v>2310</v>
      </c>
      <c r="W59" s="152">
        <v>0.1</v>
      </c>
      <c r="X59" s="31">
        <f>SUMIF(헤몬팜일일!$C$142:$C$240,$C59,헤몬팜일일!AE$142:AE$240)</f>
        <v>14200</v>
      </c>
      <c r="Y59" s="28">
        <f t="shared" si="28"/>
        <v>0.18919597989949749</v>
      </c>
      <c r="Z59" s="31">
        <f>SUMIF(헤몬팜일일!$C$142:$C$240,$C59,헤몬팜일일!AG$142:AG$240)</f>
        <v>31393.690000000002</v>
      </c>
      <c r="AA59" s="31">
        <f>SUMIF(헤몬팜일일!$C$142:$C$240,$C59,헤몬팜일일!AH$142:AH$240)</f>
        <v>5662.3108327272721</v>
      </c>
      <c r="AB59" s="31">
        <f>SUMIF(헤몬팜일일!$C$142:$C$240,$C59,헤몬팜일일!AJ$142:AJ$240)</f>
        <v>65691.860767272738</v>
      </c>
      <c r="AC59" s="31">
        <f>SUMIF(헤몬팜일일!$C$142:$C$240,$C59,헤몬팜일일!AK$142:AK$240)</f>
        <v>-238227.13923272729</v>
      </c>
      <c r="AD59" s="31">
        <f>SUMIF(헤몬팜일일!$C$1:$C$140,$C59,헤몬팜일일!AK$1:AK$140)</f>
        <v>-145981.59274000002</v>
      </c>
      <c r="AE59" s="31">
        <f>SUMIF(헤몬팜일일!$C$1:$C$140,$C59,헤몬팜일일!AL$1:AL$140)</f>
        <v>452.08800000000002</v>
      </c>
      <c r="AF59" s="26"/>
      <c r="AG59" s="26"/>
      <c r="AH59" s="26"/>
      <c r="AI59" s="26"/>
      <c r="AJ59" s="26"/>
      <c r="AK59" s="26"/>
      <c r="AL59" s="26"/>
      <c r="AM59" s="26"/>
      <c r="AN59" s="26"/>
      <c r="AO59" s="26"/>
      <c r="AP59" s="27"/>
      <c r="AQ59" s="27"/>
      <c r="AR59" s="27"/>
      <c r="AS59" s="27"/>
      <c r="AT59" s="27"/>
      <c r="AU59" s="27"/>
      <c r="AV59" s="26"/>
      <c r="AW59" s="26"/>
    </row>
    <row r="60" spans="1:49" ht="28.5" customHeight="1">
      <c r="A60" s="26"/>
      <c r="B60" s="104"/>
      <c r="C60" s="104"/>
      <c r="D60" s="29" t="e">
        <f>AC60/P60</f>
        <v>#REF!</v>
      </c>
      <c r="E60" s="166" t="e">
        <f>AB60/P60</f>
        <v>#REF!</v>
      </c>
      <c r="F60" s="29" t="e">
        <f>T60/P60</f>
        <v>#DIV/0!</v>
      </c>
      <c r="G60" s="128"/>
      <c r="H60" s="128">
        <f t="shared" ref="H60:O60" si="30">SUM(H43:H59)</f>
        <v>2164</v>
      </c>
      <c r="I60" s="128">
        <f t="shared" si="30"/>
        <v>307</v>
      </c>
      <c r="J60" s="128">
        <f t="shared" si="30"/>
        <v>2129</v>
      </c>
      <c r="K60" s="128">
        <f t="shared" si="30"/>
        <v>212</v>
      </c>
      <c r="L60" s="128">
        <f t="shared" si="30"/>
        <v>35</v>
      </c>
      <c r="M60" s="128">
        <f t="shared" si="30"/>
        <v>60019350</v>
      </c>
      <c r="N60" s="128">
        <f t="shared" si="30"/>
        <v>619400</v>
      </c>
      <c r="O60" s="128">
        <f t="shared" si="30"/>
        <v>59399950</v>
      </c>
      <c r="P60" s="128"/>
      <c r="Q60" s="128" t="e">
        <f t="shared" ref="Q60:V60" si="31">SUM(Q43:Q59)</f>
        <v>#REF!</v>
      </c>
      <c r="R60" s="128" t="e">
        <f t="shared" si="31"/>
        <v>#REF!</v>
      </c>
      <c r="S60" s="128">
        <f t="shared" si="31"/>
        <v>13285012.4</v>
      </c>
      <c r="T60" s="128">
        <f t="shared" si="31"/>
        <v>12077284</v>
      </c>
      <c r="U60" s="128">
        <f t="shared" si="31"/>
        <v>438492.5</v>
      </c>
      <c r="V60" s="128">
        <f t="shared" si="31"/>
        <v>474816</v>
      </c>
      <c r="W60" s="154">
        <v>0.09</v>
      </c>
      <c r="X60" s="128">
        <f>SUM(X43:X59)</f>
        <v>6627900</v>
      </c>
      <c r="Y60" s="28"/>
      <c r="Z60" s="128">
        <f t="shared" ref="Z60:AC60" si="32">SUM(Z43:Z59)</f>
        <v>12332558.340000002</v>
      </c>
      <c r="AA60" s="128" t="e">
        <f t="shared" si="32"/>
        <v>#REF!</v>
      </c>
      <c r="AB60" s="128" t="e">
        <f t="shared" si="32"/>
        <v>#REF!</v>
      </c>
      <c r="AC60" s="128" t="e">
        <f t="shared" si="32"/>
        <v>#REF!</v>
      </c>
      <c r="AD60" s="26"/>
      <c r="AE60" s="26"/>
      <c r="AF60" s="26"/>
      <c r="AG60" s="26"/>
      <c r="AH60" s="26"/>
      <c r="AI60" s="26"/>
      <c r="AJ60" s="26"/>
      <c r="AK60" s="26"/>
      <c r="AL60" s="26"/>
      <c r="AM60" s="26"/>
      <c r="AN60" s="26"/>
      <c r="AO60" s="26"/>
      <c r="AP60" s="27"/>
      <c r="AQ60" s="27"/>
      <c r="AR60" s="27"/>
      <c r="AS60" s="27"/>
      <c r="AT60" s="27"/>
      <c r="AU60" s="27"/>
      <c r="AV60" s="26"/>
      <c r="AW60" s="26"/>
    </row>
    <row r="61" spans="1:49" ht="28.5" customHeight="1">
      <c r="A61" s="155"/>
      <c r="B61" s="155"/>
      <c r="C61" s="1"/>
      <c r="D61" s="10"/>
      <c r="E61" s="10"/>
      <c r="F61" s="156"/>
      <c r="G61" s="10"/>
      <c r="H61" s="10"/>
      <c r="I61" s="10"/>
      <c r="J61" s="10"/>
      <c r="K61" s="10"/>
      <c r="L61" s="10"/>
      <c r="M61" s="10"/>
      <c r="N61" s="10"/>
      <c r="O61" s="10"/>
      <c r="P61" s="10"/>
      <c r="Q61" s="10"/>
      <c r="R61" s="10"/>
      <c r="S61" s="10"/>
      <c r="T61" s="1"/>
      <c r="U61" s="10"/>
      <c r="V61" s="10"/>
      <c r="W61" s="10"/>
      <c r="X61" s="8"/>
      <c r="Y61" s="59"/>
      <c r="Z61" s="1"/>
      <c r="AA61" s="8"/>
      <c r="AB61" s="157"/>
      <c r="AC61" s="1"/>
      <c r="AD61" s="155"/>
      <c r="AE61" s="155"/>
      <c r="AF61" s="155"/>
      <c r="AG61" s="155"/>
      <c r="AH61" s="155"/>
      <c r="AI61" s="155"/>
      <c r="AJ61" s="155"/>
      <c r="AK61" s="155"/>
      <c r="AL61" s="155"/>
      <c r="AM61" s="155"/>
      <c r="AN61" s="155"/>
      <c r="AO61" s="155"/>
      <c r="AP61" s="7"/>
      <c r="AQ61" s="7"/>
      <c r="AR61" s="7"/>
      <c r="AS61" s="7"/>
      <c r="AT61" s="7"/>
      <c r="AU61" s="7"/>
    </row>
    <row r="62" spans="1:49" ht="28.5" customHeight="1">
      <c r="A62" s="26"/>
      <c r="B62" s="158"/>
      <c r="C62" s="159" t="s">
        <v>97</v>
      </c>
      <c r="D62" s="160" t="s">
        <v>0</v>
      </c>
      <c r="E62" s="160" t="s">
        <v>1</v>
      </c>
      <c r="F62" s="161" t="s">
        <v>2</v>
      </c>
      <c r="G62" s="162" t="s">
        <v>3</v>
      </c>
      <c r="H62" s="163" t="s">
        <v>8</v>
      </c>
      <c r="I62" s="163" t="s">
        <v>102</v>
      </c>
      <c r="J62" s="163" t="s">
        <v>9</v>
      </c>
      <c r="K62" s="164" t="s">
        <v>10</v>
      </c>
      <c r="L62" s="14" t="s">
        <v>11</v>
      </c>
      <c r="M62" s="16" t="s">
        <v>12</v>
      </c>
      <c r="N62" s="16" t="s">
        <v>13</v>
      </c>
      <c r="O62" s="17" t="s">
        <v>14</v>
      </c>
      <c r="P62" s="18" t="s">
        <v>15</v>
      </c>
      <c r="Q62" s="18" t="s">
        <v>16</v>
      </c>
      <c r="R62" s="18" t="s">
        <v>17</v>
      </c>
      <c r="S62" s="19" t="s">
        <v>18</v>
      </c>
      <c r="T62" s="19" t="s">
        <v>19</v>
      </c>
      <c r="U62" s="20" t="s">
        <v>20</v>
      </c>
      <c r="V62" s="21" t="s">
        <v>93</v>
      </c>
      <c r="W62" s="146" t="s">
        <v>21</v>
      </c>
      <c r="X62" s="21" t="s">
        <v>22</v>
      </c>
      <c r="Y62" s="147" t="s">
        <v>23</v>
      </c>
      <c r="Z62" s="23" t="s">
        <v>21</v>
      </c>
      <c r="AA62" s="23" t="s">
        <v>24</v>
      </c>
      <c r="AB62" s="23" t="s">
        <v>26</v>
      </c>
      <c r="AC62" s="24" t="s">
        <v>27</v>
      </c>
      <c r="AD62" s="124" t="s">
        <v>94</v>
      </c>
      <c r="AE62" s="125" t="s">
        <v>95</v>
      </c>
      <c r="AF62" s="26"/>
      <c r="AG62" s="26"/>
      <c r="AH62" s="26"/>
      <c r="AI62" s="26"/>
      <c r="AJ62" s="26"/>
      <c r="AK62" s="26"/>
      <c r="AL62" s="26"/>
      <c r="AM62" s="26"/>
      <c r="AN62" s="26"/>
      <c r="AO62" s="26"/>
      <c r="AP62" s="27"/>
      <c r="AQ62" s="27"/>
      <c r="AR62" s="27"/>
      <c r="AS62" s="27"/>
      <c r="AT62" s="27"/>
      <c r="AU62" s="27"/>
      <c r="AV62" s="26"/>
      <c r="AW62" s="26"/>
    </row>
    <row r="63" spans="1:49" ht="28.5" customHeight="1">
      <c r="A63" s="26"/>
      <c r="B63" s="165"/>
      <c r="C63" s="42" t="s">
        <v>107</v>
      </c>
      <c r="D63" s="28">
        <f t="shared" ref="D63:D79" si="33">AC63/O63</f>
        <v>0.18111289692977012</v>
      </c>
      <c r="E63" s="29">
        <f t="shared" ref="E63:E79" si="34">AB63/O63</f>
        <v>0.42270749786873729</v>
      </c>
      <c r="F63" s="29">
        <f t="shared" ref="F63:F79" si="35">(S63+U63)/O63</f>
        <v>0.2415946009389672</v>
      </c>
      <c r="G63" s="30" t="e">
        <f t="shared" ref="G63:G79" si="36">H63/AG63</f>
        <v>#DIV/0!</v>
      </c>
      <c r="H63" s="31">
        <f>SUMIF(헤몬팜일일!$C$242:$C$380,$C63,헤몬팜일일!O$242:O$380)</f>
        <v>1420</v>
      </c>
      <c r="I63" s="138">
        <f t="shared" ref="I63:I75" si="37">H63/7</f>
        <v>202.85714285714286</v>
      </c>
      <c r="J63" s="31">
        <f>SUMIF(헤몬팜일일!$C$242:$C$380,$C63,헤몬팜일일!P$242:P$380)</f>
        <v>1420</v>
      </c>
      <c r="K63" s="31">
        <f>SUMIF(헤몬팜일일!$C$242:$C$380,$C63,헤몬팜일일!Q$242:Q$380)</f>
        <v>102</v>
      </c>
      <c r="L63" s="31">
        <f>SUMIF(헤몬팜일일!$C$242:$C$380,$C63,헤몬팜일일!S$242:S$380)</f>
        <v>0</v>
      </c>
      <c r="M63" s="31">
        <f>SUMIF(헤몬팜일일!$C$242:$C$380,$C63,헤몬팜일일!T$242:T$380)</f>
        <v>39618000</v>
      </c>
      <c r="N63" s="31">
        <f>SUMIF(헤몬팜일일!$C$242:$C$380,$C63,헤몬팜일일!U$242:U$380)</f>
        <v>0</v>
      </c>
      <c r="O63" s="31">
        <f>SUMIF(헤몬팜일일!$C$242:$C$380,$C63,헤몬팜일일!V$242:V$380)</f>
        <v>39618000</v>
      </c>
      <c r="P63" s="34">
        <f t="shared" ref="P63:P79" si="38">O63/J63</f>
        <v>27900</v>
      </c>
      <c r="Q63" s="34">
        <f t="shared" ref="Q63:Q79" si="39">R63/J63</f>
        <v>9245.0616000000009</v>
      </c>
      <c r="R63" s="31">
        <f>SUMIF(헤몬팜일일!$C$242:$C$380,$C63,헤몬팜일일!Y$242:Y$380)</f>
        <v>13127987.472000001</v>
      </c>
      <c r="S63" s="31">
        <f>SUMIF(헤몬팜일일!$C$242:$C$380,$C63,헤몬팜일일!Z$242:Z$380)</f>
        <v>9571494.9000000022</v>
      </c>
      <c r="T63" s="31">
        <f>SUMIF(헤몬팜일일!$C$242:$C$380,$C63,헤몬팜일일!AA$242:AA$380)</f>
        <v>8701359</v>
      </c>
      <c r="U63" s="31">
        <f>SUMIF(헤몬팜일일!$C$242:$C$380,$C63,헤몬팜일일!AB$242:AB$380)</f>
        <v>0</v>
      </c>
      <c r="V63" s="31">
        <f>SUMIF(헤몬팜일일!$C$242:$C$380,$C63,헤몬팜일일!AC$242:AC$380)</f>
        <v>221544</v>
      </c>
      <c r="W63" s="152">
        <v>0.1</v>
      </c>
      <c r="X63" s="31">
        <f>SUMIF(헤몬팜일일!$C$242:$C$380,$C63,헤몬팜일일!AE$242:AE$380)</f>
        <v>4331000</v>
      </c>
      <c r="Y63" s="28">
        <f t="shared" ref="Y63:Y79" si="40">W63+(X63/O63)</f>
        <v>0.20931899641577062</v>
      </c>
      <c r="Z63" s="31">
        <f>SUMIF(헤몬팜일일!$C$242:$C$380,$C63,헤몬팜일일!AG$242:AG$380)</f>
        <v>8292800.2100000009</v>
      </c>
      <c r="AA63" s="31">
        <f>SUMIF(헤몬팜일일!$C$242:$C$380,$C63,헤몬팜일일!AH$242:AH$380)</f>
        <v>1450386.6674363636</v>
      </c>
      <c r="AB63" s="31">
        <f>SUMIF(헤몬팜일일!$C$242:$C$380,$C63,헤몬팜일일!AJ$242:AJ$380)</f>
        <v>16746825.650563635</v>
      </c>
      <c r="AC63" s="31">
        <f>SUMIF(헤몬팜일일!$C$242:$C$380,$C63,헤몬팜일일!AK$242:AK$380)</f>
        <v>7175330.7505636327</v>
      </c>
      <c r="AD63" s="31">
        <f>SUMIF(헤몬팜일일!$C$242:$C$380,$C63,헤몬팜일일!AK$242:AK$380)</f>
        <v>7175330.7505636327</v>
      </c>
      <c r="AE63" s="31">
        <f>SUMIF(헤몬팜일일!$C$242:$C$380,$C63,헤몬팜일일!AL$242:AL$380)</f>
        <v>452.08800000000002</v>
      </c>
      <c r="AF63" s="26"/>
      <c r="AG63" s="26"/>
      <c r="AH63" s="26"/>
      <c r="AI63" s="26"/>
      <c r="AJ63" s="26"/>
      <c r="AK63" s="26"/>
      <c r="AL63" s="26"/>
      <c r="AM63" s="26"/>
      <c r="AN63" s="26"/>
      <c r="AO63" s="26"/>
      <c r="AP63" s="27"/>
      <c r="AQ63" s="27"/>
      <c r="AR63" s="27"/>
      <c r="AS63" s="27"/>
      <c r="AT63" s="27"/>
      <c r="AU63" s="27"/>
      <c r="AV63" s="26"/>
      <c r="AW63" s="26"/>
    </row>
    <row r="64" spans="1:49" ht="28.5" customHeight="1">
      <c r="A64" s="26"/>
      <c r="B64" s="158"/>
      <c r="C64" s="42" t="s">
        <v>108</v>
      </c>
      <c r="D64" s="28">
        <f t="shared" si="33"/>
        <v>0.15082571672673872</v>
      </c>
      <c r="E64" s="29">
        <f t="shared" si="34"/>
        <v>0.40985068001601921</v>
      </c>
      <c r="F64" s="29">
        <f t="shared" si="35"/>
        <v>0.25902496328928049</v>
      </c>
      <c r="G64" s="30" t="e">
        <f t="shared" si="36"/>
        <v>#DIV/0!</v>
      </c>
      <c r="H64" s="31">
        <f>SUMIF(헤몬팜일일!$C$242:$C$380,$C64,헤몬팜일일!O$242:O$380)</f>
        <v>3</v>
      </c>
      <c r="I64" s="138">
        <f t="shared" si="37"/>
        <v>0.42857142857142855</v>
      </c>
      <c r="J64" s="31">
        <f>SUMIF(헤몬팜일일!$C$242:$C$380,$C64,헤몬팜일일!P$242:P$380)</f>
        <v>3</v>
      </c>
      <c r="K64" s="31">
        <f>SUMIF(헤몬팜일일!$C$242:$C$380,$C64,헤몬팜일일!Q$242:Q$380)</f>
        <v>0</v>
      </c>
      <c r="L64" s="31">
        <f>SUMIF(헤몬팜일일!$C$242:$C$380,$C64,헤몬팜일일!S$242:S$380)</f>
        <v>0</v>
      </c>
      <c r="M64" s="31">
        <f>SUMIF(헤몬팜일일!$C$242:$C$380,$C64,헤몬팜일일!T$242:T$380)</f>
        <v>68100</v>
      </c>
      <c r="N64" s="31">
        <f>SUMIF(헤몬팜일일!$C$242:$C$380,$C64,헤몬팜일일!U$242:U$380)</f>
        <v>0</v>
      </c>
      <c r="O64" s="31">
        <f>SUMIF(헤몬팜일일!$C$242:$C$380,$C64,헤몬팜일일!V$242:V$380)</f>
        <v>68100</v>
      </c>
      <c r="P64" s="34">
        <f t="shared" si="38"/>
        <v>22700</v>
      </c>
      <c r="Q64" s="34">
        <f t="shared" si="39"/>
        <v>7377.3279999999986</v>
      </c>
      <c r="R64" s="31">
        <f>SUMIF(헤몬팜일일!$C$242:$C$380,$C64,헤몬팜일일!Y$242:Y$380)</f>
        <v>22131.983999999997</v>
      </c>
      <c r="S64" s="31">
        <f>SUMIF(헤몬팜일일!$C$242:$C$380,$C64,헤몬팜일일!Z$242:Z$380)</f>
        <v>17639.600000000002</v>
      </c>
      <c r="T64" s="31">
        <f>SUMIF(헤몬팜일일!$C$242:$C$380,$C64,헤몬팜일일!AA$242:AA$380)</f>
        <v>16036</v>
      </c>
      <c r="U64" s="31">
        <f>SUMIF(헤몬팜일일!$C$242:$C$380,$C64,헤몬팜일일!AB$242:AB$380)</f>
        <v>0</v>
      </c>
      <c r="V64" s="31">
        <f>SUMIF(헤몬팜일일!$C$242:$C$380,$C64,헤몬팜일일!AC$242:AC$380)</f>
        <v>0</v>
      </c>
      <c r="W64" s="152">
        <v>0.1</v>
      </c>
      <c r="X64" s="31">
        <f>SUMIF(헤몬팜일일!$C$242:$C$380,$C64,헤몬팜일일!AE$242:AE$380)</f>
        <v>8850</v>
      </c>
      <c r="Y64" s="28">
        <f t="shared" si="40"/>
        <v>0.22995594713656389</v>
      </c>
      <c r="Z64" s="31">
        <f>SUMIF(헤몬팜일일!$C$242:$C$380,$C64,헤몬팜일일!AG$242:AG$380)</f>
        <v>15660.060000000001</v>
      </c>
      <c r="AA64" s="31">
        <f>SUMIF(헤몬팜일일!$C$242:$C$380,$C64,헤몬팜일일!AH$242:AH$380)</f>
        <v>2397.1246909090901</v>
      </c>
      <c r="AB64" s="31">
        <f>SUMIF(헤몬팜일일!$C$242:$C$380,$C64,헤몬팜일일!AJ$242:AJ$380)</f>
        <v>27910.831309090907</v>
      </c>
      <c r="AC64" s="31">
        <f>SUMIF(헤몬팜일일!$C$242:$C$380,$C64,헤몬팜일일!AK$242:AK$380)</f>
        <v>10271.231309090907</v>
      </c>
      <c r="AD64" s="31">
        <f>SUMIF(헤몬팜일일!$C$242:$C$380,$C64,헤몬팜일일!AK$242:AK$380)</f>
        <v>10271.231309090907</v>
      </c>
      <c r="AE64" s="31">
        <f>SUMIF(헤몬팜일일!$C$242:$C$380,$C64,헤몬팜일일!AL$242:AL$380)</f>
        <v>340.20000000000005</v>
      </c>
      <c r="AF64" s="26"/>
      <c r="AG64" s="26"/>
      <c r="AH64" s="26"/>
      <c r="AI64" s="26"/>
      <c r="AJ64" s="26"/>
      <c r="AK64" s="26"/>
      <c r="AL64" s="26"/>
      <c r="AM64" s="26"/>
      <c r="AN64" s="26"/>
      <c r="AO64" s="26"/>
      <c r="AP64" s="27"/>
      <c r="AQ64" s="27"/>
      <c r="AR64" s="27"/>
      <c r="AS64" s="27"/>
      <c r="AT64" s="27"/>
      <c r="AU64" s="27"/>
      <c r="AV64" s="26"/>
      <c r="AW64" s="26"/>
    </row>
    <row r="65" spans="1:49" ht="28.5" customHeight="1">
      <c r="A65" s="26"/>
      <c r="B65" s="158"/>
      <c r="C65" s="42" t="s">
        <v>109</v>
      </c>
      <c r="D65" s="28" t="e">
        <f t="shared" si="33"/>
        <v>#REF!</v>
      </c>
      <c r="E65" s="29" t="e">
        <f t="shared" si="34"/>
        <v>#REF!</v>
      </c>
      <c r="F65" s="29">
        <f t="shared" si="35"/>
        <v>0.19586965065502188</v>
      </c>
      <c r="G65" s="30" t="e">
        <f t="shared" si="36"/>
        <v>#DIV/0!</v>
      </c>
      <c r="H65" s="31">
        <f>SUMIF(헤몬팜일일!$C$242:$C$380,$C65,헤몬팜일일!O$242:O$380)</f>
        <v>20</v>
      </c>
      <c r="I65" s="138">
        <f t="shared" si="37"/>
        <v>2.8571428571428572</v>
      </c>
      <c r="J65" s="31">
        <f>SUMIF(헤몬팜일일!$C$242:$C$380,$C65,헤몬팜일일!P$242:P$380)</f>
        <v>20</v>
      </c>
      <c r="K65" s="31">
        <f>SUMIF(헤몬팜일일!$C$242:$C$380,$C65,헤몬팜일일!Q$242:Q$380)</f>
        <v>2</v>
      </c>
      <c r="L65" s="31">
        <f>SUMIF(헤몬팜일일!$C$242:$C$380,$C65,헤몬팜일일!S$242:S$380)</f>
        <v>0</v>
      </c>
      <c r="M65" s="31">
        <f>SUMIF(헤몬팜일일!$C$242:$C$380,$C65,헤몬팜일일!T$242:T$380)</f>
        <v>916000</v>
      </c>
      <c r="N65" s="31">
        <f>SUMIF(헤몬팜일일!$C$242:$C$380,$C65,헤몬팜일일!U$242:U$380)</f>
        <v>0</v>
      </c>
      <c r="O65" s="31">
        <f>SUMIF(헤몬팜일일!$C$242:$C$380,$C65,헤몬팜일일!V$242:V$380)</f>
        <v>916000</v>
      </c>
      <c r="P65" s="34">
        <f t="shared" si="38"/>
        <v>45800</v>
      </c>
      <c r="Q65" s="34" t="e">
        <f t="shared" si="39"/>
        <v>#REF!</v>
      </c>
      <c r="R65" s="31" t="e">
        <f>SUMIF(헤몬팜일일!$C$242:$C$380,$C65,헤몬팜일일!Y$242:Y$380)</f>
        <v>#REF!</v>
      </c>
      <c r="S65" s="31">
        <f>SUMIF(헤몬팜일일!$C$242:$C$380,$C65,헤몬팜일일!Z$242:Z$380)</f>
        <v>179416.60000000003</v>
      </c>
      <c r="T65" s="31">
        <f>SUMIF(헤몬팜일일!$C$242:$C$380,$C65,헤몬팜일일!AA$242:AA$380)</f>
        <v>163106</v>
      </c>
      <c r="U65" s="31">
        <f>SUMIF(헤몬팜일일!$C$242:$C$380,$C65,헤몬팜일일!AB$242:AB$380)</f>
        <v>0</v>
      </c>
      <c r="V65" s="31">
        <f>SUMIF(헤몬팜일일!$C$242:$C$380,$C65,헤몬팜일일!AC$242:AC$380)</f>
        <v>4620</v>
      </c>
      <c r="W65" s="152">
        <v>0.1</v>
      </c>
      <c r="X65" s="31">
        <f>SUMIF(헤몬팜일일!$C$242:$C$380,$C65,헤몬팜일일!AE$242:AE$380)</f>
        <v>83000</v>
      </c>
      <c r="Y65" s="28">
        <f t="shared" si="40"/>
        <v>0.19061135371179039</v>
      </c>
      <c r="Z65" s="31">
        <f>SUMIF(헤몬팜일일!$C$242:$C$380,$C65,헤몬팜일일!AG$242:AG$380)</f>
        <v>183760.18</v>
      </c>
      <c r="AA65" s="31" t="e">
        <f>SUMIF(헤몬팜일일!$C$242:$C$380,$C65,헤몬팜일일!AH$242:AH$380)</f>
        <v>#REF!</v>
      </c>
      <c r="AB65" s="31" t="e">
        <f>SUMIF(헤몬팜일일!$C$242:$C$380,$C65,헤몬팜일일!AJ$242:AJ$380)</f>
        <v>#REF!</v>
      </c>
      <c r="AC65" s="31" t="e">
        <f>SUMIF(헤몬팜일일!$C$242:$C$380,$C65,헤몬팜일일!AK$242:AK$380)</f>
        <v>#REF!</v>
      </c>
      <c r="AD65" s="31" t="e">
        <f>SUMIF(헤몬팜일일!$C$242:$C$380,$C65,헤몬팜일일!AK$242:AK$380)</f>
        <v>#REF!</v>
      </c>
      <c r="AE65" s="31">
        <f>SUMIF(헤몬팜일일!$C$242:$C$380,$C65,헤몬팜일일!AL$242:AL$380)</f>
        <v>1134</v>
      </c>
      <c r="AF65" s="26"/>
      <c r="AG65" s="26"/>
      <c r="AH65" s="26"/>
      <c r="AI65" s="26"/>
      <c r="AJ65" s="26"/>
      <c r="AK65" s="26"/>
      <c r="AL65" s="26"/>
      <c r="AM65" s="26"/>
      <c r="AN65" s="26"/>
      <c r="AO65" s="26"/>
      <c r="AP65" s="27"/>
      <c r="AQ65" s="27"/>
      <c r="AR65" s="27"/>
      <c r="AS65" s="27"/>
      <c r="AT65" s="27"/>
      <c r="AU65" s="27"/>
      <c r="AV65" s="26"/>
      <c r="AW65" s="26"/>
    </row>
    <row r="66" spans="1:49" ht="28.5" customHeight="1">
      <c r="A66" s="26"/>
      <c r="B66" s="158"/>
      <c r="C66" s="42" t="s">
        <v>110</v>
      </c>
      <c r="D66" s="28" t="e">
        <f t="shared" si="33"/>
        <v>#REF!</v>
      </c>
      <c r="E66" s="29" t="e">
        <f t="shared" si="34"/>
        <v>#REF!</v>
      </c>
      <c r="F66" s="29">
        <f t="shared" si="35"/>
        <v>0.29966399572649571</v>
      </c>
      <c r="G66" s="30" t="e">
        <f t="shared" si="36"/>
        <v>#DIV/0!</v>
      </c>
      <c r="H66" s="31">
        <f>SUMIF(헤몬팜일일!$C$242:$C$380,$C66,헤몬팜일일!O$242:O$380)</f>
        <v>44</v>
      </c>
      <c r="I66" s="138">
        <f t="shared" si="37"/>
        <v>6.2857142857142856</v>
      </c>
      <c r="J66" s="31">
        <f>SUMIF(헤몬팜일일!$C$242:$C$380,$C66,헤몬팜일일!P$242:P$380)</f>
        <v>44</v>
      </c>
      <c r="K66" s="31">
        <f>SUMIF(헤몬팜일일!$C$242:$C$380,$C66,헤몬팜일일!Q$242:Q$380)</f>
        <v>6</v>
      </c>
      <c r="L66" s="31">
        <f>SUMIF(헤몬팜일일!$C$242:$C$380,$C66,헤몬팜일일!S$242:S$380)</f>
        <v>0</v>
      </c>
      <c r="M66" s="31">
        <f>SUMIF(헤몬팜일일!$C$242:$C$380,$C66,헤몬팜일일!T$242:T$380)</f>
        <v>2059200</v>
      </c>
      <c r="N66" s="31">
        <f>SUMIF(헤몬팜일일!$C$242:$C$380,$C66,헤몬팜일일!U$242:U$380)</f>
        <v>0</v>
      </c>
      <c r="O66" s="31">
        <f>SUMIF(헤몬팜일일!$C$242:$C$380,$C66,헤몬팜일일!V$242:V$380)</f>
        <v>2059200</v>
      </c>
      <c r="P66" s="34">
        <f t="shared" si="38"/>
        <v>46800</v>
      </c>
      <c r="Q66" s="34" t="e">
        <f t="shared" si="39"/>
        <v>#REF!</v>
      </c>
      <c r="R66" s="31" t="e">
        <f>SUMIF(헤몬팜일일!$C$242:$C$380,$C66,헤몬팜일일!Y$242:Y$380)</f>
        <v>#REF!</v>
      </c>
      <c r="S66" s="31">
        <f>SUMIF(헤몬팜일일!$C$242:$C$380,$C66,헤몬팜일일!Z$242:Z$380)</f>
        <v>617068.1</v>
      </c>
      <c r="T66" s="31">
        <f>SUMIF(헤몬팜일일!$C$242:$C$380,$C66,헤몬팜일일!AA$242:AA$380)</f>
        <v>560971</v>
      </c>
      <c r="U66" s="31">
        <f>SUMIF(헤몬팜일일!$C$242:$C$380,$C66,헤몬팜일일!AB$242:AB$380)</f>
        <v>0</v>
      </c>
      <c r="V66" s="31">
        <f>SUMIF(헤몬팜일일!$C$242:$C$380,$C66,헤몬팜일일!AC$242:AC$380)</f>
        <v>13860</v>
      </c>
      <c r="W66" s="152">
        <v>0.1</v>
      </c>
      <c r="X66" s="31">
        <f>SUMIF(헤몬팜일일!$C$242:$C$380,$C66,헤몬팜일일!AE$242:AE$380)</f>
        <v>182600</v>
      </c>
      <c r="Y66" s="28">
        <f t="shared" si="40"/>
        <v>0.18867521367521367</v>
      </c>
      <c r="Z66" s="31">
        <f>SUMIF(헤몬팜일일!$C$242:$C$380,$C66,헤몬팜일일!AG$242:AG$380)</f>
        <v>409112.21000000008</v>
      </c>
      <c r="AA66" s="31" t="e">
        <f>SUMIF(헤몬팜일일!$C$242:$C$380,$C66,헤몬팜일일!AH$242:AH$380)</f>
        <v>#REF!</v>
      </c>
      <c r="AB66" s="31" t="e">
        <f>SUMIF(헤몬팜일일!$C$242:$C$380,$C66,헤몬팜일일!AJ$242:AJ$380)</f>
        <v>#REF!</v>
      </c>
      <c r="AC66" s="31" t="e">
        <f>SUMIF(헤몬팜일일!$C$242:$C$380,$C66,헤몬팜일일!AK$242:AK$380)</f>
        <v>#REF!</v>
      </c>
      <c r="AD66" s="31" t="e">
        <f>SUMIF(헤몬팜일일!$C$242:$C$380,$C66,헤몬팜일일!AK$242:AK$380)</f>
        <v>#REF!</v>
      </c>
      <c r="AE66" s="31">
        <f>SUMIF(헤몬팜일일!$C$242:$C$380,$C66,헤몬팜일일!AL$242:AL$380)</f>
        <v>1134</v>
      </c>
      <c r="AF66" s="26"/>
      <c r="AG66" s="26"/>
      <c r="AH66" s="26"/>
      <c r="AI66" s="26"/>
      <c r="AJ66" s="26"/>
      <c r="AK66" s="26"/>
      <c r="AL66" s="26"/>
      <c r="AM66" s="26"/>
      <c r="AN66" s="26"/>
      <c r="AO66" s="26"/>
      <c r="AP66" s="27"/>
      <c r="AQ66" s="27"/>
      <c r="AR66" s="27"/>
      <c r="AS66" s="27"/>
      <c r="AT66" s="27"/>
      <c r="AU66" s="27"/>
      <c r="AV66" s="26"/>
      <c r="AW66" s="26"/>
    </row>
    <row r="67" spans="1:49" ht="28.5" customHeight="1">
      <c r="A67" s="26"/>
      <c r="B67" s="158"/>
      <c r="C67" s="42" t="s">
        <v>32</v>
      </c>
      <c r="D67" s="28" t="e">
        <f t="shared" si="33"/>
        <v>#REF!</v>
      </c>
      <c r="E67" s="29" t="e">
        <f t="shared" si="34"/>
        <v>#REF!</v>
      </c>
      <c r="F67" s="29">
        <f t="shared" si="35"/>
        <v>0.25517056856187292</v>
      </c>
      <c r="G67" s="30" t="e">
        <f t="shared" si="36"/>
        <v>#DIV/0!</v>
      </c>
      <c r="H67" s="31">
        <f>SUMIF(헤몬팜일일!$C$242:$C$380,$C67,헤몬팜일일!O$242:O$380)</f>
        <v>3</v>
      </c>
      <c r="I67" s="138">
        <f t="shared" si="37"/>
        <v>0.42857142857142855</v>
      </c>
      <c r="J67" s="31">
        <f>SUMIF(헤몬팜일일!$C$242:$C$380,$C67,헤몬팜일일!P$242:P$380)</f>
        <v>3</v>
      </c>
      <c r="K67" s="31">
        <f>SUMIF(헤몬팜일일!$C$242:$C$380,$C67,헤몬팜일일!Q$242:Q$380)</f>
        <v>0</v>
      </c>
      <c r="L67" s="31">
        <f>SUMIF(헤몬팜일일!$C$242:$C$380,$C67,헤몬팜일일!S$242:S$380)</f>
        <v>0</v>
      </c>
      <c r="M67" s="31">
        <f>SUMIF(헤몬팜일일!$C$242:$C$380,$C67,헤몬팜일일!T$242:T$380)</f>
        <v>179400</v>
      </c>
      <c r="N67" s="31">
        <f>SUMIF(헤몬팜일일!$C$242:$C$380,$C67,헤몬팜일일!U$242:U$380)</f>
        <v>0</v>
      </c>
      <c r="O67" s="31">
        <f>SUMIF(헤몬팜일일!$C$242:$C$380,$C67,헤몬팜일일!V$242:V$380)</f>
        <v>179400</v>
      </c>
      <c r="P67" s="34">
        <f t="shared" si="38"/>
        <v>59800</v>
      </c>
      <c r="Q67" s="34" t="e">
        <f t="shared" si="39"/>
        <v>#REF!</v>
      </c>
      <c r="R67" s="31" t="e">
        <f>SUMIF(헤몬팜일일!$C$242:$C$380,$C67,헤몬팜일일!Y$242:Y$380)</f>
        <v>#REF!</v>
      </c>
      <c r="S67" s="31">
        <f>SUMIF(헤몬팜일일!$C$242:$C$380,$C67,헤몬팜일일!Z$242:Z$380)</f>
        <v>45777.600000000006</v>
      </c>
      <c r="T67" s="31">
        <f>SUMIF(헤몬팜일일!$C$242:$C$380,$C67,헤몬팜일일!AA$242:AA$380)</f>
        <v>41616</v>
      </c>
      <c r="U67" s="31">
        <f>SUMIF(헤몬팜일일!$C$242:$C$380,$C67,헤몬팜일일!AB$242:AB$380)</f>
        <v>0</v>
      </c>
      <c r="V67" s="31">
        <f>SUMIF(헤몬팜일일!$C$242:$C$380,$C67,헤몬팜일일!AC$242:AC$380)</f>
        <v>0</v>
      </c>
      <c r="W67" s="152">
        <v>0.1</v>
      </c>
      <c r="X67" s="31">
        <f>SUMIF(헤몬팜일일!$C$242:$C$380,$C67,헤몬팜일일!AE$242:AE$380)</f>
        <v>14475</v>
      </c>
      <c r="Y67" s="28">
        <f t="shared" si="40"/>
        <v>0.180685618729097</v>
      </c>
      <c r="Z67" s="31">
        <f>SUMIF(헤몬팜일일!$C$242:$C$380,$C67,헤몬팜일일!AG$242:AG$380)</f>
        <v>33850.26</v>
      </c>
      <c r="AA67" s="31" t="e">
        <f>SUMIF(헤몬팜일일!$C$242:$C$380,$C67,헤몬팜일일!AH$242:AH$380)</f>
        <v>#REF!</v>
      </c>
      <c r="AB67" s="31" t="e">
        <f>SUMIF(헤몬팜일일!$C$242:$C$380,$C67,헤몬팜일일!AJ$242:AJ$380)</f>
        <v>#REF!</v>
      </c>
      <c r="AC67" s="31" t="e">
        <f>SUMIF(헤몬팜일일!$C$242:$C$380,$C67,헤몬팜일일!AK$242:AK$380)</f>
        <v>#REF!</v>
      </c>
      <c r="AD67" s="31" t="e">
        <f>SUMIF(헤몬팜일일!$C$242:$C$380,$C67,헤몬팜일일!AK$242:AK$380)</f>
        <v>#REF!</v>
      </c>
      <c r="AE67" s="31">
        <f>SUMIF(헤몬팜일일!$C$242:$C$380,$C67,헤몬팜일일!AL$242:AL$380)</f>
        <v>2600.64</v>
      </c>
      <c r="AF67" s="26"/>
      <c r="AG67" s="26"/>
      <c r="AH67" s="26"/>
      <c r="AI67" s="26"/>
      <c r="AJ67" s="26"/>
      <c r="AK67" s="26"/>
      <c r="AL67" s="26"/>
      <c r="AM67" s="26"/>
      <c r="AN67" s="26"/>
      <c r="AO67" s="26"/>
      <c r="AP67" s="27"/>
      <c r="AQ67" s="27"/>
      <c r="AR67" s="27"/>
      <c r="AS67" s="27"/>
      <c r="AT67" s="27"/>
      <c r="AU67" s="27"/>
      <c r="AV67" s="26"/>
      <c r="AW67" s="26"/>
    </row>
    <row r="68" spans="1:49" ht="28.5" customHeight="1">
      <c r="A68" s="26"/>
      <c r="B68" s="158"/>
      <c r="C68" s="42" t="s">
        <v>33</v>
      </c>
      <c r="D68" s="28" t="e">
        <f t="shared" si="33"/>
        <v>#REF!</v>
      </c>
      <c r="E68" s="29" t="e">
        <f t="shared" si="34"/>
        <v>#REF!</v>
      </c>
      <c r="F68" s="29">
        <f t="shared" si="35"/>
        <v>0.50868037642113317</v>
      </c>
      <c r="G68" s="30" t="e">
        <f t="shared" si="36"/>
        <v>#DIV/0!</v>
      </c>
      <c r="H68" s="31">
        <f>SUMIF(헤몬팜일일!$C$242:$C$380,$C68,헤몬팜일일!O$242:O$380)</f>
        <v>6</v>
      </c>
      <c r="I68" s="138">
        <f t="shared" si="37"/>
        <v>0.8571428571428571</v>
      </c>
      <c r="J68" s="31">
        <f>SUMIF(헤몬팜일일!$C$242:$C$380,$C68,헤몬팜일일!P$242:P$380)</f>
        <v>6</v>
      </c>
      <c r="K68" s="31">
        <f>SUMIF(헤몬팜일일!$C$242:$C$380,$C68,헤몬팜일일!Q$242:Q$380)</f>
        <v>1</v>
      </c>
      <c r="L68" s="31">
        <f>SUMIF(헤몬팜일일!$C$242:$C$380,$C68,헤몬팜일일!S$242:S$380)</f>
        <v>0</v>
      </c>
      <c r="M68" s="31">
        <f>SUMIF(헤몬팜일일!$C$242:$C$380,$C68,헤몬팜일일!T$242:T$380)</f>
        <v>418680</v>
      </c>
      <c r="N68" s="31">
        <f>SUMIF(헤몬팜일일!$C$242:$C$380,$C68,헤몬팜일일!U$242:U$380)</f>
        <v>0</v>
      </c>
      <c r="O68" s="31">
        <f>SUMIF(헤몬팜일일!$C$242:$C$380,$C68,헤몬팜일일!V$242:V$380)</f>
        <v>418680</v>
      </c>
      <c r="P68" s="34">
        <f t="shared" si="38"/>
        <v>69780</v>
      </c>
      <c r="Q68" s="34" t="e">
        <f t="shared" si="39"/>
        <v>#REF!</v>
      </c>
      <c r="R68" s="31" t="e">
        <f>SUMIF(헤몬팜일일!$C$242:$C$380,$C68,헤몬팜일일!Y$242:Y$380)</f>
        <v>#REF!</v>
      </c>
      <c r="S68" s="31">
        <f>SUMIF(헤몬팜일일!$C$242:$C$380,$C68,헤몬팜일일!Z$242:Z$380)</f>
        <v>212974.30000000002</v>
      </c>
      <c r="T68" s="31">
        <f>SUMIF(헤몬팜일일!$C$242:$C$380,$C68,헤몬팜일일!AA$242:AA$380)</f>
        <v>193613</v>
      </c>
      <c r="U68" s="31">
        <f>SUMIF(헤몬팜일일!$C$242:$C$380,$C68,헤몬팜일일!AB$242:AB$380)</f>
        <v>0</v>
      </c>
      <c r="V68" s="31">
        <f>SUMIF(헤몬팜일일!$C$242:$C$380,$C68,헤몬팜일일!AC$242:AC$380)</f>
        <v>2310</v>
      </c>
      <c r="W68" s="152">
        <v>0.1</v>
      </c>
      <c r="X68" s="31">
        <f>SUMIF(헤몬팜일일!$C$242:$C$380,$C68,헤몬팜일일!AE$242:AE$380)</f>
        <v>28950</v>
      </c>
      <c r="Y68" s="28">
        <f t="shared" si="40"/>
        <v>0.16914588707366007</v>
      </c>
      <c r="Z68" s="31">
        <f>SUMIF(헤몬팜일일!$C$242:$C$380,$C68,헤몬팜일일!AG$242:AG$380)</f>
        <v>74167.62000000001</v>
      </c>
      <c r="AA68" s="31" t="e">
        <f>SUMIF(헤몬팜일일!$C$242:$C$380,$C68,헤몬팜일일!AH$242:AH$380)</f>
        <v>#REF!</v>
      </c>
      <c r="AB68" s="31" t="e">
        <f>SUMIF(헤몬팜일일!$C$242:$C$380,$C68,헤몬팜일일!AJ$242:AJ$380)</f>
        <v>#REF!</v>
      </c>
      <c r="AC68" s="31" t="e">
        <f>SUMIF(헤몬팜일일!$C$242:$C$380,$C68,헤몬팜일일!AK$242:AK$380)</f>
        <v>#REF!</v>
      </c>
      <c r="AD68" s="31" t="e">
        <f>SUMIF(헤몬팜일일!$C$242:$C$380,$C68,헤몬팜일일!AK$242:AK$380)</f>
        <v>#REF!</v>
      </c>
      <c r="AE68" s="31">
        <f>SUMIF(헤몬팜일일!$C$242:$C$380,$C68,헤몬팜일일!AL$242:AL$380)</f>
        <v>2600.64</v>
      </c>
      <c r="AF68" s="26"/>
      <c r="AG68" s="26"/>
      <c r="AH68" s="26"/>
      <c r="AI68" s="26"/>
      <c r="AJ68" s="26"/>
      <c r="AK68" s="26"/>
      <c r="AL68" s="26"/>
      <c r="AM68" s="26"/>
      <c r="AN68" s="26"/>
      <c r="AO68" s="26"/>
      <c r="AP68" s="27"/>
      <c r="AQ68" s="27"/>
      <c r="AR68" s="27"/>
      <c r="AS68" s="27"/>
      <c r="AT68" s="27"/>
      <c r="AU68" s="27"/>
      <c r="AV68" s="26"/>
      <c r="AW68" s="26"/>
    </row>
    <row r="69" spans="1:49" ht="28.5" customHeight="1">
      <c r="A69" s="26"/>
      <c r="B69" s="158"/>
      <c r="C69" s="42" t="s">
        <v>111</v>
      </c>
      <c r="D69" s="28">
        <f t="shared" si="33"/>
        <v>-0.17429856899436966</v>
      </c>
      <c r="E69" s="29">
        <f t="shared" si="34"/>
        <v>0.39080853588232051</v>
      </c>
      <c r="F69" s="29">
        <f t="shared" si="35"/>
        <v>0.56510710487669014</v>
      </c>
      <c r="G69" s="30" t="e">
        <f t="shared" si="36"/>
        <v>#DIV/0!</v>
      </c>
      <c r="H69" s="31">
        <f>SUMIF(헤몬팜일일!$C$242:$C$380,$C69,헤몬팜일일!O$242:O$380)</f>
        <v>49</v>
      </c>
      <c r="I69" s="138">
        <f t="shared" si="37"/>
        <v>7</v>
      </c>
      <c r="J69" s="31">
        <f>SUMIF(헤몬팜일일!$C$242:$C$380,$C69,헤몬팜일일!P$242:P$380)</f>
        <v>49</v>
      </c>
      <c r="K69" s="31">
        <f>SUMIF(헤몬팜일일!$C$242:$C$380,$C69,헤몬팜일일!Q$242:Q$380)</f>
        <v>5</v>
      </c>
      <c r="L69" s="31">
        <f>SUMIF(헤몬팜일일!$C$242:$C$380,$C69,헤몬팜일일!S$242:S$380)</f>
        <v>0</v>
      </c>
      <c r="M69" s="31">
        <f>SUMIF(헤몬팜일일!$C$242:$C$380,$C69,헤몬팜일일!T$242:T$380)</f>
        <v>789880</v>
      </c>
      <c r="N69" s="31">
        <f>SUMIF(헤몬팜일일!$C$242:$C$380,$C69,헤몬팜일일!U$242:U$380)</f>
        <v>0</v>
      </c>
      <c r="O69" s="31">
        <f>SUMIF(헤몬팜일일!$C$242:$C$380,$C69,헤몬팜일일!V$242:V$380)</f>
        <v>789880</v>
      </c>
      <c r="P69" s="34">
        <f t="shared" si="38"/>
        <v>16120</v>
      </c>
      <c r="Q69" s="34">
        <f t="shared" si="39"/>
        <v>5126.3244999999988</v>
      </c>
      <c r="R69" s="31">
        <f>SUMIF(헤몬팜일일!$C$242:$C$380,$C69,헤몬팜일일!Y$242:Y$380)</f>
        <v>251189.90049999996</v>
      </c>
      <c r="S69" s="31">
        <f>SUMIF(헤몬팜일일!$C$242:$C$380,$C69,헤몬팜일일!Z$242:Z$380)</f>
        <v>446366.8</v>
      </c>
      <c r="T69" s="31">
        <f>SUMIF(헤몬팜일일!$C$242:$C$380,$C69,헤몬팜일일!AA$242:AA$380)</f>
        <v>405788</v>
      </c>
      <c r="U69" s="31">
        <f>SUMIF(헤몬팜일일!$C$242:$C$380,$C69,헤몬팜일일!AB$242:AB$380)</f>
        <v>0</v>
      </c>
      <c r="V69" s="31">
        <f>SUMIF(헤몬팜일일!$C$242:$C$380,$C69,헤몬팜일일!AC$242:AC$380)</f>
        <v>11550</v>
      </c>
      <c r="W69" s="152">
        <v>0.1</v>
      </c>
      <c r="X69" s="31">
        <f>SUMIF(헤몬팜일일!$C$242:$C$380,$C69,헤몬팜일일!AE$242:AE$380)</f>
        <v>142100</v>
      </c>
      <c r="Y69" s="28">
        <f t="shared" si="40"/>
        <v>0.27990074441687346</v>
      </c>
      <c r="Z69" s="31">
        <f>SUMIF(헤몬팜일일!$C$242:$C$380,$C69,헤몬팜일일!AG$242:AG$380)</f>
        <v>203710.81999999998</v>
      </c>
      <c r="AA69" s="31">
        <f>SUMIF(헤몬팜일일!$C$242:$C$380,$C69,헤몬팜일일!AH$242:AH$380)</f>
        <v>26287.433177272724</v>
      </c>
      <c r="AB69" s="31">
        <f>SUMIF(헤몬팜일일!$C$242:$C$380,$C69,헤몬팜일일!AJ$242:AJ$380)</f>
        <v>308691.84632272733</v>
      </c>
      <c r="AC69" s="31">
        <f>SUMIF(헤몬팜일일!$C$242:$C$380,$C69,헤몬팜일일!AK$242:AK$380)</f>
        <v>-137674.95367727272</v>
      </c>
      <c r="AD69" s="31">
        <f>SUMIF(헤몬팜일일!$C$242:$C$380,$C69,헤몬팜일일!AK$242:AK$380)</f>
        <v>-137674.95367727272</v>
      </c>
      <c r="AE69" s="31">
        <f>SUMIF(헤몬팜일일!$C$242:$C$380,$C69,헤몬팜일일!AL$242:AL$380)</f>
        <v>42.525000000000006</v>
      </c>
      <c r="AF69" s="26"/>
      <c r="AG69" s="26"/>
      <c r="AH69" s="26"/>
      <c r="AI69" s="26"/>
      <c r="AJ69" s="26"/>
      <c r="AK69" s="26"/>
      <c r="AL69" s="26"/>
      <c r="AM69" s="26"/>
      <c r="AN69" s="26"/>
      <c r="AO69" s="26"/>
      <c r="AP69" s="27"/>
      <c r="AQ69" s="27"/>
      <c r="AR69" s="27"/>
      <c r="AS69" s="27"/>
      <c r="AT69" s="27"/>
      <c r="AU69" s="27"/>
      <c r="AV69" s="26"/>
      <c r="AW69" s="26"/>
    </row>
    <row r="70" spans="1:49" ht="28.5" customHeight="1">
      <c r="A70" s="26"/>
      <c r="B70" s="158"/>
      <c r="C70" s="42" t="s">
        <v>112</v>
      </c>
      <c r="D70" s="28" t="e">
        <f t="shared" si="33"/>
        <v>#REF!</v>
      </c>
      <c r="E70" s="29" t="e">
        <f t="shared" si="34"/>
        <v>#REF!</v>
      </c>
      <c r="F70" s="29">
        <f t="shared" si="35"/>
        <v>0.30877444514237862</v>
      </c>
      <c r="G70" s="30" t="e">
        <f t="shared" si="36"/>
        <v>#DIV/0!</v>
      </c>
      <c r="H70" s="31">
        <f>SUMIF(헤몬팜일일!$C$242:$C$380,$C70,헤몬팜일일!O$242:O$380)</f>
        <v>48</v>
      </c>
      <c r="I70" s="138">
        <f t="shared" si="37"/>
        <v>6.8571428571428568</v>
      </c>
      <c r="J70" s="31">
        <f>SUMIF(헤몬팜일일!$C$242:$C$380,$C70,헤몬팜일일!P$242:P$380)</f>
        <v>48</v>
      </c>
      <c r="K70" s="31">
        <f>SUMIF(헤몬팜일일!$C$242:$C$380,$C70,헤몬팜일일!Q$242:Q$380)</f>
        <v>3</v>
      </c>
      <c r="L70" s="31">
        <f>SUMIF(헤몬팜일일!$C$242:$C$380,$C70,헤몬팜일일!S$242:S$380)</f>
        <v>0</v>
      </c>
      <c r="M70" s="31">
        <f>SUMIF(헤몬팜일일!$C$242:$C$380,$C70,헤몬팜일일!T$242:T$380)</f>
        <v>1910400</v>
      </c>
      <c r="N70" s="31">
        <f>SUMIF(헤몬팜일일!$C$242:$C$380,$C70,헤몬팜일일!U$242:U$380)</f>
        <v>0</v>
      </c>
      <c r="O70" s="31">
        <f>SUMIF(헤몬팜일일!$C$242:$C$380,$C70,헤몬팜일일!V$242:V$380)</f>
        <v>1910400</v>
      </c>
      <c r="P70" s="34">
        <f t="shared" si="38"/>
        <v>39800</v>
      </c>
      <c r="Q70" s="34" t="e">
        <f t="shared" si="39"/>
        <v>#REF!</v>
      </c>
      <c r="R70" s="31" t="e">
        <f>SUMIF(헤몬팜일일!$C$242:$C$380,$C70,헤몬팜일일!Y$242:Y$380)</f>
        <v>#REF!</v>
      </c>
      <c r="S70" s="31">
        <f>SUMIF(헤몬팜일일!$C$242:$C$380,$C70,헤몬팜일일!Z$242:Z$380)</f>
        <v>589882.70000000007</v>
      </c>
      <c r="T70" s="31">
        <f>SUMIF(헤몬팜일일!$C$242:$C$380,$C70,헤몬팜일일!AA$242:AA$380)</f>
        <v>536257</v>
      </c>
      <c r="U70" s="31">
        <f>SUMIF(헤몬팜일일!$C$242:$C$380,$C70,헤몬팜일일!AB$242:AB$380)</f>
        <v>0</v>
      </c>
      <c r="V70" s="31">
        <f>SUMIF(헤몬팜일일!$C$242:$C$380,$C70,헤몬팜일일!AC$242:AC$380)</f>
        <v>6930</v>
      </c>
      <c r="W70" s="152">
        <v>0.1</v>
      </c>
      <c r="X70" s="31">
        <f>SUMIF(헤몬팜일일!$C$242:$C$380,$C70,헤몬팜일일!AE$242:AE$380)</f>
        <v>199200</v>
      </c>
      <c r="Y70" s="28">
        <f t="shared" si="40"/>
        <v>0.20427135678391961</v>
      </c>
      <c r="Z70" s="31">
        <f>SUMIF(헤몬팜일일!$C$242:$C$380,$C70,헤몬팜일일!AG$242:AG$380)</f>
        <v>352032.21000000008</v>
      </c>
      <c r="AA70" s="31" t="e">
        <f>SUMIF(헤몬팜일일!$C$242:$C$380,$C70,헤몬팜일일!AH$242:AH$380)</f>
        <v>#REF!</v>
      </c>
      <c r="AB70" s="31" t="e">
        <f>SUMIF(헤몬팜일일!$C$242:$C$380,$C70,헤몬팜일일!AJ$242:AJ$380)</f>
        <v>#REF!</v>
      </c>
      <c r="AC70" s="31" t="e">
        <f>SUMIF(헤몬팜일일!$C$242:$C$380,$C70,헤몬팜일일!AK$242:AK$380)</f>
        <v>#REF!</v>
      </c>
      <c r="AD70" s="31" t="e">
        <f>SUMIF(헤몬팜일일!$C$242:$C$380,$C70,헤몬팜일일!AK$242:AK$380)</f>
        <v>#REF!</v>
      </c>
      <c r="AE70" s="31">
        <f>SUMIF(헤몬팜일일!$C$242:$C$380,$C70,헤몬팜일일!AL$242:AL$380)</f>
        <v>1234.9259999999997</v>
      </c>
      <c r="AF70" s="26"/>
      <c r="AG70" s="26"/>
      <c r="AH70" s="26"/>
      <c r="AI70" s="26"/>
      <c r="AJ70" s="26"/>
      <c r="AK70" s="26"/>
      <c r="AL70" s="26"/>
      <c r="AM70" s="26"/>
      <c r="AN70" s="26"/>
      <c r="AO70" s="26"/>
      <c r="AP70" s="27"/>
      <c r="AQ70" s="27"/>
      <c r="AR70" s="27"/>
      <c r="AS70" s="27"/>
      <c r="AT70" s="27"/>
      <c r="AU70" s="27"/>
      <c r="AV70" s="26"/>
      <c r="AW70" s="26"/>
    </row>
    <row r="71" spans="1:49" ht="28.5" customHeight="1">
      <c r="A71" s="26"/>
      <c r="B71" s="158"/>
      <c r="C71" s="42" t="s">
        <v>113</v>
      </c>
      <c r="D71" s="28" t="e">
        <f t="shared" si="33"/>
        <v>#REF!</v>
      </c>
      <c r="E71" s="29" t="e">
        <f t="shared" si="34"/>
        <v>#REF!</v>
      </c>
      <c r="F71" s="29">
        <f t="shared" si="35"/>
        <v>0.33656561085972853</v>
      </c>
      <c r="G71" s="30" t="e">
        <f t="shared" si="36"/>
        <v>#DIV/0!</v>
      </c>
      <c r="H71" s="31">
        <f>SUMIF(헤몬팜일일!$C$242:$C$380,$C71,헤몬팜일일!O$242:O$380)</f>
        <v>17</v>
      </c>
      <c r="I71" s="138">
        <f t="shared" si="37"/>
        <v>2.4285714285714284</v>
      </c>
      <c r="J71" s="31">
        <f>SUMIF(헤몬팜일일!$C$242:$C$380,$C71,헤몬팜일일!P$242:P$380)</f>
        <v>17</v>
      </c>
      <c r="K71" s="31">
        <f>SUMIF(헤몬팜일일!$C$242:$C$380,$C71,헤몬팜일일!Q$242:Q$380)</f>
        <v>3</v>
      </c>
      <c r="L71" s="31">
        <f>SUMIF(헤몬팜일일!$C$242:$C$380,$C71,헤몬팜일일!S$242:S$380)</f>
        <v>0</v>
      </c>
      <c r="M71" s="31">
        <f>SUMIF(헤몬팜일일!$C$242:$C$380,$C71,헤몬팜일일!T$242:T$380)</f>
        <v>729300</v>
      </c>
      <c r="N71" s="31">
        <f>SUMIF(헤몬팜일일!$C$242:$C$380,$C71,헤몬팜일일!U$242:U$380)</f>
        <v>0</v>
      </c>
      <c r="O71" s="31">
        <f>SUMIF(헤몬팜일일!$C$242:$C$380,$C71,헤몬팜일일!V$242:V$380)</f>
        <v>729300</v>
      </c>
      <c r="P71" s="34">
        <f t="shared" si="38"/>
        <v>42900</v>
      </c>
      <c r="Q71" s="34" t="e">
        <f t="shared" si="39"/>
        <v>#REF!</v>
      </c>
      <c r="R71" s="31" t="e">
        <f>SUMIF(헤몬팜일일!$C$242:$C$380,$C71,헤몬팜일일!Y$242:Y$380)</f>
        <v>#REF!</v>
      </c>
      <c r="S71" s="31">
        <f>SUMIF(헤몬팜일일!$C$242:$C$380,$C71,헤몬팜일일!Z$242:Z$380)</f>
        <v>245457.30000000002</v>
      </c>
      <c r="T71" s="31">
        <f>SUMIF(헤몬팜일일!$C$242:$C$380,$C71,헤몬팜일일!AA$242:AA$380)</f>
        <v>223143</v>
      </c>
      <c r="U71" s="31">
        <f>SUMIF(헤몬팜일일!$C$242:$C$380,$C71,헤몬팜일일!AB$242:AB$380)</f>
        <v>0</v>
      </c>
      <c r="V71" s="31">
        <f>SUMIF(헤몬팜일일!$C$242:$C$380,$C71,헤몬팜일일!AC$242:AC$380)</f>
        <v>6930</v>
      </c>
      <c r="W71" s="152">
        <v>0.1</v>
      </c>
      <c r="X71" s="31">
        <f>SUMIF(헤몬팜일일!$C$242:$C$380,$C71,헤몬팜일일!AE$242:AE$380)</f>
        <v>32300</v>
      </c>
      <c r="Y71" s="28">
        <f t="shared" si="40"/>
        <v>0.14428904428904429</v>
      </c>
      <c r="Z71" s="31">
        <f>SUMIF(헤몬팜일일!$C$242:$C$380,$C71,헤몬팜일일!AG$242:AG$380)</f>
        <v>89185.58</v>
      </c>
      <c r="AA71" s="31" t="e">
        <f>SUMIF(헤몬팜일일!$C$242:$C$380,$C71,헤몬팜일일!AH$242:AH$380)</f>
        <v>#REF!</v>
      </c>
      <c r="AB71" s="31" t="e">
        <f>SUMIF(헤몬팜일일!$C$242:$C$380,$C71,헤몬팜일일!AJ$242:AJ$380)</f>
        <v>#REF!</v>
      </c>
      <c r="AC71" s="31" t="e">
        <f>SUMIF(헤몬팜일일!$C$242:$C$380,$C71,헤몬팜일일!AK$242:AK$380)</f>
        <v>#REF!</v>
      </c>
      <c r="AD71" s="31" t="e">
        <f>SUMIF(헤몬팜일일!$C$242:$C$380,$C71,헤몬팜일일!AK$242:AK$380)</f>
        <v>#REF!</v>
      </c>
      <c r="AE71" s="31">
        <f>SUMIF(헤몬팜일일!$C$242:$C$380,$C71,헤몬팜일일!AL$242:AL$380)</f>
        <v>1234.9259999999997</v>
      </c>
      <c r="AF71" s="26"/>
      <c r="AG71" s="26"/>
      <c r="AH71" s="26"/>
      <c r="AI71" s="26"/>
      <c r="AJ71" s="26"/>
      <c r="AK71" s="26"/>
      <c r="AL71" s="26"/>
      <c r="AM71" s="26"/>
      <c r="AN71" s="26"/>
      <c r="AO71" s="26"/>
      <c r="AP71" s="27"/>
      <c r="AQ71" s="27"/>
      <c r="AR71" s="27"/>
      <c r="AS71" s="27"/>
      <c r="AT71" s="27"/>
      <c r="AU71" s="27"/>
      <c r="AV71" s="26"/>
      <c r="AW71" s="26"/>
    </row>
    <row r="72" spans="1:49" ht="28.5" customHeight="1">
      <c r="A72" s="26"/>
      <c r="B72" s="158"/>
      <c r="C72" s="42" t="s">
        <v>114</v>
      </c>
      <c r="D72" s="28">
        <f t="shared" si="33"/>
        <v>0.12094232020744564</v>
      </c>
      <c r="E72" s="29">
        <f t="shared" si="34"/>
        <v>0.36298886968661226</v>
      </c>
      <c r="F72" s="29">
        <f t="shared" si="35"/>
        <v>0.24204654947916671</v>
      </c>
      <c r="G72" s="30" t="e">
        <f t="shared" si="36"/>
        <v>#DIV/0!</v>
      </c>
      <c r="H72" s="31">
        <f>SUMIF(헤몬팜일일!$C$242:$C$380,$C72,헤몬팜일일!O$242:O$380)</f>
        <v>128</v>
      </c>
      <c r="I72" s="138">
        <f t="shared" si="37"/>
        <v>18.285714285714285</v>
      </c>
      <c r="J72" s="31">
        <f>SUMIF(헤몬팜일일!$C$242:$C$380,$C72,헤몬팜일일!P$242:P$380)</f>
        <v>128</v>
      </c>
      <c r="K72" s="31">
        <f>SUMIF(헤몬팜일일!$C$242:$C$380,$C72,헤몬팜일일!Q$242:Q$380)</f>
        <v>19</v>
      </c>
      <c r="L72" s="31">
        <f>SUMIF(헤몬팜일일!$C$242:$C$380,$C72,헤몬팜일일!S$242:S$380)</f>
        <v>0</v>
      </c>
      <c r="M72" s="31">
        <f>SUMIF(헤몬팜일일!$C$242:$C$380,$C72,헤몬팜일일!T$242:T$380)</f>
        <v>2457600</v>
      </c>
      <c r="N72" s="31">
        <f>SUMIF(헤몬팜일일!$C$242:$C$380,$C72,헤몬팜일일!U$242:U$380)</f>
        <v>0</v>
      </c>
      <c r="O72" s="31">
        <f>SUMIF(헤몬팜일일!$C$242:$C$380,$C72,헤몬팜일일!V$242:V$380)</f>
        <v>2457600</v>
      </c>
      <c r="P72" s="34">
        <f t="shared" si="38"/>
        <v>19200</v>
      </c>
      <c r="Q72" s="34">
        <f t="shared" si="39"/>
        <v>6771.435199999999</v>
      </c>
      <c r="R72" s="31">
        <f>SUMIF(헤몬팜일일!$C$242:$C$380,$C72,헤몬팜일일!Y$242:Y$380)</f>
        <v>866743.70559999987</v>
      </c>
      <c r="S72" s="31">
        <f>SUMIF(헤몬팜일일!$C$242:$C$380,$C72,헤몬팜일일!Z$242:Z$380)</f>
        <v>594853.60000000009</v>
      </c>
      <c r="T72" s="31">
        <f>SUMIF(헤몬팜일일!$C$242:$C$380,$C72,헤몬팜일일!AA$242:AA$380)</f>
        <v>540776</v>
      </c>
      <c r="U72" s="31">
        <f>SUMIF(헤몬팜일일!$C$242:$C$380,$C72,헤몬팜일일!AB$242:AB$380)</f>
        <v>0</v>
      </c>
      <c r="V72" s="31">
        <f>SUMIF(헤몬팜일일!$C$242:$C$380,$C72,헤몬팜일일!AC$242:AC$380)</f>
        <v>43890</v>
      </c>
      <c r="W72" s="152">
        <v>0.1</v>
      </c>
      <c r="X72" s="31">
        <f>SUMIF(헤몬팜일일!$C$242:$C$380,$C72,헤몬팜일일!AE$242:AE$380)</f>
        <v>428800</v>
      </c>
      <c r="Y72" s="28">
        <f t="shared" si="40"/>
        <v>0.27447916666666666</v>
      </c>
      <c r="Z72" s="31">
        <f>SUMIF(헤몬팜일일!$C$242:$C$380,$C72,헤몬팜일일!AG$242:AG$380)</f>
        <v>625408.21</v>
      </c>
      <c r="AA72" s="31">
        <f>SUMIF(헤몬팜일일!$C$242:$C$380,$C72,헤몬팜일일!AH$242:AH$380)</f>
        <v>73366.638258181818</v>
      </c>
      <c r="AB72" s="31">
        <f>SUMIF(헤몬팜일일!$C$242:$C$380,$C72,헤몬팜일일!AJ$242:AJ$380)</f>
        <v>892081.44614181831</v>
      </c>
      <c r="AC72" s="31">
        <f>SUMIF(헤몬팜일일!$C$242:$C$380,$C72,헤몬팜일일!AK$242:AK$380)</f>
        <v>297227.84614181839</v>
      </c>
      <c r="AD72" s="31">
        <f>SUMIF(헤몬팜일일!$C$242:$C$380,$C72,헤몬팜일일!AK$242:AK$380)</f>
        <v>297227.84614181839</v>
      </c>
      <c r="AE72" s="31">
        <f>SUMIF(헤몬팜일일!$C$242:$C$380,$C72,헤몬팜일일!AL$242:AL$380)</f>
        <v>457.38000000000011</v>
      </c>
      <c r="AF72" s="26"/>
      <c r="AG72" s="26"/>
      <c r="AH72" s="26"/>
      <c r="AI72" s="26"/>
      <c r="AJ72" s="26"/>
      <c r="AK72" s="26"/>
      <c r="AL72" s="26"/>
      <c r="AM72" s="26"/>
      <c r="AN72" s="26"/>
      <c r="AO72" s="26"/>
      <c r="AP72" s="27"/>
      <c r="AQ72" s="27"/>
      <c r="AR72" s="27"/>
      <c r="AS72" s="27"/>
      <c r="AT72" s="27"/>
      <c r="AU72" s="27"/>
      <c r="AV72" s="26"/>
      <c r="AW72" s="26"/>
    </row>
    <row r="73" spans="1:49" ht="28.5" customHeight="1">
      <c r="A73" s="26"/>
      <c r="B73" s="158"/>
      <c r="C73" s="42" t="s">
        <v>115</v>
      </c>
      <c r="D73" s="28" t="e">
        <f t="shared" si="33"/>
        <v>#REF!</v>
      </c>
      <c r="E73" s="29" t="e">
        <f t="shared" si="34"/>
        <v>#REF!</v>
      </c>
      <c r="F73" s="29">
        <f t="shared" si="35"/>
        <v>0.5255369371490296</v>
      </c>
      <c r="G73" s="30" t="e">
        <f t="shared" si="36"/>
        <v>#DIV/0!</v>
      </c>
      <c r="H73" s="31">
        <f>SUMIF(헤몬팜일일!$C$242:$C$380,$C73,헤몬팜일일!O$242:O$380)</f>
        <v>29</v>
      </c>
      <c r="I73" s="138">
        <f t="shared" si="37"/>
        <v>4.1428571428571432</v>
      </c>
      <c r="J73" s="31">
        <f>SUMIF(헤몬팜일일!$C$242:$C$380,$C73,헤몬팜일일!P$242:P$380)</f>
        <v>29</v>
      </c>
      <c r="K73" s="31">
        <f>SUMIF(헤몬팜일일!$C$242:$C$380,$C73,헤몬팜일일!Q$242:Q$380)</f>
        <v>8</v>
      </c>
      <c r="L73" s="31">
        <f>SUMIF(헤몬팜일일!$C$242:$C$380,$C73,헤몬팜일일!S$242:S$380)</f>
        <v>0</v>
      </c>
      <c r="M73" s="31">
        <f>SUMIF(헤몬팜일일!$C$242:$C$380,$C73,헤몬팜일일!T$242:T$380)</f>
        <v>1444210</v>
      </c>
      <c r="N73" s="31">
        <f>SUMIF(헤몬팜일일!$C$242:$C$380,$C73,헤몬팜일일!U$242:U$380)</f>
        <v>0</v>
      </c>
      <c r="O73" s="31">
        <f>SUMIF(헤몬팜일일!$C$242:$C$380,$C73,헤몬팜일일!V$242:V$380)</f>
        <v>1444210</v>
      </c>
      <c r="P73" s="34">
        <f t="shared" si="38"/>
        <v>49800.34482758621</v>
      </c>
      <c r="Q73" s="34" t="e">
        <f t="shared" si="39"/>
        <v>#REF!</v>
      </c>
      <c r="R73" s="31" t="e">
        <f>SUMIF(헤몬팜일일!$C$242:$C$380,$C73,헤몬팜일일!Y$242:Y$380)</f>
        <v>#REF!</v>
      </c>
      <c r="S73" s="31">
        <f>SUMIF(헤몬팜일일!$C$242:$C$380,$C73,헤몬팜일일!Z$242:Z$380)</f>
        <v>758985.70000000007</v>
      </c>
      <c r="T73" s="31">
        <f>SUMIF(헤몬팜일일!$C$242:$C$380,$C73,헤몬팜일일!AA$242:AA$380)</f>
        <v>689987</v>
      </c>
      <c r="U73" s="31">
        <f>SUMIF(헤몬팜일일!$C$242:$C$380,$C73,헤몬팜일일!AB$242:AB$380)</f>
        <v>0</v>
      </c>
      <c r="V73" s="31">
        <f>SUMIF(헤몬팜일일!$C$242:$C$380,$C73,헤몬팜일일!AC$242:AC$380)</f>
        <v>18480</v>
      </c>
      <c r="W73" s="152">
        <v>0.1</v>
      </c>
      <c r="X73" s="31">
        <f>SUMIF(헤몬팜일일!$C$242:$C$380,$C73,헤몬팜일일!AE$242:AE$380)</f>
        <v>139925</v>
      </c>
      <c r="Y73" s="28">
        <f t="shared" si="40"/>
        <v>0.19688687933195312</v>
      </c>
      <c r="Z73" s="31">
        <f>SUMIF(헤몬팜일일!$C$242:$C$380,$C73,헤몬팜일일!AG$242:AG$380)</f>
        <v>252573.59000000003</v>
      </c>
      <c r="AA73" s="31" t="e">
        <f>SUMIF(헤몬팜일일!$C$242:$C$380,$C73,헤몬팜일일!AH$242:AH$380)</f>
        <v>#REF!</v>
      </c>
      <c r="AB73" s="31" t="e">
        <f>SUMIF(헤몬팜일일!$C$242:$C$380,$C73,헤몬팜일일!AJ$242:AJ$380)</f>
        <v>#REF!</v>
      </c>
      <c r="AC73" s="31" t="e">
        <f>SUMIF(헤몬팜일일!$C$242:$C$380,$C73,헤몬팜일일!AK$242:AK$380)</f>
        <v>#REF!</v>
      </c>
      <c r="AD73" s="31" t="e">
        <f>SUMIF(헤몬팜일일!$C$242:$C$380,$C73,헤몬팜일일!AK$242:AK$380)</f>
        <v>#REF!</v>
      </c>
      <c r="AE73" s="31">
        <f>SUMIF(헤몬팜일일!$C$242:$C$380,$C73,헤몬팜일일!AL$242:AL$380)</f>
        <v>1270.0800000000002</v>
      </c>
      <c r="AF73" s="26"/>
      <c r="AG73" s="26"/>
      <c r="AH73" s="26"/>
      <c r="AI73" s="26"/>
      <c r="AJ73" s="26"/>
      <c r="AK73" s="26"/>
      <c r="AL73" s="26"/>
      <c r="AM73" s="26"/>
      <c r="AN73" s="26"/>
      <c r="AO73" s="26"/>
      <c r="AP73" s="27"/>
      <c r="AQ73" s="27"/>
      <c r="AR73" s="27"/>
      <c r="AS73" s="27"/>
      <c r="AT73" s="27"/>
      <c r="AU73" s="27"/>
      <c r="AV73" s="26"/>
      <c r="AW73" s="26"/>
    </row>
    <row r="74" spans="1:49" ht="28.5" customHeight="1">
      <c r="A74" s="26"/>
      <c r="B74" s="158"/>
      <c r="C74" s="42" t="s">
        <v>116</v>
      </c>
      <c r="D74" s="28" t="e">
        <f t="shared" si="33"/>
        <v>#REF!</v>
      </c>
      <c r="E74" s="29" t="e">
        <f t="shared" si="34"/>
        <v>#REF!</v>
      </c>
      <c r="F74" s="29">
        <f t="shared" si="35"/>
        <v>0.19900138203225187</v>
      </c>
      <c r="G74" s="30" t="e">
        <f t="shared" si="36"/>
        <v>#DIV/0!</v>
      </c>
      <c r="H74" s="31">
        <f>SUMIF(헤몬팜일일!$C$242:$C$380,$C74,헤몬팜일일!O$242:O$380)</f>
        <v>52</v>
      </c>
      <c r="I74" s="138">
        <f t="shared" si="37"/>
        <v>7.4285714285714288</v>
      </c>
      <c r="J74" s="31">
        <f>SUMIF(헤몬팜일일!$C$242:$C$380,$C74,헤몬팜일일!P$242:P$380)</f>
        <v>52</v>
      </c>
      <c r="K74" s="31">
        <f>SUMIF(헤몬팜일일!$C$242:$C$380,$C74,헤몬팜일일!Q$242:Q$380)</f>
        <v>7</v>
      </c>
      <c r="L74" s="31">
        <f>SUMIF(헤몬팜일일!$C$242:$C$380,$C74,헤몬팜일일!S$242:S$380)</f>
        <v>0</v>
      </c>
      <c r="M74" s="31">
        <f>SUMIF(헤몬팜일일!$C$242:$C$380,$C74,헤몬팜일일!T$242:T$380)</f>
        <v>3010060</v>
      </c>
      <c r="N74" s="31">
        <f>SUMIF(헤몬팜일일!$C$242:$C$380,$C74,헤몬팜일일!U$242:U$380)</f>
        <v>0</v>
      </c>
      <c r="O74" s="31">
        <f>SUMIF(헤몬팜일일!$C$242:$C$380,$C74,헤몬팜일일!V$242:V$380)</f>
        <v>3010060</v>
      </c>
      <c r="P74" s="34">
        <f t="shared" si="38"/>
        <v>57885.769230769234</v>
      </c>
      <c r="Q74" s="34" t="e">
        <f t="shared" si="39"/>
        <v>#REF!</v>
      </c>
      <c r="R74" s="31" t="e">
        <f>SUMIF(헤몬팜일일!$C$242:$C$380,$C74,헤몬팜일일!Y$242:Y$380)</f>
        <v>#REF!</v>
      </c>
      <c r="S74" s="31">
        <f>SUMIF(헤몬팜일일!$C$242:$C$380,$C74,헤몬팜일일!Z$242:Z$380)</f>
        <v>599006.10000000009</v>
      </c>
      <c r="T74" s="31">
        <f>SUMIF(헤몬팜일일!$C$242:$C$380,$C74,헤몬팜일일!AA$242:AA$380)</f>
        <v>544551</v>
      </c>
      <c r="U74" s="31">
        <f>SUMIF(헤몬팜일일!$C$242:$C$380,$C74,헤몬팜일일!AB$242:AB$380)</f>
        <v>0</v>
      </c>
      <c r="V74" s="31">
        <f>SUMIF(헤몬팜일일!$C$242:$C$380,$C74,헤몬팜일일!AC$242:AC$380)</f>
        <v>16170</v>
      </c>
      <c r="W74" s="152">
        <v>0.1</v>
      </c>
      <c r="X74" s="31">
        <f>SUMIF(헤몬팜일일!$C$242:$C$380,$C74,헤몬팜일일!AE$242:AE$380)</f>
        <v>250900</v>
      </c>
      <c r="Y74" s="28">
        <f t="shared" si="40"/>
        <v>0.18335382018963076</v>
      </c>
      <c r="Z74" s="31">
        <f>SUMIF(헤몬팜일일!$C$242:$C$380,$C74,헤몬팜일일!AG$242:AG$380)</f>
        <v>485684.88999999996</v>
      </c>
      <c r="AA74" s="31" t="e">
        <f>SUMIF(헤몬팜일일!$C$242:$C$380,$C74,헤몬팜일일!AH$242:AH$380)</f>
        <v>#REF!</v>
      </c>
      <c r="AB74" s="31" t="e">
        <f>SUMIF(헤몬팜일일!$C$242:$C$380,$C74,헤몬팜일일!AJ$242:AJ$380)</f>
        <v>#REF!</v>
      </c>
      <c r="AC74" s="31" t="e">
        <f>SUMIF(헤몬팜일일!$C$242:$C$380,$C74,헤몬팜일일!AK$242:AK$380)</f>
        <v>#REF!</v>
      </c>
      <c r="AD74" s="31" t="e">
        <f>SUMIF(헤몬팜일일!$C$242:$C$380,$C74,헤몬팜일일!AK$242:AK$380)</f>
        <v>#REF!</v>
      </c>
      <c r="AE74" s="31">
        <f>SUMIF(헤몬팜일일!$C$242:$C$380,$C74,헤몬팜일일!AL$242:AL$380)</f>
        <v>1270.0800000000002</v>
      </c>
      <c r="AF74" s="26"/>
      <c r="AG74" s="26"/>
      <c r="AH74" s="26"/>
      <c r="AI74" s="26"/>
      <c r="AJ74" s="26"/>
      <c r="AK74" s="26"/>
      <c r="AL74" s="26"/>
      <c r="AM74" s="26"/>
      <c r="AN74" s="26"/>
      <c r="AO74" s="26"/>
      <c r="AP74" s="27"/>
      <c r="AQ74" s="27"/>
      <c r="AR74" s="27"/>
      <c r="AS74" s="27"/>
      <c r="AT74" s="27"/>
      <c r="AU74" s="27"/>
      <c r="AV74" s="26"/>
      <c r="AW74" s="26"/>
    </row>
    <row r="75" spans="1:49" ht="28.5" customHeight="1">
      <c r="A75" s="26"/>
      <c r="B75" s="158"/>
      <c r="C75" s="42" t="s">
        <v>117</v>
      </c>
      <c r="D75" s="28">
        <f t="shared" si="33"/>
        <v>0.35179946342449803</v>
      </c>
      <c r="E75" s="29">
        <f t="shared" si="34"/>
        <v>0.49826626267055257</v>
      </c>
      <c r="F75" s="29">
        <f t="shared" si="35"/>
        <v>0.14646679924605457</v>
      </c>
      <c r="G75" s="30" t="e">
        <f t="shared" si="36"/>
        <v>#DIV/0!</v>
      </c>
      <c r="H75" s="31">
        <f>SUMIF(헤몬팜일일!$C$242:$C$380,$C75,헤몬팜일일!O$242:O$380)</f>
        <v>141</v>
      </c>
      <c r="I75" s="138">
        <f t="shared" si="37"/>
        <v>20.142857142857142</v>
      </c>
      <c r="J75" s="31">
        <f>SUMIF(헤몬팜일일!$C$242:$C$380,$C75,헤몬팜일일!P$242:P$380)</f>
        <v>141</v>
      </c>
      <c r="K75" s="31">
        <f>SUMIF(헤몬팜일일!$C$242:$C$380,$C75,헤몬팜일일!Q$242:Q$380)</f>
        <v>27</v>
      </c>
      <c r="L75" s="31">
        <f>SUMIF(헤몬팜일일!$C$242:$C$380,$C75,헤몬팜일일!S$242:S$380)</f>
        <v>0</v>
      </c>
      <c r="M75" s="31">
        <f>SUMIF(헤몬팜일일!$C$242:$C$380,$C75,헤몬팜일일!T$242:T$380)</f>
        <v>2504160</v>
      </c>
      <c r="N75" s="31">
        <f>SUMIF(헤몬팜일일!$C$242:$C$380,$C75,헤몬팜일일!U$242:U$380)</f>
        <v>0</v>
      </c>
      <c r="O75" s="31">
        <f>SUMIF(헤몬팜일일!$C$242:$C$380,$C75,헤몬팜일일!V$242:V$380)</f>
        <v>2504160</v>
      </c>
      <c r="P75" s="34">
        <f t="shared" si="38"/>
        <v>17760</v>
      </c>
      <c r="Q75" s="34">
        <f t="shared" si="39"/>
        <v>4837.2101999999995</v>
      </c>
      <c r="R75" s="31">
        <f>SUMIF(헤몬팜일일!$C$242:$C$380,$C75,헤몬팜일일!Y$242:Y$380)</f>
        <v>682046.63819999993</v>
      </c>
      <c r="S75" s="31">
        <f>SUMIF(헤몬팜일일!$C$242:$C$380,$C75,헤몬팜일일!Z$242:Z$380)</f>
        <v>366776.3</v>
      </c>
      <c r="T75" s="31">
        <f>SUMIF(헤몬팜일일!$C$242:$C$380,$C75,헤몬팜일일!AA$242:AA$380)</f>
        <v>333433</v>
      </c>
      <c r="U75" s="31">
        <f>SUMIF(헤몬팜일일!$C$242:$C$380,$C75,헤몬팜일일!AB$242:AB$380)</f>
        <v>0</v>
      </c>
      <c r="V75" s="31">
        <f>SUMIF(헤몬팜일일!$C$242:$C$380,$C75,헤몬팜일일!AC$242:AC$380)</f>
        <v>62370</v>
      </c>
      <c r="W75" s="152">
        <v>0.1</v>
      </c>
      <c r="X75" s="31">
        <f>SUMIF(헤몬팜일일!$C$242:$C$380,$C75,헤몬팜일일!AE$242:AE$380)</f>
        <v>267900</v>
      </c>
      <c r="Y75" s="28">
        <f t="shared" si="40"/>
        <v>0.20698198198198198</v>
      </c>
      <c r="Z75" s="31">
        <f>SUMIF(헤몬팜일일!$C$242:$C$380,$C75,헤몬팜일일!AG$242:AG$380)</f>
        <v>463224.68999999994</v>
      </c>
      <c r="AA75" s="31">
        <f>SUMIF(헤몬팜일일!$C$242:$C$380,$C75,헤몬팜일일!AH$242:AH$380)</f>
        <v>111150.22747090909</v>
      </c>
      <c r="AB75" s="31">
        <f>SUMIF(헤몬팜일일!$C$242:$C$380,$C75,헤몬팜일일!AJ$242:AJ$380)</f>
        <v>1247738.4443290909</v>
      </c>
      <c r="AC75" s="31">
        <f>SUMIF(헤몬팜일일!$C$242:$C$380,$C75,헤몬팜일일!AK$242:AK$380)</f>
        <v>880962.14432909095</v>
      </c>
      <c r="AD75" s="31">
        <f>SUMIF(헤몬팜일일!$C$242:$C$380,$C75,헤몬팜일일!AK$242:AK$380)</f>
        <v>880962.14432909095</v>
      </c>
      <c r="AE75" s="31">
        <f>SUMIF(헤몬팜일일!$C$242:$C$380,$C75,헤몬팜일일!AL$242:AL$380)</f>
        <v>979.77600000000029</v>
      </c>
      <c r="AF75" s="26"/>
      <c r="AG75" s="26"/>
      <c r="AH75" s="26"/>
      <c r="AI75" s="26"/>
      <c r="AJ75" s="26"/>
      <c r="AK75" s="26"/>
      <c r="AL75" s="26"/>
      <c r="AM75" s="26"/>
      <c r="AN75" s="26"/>
      <c r="AO75" s="26"/>
      <c r="AP75" s="27"/>
      <c r="AQ75" s="27"/>
      <c r="AR75" s="27"/>
      <c r="AS75" s="27"/>
      <c r="AT75" s="27"/>
      <c r="AU75" s="27"/>
      <c r="AV75" s="26"/>
      <c r="AW75" s="26"/>
    </row>
    <row r="76" spans="1:49" ht="28.5" customHeight="1">
      <c r="A76" s="26"/>
      <c r="B76" s="158"/>
      <c r="C76" s="42" t="s">
        <v>31</v>
      </c>
      <c r="D76" s="28">
        <f t="shared" si="33"/>
        <v>-7.7041694047619028E-2</v>
      </c>
      <c r="E76" s="29">
        <f t="shared" si="34"/>
        <v>0.37869342499999997</v>
      </c>
      <c r="F76" s="29">
        <f t="shared" si="35"/>
        <v>0.45573511904761904</v>
      </c>
      <c r="G76" s="30" t="e">
        <f t="shared" si="36"/>
        <v>#DIV/0!</v>
      </c>
      <c r="H76" s="31">
        <f>SUMIF(헤몬팜일일!$C$242:$C$380,$C76,헤몬팜일일!O$242:O$380)</f>
        <v>212</v>
      </c>
      <c r="I76" s="138">
        <f>J76/7</f>
        <v>24</v>
      </c>
      <c r="J76" s="31">
        <f>SUMIF(헤몬팜일일!$C$242:$C$380,$C76,헤몬팜일일!P$242:P$380)</f>
        <v>168</v>
      </c>
      <c r="K76" s="31">
        <f>SUMIF(헤몬팜일일!$C$242:$C$380,$C76,헤몬팜일일!Q$242:Q$380)</f>
        <v>16</v>
      </c>
      <c r="L76" s="31">
        <f>SUMIF(헤몬팜일일!$C$242:$C$380,$C76,헤몬팜일일!S$242:S$380)</f>
        <v>44</v>
      </c>
      <c r="M76" s="31">
        <f>SUMIF(헤몬팜일일!$C$242:$C$380,$C76,헤몬팜일일!T$242:T$380)</f>
        <v>4197600</v>
      </c>
      <c r="N76" s="31">
        <f>SUMIF(헤몬팜일일!$C$242:$C$380,$C76,헤몬팜일일!U$242:U$380)</f>
        <v>871200</v>
      </c>
      <c r="O76" s="31">
        <f>SUMIF(헤몬팜일일!$C$242:$C$380,$C76,헤몬팜일일!V$242:V$380)</f>
        <v>3326400</v>
      </c>
      <c r="P76" s="34">
        <f t="shared" si="38"/>
        <v>19800</v>
      </c>
      <c r="Q76" s="34">
        <f t="shared" si="39"/>
        <v>6685.6073999999981</v>
      </c>
      <c r="R76" s="31">
        <f>SUMIF(헤몬팜일일!$C$242:$C$380,$C76,헤몬팜일일!Y$242:Y$380)</f>
        <v>1123182.0431999997</v>
      </c>
      <c r="S76" s="31">
        <f>SUMIF(헤몬팜일일!$C$242:$C$380,$C76,헤몬팜일일!Z$242:Z$380)</f>
        <v>1054639.3</v>
      </c>
      <c r="T76" s="31">
        <f>SUMIF(헤몬팜일일!$C$242:$C$380,$C76,헤몬팜일일!AA$242:AA$380)</f>
        <v>958763</v>
      </c>
      <c r="U76" s="31">
        <f>SUMIF(헤몬팜일일!$C$242:$C$380,$C76,헤몬팜일일!AB$242:AB$380)</f>
        <v>461318</v>
      </c>
      <c r="V76" s="31">
        <f>SUMIF(헤몬팜일일!$C$242:$C$380,$C76,헤몬팜일일!AC$242:AC$380)</f>
        <v>36960</v>
      </c>
      <c r="W76" s="152">
        <v>0.1</v>
      </c>
      <c r="X76" s="31">
        <f>SUMIF(헤몬팜일일!$C$242:$C$380,$C76,헤몬팜일일!AE$242:AE$380)</f>
        <v>571200</v>
      </c>
      <c r="Y76" s="28">
        <f t="shared" si="40"/>
        <v>0.27171717171717169</v>
      </c>
      <c r="Z76" s="31">
        <f>SUMIF(헤몬팜일일!$C$242:$C$380,$C76,헤몬팜일일!AG$242:AG$380)</f>
        <v>837312.21000000008</v>
      </c>
      <c r="AA76" s="31">
        <f>SUMIF(헤몬팜일일!$C$242:$C$380,$C76,헤몬팜일일!AH$242:AH$380)</f>
        <v>106219.93788</v>
      </c>
      <c r="AB76" s="31">
        <f>SUMIF(헤몬팜일일!$C$242:$C$380,$C76,헤몬팜일일!AJ$242:AJ$380)</f>
        <v>1259685.80892</v>
      </c>
      <c r="AC76" s="31">
        <f>SUMIF(헤몬팜일일!$C$242:$C$380,$C76,헤몬팜일일!AK$242:AK$380)</f>
        <v>-256271.49107999995</v>
      </c>
      <c r="AD76" s="31">
        <f>SUMIF(헤몬팜일일!$C$242:$C$380,$C76,헤몬팜일일!AK$242:AK$380)</f>
        <v>-256271.49107999995</v>
      </c>
      <c r="AE76" s="31">
        <f>SUMIF(헤몬팜일일!$C$242:$C$380,$C76,헤몬팜일일!AL$242:AL$380)</f>
        <v>54.431999999999988</v>
      </c>
      <c r="AF76" s="26"/>
      <c r="AG76" s="26"/>
      <c r="AH76" s="26"/>
      <c r="AI76" s="26"/>
      <c r="AJ76" s="26"/>
      <c r="AK76" s="26"/>
      <c r="AL76" s="26"/>
      <c r="AM76" s="26"/>
      <c r="AN76" s="26"/>
      <c r="AO76" s="26"/>
      <c r="AP76" s="27"/>
      <c r="AQ76" s="27"/>
      <c r="AR76" s="27"/>
      <c r="AS76" s="27"/>
      <c r="AT76" s="27"/>
      <c r="AU76" s="27"/>
      <c r="AV76" s="26"/>
      <c r="AW76" s="26"/>
    </row>
    <row r="77" spans="1:49" ht="28.5" customHeight="1">
      <c r="A77" s="26"/>
      <c r="B77" s="158"/>
      <c r="C77" s="42" t="s">
        <v>118</v>
      </c>
      <c r="D77" s="28" t="e">
        <f t="shared" si="33"/>
        <v>#DIV/0!</v>
      </c>
      <c r="E77" s="29" t="e">
        <f t="shared" si="34"/>
        <v>#DIV/0!</v>
      </c>
      <c r="F77" s="29" t="e">
        <f t="shared" si="35"/>
        <v>#DIV/0!</v>
      </c>
      <c r="G77" s="30" t="e">
        <f t="shared" si="36"/>
        <v>#DIV/0!</v>
      </c>
      <c r="H77" s="31">
        <f>SUMIF(헤몬팜일일!$C$242:$C$380,$C77,헤몬팜일일!O$242:O$380)</f>
        <v>0</v>
      </c>
      <c r="I77" s="138">
        <f t="shared" ref="I77:I79" si="41">H77/7</f>
        <v>0</v>
      </c>
      <c r="J77" s="31">
        <f>SUMIF(헤몬팜일일!$C$242:$C$380,$C77,헤몬팜일일!P$242:P$380)</f>
        <v>0</v>
      </c>
      <c r="K77" s="31">
        <f>SUMIF(헤몬팜일일!$C$242:$C$380,$C77,헤몬팜일일!Q$242:Q$380)</f>
        <v>9</v>
      </c>
      <c r="L77" s="31">
        <f>SUMIF(헤몬팜일일!$C$242:$C$380,$C77,헤몬팜일일!S$242:S$380)</f>
        <v>0</v>
      </c>
      <c r="M77" s="31">
        <f>SUMIF(헤몬팜일일!$C$242:$C$380,$C77,헤몬팜일일!T$242:T$380)</f>
        <v>0</v>
      </c>
      <c r="N77" s="31">
        <f>SUMIF(헤몬팜일일!$C$242:$C$380,$C77,헤몬팜일일!U$242:U$380)</f>
        <v>0</v>
      </c>
      <c r="O77" s="31">
        <f>SUMIF(헤몬팜일일!$C$242:$C$380,$C77,헤몬팜일일!V$242:V$380)</f>
        <v>0</v>
      </c>
      <c r="P77" s="34" t="e">
        <f t="shared" si="38"/>
        <v>#DIV/0!</v>
      </c>
      <c r="Q77" s="34" t="e">
        <f t="shared" si="39"/>
        <v>#DIV/0!</v>
      </c>
      <c r="R77" s="31">
        <f>SUMIF(헤몬팜일일!$C$242:$C$380,$C77,헤몬팜일일!Y$242:Y$380)</f>
        <v>0</v>
      </c>
      <c r="S77" s="31">
        <f>SUMIF(헤몬팜일일!$C$242:$C$380,$C77,헤몬팜일일!Z$242:Z$380)</f>
        <v>88629.200000000012</v>
      </c>
      <c r="T77" s="31">
        <f>SUMIF(헤몬팜일일!$C$242:$C$380,$C77,헤몬팜일일!AA$242:AA$380)</f>
        <v>80572</v>
      </c>
      <c r="U77" s="31">
        <f>SUMIF(헤몬팜일일!$C$242:$C$380,$C77,헤몬팜일일!AB$242:AB$380)</f>
        <v>0</v>
      </c>
      <c r="V77" s="31">
        <f>SUMIF(헤몬팜일일!$C$242:$C$380,$C77,헤몬팜일일!AC$242:AC$380)</f>
        <v>20790</v>
      </c>
      <c r="W77" s="152">
        <v>0.1</v>
      </c>
      <c r="X77" s="31">
        <f>SUMIF(헤몬팜일일!$C$242:$C$380,$C77,헤몬팜일일!AE$242:AE$380)</f>
        <v>0</v>
      </c>
      <c r="Y77" s="28" t="e">
        <f t="shared" si="40"/>
        <v>#DIV/0!</v>
      </c>
      <c r="Z77" s="31">
        <f>SUMIF(헤몬팜일일!$C$242:$C$380,$C77,헤몬팜일일!AG$242:AG$380)</f>
        <v>0.18000000000029104</v>
      </c>
      <c r="AA77" s="31">
        <f>SUMIF(헤몬팜일일!$C$242:$C$380,$C77,헤몬팜일일!AH$242:AH$380)</f>
        <v>-1.8000000000938599E-2</v>
      </c>
      <c r="AB77" s="31">
        <f>SUMIF(헤몬팜일일!$C$242:$C$380,$C77,헤몬팜일일!AJ$242:AJ$380)</f>
        <v>-0.16200000000389991</v>
      </c>
      <c r="AC77" s="31">
        <f>SUMIF(헤몬팜일일!$C$242:$C$380,$C77,헤몬팜일일!AK$242:AK$380)</f>
        <v>-88629.362000000008</v>
      </c>
      <c r="AD77" s="31">
        <f>SUMIF(헤몬팜일일!$C$242:$C$380,$C77,헤몬팜일일!AK$242:AK$380)</f>
        <v>-88629.362000000008</v>
      </c>
      <c r="AE77" s="31">
        <f>SUMIF(헤몬팜일일!$C$242:$C$380,$C77,헤몬팜일일!AL$242:AL$380)</f>
        <v>196.55999999999995</v>
      </c>
      <c r="AF77" s="26"/>
      <c r="AG77" s="26"/>
      <c r="AH77" s="26"/>
      <c r="AI77" s="26"/>
      <c r="AJ77" s="26"/>
      <c r="AK77" s="26"/>
      <c r="AL77" s="26"/>
      <c r="AM77" s="26"/>
      <c r="AN77" s="26"/>
      <c r="AO77" s="26"/>
      <c r="AP77" s="27"/>
      <c r="AQ77" s="27"/>
      <c r="AR77" s="27"/>
      <c r="AS77" s="27"/>
      <c r="AT77" s="27"/>
      <c r="AU77" s="27"/>
      <c r="AV77" s="26"/>
      <c r="AW77" s="26"/>
    </row>
    <row r="78" spans="1:49" ht="28.5" customHeight="1">
      <c r="A78" s="26"/>
      <c r="B78" s="158"/>
      <c r="C78" s="42" t="s">
        <v>119</v>
      </c>
      <c r="D78" s="28">
        <f t="shared" si="33"/>
        <v>0.24162897322967475</v>
      </c>
      <c r="E78" s="29">
        <f t="shared" si="34"/>
        <v>0.43444842880843509</v>
      </c>
      <c r="F78" s="29">
        <f t="shared" si="35"/>
        <v>0.19281945557876032</v>
      </c>
      <c r="G78" s="30" t="e">
        <f t="shared" si="36"/>
        <v>#DIV/0!</v>
      </c>
      <c r="H78" s="31">
        <f>SUMIF(헤몬팜일일!$C$242:$C$380,$C78,헤몬팜일일!O$242:O$380)</f>
        <v>158</v>
      </c>
      <c r="I78" s="138">
        <f t="shared" si="41"/>
        <v>22.571428571428573</v>
      </c>
      <c r="J78" s="31">
        <f>SUMIF(헤몬팜일일!$C$242:$C$380,$C78,헤몬팜일일!P$242:P$380)</f>
        <v>158</v>
      </c>
      <c r="K78" s="31">
        <f>SUMIF(헤몬팜일일!$C$242:$C$380,$C78,헤몬팜일일!Q$242:Q$380)</f>
        <v>39</v>
      </c>
      <c r="L78" s="31">
        <f>SUMIF(헤몬팜일일!$C$242:$C$380,$C78,헤몬팜일일!S$242:S$380)</f>
        <v>0</v>
      </c>
      <c r="M78" s="31">
        <f>SUMIF(헤몬팜일일!$C$242:$C$380,$C78,헤몬팜일일!T$242:T$380)</f>
        <v>3916820</v>
      </c>
      <c r="N78" s="31">
        <f>SUMIF(헤몬팜일일!$C$242:$C$380,$C78,헤몬팜일일!U$242:U$380)</f>
        <v>0</v>
      </c>
      <c r="O78" s="31">
        <f>SUMIF(헤몬팜일일!$C$242:$C$380,$C78,헤몬팜일일!V$242:V$380)</f>
        <v>3916820</v>
      </c>
      <c r="P78" s="34">
        <f t="shared" si="38"/>
        <v>24790</v>
      </c>
      <c r="Q78" s="34">
        <f t="shared" si="39"/>
        <v>7253.6180999999988</v>
      </c>
      <c r="R78" s="31">
        <f>SUMIF(헤몬팜일일!$C$242:$C$380,$C78,헤몬팜일일!Y$242:Y$380)</f>
        <v>1146071.6597999998</v>
      </c>
      <c r="S78" s="31">
        <f>SUMIF(헤몬팜일일!$C$242:$C$380,$C78,헤몬팜일일!Z$242:Z$380)</f>
        <v>755239.1</v>
      </c>
      <c r="T78" s="31">
        <f>SUMIF(헤몬팜일일!$C$242:$C$380,$C78,헤몬팜일일!AA$242:AA$380)</f>
        <v>686581</v>
      </c>
      <c r="U78" s="31">
        <f>SUMIF(헤몬팜일일!$C$242:$C$380,$C78,헤몬팜일일!AB$242:AB$380)</f>
        <v>0</v>
      </c>
      <c r="V78" s="31">
        <f>SUMIF(헤몬팜일일!$C$242:$C$380,$C78,헤몬팜일일!AC$242:AC$380)</f>
        <v>90090</v>
      </c>
      <c r="W78" s="152">
        <v>0.1</v>
      </c>
      <c r="X78" s="31">
        <f>SUMIF(헤몬팜일일!$C$242:$C$380,$C78,헤몬팜일일!AE$242:AE$380)</f>
        <v>497700</v>
      </c>
      <c r="Y78" s="28">
        <f t="shared" si="40"/>
        <v>0.22706736587333604</v>
      </c>
      <c r="Z78" s="31">
        <f>SUMIF(헤몬팜일일!$C$242:$C$380,$C78,헤몬팜일일!AG$242:AG$380)</f>
        <v>920716.77</v>
      </c>
      <c r="AA78" s="31">
        <f>SUMIF(헤몬팜일일!$C$242:$C$380,$C78,헤몬팜일일!AH$242:AH$380)</f>
        <v>148375.27527454545</v>
      </c>
      <c r="AB78" s="31">
        <f>SUMIF(헤몬팜일일!$C$242:$C$380,$C78,헤몬팜일일!AJ$242:AJ$380)</f>
        <v>1701656.2949254548</v>
      </c>
      <c r="AC78" s="31">
        <f>SUMIF(헤몬팜일일!$C$242:$C$380,$C78,헤몬팜일일!AK$242:AK$380)</f>
        <v>946417.19492545468</v>
      </c>
      <c r="AD78" s="31">
        <f>SUMIF(헤몬팜일일!$C$242:$C$380,$C78,헤몬팜일일!AK$242:AK$380)</f>
        <v>946417.19492545468</v>
      </c>
      <c r="AE78" s="31">
        <f>SUMIF(헤몬팜일일!$C$242:$C$380,$C78,헤몬팜일일!AL$242:AL$380)</f>
        <v>452.08800000000002</v>
      </c>
      <c r="AF78" s="26"/>
      <c r="AG78" s="26"/>
      <c r="AH78" s="26"/>
      <c r="AI78" s="26"/>
      <c r="AJ78" s="26"/>
      <c r="AK78" s="26"/>
      <c r="AL78" s="26"/>
      <c r="AM78" s="26"/>
      <c r="AN78" s="26"/>
      <c r="AO78" s="26"/>
      <c r="AP78" s="27"/>
      <c r="AQ78" s="27"/>
      <c r="AR78" s="27"/>
      <c r="AS78" s="27"/>
      <c r="AT78" s="27"/>
      <c r="AU78" s="27"/>
      <c r="AV78" s="26"/>
      <c r="AW78" s="26"/>
    </row>
    <row r="79" spans="1:49" ht="28.5" customHeight="1">
      <c r="A79" s="26"/>
      <c r="B79" s="158"/>
      <c r="C79" s="42" t="s">
        <v>120</v>
      </c>
      <c r="D79" s="28">
        <f t="shared" si="33"/>
        <v>-0.75685425188061528</v>
      </c>
      <c r="E79" s="29">
        <f t="shared" si="34"/>
        <v>0.41263737291000452</v>
      </c>
      <c r="F79" s="29">
        <f t="shared" si="35"/>
        <v>1.16949162479062</v>
      </c>
      <c r="G79" s="30" t="e">
        <f t="shared" si="36"/>
        <v>#DIV/0!</v>
      </c>
      <c r="H79" s="31">
        <f>SUMIF(헤몬팜일일!$C$242:$C$380,$C79,헤몬팜일일!O$242:O$380)</f>
        <v>6</v>
      </c>
      <c r="I79" s="138">
        <f t="shared" si="41"/>
        <v>0.8571428571428571</v>
      </c>
      <c r="J79" s="31">
        <f>SUMIF(헤몬팜일일!$C$242:$C$380,$C79,헤몬팜일일!P$242:P$380)</f>
        <v>6</v>
      </c>
      <c r="K79" s="31">
        <f>SUMIF(헤몬팜일일!$C$242:$C$380,$C79,헤몬팜일일!Q$242:Q$380)</f>
        <v>1</v>
      </c>
      <c r="L79" s="31">
        <f>SUMIF(헤몬팜일일!$C$242:$C$380,$C79,헤몬팜일일!S$242:S$380)</f>
        <v>0</v>
      </c>
      <c r="M79" s="31">
        <f>SUMIF(헤몬팜일일!$C$242:$C$380,$C79,헤몬팜일일!T$242:T$380)</f>
        <v>238800</v>
      </c>
      <c r="N79" s="31">
        <f>SUMIF(헤몬팜일일!$C$242:$C$380,$C79,헤몬팜일일!U$242:U$380)</f>
        <v>0</v>
      </c>
      <c r="O79" s="31">
        <f>SUMIF(헤몬팜일일!$C$242:$C$380,$C79,헤몬팜일일!V$242:V$380)</f>
        <v>238800</v>
      </c>
      <c r="P79" s="34">
        <f t="shared" si="38"/>
        <v>39800</v>
      </c>
      <c r="Q79" s="34">
        <f t="shared" si="39"/>
        <v>14113.034599999999</v>
      </c>
      <c r="R79" s="31">
        <f>SUMIF(헤몬팜일일!$C$242:$C$380,$C79,헤몬팜일일!Y$242:Y$380)</f>
        <v>84678.207599999994</v>
      </c>
      <c r="S79" s="31">
        <f>SUMIF(헤몬팜일일!$C$242:$C$380,$C79,헤몬팜일일!Z$242:Z$380)</f>
        <v>279274.60000000003</v>
      </c>
      <c r="T79" s="31">
        <f>SUMIF(헤몬팜일일!$C$242:$C$380,$C79,헤몬팜일일!AA$242:AA$380)</f>
        <v>253886</v>
      </c>
      <c r="U79" s="31">
        <f>SUMIF(헤몬팜일일!$C$242:$C$380,$C79,헤몬팜일일!AB$242:AB$380)</f>
        <v>0</v>
      </c>
      <c r="V79" s="31">
        <f>SUMIF(헤몬팜일일!$C$242:$C$380,$C79,헤몬팜일일!AC$242:AC$380)</f>
        <v>2310</v>
      </c>
      <c r="W79" s="152">
        <v>0.1</v>
      </c>
      <c r="X79" s="31">
        <f>SUMIF(헤몬팜일일!$C$242:$C$380,$C79,헤몬팜일일!AE$242:AE$380)</f>
        <v>21300</v>
      </c>
      <c r="Y79" s="28">
        <f t="shared" si="40"/>
        <v>0.18919597989949749</v>
      </c>
      <c r="Z79" s="31">
        <f>SUMIF(헤몬팜일일!$C$242:$C$380,$C79,헤몬팜일일!AG$242:AG$380)</f>
        <v>47090.52</v>
      </c>
      <c r="AA79" s="31">
        <f>SUMIF(헤몬팜일일!$C$242:$C$380,$C79,헤몬팜일일!AH$242:AH$380)</f>
        <v>8493.4677490909089</v>
      </c>
      <c r="AB79" s="31">
        <f>SUMIF(헤몬팜일일!$C$242:$C$380,$C79,헤몬팜일일!AJ$242:AJ$380)</f>
        <v>98537.804650909078</v>
      </c>
      <c r="AC79" s="31">
        <f>SUMIF(헤몬팜일일!$C$242:$C$380,$C79,헤몬팜일일!AK$242:AK$380)</f>
        <v>-180736.79534909094</v>
      </c>
      <c r="AD79" s="31">
        <f>SUMIF(헤몬팜일일!$C$242:$C$380,$C79,헤몬팜일일!AK$242:AK$380)</f>
        <v>-180736.79534909094</v>
      </c>
      <c r="AE79" s="31">
        <f>SUMIF(헤몬팜일일!$C$242:$C$380,$C79,헤몬팜일일!AL$242:AL$380)</f>
        <v>452.08800000000002</v>
      </c>
      <c r="AF79" s="26"/>
      <c r="AG79" s="26"/>
      <c r="AH79" s="26"/>
      <c r="AI79" s="26"/>
      <c r="AJ79" s="26"/>
      <c r="AK79" s="26"/>
      <c r="AL79" s="26"/>
      <c r="AM79" s="26"/>
      <c r="AN79" s="26"/>
      <c r="AO79" s="26"/>
      <c r="AP79" s="27"/>
      <c r="AQ79" s="27"/>
      <c r="AR79" s="27"/>
      <c r="AS79" s="27"/>
      <c r="AT79" s="27"/>
      <c r="AU79" s="27"/>
      <c r="AV79" s="26"/>
      <c r="AW79" s="26"/>
    </row>
    <row r="80" spans="1:49" ht="28.5" customHeight="1">
      <c r="A80" s="26"/>
      <c r="B80" s="104"/>
      <c r="C80" s="104"/>
      <c r="D80" s="29" t="e">
        <f>AC80/P80</f>
        <v>#REF!</v>
      </c>
      <c r="E80" s="166" t="e">
        <f>AB80/P80</f>
        <v>#REF!</v>
      </c>
      <c r="F80" s="29" t="e">
        <f>T80/P80</f>
        <v>#DIV/0!</v>
      </c>
      <c r="G80" s="128"/>
      <c r="H80" s="128">
        <f t="shared" ref="H80:O80" si="42">SUM(H63:H79)</f>
        <v>2336</v>
      </c>
      <c r="I80" s="128">
        <f t="shared" si="42"/>
        <v>327.42857142857139</v>
      </c>
      <c r="J80" s="128">
        <f t="shared" si="42"/>
        <v>2292</v>
      </c>
      <c r="K80" s="128">
        <f t="shared" si="42"/>
        <v>248</v>
      </c>
      <c r="L80" s="128">
        <f t="shared" si="42"/>
        <v>44</v>
      </c>
      <c r="M80" s="128">
        <f t="shared" si="42"/>
        <v>64458210</v>
      </c>
      <c r="N80" s="128">
        <f t="shared" si="42"/>
        <v>871200</v>
      </c>
      <c r="O80" s="128">
        <f t="shared" si="42"/>
        <v>63587010</v>
      </c>
      <c r="P80" s="128"/>
      <c r="Q80" s="128" t="e">
        <f t="shared" ref="Q80:V80" si="43">SUM(Q63:Q79)</f>
        <v>#REF!</v>
      </c>
      <c r="R80" s="128" t="e">
        <f t="shared" si="43"/>
        <v>#REF!</v>
      </c>
      <c r="S80" s="128">
        <f t="shared" si="43"/>
        <v>16423481.800000001</v>
      </c>
      <c r="T80" s="128">
        <f t="shared" si="43"/>
        <v>14930438</v>
      </c>
      <c r="U80" s="128">
        <f t="shared" si="43"/>
        <v>461318</v>
      </c>
      <c r="V80" s="128">
        <f t="shared" si="43"/>
        <v>558804</v>
      </c>
      <c r="W80" s="154">
        <v>0.09</v>
      </c>
      <c r="X80" s="128">
        <f>SUM(X63:X79)</f>
        <v>7200200</v>
      </c>
      <c r="Y80" s="28"/>
      <c r="Z80" s="128">
        <f t="shared" ref="Z80:AC80" si="44">SUM(Z63:Z79)</f>
        <v>13286290.210000003</v>
      </c>
      <c r="AA80" s="128" t="e">
        <f t="shared" si="44"/>
        <v>#REF!</v>
      </c>
      <c r="AB80" s="128" t="e">
        <f t="shared" si="44"/>
        <v>#REF!</v>
      </c>
      <c r="AC80" s="128" t="e">
        <f t="shared" si="44"/>
        <v>#REF!</v>
      </c>
      <c r="AD80" s="26"/>
      <c r="AE80" s="26"/>
      <c r="AF80" s="26"/>
      <c r="AG80" s="26"/>
      <c r="AH80" s="26"/>
      <c r="AI80" s="26"/>
      <c r="AJ80" s="26"/>
      <c r="AK80" s="26"/>
      <c r="AL80" s="26"/>
      <c r="AM80" s="26"/>
      <c r="AN80" s="26"/>
      <c r="AO80" s="26"/>
      <c r="AP80" s="27"/>
      <c r="AQ80" s="27"/>
      <c r="AR80" s="27"/>
      <c r="AS80" s="27"/>
      <c r="AT80" s="27"/>
      <c r="AU80" s="27"/>
      <c r="AV80" s="26"/>
      <c r="AW80" s="26"/>
    </row>
    <row r="81" spans="1:49" ht="28.5" customHeight="1">
      <c r="A81" s="155"/>
      <c r="B81" s="155"/>
      <c r="C81" s="1"/>
      <c r="D81" s="10"/>
      <c r="E81" s="10"/>
      <c r="F81" s="156"/>
      <c r="G81" s="10"/>
      <c r="H81" s="10"/>
      <c r="I81" s="10"/>
      <c r="J81" s="10"/>
      <c r="K81" s="10"/>
      <c r="L81" s="10"/>
      <c r="M81" s="10"/>
      <c r="N81" s="10"/>
      <c r="O81" s="10"/>
      <c r="P81" s="10"/>
      <c r="Q81" s="10"/>
      <c r="R81" s="10"/>
      <c r="S81" s="10"/>
      <c r="T81" s="1"/>
      <c r="U81" s="10"/>
      <c r="V81" s="10"/>
      <c r="W81" s="10"/>
      <c r="X81" s="8"/>
      <c r="Y81" s="59"/>
      <c r="Z81" s="1"/>
      <c r="AA81" s="8"/>
      <c r="AB81" s="157"/>
      <c r="AC81" s="1"/>
      <c r="AD81" s="155"/>
      <c r="AE81" s="155"/>
      <c r="AF81" s="155"/>
      <c r="AG81" s="155"/>
      <c r="AH81" s="155"/>
      <c r="AI81" s="155"/>
      <c r="AJ81" s="155"/>
      <c r="AK81" s="155"/>
      <c r="AL81" s="155"/>
      <c r="AM81" s="155"/>
      <c r="AN81" s="155"/>
      <c r="AO81" s="155"/>
      <c r="AP81" s="7"/>
      <c r="AQ81" s="7"/>
      <c r="AR81" s="7"/>
      <c r="AS81" s="7"/>
      <c r="AT81" s="7"/>
      <c r="AU81" s="7"/>
    </row>
    <row r="82" spans="1:49" ht="28.5" customHeight="1">
      <c r="A82" s="26"/>
      <c r="B82" s="158"/>
      <c r="C82" s="159" t="s">
        <v>97</v>
      </c>
      <c r="D82" s="160" t="s">
        <v>0</v>
      </c>
      <c r="E82" s="160" t="s">
        <v>1</v>
      </c>
      <c r="F82" s="161" t="s">
        <v>2</v>
      </c>
      <c r="G82" s="162" t="s">
        <v>3</v>
      </c>
      <c r="H82" s="163" t="s">
        <v>8</v>
      </c>
      <c r="I82" s="163" t="s">
        <v>102</v>
      </c>
      <c r="J82" s="163" t="s">
        <v>9</v>
      </c>
      <c r="K82" s="164" t="s">
        <v>10</v>
      </c>
      <c r="L82" s="14" t="s">
        <v>11</v>
      </c>
      <c r="M82" s="16" t="s">
        <v>12</v>
      </c>
      <c r="N82" s="16" t="s">
        <v>13</v>
      </c>
      <c r="O82" s="17" t="s">
        <v>14</v>
      </c>
      <c r="P82" s="18" t="s">
        <v>15</v>
      </c>
      <c r="Q82" s="18" t="s">
        <v>16</v>
      </c>
      <c r="R82" s="18" t="s">
        <v>17</v>
      </c>
      <c r="S82" s="19" t="s">
        <v>18</v>
      </c>
      <c r="T82" s="19" t="s">
        <v>19</v>
      </c>
      <c r="U82" s="20" t="s">
        <v>20</v>
      </c>
      <c r="V82" s="21" t="s">
        <v>93</v>
      </c>
      <c r="W82" s="146" t="s">
        <v>21</v>
      </c>
      <c r="X82" s="21" t="s">
        <v>22</v>
      </c>
      <c r="Y82" s="147" t="s">
        <v>23</v>
      </c>
      <c r="Z82" s="23" t="s">
        <v>21</v>
      </c>
      <c r="AA82" s="23" t="s">
        <v>24</v>
      </c>
      <c r="AB82" s="23" t="s">
        <v>26</v>
      </c>
      <c r="AC82" s="24" t="s">
        <v>27</v>
      </c>
      <c r="AD82" s="124" t="s">
        <v>94</v>
      </c>
      <c r="AE82" s="125" t="s">
        <v>95</v>
      </c>
      <c r="AF82" s="26"/>
      <c r="AG82" s="26"/>
      <c r="AH82" s="26"/>
      <c r="AI82" s="26"/>
      <c r="AJ82" s="26"/>
      <c r="AK82" s="26"/>
      <c r="AL82" s="26"/>
      <c r="AM82" s="26"/>
      <c r="AN82" s="26"/>
      <c r="AO82" s="26"/>
      <c r="AP82" s="27"/>
      <c r="AQ82" s="27"/>
      <c r="AR82" s="27"/>
      <c r="AS82" s="27"/>
      <c r="AT82" s="27"/>
      <c r="AU82" s="27"/>
      <c r="AV82" s="26"/>
      <c r="AW82" s="26"/>
    </row>
    <row r="83" spans="1:49" ht="28.5" customHeight="1">
      <c r="A83" s="26"/>
      <c r="B83" s="165"/>
      <c r="C83" s="42" t="s">
        <v>107</v>
      </c>
      <c r="D83" s="28">
        <f t="shared" ref="D83:D99" si="45">AC83/O83</f>
        <v>0.18111289692977012</v>
      </c>
      <c r="E83" s="29">
        <f t="shared" ref="E83:E99" si="46">AB83/O83</f>
        <v>0.42270749786873729</v>
      </c>
      <c r="F83" s="29">
        <f t="shared" ref="F83:F99" si="47">(S83+U83)/O83</f>
        <v>0.2415946009389672</v>
      </c>
      <c r="G83" s="30" t="e">
        <f t="shared" ref="G83:G99" si="48">H83/AG83</f>
        <v>#DIV/0!</v>
      </c>
      <c r="H83" s="31">
        <f>SUMIF(헤몬팜일일!$C$242:$C$380,$C83,헤몬팜일일!O$242:O$380)</f>
        <v>1420</v>
      </c>
      <c r="I83" s="138">
        <f t="shared" ref="I83:I95" si="49">H83/7</f>
        <v>202.85714285714286</v>
      </c>
      <c r="J83" s="31">
        <f>SUMIF(헤몬팜일일!$C$242:$C$380,$C83,헤몬팜일일!P$242:P$380)</f>
        <v>1420</v>
      </c>
      <c r="K83" s="31">
        <f>SUMIF(헤몬팜일일!$C$242:$C$380,$C83,헤몬팜일일!Q$242:Q$380)</f>
        <v>102</v>
      </c>
      <c r="L83" s="31">
        <f>SUMIF(헤몬팜일일!$C$242:$C$380,$C83,헤몬팜일일!S$242:S$380)</f>
        <v>0</v>
      </c>
      <c r="M83" s="31">
        <f>SUMIF(헤몬팜일일!$C$242:$C$380,$C83,헤몬팜일일!T$242:T$380)</f>
        <v>39618000</v>
      </c>
      <c r="N83" s="31">
        <f>SUMIF(헤몬팜일일!$C$242:$C$380,$C83,헤몬팜일일!U$242:U$380)</f>
        <v>0</v>
      </c>
      <c r="O83" s="31">
        <f>SUMIF(헤몬팜일일!$C$242:$C$380,$C83,헤몬팜일일!V$242:V$380)</f>
        <v>39618000</v>
      </c>
      <c r="P83" s="34">
        <f t="shared" ref="P83:P99" si="50">O83/J83</f>
        <v>27900</v>
      </c>
      <c r="Q83" s="34">
        <f t="shared" ref="Q83:Q99" si="51">R83/J83</f>
        <v>9245.0616000000009</v>
      </c>
      <c r="R83" s="31">
        <f>SUMIF(헤몬팜일일!$C$242:$C$380,$C83,헤몬팜일일!Y$242:Y$380)</f>
        <v>13127987.472000001</v>
      </c>
      <c r="S83" s="31">
        <f>SUMIF(헤몬팜일일!$C$242:$C$380,$C83,헤몬팜일일!Z$242:Z$380)</f>
        <v>9571494.9000000022</v>
      </c>
      <c r="T83" s="31">
        <f>SUMIF(헤몬팜일일!$C$242:$C$380,$C83,헤몬팜일일!AA$242:AA$380)</f>
        <v>8701359</v>
      </c>
      <c r="U83" s="31">
        <f>SUMIF(헤몬팜일일!$C$242:$C$380,$C83,헤몬팜일일!AB$242:AB$380)</f>
        <v>0</v>
      </c>
      <c r="V83" s="31">
        <f>SUMIF(헤몬팜일일!$C$242:$C$380,$C83,헤몬팜일일!AC$242:AC$380)</f>
        <v>221544</v>
      </c>
      <c r="W83" s="152">
        <v>0.1</v>
      </c>
      <c r="X83" s="31">
        <f>SUMIF(헤몬팜일일!$C$242:$C$380,$C83,헤몬팜일일!AE$242:AE$380)</f>
        <v>4331000</v>
      </c>
      <c r="Y83" s="28">
        <f t="shared" ref="Y83:Y99" si="52">W83+(X83/O83)</f>
        <v>0.20931899641577062</v>
      </c>
      <c r="Z83" s="31">
        <f>SUMIF(헤몬팜일일!$C$242:$C$380,$C83,헤몬팜일일!AG$242:AG$380)</f>
        <v>8292800.2100000009</v>
      </c>
      <c r="AA83" s="31">
        <f>SUMIF(헤몬팜일일!$C$242:$C$380,$C83,헤몬팜일일!AH$242:AH$380)</f>
        <v>1450386.6674363636</v>
      </c>
      <c r="AB83" s="31">
        <f>SUMIF(헤몬팜일일!$C$242:$C$380,$C83,헤몬팜일일!AJ$242:AJ$380)</f>
        <v>16746825.650563635</v>
      </c>
      <c r="AC83" s="31">
        <f>SUMIF(헤몬팜일일!$C$242:$C$380,$C83,헤몬팜일일!AK$242:AK$380)</f>
        <v>7175330.7505636327</v>
      </c>
      <c r="AD83" s="31">
        <f>SUMIF(헤몬팜일일!$C$242:$C$380,$C83,헤몬팜일일!AK$242:AK$380)</f>
        <v>7175330.7505636327</v>
      </c>
      <c r="AE83" s="31">
        <f>SUMIF(헤몬팜일일!$C$242:$C$380,$C83,헤몬팜일일!AL$242:AL$380)</f>
        <v>452.08800000000002</v>
      </c>
      <c r="AF83" s="26"/>
      <c r="AG83" s="26"/>
      <c r="AH83" s="26"/>
      <c r="AI83" s="26"/>
      <c r="AJ83" s="26"/>
      <c r="AK83" s="26"/>
      <c r="AL83" s="26"/>
      <c r="AM83" s="26"/>
      <c r="AN83" s="26"/>
      <c r="AO83" s="26"/>
      <c r="AP83" s="27"/>
      <c r="AQ83" s="27"/>
      <c r="AR83" s="27"/>
      <c r="AS83" s="27"/>
      <c r="AT83" s="27"/>
      <c r="AU83" s="27"/>
      <c r="AV83" s="26"/>
      <c r="AW83" s="26"/>
    </row>
    <row r="84" spans="1:49" ht="28.5" customHeight="1">
      <c r="A84" s="26"/>
      <c r="B84" s="158"/>
      <c r="C84" s="42" t="s">
        <v>108</v>
      </c>
      <c r="D84" s="28">
        <f t="shared" si="45"/>
        <v>0.15082571672673872</v>
      </c>
      <c r="E84" s="29">
        <f t="shared" si="46"/>
        <v>0.40985068001601921</v>
      </c>
      <c r="F84" s="29">
        <f t="shared" si="47"/>
        <v>0.25902496328928049</v>
      </c>
      <c r="G84" s="30" t="e">
        <f t="shared" si="48"/>
        <v>#DIV/0!</v>
      </c>
      <c r="H84" s="31">
        <f>SUMIF(헤몬팜일일!$C$242:$C$380,$C84,헤몬팜일일!O$242:O$380)</f>
        <v>3</v>
      </c>
      <c r="I84" s="138">
        <f t="shared" si="49"/>
        <v>0.42857142857142855</v>
      </c>
      <c r="J84" s="31">
        <f>SUMIF(헤몬팜일일!$C$242:$C$380,$C84,헤몬팜일일!P$242:P$380)</f>
        <v>3</v>
      </c>
      <c r="K84" s="31">
        <f>SUMIF(헤몬팜일일!$C$242:$C$380,$C84,헤몬팜일일!Q$242:Q$380)</f>
        <v>0</v>
      </c>
      <c r="L84" s="31">
        <f>SUMIF(헤몬팜일일!$C$242:$C$380,$C84,헤몬팜일일!S$242:S$380)</f>
        <v>0</v>
      </c>
      <c r="M84" s="31">
        <f>SUMIF(헤몬팜일일!$C$242:$C$380,$C84,헤몬팜일일!T$242:T$380)</f>
        <v>68100</v>
      </c>
      <c r="N84" s="31">
        <f>SUMIF(헤몬팜일일!$C$242:$C$380,$C84,헤몬팜일일!U$242:U$380)</f>
        <v>0</v>
      </c>
      <c r="O84" s="31">
        <f>SUMIF(헤몬팜일일!$C$242:$C$380,$C84,헤몬팜일일!V$242:V$380)</f>
        <v>68100</v>
      </c>
      <c r="P84" s="34">
        <f t="shared" si="50"/>
        <v>22700</v>
      </c>
      <c r="Q84" s="34">
        <f t="shared" si="51"/>
        <v>7377.3279999999986</v>
      </c>
      <c r="R84" s="31">
        <f>SUMIF(헤몬팜일일!$C$242:$C$380,$C84,헤몬팜일일!Y$242:Y$380)</f>
        <v>22131.983999999997</v>
      </c>
      <c r="S84" s="31">
        <f>SUMIF(헤몬팜일일!$C$242:$C$380,$C84,헤몬팜일일!Z$242:Z$380)</f>
        <v>17639.600000000002</v>
      </c>
      <c r="T84" s="31">
        <f>SUMIF(헤몬팜일일!$C$242:$C$380,$C84,헤몬팜일일!AA$242:AA$380)</f>
        <v>16036</v>
      </c>
      <c r="U84" s="31">
        <f>SUMIF(헤몬팜일일!$C$242:$C$380,$C84,헤몬팜일일!AB$242:AB$380)</f>
        <v>0</v>
      </c>
      <c r="V84" s="31">
        <f>SUMIF(헤몬팜일일!$C$242:$C$380,$C84,헤몬팜일일!AC$242:AC$380)</f>
        <v>0</v>
      </c>
      <c r="W84" s="152">
        <v>0.1</v>
      </c>
      <c r="X84" s="31">
        <f>SUMIF(헤몬팜일일!$C$242:$C$380,$C84,헤몬팜일일!AE$242:AE$380)</f>
        <v>8850</v>
      </c>
      <c r="Y84" s="28">
        <f t="shared" si="52"/>
        <v>0.22995594713656389</v>
      </c>
      <c r="Z84" s="31">
        <f>SUMIF(헤몬팜일일!$C$242:$C$380,$C84,헤몬팜일일!AG$242:AG$380)</f>
        <v>15660.060000000001</v>
      </c>
      <c r="AA84" s="31">
        <f>SUMIF(헤몬팜일일!$C$242:$C$380,$C84,헤몬팜일일!AH$242:AH$380)</f>
        <v>2397.1246909090901</v>
      </c>
      <c r="AB84" s="31">
        <f>SUMIF(헤몬팜일일!$C$242:$C$380,$C84,헤몬팜일일!AJ$242:AJ$380)</f>
        <v>27910.831309090907</v>
      </c>
      <c r="AC84" s="31">
        <f>SUMIF(헤몬팜일일!$C$242:$C$380,$C84,헤몬팜일일!AK$242:AK$380)</f>
        <v>10271.231309090907</v>
      </c>
      <c r="AD84" s="31">
        <f>SUMIF(헤몬팜일일!$C$242:$C$380,$C84,헤몬팜일일!AK$242:AK$380)</f>
        <v>10271.231309090907</v>
      </c>
      <c r="AE84" s="31">
        <f>SUMIF(헤몬팜일일!$C$242:$C$380,$C84,헤몬팜일일!AL$242:AL$380)</f>
        <v>340.20000000000005</v>
      </c>
      <c r="AF84" s="26"/>
      <c r="AG84" s="26"/>
      <c r="AH84" s="26"/>
      <c r="AI84" s="26"/>
      <c r="AJ84" s="26"/>
      <c r="AK84" s="26"/>
      <c r="AL84" s="26"/>
      <c r="AM84" s="26"/>
      <c r="AN84" s="26"/>
      <c r="AO84" s="26"/>
      <c r="AP84" s="27"/>
      <c r="AQ84" s="27"/>
      <c r="AR84" s="27"/>
      <c r="AS84" s="27"/>
      <c r="AT84" s="27"/>
      <c r="AU84" s="27"/>
      <c r="AV84" s="26"/>
      <c r="AW84" s="26"/>
    </row>
    <row r="85" spans="1:49" ht="28.5" customHeight="1">
      <c r="A85" s="26"/>
      <c r="B85" s="158"/>
      <c r="C85" s="42" t="s">
        <v>109</v>
      </c>
      <c r="D85" s="28" t="e">
        <f t="shared" si="45"/>
        <v>#REF!</v>
      </c>
      <c r="E85" s="29" t="e">
        <f t="shared" si="46"/>
        <v>#REF!</v>
      </c>
      <c r="F85" s="29">
        <f t="shared" si="47"/>
        <v>0.19586965065502188</v>
      </c>
      <c r="G85" s="30" t="e">
        <f t="shared" si="48"/>
        <v>#DIV/0!</v>
      </c>
      <c r="H85" s="31">
        <f>SUMIF(헤몬팜일일!$C$242:$C$380,$C85,헤몬팜일일!O$242:O$380)</f>
        <v>20</v>
      </c>
      <c r="I85" s="138">
        <f t="shared" si="49"/>
        <v>2.8571428571428572</v>
      </c>
      <c r="J85" s="31">
        <f>SUMIF(헤몬팜일일!$C$242:$C$380,$C85,헤몬팜일일!P$242:P$380)</f>
        <v>20</v>
      </c>
      <c r="K85" s="31">
        <f>SUMIF(헤몬팜일일!$C$242:$C$380,$C85,헤몬팜일일!Q$242:Q$380)</f>
        <v>2</v>
      </c>
      <c r="L85" s="31">
        <f>SUMIF(헤몬팜일일!$C$242:$C$380,$C85,헤몬팜일일!S$242:S$380)</f>
        <v>0</v>
      </c>
      <c r="M85" s="31">
        <f>SUMIF(헤몬팜일일!$C$242:$C$380,$C85,헤몬팜일일!T$242:T$380)</f>
        <v>916000</v>
      </c>
      <c r="N85" s="31">
        <f>SUMIF(헤몬팜일일!$C$242:$C$380,$C85,헤몬팜일일!U$242:U$380)</f>
        <v>0</v>
      </c>
      <c r="O85" s="31">
        <f>SUMIF(헤몬팜일일!$C$242:$C$380,$C85,헤몬팜일일!V$242:V$380)</f>
        <v>916000</v>
      </c>
      <c r="P85" s="34">
        <f t="shared" si="50"/>
        <v>45800</v>
      </c>
      <c r="Q85" s="34" t="e">
        <f t="shared" si="51"/>
        <v>#REF!</v>
      </c>
      <c r="R85" s="31" t="e">
        <f>SUMIF(헤몬팜일일!$C$242:$C$380,$C85,헤몬팜일일!Y$242:Y$380)</f>
        <v>#REF!</v>
      </c>
      <c r="S85" s="31">
        <f>SUMIF(헤몬팜일일!$C$242:$C$380,$C85,헤몬팜일일!Z$242:Z$380)</f>
        <v>179416.60000000003</v>
      </c>
      <c r="T85" s="31">
        <f>SUMIF(헤몬팜일일!$C$242:$C$380,$C85,헤몬팜일일!AA$242:AA$380)</f>
        <v>163106</v>
      </c>
      <c r="U85" s="31">
        <f>SUMIF(헤몬팜일일!$C$242:$C$380,$C85,헤몬팜일일!AB$242:AB$380)</f>
        <v>0</v>
      </c>
      <c r="V85" s="31">
        <f>SUMIF(헤몬팜일일!$C$242:$C$380,$C85,헤몬팜일일!AC$242:AC$380)</f>
        <v>4620</v>
      </c>
      <c r="W85" s="152">
        <v>0.1</v>
      </c>
      <c r="X85" s="31">
        <f>SUMIF(헤몬팜일일!$C$242:$C$380,$C85,헤몬팜일일!AE$242:AE$380)</f>
        <v>83000</v>
      </c>
      <c r="Y85" s="28">
        <f t="shared" si="52"/>
        <v>0.19061135371179039</v>
      </c>
      <c r="Z85" s="31">
        <f>SUMIF(헤몬팜일일!$C$242:$C$380,$C85,헤몬팜일일!AG$242:AG$380)</f>
        <v>183760.18</v>
      </c>
      <c r="AA85" s="31" t="e">
        <f>SUMIF(헤몬팜일일!$C$242:$C$380,$C85,헤몬팜일일!AH$242:AH$380)</f>
        <v>#REF!</v>
      </c>
      <c r="AB85" s="31" t="e">
        <f>SUMIF(헤몬팜일일!$C$242:$C$380,$C85,헤몬팜일일!AJ$242:AJ$380)</f>
        <v>#REF!</v>
      </c>
      <c r="AC85" s="31" t="e">
        <f>SUMIF(헤몬팜일일!$C$242:$C$380,$C85,헤몬팜일일!AK$242:AK$380)</f>
        <v>#REF!</v>
      </c>
      <c r="AD85" s="31" t="e">
        <f>SUMIF(헤몬팜일일!$C$242:$C$380,$C85,헤몬팜일일!AK$242:AK$380)</f>
        <v>#REF!</v>
      </c>
      <c r="AE85" s="31">
        <f>SUMIF(헤몬팜일일!$C$242:$C$380,$C85,헤몬팜일일!AL$242:AL$380)</f>
        <v>1134</v>
      </c>
      <c r="AF85" s="26"/>
      <c r="AG85" s="26"/>
      <c r="AH85" s="26"/>
      <c r="AI85" s="26"/>
      <c r="AJ85" s="26"/>
      <c r="AK85" s="26"/>
      <c r="AL85" s="26"/>
      <c r="AM85" s="26"/>
      <c r="AN85" s="26"/>
      <c r="AO85" s="26"/>
      <c r="AP85" s="27"/>
      <c r="AQ85" s="27"/>
      <c r="AR85" s="27"/>
      <c r="AS85" s="27"/>
      <c r="AT85" s="27"/>
      <c r="AU85" s="27"/>
      <c r="AV85" s="26"/>
      <c r="AW85" s="26"/>
    </row>
    <row r="86" spans="1:49" ht="28.5" customHeight="1">
      <c r="A86" s="26"/>
      <c r="B86" s="158"/>
      <c r="C86" s="42" t="s">
        <v>110</v>
      </c>
      <c r="D86" s="28" t="e">
        <f t="shared" si="45"/>
        <v>#REF!</v>
      </c>
      <c r="E86" s="29" t="e">
        <f t="shared" si="46"/>
        <v>#REF!</v>
      </c>
      <c r="F86" s="29">
        <f t="shared" si="47"/>
        <v>0.29966399572649571</v>
      </c>
      <c r="G86" s="30" t="e">
        <f t="shared" si="48"/>
        <v>#DIV/0!</v>
      </c>
      <c r="H86" s="31">
        <f>SUMIF(헤몬팜일일!$C$242:$C$380,$C86,헤몬팜일일!O$242:O$380)</f>
        <v>44</v>
      </c>
      <c r="I86" s="138">
        <f t="shared" si="49"/>
        <v>6.2857142857142856</v>
      </c>
      <c r="J86" s="31">
        <f>SUMIF(헤몬팜일일!$C$242:$C$380,$C86,헤몬팜일일!P$242:P$380)</f>
        <v>44</v>
      </c>
      <c r="K86" s="31">
        <f>SUMIF(헤몬팜일일!$C$242:$C$380,$C86,헤몬팜일일!Q$242:Q$380)</f>
        <v>6</v>
      </c>
      <c r="L86" s="31">
        <f>SUMIF(헤몬팜일일!$C$242:$C$380,$C86,헤몬팜일일!S$242:S$380)</f>
        <v>0</v>
      </c>
      <c r="M86" s="31">
        <f>SUMIF(헤몬팜일일!$C$242:$C$380,$C86,헤몬팜일일!T$242:T$380)</f>
        <v>2059200</v>
      </c>
      <c r="N86" s="31">
        <f>SUMIF(헤몬팜일일!$C$242:$C$380,$C86,헤몬팜일일!U$242:U$380)</f>
        <v>0</v>
      </c>
      <c r="O86" s="31">
        <f>SUMIF(헤몬팜일일!$C$242:$C$380,$C86,헤몬팜일일!V$242:V$380)</f>
        <v>2059200</v>
      </c>
      <c r="P86" s="34">
        <f t="shared" si="50"/>
        <v>46800</v>
      </c>
      <c r="Q86" s="34" t="e">
        <f t="shared" si="51"/>
        <v>#REF!</v>
      </c>
      <c r="R86" s="31" t="e">
        <f>SUMIF(헤몬팜일일!$C$242:$C$380,$C86,헤몬팜일일!Y$242:Y$380)</f>
        <v>#REF!</v>
      </c>
      <c r="S86" s="31">
        <f>SUMIF(헤몬팜일일!$C$242:$C$380,$C86,헤몬팜일일!Z$242:Z$380)</f>
        <v>617068.1</v>
      </c>
      <c r="T86" s="31">
        <f>SUMIF(헤몬팜일일!$C$242:$C$380,$C86,헤몬팜일일!AA$242:AA$380)</f>
        <v>560971</v>
      </c>
      <c r="U86" s="31">
        <f>SUMIF(헤몬팜일일!$C$242:$C$380,$C86,헤몬팜일일!AB$242:AB$380)</f>
        <v>0</v>
      </c>
      <c r="V86" s="31">
        <f>SUMIF(헤몬팜일일!$C$242:$C$380,$C86,헤몬팜일일!AC$242:AC$380)</f>
        <v>13860</v>
      </c>
      <c r="W86" s="152">
        <v>0.1</v>
      </c>
      <c r="X86" s="31">
        <f>SUMIF(헤몬팜일일!$C$242:$C$380,$C86,헤몬팜일일!AE$242:AE$380)</f>
        <v>182600</v>
      </c>
      <c r="Y86" s="28">
        <f t="shared" si="52"/>
        <v>0.18867521367521367</v>
      </c>
      <c r="Z86" s="31">
        <f>SUMIF(헤몬팜일일!$C$242:$C$380,$C86,헤몬팜일일!AG$242:AG$380)</f>
        <v>409112.21000000008</v>
      </c>
      <c r="AA86" s="31" t="e">
        <f>SUMIF(헤몬팜일일!$C$242:$C$380,$C86,헤몬팜일일!AH$242:AH$380)</f>
        <v>#REF!</v>
      </c>
      <c r="AB86" s="31" t="e">
        <f>SUMIF(헤몬팜일일!$C$242:$C$380,$C86,헤몬팜일일!AJ$242:AJ$380)</f>
        <v>#REF!</v>
      </c>
      <c r="AC86" s="31" t="e">
        <f>SUMIF(헤몬팜일일!$C$242:$C$380,$C86,헤몬팜일일!AK$242:AK$380)</f>
        <v>#REF!</v>
      </c>
      <c r="AD86" s="31" t="e">
        <f>SUMIF(헤몬팜일일!$C$242:$C$380,$C86,헤몬팜일일!AK$242:AK$380)</f>
        <v>#REF!</v>
      </c>
      <c r="AE86" s="31">
        <f>SUMIF(헤몬팜일일!$C$242:$C$380,$C86,헤몬팜일일!AL$242:AL$380)</f>
        <v>1134</v>
      </c>
      <c r="AF86" s="26"/>
      <c r="AG86" s="26"/>
      <c r="AH86" s="26"/>
      <c r="AI86" s="26"/>
      <c r="AJ86" s="26"/>
      <c r="AK86" s="26"/>
      <c r="AL86" s="26"/>
      <c r="AM86" s="26"/>
      <c r="AN86" s="26"/>
      <c r="AO86" s="26"/>
      <c r="AP86" s="27"/>
      <c r="AQ86" s="27"/>
      <c r="AR86" s="27"/>
      <c r="AS86" s="27"/>
      <c r="AT86" s="27"/>
      <c r="AU86" s="27"/>
      <c r="AV86" s="26"/>
      <c r="AW86" s="26"/>
    </row>
    <row r="87" spans="1:49" ht="28.5" customHeight="1">
      <c r="A87" s="26"/>
      <c r="B87" s="158"/>
      <c r="C87" s="42" t="s">
        <v>32</v>
      </c>
      <c r="D87" s="28" t="e">
        <f t="shared" si="45"/>
        <v>#REF!</v>
      </c>
      <c r="E87" s="29" t="e">
        <f t="shared" si="46"/>
        <v>#REF!</v>
      </c>
      <c r="F87" s="29">
        <f t="shared" si="47"/>
        <v>0.25517056856187292</v>
      </c>
      <c r="G87" s="30" t="e">
        <f t="shared" si="48"/>
        <v>#DIV/0!</v>
      </c>
      <c r="H87" s="31">
        <f>SUMIF(헤몬팜일일!$C$242:$C$380,$C87,헤몬팜일일!O$242:O$380)</f>
        <v>3</v>
      </c>
      <c r="I87" s="138">
        <f t="shared" si="49"/>
        <v>0.42857142857142855</v>
      </c>
      <c r="J87" s="31">
        <f>SUMIF(헤몬팜일일!$C$242:$C$380,$C87,헤몬팜일일!P$242:P$380)</f>
        <v>3</v>
      </c>
      <c r="K87" s="31">
        <f>SUMIF(헤몬팜일일!$C$242:$C$380,$C87,헤몬팜일일!Q$242:Q$380)</f>
        <v>0</v>
      </c>
      <c r="L87" s="31">
        <f>SUMIF(헤몬팜일일!$C$242:$C$380,$C87,헤몬팜일일!S$242:S$380)</f>
        <v>0</v>
      </c>
      <c r="M87" s="31">
        <f>SUMIF(헤몬팜일일!$C$242:$C$380,$C87,헤몬팜일일!T$242:T$380)</f>
        <v>179400</v>
      </c>
      <c r="N87" s="31">
        <f>SUMIF(헤몬팜일일!$C$242:$C$380,$C87,헤몬팜일일!U$242:U$380)</f>
        <v>0</v>
      </c>
      <c r="O87" s="31">
        <f>SUMIF(헤몬팜일일!$C$242:$C$380,$C87,헤몬팜일일!V$242:V$380)</f>
        <v>179400</v>
      </c>
      <c r="P87" s="34">
        <f t="shared" si="50"/>
        <v>59800</v>
      </c>
      <c r="Q87" s="34" t="e">
        <f t="shared" si="51"/>
        <v>#REF!</v>
      </c>
      <c r="R87" s="31" t="e">
        <f>SUMIF(헤몬팜일일!$C$242:$C$380,$C87,헤몬팜일일!Y$242:Y$380)</f>
        <v>#REF!</v>
      </c>
      <c r="S87" s="31">
        <f>SUMIF(헤몬팜일일!$C$242:$C$380,$C87,헤몬팜일일!Z$242:Z$380)</f>
        <v>45777.600000000006</v>
      </c>
      <c r="T87" s="31">
        <f>SUMIF(헤몬팜일일!$C$242:$C$380,$C87,헤몬팜일일!AA$242:AA$380)</f>
        <v>41616</v>
      </c>
      <c r="U87" s="31">
        <f>SUMIF(헤몬팜일일!$C$242:$C$380,$C87,헤몬팜일일!AB$242:AB$380)</f>
        <v>0</v>
      </c>
      <c r="V87" s="31">
        <f>SUMIF(헤몬팜일일!$C$242:$C$380,$C87,헤몬팜일일!AC$242:AC$380)</f>
        <v>0</v>
      </c>
      <c r="W87" s="152">
        <v>0.1</v>
      </c>
      <c r="X87" s="31">
        <f>SUMIF(헤몬팜일일!$C$242:$C$380,$C87,헤몬팜일일!AE$242:AE$380)</f>
        <v>14475</v>
      </c>
      <c r="Y87" s="28">
        <f t="shared" si="52"/>
        <v>0.180685618729097</v>
      </c>
      <c r="Z87" s="31">
        <f>SUMIF(헤몬팜일일!$C$242:$C$380,$C87,헤몬팜일일!AG$242:AG$380)</f>
        <v>33850.26</v>
      </c>
      <c r="AA87" s="31" t="e">
        <f>SUMIF(헤몬팜일일!$C$242:$C$380,$C87,헤몬팜일일!AH$242:AH$380)</f>
        <v>#REF!</v>
      </c>
      <c r="AB87" s="31" t="e">
        <f>SUMIF(헤몬팜일일!$C$242:$C$380,$C87,헤몬팜일일!AJ$242:AJ$380)</f>
        <v>#REF!</v>
      </c>
      <c r="AC87" s="31" t="e">
        <f>SUMIF(헤몬팜일일!$C$242:$C$380,$C87,헤몬팜일일!AK$242:AK$380)</f>
        <v>#REF!</v>
      </c>
      <c r="AD87" s="31" t="e">
        <f>SUMIF(헤몬팜일일!$C$242:$C$380,$C87,헤몬팜일일!AK$242:AK$380)</f>
        <v>#REF!</v>
      </c>
      <c r="AE87" s="31">
        <f>SUMIF(헤몬팜일일!$C$242:$C$380,$C87,헤몬팜일일!AL$242:AL$380)</f>
        <v>2600.64</v>
      </c>
      <c r="AF87" s="26"/>
      <c r="AG87" s="26"/>
      <c r="AH87" s="26"/>
      <c r="AI87" s="26"/>
      <c r="AJ87" s="26"/>
      <c r="AK87" s="26"/>
      <c r="AL87" s="26"/>
      <c r="AM87" s="26"/>
      <c r="AN87" s="26"/>
      <c r="AO87" s="26"/>
      <c r="AP87" s="27"/>
      <c r="AQ87" s="27"/>
      <c r="AR87" s="27"/>
      <c r="AS87" s="27"/>
      <c r="AT87" s="27"/>
      <c r="AU87" s="27"/>
      <c r="AV87" s="26"/>
      <c r="AW87" s="26"/>
    </row>
    <row r="88" spans="1:49" ht="28.5" customHeight="1">
      <c r="A88" s="26"/>
      <c r="B88" s="158"/>
      <c r="C88" s="42" t="s">
        <v>33</v>
      </c>
      <c r="D88" s="28" t="e">
        <f t="shared" si="45"/>
        <v>#REF!</v>
      </c>
      <c r="E88" s="29" t="e">
        <f t="shared" si="46"/>
        <v>#REF!</v>
      </c>
      <c r="F88" s="29">
        <f t="shared" si="47"/>
        <v>0.50868037642113317</v>
      </c>
      <c r="G88" s="30" t="e">
        <f t="shared" si="48"/>
        <v>#DIV/0!</v>
      </c>
      <c r="H88" s="31">
        <f>SUMIF(헤몬팜일일!$C$242:$C$380,$C88,헤몬팜일일!O$242:O$380)</f>
        <v>6</v>
      </c>
      <c r="I88" s="138">
        <f t="shared" si="49"/>
        <v>0.8571428571428571</v>
      </c>
      <c r="J88" s="31">
        <f>SUMIF(헤몬팜일일!$C$242:$C$380,$C88,헤몬팜일일!P$242:P$380)</f>
        <v>6</v>
      </c>
      <c r="K88" s="31">
        <f>SUMIF(헤몬팜일일!$C$242:$C$380,$C88,헤몬팜일일!Q$242:Q$380)</f>
        <v>1</v>
      </c>
      <c r="L88" s="31">
        <f>SUMIF(헤몬팜일일!$C$242:$C$380,$C88,헤몬팜일일!S$242:S$380)</f>
        <v>0</v>
      </c>
      <c r="M88" s="31">
        <f>SUMIF(헤몬팜일일!$C$242:$C$380,$C88,헤몬팜일일!T$242:T$380)</f>
        <v>418680</v>
      </c>
      <c r="N88" s="31">
        <f>SUMIF(헤몬팜일일!$C$242:$C$380,$C88,헤몬팜일일!U$242:U$380)</f>
        <v>0</v>
      </c>
      <c r="O88" s="31">
        <f>SUMIF(헤몬팜일일!$C$242:$C$380,$C88,헤몬팜일일!V$242:V$380)</f>
        <v>418680</v>
      </c>
      <c r="P88" s="34">
        <f t="shared" si="50"/>
        <v>69780</v>
      </c>
      <c r="Q88" s="34" t="e">
        <f t="shared" si="51"/>
        <v>#REF!</v>
      </c>
      <c r="R88" s="31" t="e">
        <f>SUMIF(헤몬팜일일!$C$242:$C$380,$C88,헤몬팜일일!Y$242:Y$380)</f>
        <v>#REF!</v>
      </c>
      <c r="S88" s="31">
        <f>SUMIF(헤몬팜일일!$C$242:$C$380,$C88,헤몬팜일일!Z$242:Z$380)</f>
        <v>212974.30000000002</v>
      </c>
      <c r="T88" s="31">
        <f>SUMIF(헤몬팜일일!$C$242:$C$380,$C88,헤몬팜일일!AA$242:AA$380)</f>
        <v>193613</v>
      </c>
      <c r="U88" s="31">
        <f>SUMIF(헤몬팜일일!$C$242:$C$380,$C88,헤몬팜일일!AB$242:AB$380)</f>
        <v>0</v>
      </c>
      <c r="V88" s="31">
        <f>SUMIF(헤몬팜일일!$C$242:$C$380,$C88,헤몬팜일일!AC$242:AC$380)</f>
        <v>2310</v>
      </c>
      <c r="W88" s="152">
        <v>0.1</v>
      </c>
      <c r="X88" s="31">
        <f>SUMIF(헤몬팜일일!$C$242:$C$380,$C88,헤몬팜일일!AE$242:AE$380)</f>
        <v>28950</v>
      </c>
      <c r="Y88" s="28">
        <f t="shared" si="52"/>
        <v>0.16914588707366007</v>
      </c>
      <c r="Z88" s="31">
        <f>SUMIF(헤몬팜일일!$C$242:$C$380,$C88,헤몬팜일일!AG$242:AG$380)</f>
        <v>74167.62000000001</v>
      </c>
      <c r="AA88" s="31" t="e">
        <f>SUMIF(헤몬팜일일!$C$242:$C$380,$C88,헤몬팜일일!AH$242:AH$380)</f>
        <v>#REF!</v>
      </c>
      <c r="AB88" s="31" t="e">
        <f>SUMIF(헤몬팜일일!$C$242:$C$380,$C88,헤몬팜일일!AJ$242:AJ$380)</f>
        <v>#REF!</v>
      </c>
      <c r="AC88" s="31" t="e">
        <f>SUMIF(헤몬팜일일!$C$242:$C$380,$C88,헤몬팜일일!AK$242:AK$380)</f>
        <v>#REF!</v>
      </c>
      <c r="AD88" s="31" t="e">
        <f>SUMIF(헤몬팜일일!$C$242:$C$380,$C88,헤몬팜일일!AK$242:AK$380)</f>
        <v>#REF!</v>
      </c>
      <c r="AE88" s="31">
        <f>SUMIF(헤몬팜일일!$C$242:$C$380,$C88,헤몬팜일일!AL$242:AL$380)</f>
        <v>2600.64</v>
      </c>
      <c r="AF88" s="26"/>
      <c r="AG88" s="26"/>
      <c r="AH88" s="26"/>
      <c r="AI88" s="26"/>
      <c r="AJ88" s="26"/>
      <c r="AK88" s="26"/>
      <c r="AL88" s="26"/>
      <c r="AM88" s="26"/>
      <c r="AN88" s="26"/>
      <c r="AO88" s="26"/>
      <c r="AP88" s="27"/>
      <c r="AQ88" s="27"/>
      <c r="AR88" s="27"/>
      <c r="AS88" s="27"/>
      <c r="AT88" s="27"/>
      <c r="AU88" s="27"/>
      <c r="AV88" s="26"/>
      <c r="AW88" s="26"/>
    </row>
    <row r="89" spans="1:49" ht="28.5" customHeight="1">
      <c r="A89" s="26"/>
      <c r="B89" s="158"/>
      <c r="C89" s="42" t="s">
        <v>111</v>
      </c>
      <c r="D89" s="28">
        <f t="shared" si="45"/>
        <v>-0.17429856899436966</v>
      </c>
      <c r="E89" s="29">
        <f t="shared" si="46"/>
        <v>0.39080853588232051</v>
      </c>
      <c r="F89" s="29">
        <f t="shared" si="47"/>
        <v>0.56510710487669014</v>
      </c>
      <c r="G89" s="30" t="e">
        <f t="shared" si="48"/>
        <v>#DIV/0!</v>
      </c>
      <c r="H89" s="31">
        <f>SUMIF(헤몬팜일일!$C$242:$C$380,$C89,헤몬팜일일!O$242:O$380)</f>
        <v>49</v>
      </c>
      <c r="I89" s="138">
        <f t="shared" si="49"/>
        <v>7</v>
      </c>
      <c r="J89" s="31">
        <f>SUMIF(헤몬팜일일!$C$242:$C$380,$C89,헤몬팜일일!P$242:P$380)</f>
        <v>49</v>
      </c>
      <c r="K89" s="31">
        <f>SUMIF(헤몬팜일일!$C$242:$C$380,$C89,헤몬팜일일!Q$242:Q$380)</f>
        <v>5</v>
      </c>
      <c r="L89" s="31">
        <f>SUMIF(헤몬팜일일!$C$242:$C$380,$C89,헤몬팜일일!S$242:S$380)</f>
        <v>0</v>
      </c>
      <c r="M89" s="31">
        <f>SUMIF(헤몬팜일일!$C$242:$C$380,$C89,헤몬팜일일!T$242:T$380)</f>
        <v>789880</v>
      </c>
      <c r="N89" s="31">
        <f>SUMIF(헤몬팜일일!$C$242:$C$380,$C89,헤몬팜일일!U$242:U$380)</f>
        <v>0</v>
      </c>
      <c r="O89" s="31">
        <f>SUMIF(헤몬팜일일!$C$242:$C$380,$C89,헤몬팜일일!V$242:V$380)</f>
        <v>789880</v>
      </c>
      <c r="P89" s="34">
        <f t="shared" si="50"/>
        <v>16120</v>
      </c>
      <c r="Q89" s="34">
        <f t="shared" si="51"/>
        <v>5126.3244999999988</v>
      </c>
      <c r="R89" s="31">
        <f>SUMIF(헤몬팜일일!$C$242:$C$380,$C89,헤몬팜일일!Y$242:Y$380)</f>
        <v>251189.90049999996</v>
      </c>
      <c r="S89" s="31">
        <f>SUMIF(헤몬팜일일!$C$242:$C$380,$C89,헤몬팜일일!Z$242:Z$380)</f>
        <v>446366.8</v>
      </c>
      <c r="T89" s="31">
        <f>SUMIF(헤몬팜일일!$C$242:$C$380,$C89,헤몬팜일일!AA$242:AA$380)</f>
        <v>405788</v>
      </c>
      <c r="U89" s="31">
        <f>SUMIF(헤몬팜일일!$C$242:$C$380,$C89,헤몬팜일일!AB$242:AB$380)</f>
        <v>0</v>
      </c>
      <c r="V89" s="31">
        <f>SUMIF(헤몬팜일일!$C$242:$C$380,$C89,헤몬팜일일!AC$242:AC$380)</f>
        <v>11550</v>
      </c>
      <c r="W89" s="152">
        <v>0.1</v>
      </c>
      <c r="X89" s="31">
        <f>SUMIF(헤몬팜일일!$C$242:$C$380,$C89,헤몬팜일일!AE$242:AE$380)</f>
        <v>142100</v>
      </c>
      <c r="Y89" s="28">
        <f t="shared" si="52"/>
        <v>0.27990074441687346</v>
      </c>
      <c r="Z89" s="31">
        <f>SUMIF(헤몬팜일일!$C$242:$C$380,$C89,헤몬팜일일!AG$242:AG$380)</f>
        <v>203710.81999999998</v>
      </c>
      <c r="AA89" s="31">
        <f>SUMIF(헤몬팜일일!$C$242:$C$380,$C89,헤몬팜일일!AH$242:AH$380)</f>
        <v>26287.433177272724</v>
      </c>
      <c r="AB89" s="31">
        <f>SUMIF(헤몬팜일일!$C$242:$C$380,$C89,헤몬팜일일!AJ$242:AJ$380)</f>
        <v>308691.84632272733</v>
      </c>
      <c r="AC89" s="31">
        <f>SUMIF(헤몬팜일일!$C$242:$C$380,$C89,헤몬팜일일!AK$242:AK$380)</f>
        <v>-137674.95367727272</v>
      </c>
      <c r="AD89" s="31">
        <f>SUMIF(헤몬팜일일!$C$242:$C$380,$C89,헤몬팜일일!AK$242:AK$380)</f>
        <v>-137674.95367727272</v>
      </c>
      <c r="AE89" s="31">
        <f>SUMIF(헤몬팜일일!$C$242:$C$380,$C89,헤몬팜일일!AL$242:AL$380)</f>
        <v>42.525000000000006</v>
      </c>
      <c r="AF89" s="26"/>
      <c r="AG89" s="26"/>
      <c r="AH89" s="26"/>
      <c r="AI89" s="26"/>
      <c r="AJ89" s="26"/>
      <c r="AK89" s="26"/>
      <c r="AL89" s="26"/>
      <c r="AM89" s="26"/>
      <c r="AN89" s="26"/>
      <c r="AO89" s="26"/>
      <c r="AP89" s="27"/>
      <c r="AQ89" s="27"/>
      <c r="AR89" s="27"/>
      <c r="AS89" s="27"/>
      <c r="AT89" s="27"/>
      <c r="AU89" s="27"/>
      <c r="AV89" s="26"/>
      <c r="AW89" s="26"/>
    </row>
    <row r="90" spans="1:49" ht="28.5" customHeight="1">
      <c r="A90" s="26"/>
      <c r="B90" s="158"/>
      <c r="C90" s="42" t="s">
        <v>112</v>
      </c>
      <c r="D90" s="28" t="e">
        <f t="shared" si="45"/>
        <v>#REF!</v>
      </c>
      <c r="E90" s="29" t="e">
        <f t="shared" si="46"/>
        <v>#REF!</v>
      </c>
      <c r="F90" s="29">
        <f t="shared" si="47"/>
        <v>0.30877444514237862</v>
      </c>
      <c r="G90" s="30" t="e">
        <f t="shared" si="48"/>
        <v>#DIV/0!</v>
      </c>
      <c r="H90" s="31">
        <f>SUMIF(헤몬팜일일!$C$242:$C$380,$C90,헤몬팜일일!O$242:O$380)</f>
        <v>48</v>
      </c>
      <c r="I90" s="138">
        <f t="shared" si="49"/>
        <v>6.8571428571428568</v>
      </c>
      <c r="J90" s="31">
        <f>SUMIF(헤몬팜일일!$C$242:$C$380,$C90,헤몬팜일일!P$242:P$380)</f>
        <v>48</v>
      </c>
      <c r="K90" s="31">
        <f>SUMIF(헤몬팜일일!$C$242:$C$380,$C90,헤몬팜일일!Q$242:Q$380)</f>
        <v>3</v>
      </c>
      <c r="L90" s="31">
        <f>SUMIF(헤몬팜일일!$C$242:$C$380,$C90,헤몬팜일일!S$242:S$380)</f>
        <v>0</v>
      </c>
      <c r="M90" s="31">
        <f>SUMIF(헤몬팜일일!$C$242:$C$380,$C90,헤몬팜일일!T$242:T$380)</f>
        <v>1910400</v>
      </c>
      <c r="N90" s="31">
        <f>SUMIF(헤몬팜일일!$C$242:$C$380,$C90,헤몬팜일일!U$242:U$380)</f>
        <v>0</v>
      </c>
      <c r="O90" s="31">
        <f>SUMIF(헤몬팜일일!$C$242:$C$380,$C90,헤몬팜일일!V$242:V$380)</f>
        <v>1910400</v>
      </c>
      <c r="P90" s="34">
        <f t="shared" si="50"/>
        <v>39800</v>
      </c>
      <c r="Q90" s="34" t="e">
        <f t="shared" si="51"/>
        <v>#REF!</v>
      </c>
      <c r="R90" s="31" t="e">
        <f>SUMIF(헤몬팜일일!$C$242:$C$380,$C90,헤몬팜일일!Y$242:Y$380)</f>
        <v>#REF!</v>
      </c>
      <c r="S90" s="31">
        <f>SUMIF(헤몬팜일일!$C$242:$C$380,$C90,헤몬팜일일!Z$242:Z$380)</f>
        <v>589882.70000000007</v>
      </c>
      <c r="T90" s="31">
        <f>SUMIF(헤몬팜일일!$C$242:$C$380,$C90,헤몬팜일일!AA$242:AA$380)</f>
        <v>536257</v>
      </c>
      <c r="U90" s="31">
        <f>SUMIF(헤몬팜일일!$C$242:$C$380,$C90,헤몬팜일일!AB$242:AB$380)</f>
        <v>0</v>
      </c>
      <c r="V90" s="31">
        <f>SUMIF(헤몬팜일일!$C$242:$C$380,$C90,헤몬팜일일!AC$242:AC$380)</f>
        <v>6930</v>
      </c>
      <c r="W90" s="152">
        <v>0.1</v>
      </c>
      <c r="X90" s="31">
        <f>SUMIF(헤몬팜일일!$C$242:$C$380,$C90,헤몬팜일일!AE$242:AE$380)</f>
        <v>199200</v>
      </c>
      <c r="Y90" s="28">
        <f t="shared" si="52"/>
        <v>0.20427135678391961</v>
      </c>
      <c r="Z90" s="31">
        <f>SUMIF(헤몬팜일일!$C$242:$C$380,$C90,헤몬팜일일!AG$242:AG$380)</f>
        <v>352032.21000000008</v>
      </c>
      <c r="AA90" s="31" t="e">
        <f>SUMIF(헤몬팜일일!$C$242:$C$380,$C90,헤몬팜일일!AH$242:AH$380)</f>
        <v>#REF!</v>
      </c>
      <c r="AB90" s="31" t="e">
        <f>SUMIF(헤몬팜일일!$C$242:$C$380,$C90,헤몬팜일일!AJ$242:AJ$380)</f>
        <v>#REF!</v>
      </c>
      <c r="AC90" s="31" t="e">
        <f>SUMIF(헤몬팜일일!$C$242:$C$380,$C90,헤몬팜일일!AK$242:AK$380)</f>
        <v>#REF!</v>
      </c>
      <c r="AD90" s="31" t="e">
        <f>SUMIF(헤몬팜일일!$C$242:$C$380,$C90,헤몬팜일일!AK$242:AK$380)</f>
        <v>#REF!</v>
      </c>
      <c r="AE90" s="31">
        <f>SUMIF(헤몬팜일일!$C$242:$C$380,$C90,헤몬팜일일!AL$242:AL$380)</f>
        <v>1234.9259999999997</v>
      </c>
      <c r="AF90" s="26"/>
      <c r="AG90" s="26"/>
      <c r="AH90" s="26"/>
      <c r="AI90" s="26"/>
      <c r="AJ90" s="26"/>
      <c r="AK90" s="26"/>
      <c r="AL90" s="26"/>
      <c r="AM90" s="26"/>
      <c r="AN90" s="26"/>
      <c r="AO90" s="26"/>
      <c r="AP90" s="27"/>
      <c r="AQ90" s="27"/>
      <c r="AR90" s="27"/>
      <c r="AS90" s="27"/>
      <c r="AT90" s="27"/>
      <c r="AU90" s="27"/>
      <c r="AV90" s="26"/>
      <c r="AW90" s="26"/>
    </row>
    <row r="91" spans="1:49" ht="28.5" customHeight="1">
      <c r="A91" s="26"/>
      <c r="B91" s="158"/>
      <c r="C91" s="42" t="s">
        <v>113</v>
      </c>
      <c r="D91" s="28" t="e">
        <f t="shared" si="45"/>
        <v>#REF!</v>
      </c>
      <c r="E91" s="29" t="e">
        <f t="shared" si="46"/>
        <v>#REF!</v>
      </c>
      <c r="F91" s="29">
        <f t="shared" si="47"/>
        <v>0.33656561085972853</v>
      </c>
      <c r="G91" s="30" t="e">
        <f t="shared" si="48"/>
        <v>#DIV/0!</v>
      </c>
      <c r="H91" s="31">
        <f>SUMIF(헤몬팜일일!$C$242:$C$380,$C91,헤몬팜일일!O$242:O$380)</f>
        <v>17</v>
      </c>
      <c r="I91" s="138">
        <f t="shared" si="49"/>
        <v>2.4285714285714284</v>
      </c>
      <c r="J91" s="31">
        <f>SUMIF(헤몬팜일일!$C$242:$C$380,$C91,헤몬팜일일!P$242:P$380)</f>
        <v>17</v>
      </c>
      <c r="K91" s="31">
        <f>SUMIF(헤몬팜일일!$C$242:$C$380,$C91,헤몬팜일일!Q$242:Q$380)</f>
        <v>3</v>
      </c>
      <c r="L91" s="31">
        <f>SUMIF(헤몬팜일일!$C$242:$C$380,$C91,헤몬팜일일!S$242:S$380)</f>
        <v>0</v>
      </c>
      <c r="M91" s="31">
        <f>SUMIF(헤몬팜일일!$C$242:$C$380,$C91,헤몬팜일일!T$242:T$380)</f>
        <v>729300</v>
      </c>
      <c r="N91" s="31">
        <f>SUMIF(헤몬팜일일!$C$242:$C$380,$C91,헤몬팜일일!U$242:U$380)</f>
        <v>0</v>
      </c>
      <c r="O91" s="31">
        <f>SUMIF(헤몬팜일일!$C$242:$C$380,$C91,헤몬팜일일!V$242:V$380)</f>
        <v>729300</v>
      </c>
      <c r="P91" s="34">
        <f t="shared" si="50"/>
        <v>42900</v>
      </c>
      <c r="Q91" s="34" t="e">
        <f t="shared" si="51"/>
        <v>#REF!</v>
      </c>
      <c r="R91" s="31" t="e">
        <f>SUMIF(헤몬팜일일!$C$242:$C$380,$C91,헤몬팜일일!Y$242:Y$380)</f>
        <v>#REF!</v>
      </c>
      <c r="S91" s="31">
        <f>SUMIF(헤몬팜일일!$C$242:$C$380,$C91,헤몬팜일일!Z$242:Z$380)</f>
        <v>245457.30000000002</v>
      </c>
      <c r="T91" s="31">
        <f>SUMIF(헤몬팜일일!$C$242:$C$380,$C91,헤몬팜일일!AA$242:AA$380)</f>
        <v>223143</v>
      </c>
      <c r="U91" s="31">
        <f>SUMIF(헤몬팜일일!$C$242:$C$380,$C91,헤몬팜일일!AB$242:AB$380)</f>
        <v>0</v>
      </c>
      <c r="V91" s="31">
        <f>SUMIF(헤몬팜일일!$C$242:$C$380,$C91,헤몬팜일일!AC$242:AC$380)</f>
        <v>6930</v>
      </c>
      <c r="W91" s="152">
        <v>0.1</v>
      </c>
      <c r="X91" s="31">
        <f>SUMIF(헤몬팜일일!$C$242:$C$380,$C91,헤몬팜일일!AE$242:AE$380)</f>
        <v>32300</v>
      </c>
      <c r="Y91" s="28">
        <f t="shared" si="52"/>
        <v>0.14428904428904429</v>
      </c>
      <c r="Z91" s="31">
        <f>SUMIF(헤몬팜일일!$C$242:$C$380,$C91,헤몬팜일일!AG$242:AG$380)</f>
        <v>89185.58</v>
      </c>
      <c r="AA91" s="31" t="e">
        <f>SUMIF(헤몬팜일일!$C$242:$C$380,$C91,헤몬팜일일!AH$242:AH$380)</f>
        <v>#REF!</v>
      </c>
      <c r="AB91" s="31" t="e">
        <f>SUMIF(헤몬팜일일!$C$242:$C$380,$C91,헤몬팜일일!AJ$242:AJ$380)</f>
        <v>#REF!</v>
      </c>
      <c r="AC91" s="31" t="e">
        <f>SUMIF(헤몬팜일일!$C$242:$C$380,$C91,헤몬팜일일!AK$242:AK$380)</f>
        <v>#REF!</v>
      </c>
      <c r="AD91" s="31" t="e">
        <f>SUMIF(헤몬팜일일!$C$242:$C$380,$C91,헤몬팜일일!AK$242:AK$380)</f>
        <v>#REF!</v>
      </c>
      <c r="AE91" s="31">
        <f>SUMIF(헤몬팜일일!$C$242:$C$380,$C91,헤몬팜일일!AL$242:AL$380)</f>
        <v>1234.9259999999997</v>
      </c>
      <c r="AF91" s="26"/>
      <c r="AG91" s="26"/>
      <c r="AH91" s="26"/>
      <c r="AI91" s="26"/>
      <c r="AJ91" s="26"/>
      <c r="AK91" s="26"/>
      <c r="AL91" s="26"/>
      <c r="AM91" s="26"/>
      <c r="AN91" s="26"/>
      <c r="AO91" s="26"/>
      <c r="AP91" s="27"/>
      <c r="AQ91" s="27"/>
      <c r="AR91" s="27"/>
      <c r="AS91" s="27"/>
      <c r="AT91" s="27"/>
      <c r="AU91" s="27"/>
      <c r="AV91" s="26"/>
      <c r="AW91" s="26"/>
    </row>
    <row r="92" spans="1:49" ht="28.5" customHeight="1">
      <c r="A92" s="26"/>
      <c r="B92" s="158"/>
      <c r="C92" s="42" t="s">
        <v>114</v>
      </c>
      <c r="D92" s="28">
        <f t="shared" si="45"/>
        <v>0.12094232020744564</v>
      </c>
      <c r="E92" s="29">
        <f t="shared" si="46"/>
        <v>0.36298886968661226</v>
      </c>
      <c r="F92" s="29">
        <f t="shared" si="47"/>
        <v>0.24204654947916671</v>
      </c>
      <c r="G92" s="30" t="e">
        <f t="shared" si="48"/>
        <v>#DIV/0!</v>
      </c>
      <c r="H92" s="31">
        <f>SUMIF(헤몬팜일일!$C$242:$C$380,$C92,헤몬팜일일!O$242:O$380)</f>
        <v>128</v>
      </c>
      <c r="I92" s="138">
        <f t="shared" si="49"/>
        <v>18.285714285714285</v>
      </c>
      <c r="J92" s="31">
        <f>SUMIF(헤몬팜일일!$C$242:$C$380,$C92,헤몬팜일일!P$242:P$380)</f>
        <v>128</v>
      </c>
      <c r="K92" s="31">
        <f>SUMIF(헤몬팜일일!$C$242:$C$380,$C92,헤몬팜일일!Q$242:Q$380)</f>
        <v>19</v>
      </c>
      <c r="L92" s="31">
        <f>SUMIF(헤몬팜일일!$C$242:$C$380,$C92,헤몬팜일일!S$242:S$380)</f>
        <v>0</v>
      </c>
      <c r="M92" s="31">
        <f>SUMIF(헤몬팜일일!$C$242:$C$380,$C92,헤몬팜일일!T$242:T$380)</f>
        <v>2457600</v>
      </c>
      <c r="N92" s="31">
        <f>SUMIF(헤몬팜일일!$C$242:$C$380,$C92,헤몬팜일일!U$242:U$380)</f>
        <v>0</v>
      </c>
      <c r="O92" s="31">
        <f>SUMIF(헤몬팜일일!$C$242:$C$380,$C92,헤몬팜일일!V$242:V$380)</f>
        <v>2457600</v>
      </c>
      <c r="P92" s="34">
        <f t="shared" si="50"/>
        <v>19200</v>
      </c>
      <c r="Q92" s="34">
        <f t="shared" si="51"/>
        <v>6771.435199999999</v>
      </c>
      <c r="R92" s="31">
        <f>SUMIF(헤몬팜일일!$C$242:$C$380,$C92,헤몬팜일일!Y$242:Y$380)</f>
        <v>866743.70559999987</v>
      </c>
      <c r="S92" s="31">
        <f>SUMIF(헤몬팜일일!$C$242:$C$380,$C92,헤몬팜일일!Z$242:Z$380)</f>
        <v>594853.60000000009</v>
      </c>
      <c r="T92" s="31">
        <f>SUMIF(헤몬팜일일!$C$242:$C$380,$C92,헤몬팜일일!AA$242:AA$380)</f>
        <v>540776</v>
      </c>
      <c r="U92" s="31">
        <f>SUMIF(헤몬팜일일!$C$242:$C$380,$C92,헤몬팜일일!AB$242:AB$380)</f>
        <v>0</v>
      </c>
      <c r="V92" s="31">
        <f>SUMIF(헤몬팜일일!$C$242:$C$380,$C92,헤몬팜일일!AC$242:AC$380)</f>
        <v>43890</v>
      </c>
      <c r="W92" s="152">
        <v>0.1</v>
      </c>
      <c r="X92" s="31">
        <f>SUMIF(헤몬팜일일!$C$242:$C$380,$C92,헤몬팜일일!AE$242:AE$380)</f>
        <v>428800</v>
      </c>
      <c r="Y92" s="28">
        <f t="shared" si="52"/>
        <v>0.27447916666666666</v>
      </c>
      <c r="Z92" s="31">
        <f>SUMIF(헤몬팜일일!$C$242:$C$380,$C92,헤몬팜일일!AG$242:AG$380)</f>
        <v>625408.21</v>
      </c>
      <c r="AA92" s="31">
        <f>SUMIF(헤몬팜일일!$C$242:$C$380,$C92,헤몬팜일일!AH$242:AH$380)</f>
        <v>73366.638258181818</v>
      </c>
      <c r="AB92" s="31">
        <f>SUMIF(헤몬팜일일!$C$242:$C$380,$C92,헤몬팜일일!AJ$242:AJ$380)</f>
        <v>892081.44614181831</v>
      </c>
      <c r="AC92" s="31">
        <f>SUMIF(헤몬팜일일!$C$242:$C$380,$C92,헤몬팜일일!AK$242:AK$380)</f>
        <v>297227.84614181839</v>
      </c>
      <c r="AD92" s="31">
        <f>SUMIF(헤몬팜일일!$C$242:$C$380,$C92,헤몬팜일일!AK$242:AK$380)</f>
        <v>297227.84614181839</v>
      </c>
      <c r="AE92" s="31">
        <f>SUMIF(헤몬팜일일!$C$242:$C$380,$C92,헤몬팜일일!AL$242:AL$380)</f>
        <v>457.38000000000011</v>
      </c>
      <c r="AF92" s="26"/>
      <c r="AG92" s="26"/>
      <c r="AH92" s="26"/>
      <c r="AI92" s="26"/>
      <c r="AJ92" s="26"/>
      <c r="AK92" s="26"/>
      <c r="AL92" s="26"/>
      <c r="AM92" s="26"/>
      <c r="AN92" s="26"/>
      <c r="AO92" s="26"/>
      <c r="AP92" s="27"/>
      <c r="AQ92" s="27"/>
      <c r="AR92" s="27"/>
      <c r="AS92" s="27"/>
      <c r="AT92" s="27"/>
      <c r="AU92" s="27"/>
      <c r="AV92" s="26"/>
      <c r="AW92" s="26"/>
    </row>
    <row r="93" spans="1:49" ht="28.5" customHeight="1">
      <c r="A93" s="26"/>
      <c r="B93" s="158"/>
      <c r="C93" s="42" t="s">
        <v>115</v>
      </c>
      <c r="D93" s="28" t="e">
        <f t="shared" si="45"/>
        <v>#REF!</v>
      </c>
      <c r="E93" s="29" t="e">
        <f t="shared" si="46"/>
        <v>#REF!</v>
      </c>
      <c r="F93" s="29">
        <f t="shared" si="47"/>
        <v>0.5255369371490296</v>
      </c>
      <c r="G93" s="30" t="e">
        <f t="shared" si="48"/>
        <v>#DIV/0!</v>
      </c>
      <c r="H93" s="31">
        <f>SUMIF(헤몬팜일일!$C$242:$C$380,$C93,헤몬팜일일!O$242:O$380)</f>
        <v>29</v>
      </c>
      <c r="I93" s="138">
        <f t="shared" si="49"/>
        <v>4.1428571428571432</v>
      </c>
      <c r="J93" s="31">
        <f>SUMIF(헤몬팜일일!$C$242:$C$380,$C93,헤몬팜일일!P$242:P$380)</f>
        <v>29</v>
      </c>
      <c r="K93" s="31">
        <f>SUMIF(헤몬팜일일!$C$242:$C$380,$C93,헤몬팜일일!Q$242:Q$380)</f>
        <v>8</v>
      </c>
      <c r="L93" s="31">
        <f>SUMIF(헤몬팜일일!$C$242:$C$380,$C93,헤몬팜일일!S$242:S$380)</f>
        <v>0</v>
      </c>
      <c r="M93" s="31">
        <f>SUMIF(헤몬팜일일!$C$242:$C$380,$C93,헤몬팜일일!T$242:T$380)</f>
        <v>1444210</v>
      </c>
      <c r="N93" s="31">
        <f>SUMIF(헤몬팜일일!$C$242:$C$380,$C93,헤몬팜일일!U$242:U$380)</f>
        <v>0</v>
      </c>
      <c r="O93" s="31">
        <f>SUMIF(헤몬팜일일!$C$242:$C$380,$C93,헤몬팜일일!V$242:V$380)</f>
        <v>1444210</v>
      </c>
      <c r="P93" s="34">
        <f t="shared" si="50"/>
        <v>49800.34482758621</v>
      </c>
      <c r="Q93" s="34" t="e">
        <f t="shared" si="51"/>
        <v>#REF!</v>
      </c>
      <c r="R93" s="31" t="e">
        <f>SUMIF(헤몬팜일일!$C$242:$C$380,$C93,헤몬팜일일!Y$242:Y$380)</f>
        <v>#REF!</v>
      </c>
      <c r="S93" s="31">
        <f>SUMIF(헤몬팜일일!$C$242:$C$380,$C93,헤몬팜일일!Z$242:Z$380)</f>
        <v>758985.70000000007</v>
      </c>
      <c r="T93" s="31">
        <f>SUMIF(헤몬팜일일!$C$242:$C$380,$C93,헤몬팜일일!AA$242:AA$380)</f>
        <v>689987</v>
      </c>
      <c r="U93" s="31">
        <f>SUMIF(헤몬팜일일!$C$242:$C$380,$C93,헤몬팜일일!AB$242:AB$380)</f>
        <v>0</v>
      </c>
      <c r="V93" s="31">
        <f>SUMIF(헤몬팜일일!$C$242:$C$380,$C93,헤몬팜일일!AC$242:AC$380)</f>
        <v>18480</v>
      </c>
      <c r="W93" s="152">
        <v>0.1</v>
      </c>
      <c r="X93" s="31">
        <f>SUMIF(헤몬팜일일!$C$242:$C$380,$C93,헤몬팜일일!AE$242:AE$380)</f>
        <v>139925</v>
      </c>
      <c r="Y93" s="28">
        <f t="shared" si="52"/>
        <v>0.19688687933195312</v>
      </c>
      <c r="Z93" s="31">
        <f>SUMIF(헤몬팜일일!$C$242:$C$380,$C93,헤몬팜일일!AG$242:AG$380)</f>
        <v>252573.59000000003</v>
      </c>
      <c r="AA93" s="31" t="e">
        <f>SUMIF(헤몬팜일일!$C$242:$C$380,$C93,헤몬팜일일!AH$242:AH$380)</f>
        <v>#REF!</v>
      </c>
      <c r="AB93" s="31" t="e">
        <f>SUMIF(헤몬팜일일!$C$242:$C$380,$C93,헤몬팜일일!AJ$242:AJ$380)</f>
        <v>#REF!</v>
      </c>
      <c r="AC93" s="31" t="e">
        <f>SUMIF(헤몬팜일일!$C$242:$C$380,$C93,헤몬팜일일!AK$242:AK$380)</f>
        <v>#REF!</v>
      </c>
      <c r="AD93" s="31" t="e">
        <f>SUMIF(헤몬팜일일!$C$242:$C$380,$C93,헤몬팜일일!AK$242:AK$380)</f>
        <v>#REF!</v>
      </c>
      <c r="AE93" s="31">
        <f>SUMIF(헤몬팜일일!$C$242:$C$380,$C93,헤몬팜일일!AL$242:AL$380)</f>
        <v>1270.0800000000002</v>
      </c>
      <c r="AF93" s="26"/>
      <c r="AG93" s="26"/>
      <c r="AH93" s="26"/>
      <c r="AI93" s="26"/>
      <c r="AJ93" s="26"/>
      <c r="AK93" s="26"/>
      <c r="AL93" s="26"/>
      <c r="AM93" s="26"/>
      <c r="AN93" s="26"/>
      <c r="AO93" s="26"/>
      <c r="AP93" s="27"/>
      <c r="AQ93" s="27"/>
      <c r="AR93" s="27"/>
      <c r="AS93" s="27"/>
      <c r="AT93" s="27"/>
      <c r="AU93" s="27"/>
      <c r="AV93" s="26"/>
      <c r="AW93" s="26"/>
    </row>
    <row r="94" spans="1:49" ht="28.5" customHeight="1">
      <c r="A94" s="26"/>
      <c r="B94" s="158"/>
      <c r="C94" s="42" t="s">
        <v>116</v>
      </c>
      <c r="D94" s="28" t="e">
        <f t="shared" si="45"/>
        <v>#REF!</v>
      </c>
      <c r="E94" s="29" t="e">
        <f t="shared" si="46"/>
        <v>#REF!</v>
      </c>
      <c r="F94" s="29">
        <f t="shared" si="47"/>
        <v>0.19900138203225187</v>
      </c>
      <c r="G94" s="30" t="e">
        <f t="shared" si="48"/>
        <v>#DIV/0!</v>
      </c>
      <c r="H94" s="31">
        <f>SUMIF(헤몬팜일일!$C$242:$C$380,$C94,헤몬팜일일!O$242:O$380)</f>
        <v>52</v>
      </c>
      <c r="I94" s="138">
        <f t="shared" si="49"/>
        <v>7.4285714285714288</v>
      </c>
      <c r="J94" s="31">
        <f>SUMIF(헤몬팜일일!$C$242:$C$380,$C94,헤몬팜일일!P$242:P$380)</f>
        <v>52</v>
      </c>
      <c r="K94" s="31">
        <f>SUMIF(헤몬팜일일!$C$242:$C$380,$C94,헤몬팜일일!Q$242:Q$380)</f>
        <v>7</v>
      </c>
      <c r="L94" s="31">
        <f>SUMIF(헤몬팜일일!$C$242:$C$380,$C94,헤몬팜일일!S$242:S$380)</f>
        <v>0</v>
      </c>
      <c r="M94" s="31">
        <f>SUMIF(헤몬팜일일!$C$242:$C$380,$C94,헤몬팜일일!T$242:T$380)</f>
        <v>3010060</v>
      </c>
      <c r="N94" s="31">
        <f>SUMIF(헤몬팜일일!$C$242:$C$380,$C94,헤몬팜일일!U$242:U$380)</f>
        <v>0</v>
      </c>
      <c r="O94" s="31">
        <f>SUMIF(헤몬팜일일!$C$242:$C$380,$C94,헤몬팜일일!V$242:V$380)</f>
        <v>3010060</v>
      </c>
      <c r="P94" s="34">
        <f t="shared" si="50"/>
        <v>57885.769230769234</v>
      </c>
      <c r="Q94" s="34" t="e">
        <f t="shared" si="51"/>
        <v>#REF!</v>
      </c>
      <c r="R94" s="31" t="e">
        <f>SUMIF(헤몬팜일일!$C$242:$C$380,$C94,헤몬팜일일!Y$242:Y$380)</f>
        <v>#REF!</v>
      </c>
      <c r="S94" s="31">
        <f>SUMIF(헤몬팜일일!$C$242:$C$380,$C94,헤몬팜일일!Z$242:Z$380)</f>
        <v>599006.10000000009</v>
      </c>
      <c r="T94" s="31">
        <f>SUMIF(헤몬팜일일!$C$242:$C$380,$C94,헤몬팜일일!AA$242:AA$380)</f>
        <v>544551</v>
      </c>
      <c r="U94" s="31">
        <f>SUMIF(헤몬팜일일!$C$242:$C$380,$C94,헤몬팜일일!AB$242:AB$380)</f>
        <v>0</v>
      </c>
      <c r="V94" s="31">
        <f>SUMIF(헤몬팜일일!$C$242:$C$380,$C94,헤몬팜일일!AC$242:AC$380)</f>
        <v>16170</v>
      </c>
      <c r="W94" s="152">
        <v>0.1</v>
      </c>
      <c r="X94" s="31">
        <f>SUMIF(헤몬팜일일!$C$242:$C$380,$C94,헤몬팜일일!AE$242:AE$380)</f>
        <v>250900</v>
      </c>
      <c r="Y94" s="28">
        <f t="shared" si="52"/>
        <v>0.18335382018963076</v>
      </c>
      <c r="Z94" s="31">
        <f>SUMIF(헤몬팜일일!$C$242:$C$380,$C94,헤몬팜일일!AG$242:AG$380)</f>
        <v>485684.88999999996</v>
      </c>
      <c r="AA94" s="31" t="e">
        <f>SUMIF(헤몬팜일일!$C$242:$C$380,$C94,헤몬팜일일!AH$242:AH$380)</f>
        <v>#REF!</v>
      </c>
      <c r="AB94" s="31" t="e">
        <f>SUMIF(헤몬팜일일!$C$242:$C$380,$C94,헤몬팜일일!AJ$242:AJ$380)</f>
        <v>#REF!</v>
      </c>
      <c r="AC94" s="31" t="e">
        <f>SUMIF(헤몬팜일일!$C$242:$C$380,$C94,헤몬팜일일!AK$242:AK$380)</f>
        <v>#REF!</v>
      </c>
      <c r="AD94" s="31" t="e">
        <f>SUMIF(헤몬팜일일!$C$242:$C$380,$C94,헤몬팜일일!AK$242:AK$380)</f>
        <v>#REF!</v>
      </c>
      <c r="AE94" s="31">
        <f>SUMIF(헤몬팜일일!$C$242:$C$380,$C94,헤몬팜일일!AL$242:AL$380)</f>
        <v>1270.0800000000002</v>
      </c>
      <c r="AF94" s="26"/>
      <c r="AG94" s="26"/>
      <c r="AH94" s="26"/>
      <c r="AI94" s="26"/>
      <c r="AJ94" s="26"/>
      <c r="AK94" s="26"/>
      <c r="AL94" s="26"/>
      <c r="AM94" s="26"/>
      <c r="AN94" s="26"/>
      <c r="AO94" s="26"/>
      <c r="AP94" s="27"/>
      <c r="AQ94" s="27"/>
      <c r="AR94" s="27"/>
      <c r="AS94" s="27"/>
      <c r="AT94" s="27"/>
      <c r="AU94" s="27"/>
      <c r="AV94" s="26"/>
      <c r="AW94" s="26"/>
    </row>
    <row r="95" spans="1:49" ht="28.5" customHeight="1">
      <c r="A95" s="26"/>
      <c r="B95" s="158"/>
      <c r="C95" s="42" t="s">
        <v>117</v>
      </c>
      <c r="D95" s="28">
        <f t="shared" si="45"/>
        <v>0.35179946342449803</v>
      </c>
      <c r="E95" s="29">
        <f t="shared" si="46"/>
        <v>0.49826626267055257</v>
      </c>
      <c r="F95" s="29">
        <f t="shared" si="47"/>
        <v>0.14646679924605457</v>
      </c>
      <c r="G95" s="30" t="e">
        <f t="shared" si="48"/>
        <v>#DIV/0!</v>
      </c>
      <c r="H95" s="31">
        <f>SUMIF(헤몬팜일일!$C$242:$C$380,$C95,헤몬팜일일!O$242:O$380)</f>
        <v>141</v>
      </c>
      <c r="I95" s="138">
        <f t="shared" si="49"/>
        <v>20.142857142857142</v>
      </c>
      <c r="J95" s="31">
        <f>SUMIF(헤몬팜일일!$C$242:$C$380,$C95,헤몬팜일일!P$242:P$380)</f>
        <v>141</v>
      </c>
      <c r="K95" s="31">
        <f>SUMIF(헤몬팜일일!$C$242:$C$380,$C95,헤몬팜일일!Q$242:Q$380)</f>
        <v>27</v>
      </c>
      <c r="L95" s="31">
        <f>SUMIF(헤몬팜일일!$C$242:$C$380,$C95,헤몬팜일일!S$242:S$380)</f>
        <v>0</v>
      </c>
      <c r="M95" s="31">
        <f>SUMIF(헤몬팜일일!$C$242:$C$380,$C95,헤몬팜일일!T$242:T$380)</f>
        <v>2504160</v>
      </c>
      <c r="N95" s="31">
        <f>SUMIF(헤몬팜일일!$C$242:$C$380,$C95,헤몬팜일일!U$242:U$380)</f>
        <v>0</v>
      </c>
      <c r="O95" s="31">
        <f>SUMIF(헤몬팜일일!$C$242:$C$380,$C95,헤몬팜일일!V$242:V$380)</f>
        <v>2504160</v>
      </c>
      <c r="P95" s="34">
        <f t="shared" si="50"/>
        <v>17760</v>
      </c>
      <c r="Q95" s="34">
        <f t="shared" si="51"/>
        <v>4837.2101999999995</v>
      </c>
      <c r="R95" s="31">
        <f>SUMIF(헤몬팜일일!$C$242:$C$380,$C95,헤몬팜일일!Y$242:Y$380)</f>
        <v>682046.63819999993</v>
      </c>
      <c r="S95" s="31">
        <f>SUMIF(헤몬팜일일!$C$242:$C$380,$C95,헤몬팜일일!Z$242:Z$380)</f>
        <v>366776.3</v>
      </c>
      <c r="T95" s="31">
        <f>SUMIF(헤몬팜일일!$C$242:$C$380,$C95,헤몬팜일일!AA$242:AA$380)</f>
        <v>333433</v>
      </c>
      <c r="U95" s="31">
        <f>SUMIF(헤몬팜일일!$C$242:$C$380,$C95,헤몬팜일일!AB$242:AB$380)</f>
        <v>0</v>
      </c>
      <c r="V95" s="31">
        <f>SUMIF(헤몬팜일일!$C$242:$C$380,$C95,헤몬팜일일!AC$242:AC$380)</f>
        <v>62370</v>
      </c>
      <c r="W95" s="152">
        <v>0.1</v>
      </c>
      <c r="X95" s="31">
        <f>SUMIF(헤몬팜일일!$C$242:$C$380,$C95,헤몬팜일일!AE$242:AE$380)</f>
        <v>267900</v>
      </c>
      <c r="Y95" s="28">
        <f t="shared" si="52"/>
        <v>0.20698198198198198</v>
      </c>
      <c r="Z95" s="31">
        <f>SUMIF(헤몬팜일일!$C$242:$C$380,$C95,헤몬팜일일!AG$242:AG$380)</f>
        <v>463224.68999999994</v>
      </c>
      <c r="AA95" s="31">
        <f>SUMIF(헤몬팜일일!$C$242:$C$380,$C95,헤몬팜일일!AH$242:AH$380)</f>
        <v>111150.22747090909</v>
      </c>
      <c r="AB95" s="31">
        <f>SUMIF(헤몬팜일일!$C$242:$C$380,$C95,헤몬팜일일!AJ$242:AJ$380)</f>
        <v>1247738.4443290909</v>
      </c>
      <c r="AC95" s="31">
        <f>SUMIF(헤몬팜일일!$C$242:$C$380,$C95,헤몬팜일일!AK$242:AK$380)</f>
        <v>880962.14432909095</v>
      </c>
      <c r="AD95" s="31">
        <f>SUMIF(헤몬팜일일!$C$242:$C$380,$C95,헤몬팜일일!AK$242:AK$380)</f>
        <v>880962.14432909095</v>
      </c>
      <c r="AE95" s="31">
        <f>SUMIF(헤몬팜일일!$C$242:$C$380,$C95,헤몬팜일일!AL$242:AL$380)</f>
        <v>979.77600000000029</v>
      </c>
      <c r="AF95" s="26"/>
      <c r="AG95" s="26"/>
      <c r="AH95" s="26"/>
      <c r="AI95" s="26"/>
      <c r="AJ95" s="26"/>
      <c r="AK95" s="26"/>
      <c r="AL95" s="26"/>
      <c r="AM95" s="26"/>
      <c r="AN95" s="26"/>
      <c r="AO95" s="26"/>
      <c r="AP95" s="27"/>
      <c r="AQ95" s="27"/>
      <c r="AR95" s="27"/>
      <c r="AS95" s="27"/>
      <c r="AT95" s="27"/>
      <c r="AU95" s="27"/>
      <c r="AV95" s="26"/>
      <c r="AW95" s="26"/>
    </row>
    <row r="96" spans="1:49" ht="28.5" customHeight="1">
      <c r="A96" s="26"/>
      <c r="B96" s="158"/>
      <c r="C96" s="42" t="s">
        <v>31</v>
      </c>
      <c r="D96" s="28">
        <f t="shared" si="45"/>
        <v>-7.7041694047619028E-2</v>
      </c>
      <c r="E96" s="29">
        <f t="shared" si="46"/>
        <v>0.37869342499999997</v>
      </c>
      <c r="F96" s="29">
        <f t="shared" si="47"/>
        <v>0.45573511904761904</v>
      </c>
      <c r="G96" s="30" t="e">
        <f t="shared" si="48"/>
        <v>#DIV/0!</v>
      </c>
      <c r="H96" s="31">
        <f>SUMIF(헤몬팜일일!$C$242:$C$380,$C96,헤몬팜일일!O$242:O$380)</f>
        <v>212</v>
      </c>
      <c r="I96" s="138">
        <f>J96/7</f>
        <v>24</v>
      </c>
      <c r="J96" s="31">
        <f>SUMIF(헤몬팜일일!$C$242:$C$380,$C96,헤몬팜일일!P$242:P$380)</f>
        <v>168</v>
      </c>
      <c r="K96" s="31">
        <f>SUMIF(헤몬팜일일!$C$242:$C$380,$C96,헤몬팜일일!Q$242:Q$380)</f>
        <v>16</v>
      </c>
      <c r="L96" s="31">
        <f>SUMIF(헤몬팜일일!$C$242:$C$380,$C96,헤몬팜일일!S$242:S$380)</f>
        <v>44</v>
      </c>
      <c r="M96" s="31">
        <f>SUMIF(헤몬팜일일!$C$242:$C$380,$C96,헤몬팜일일!T$242:T$380)</f>
        <v>4197600</v>
      </c>
      <c r="N96" s="31">
        <f>SUMIF(헤몬팜일일!$C$242:$C$380,$C96,헤몬팜일일!U$242:U$380)</f>
        <v>871200</v>
      </c>
      <c r="O96" s="31">
        <f>SUMIF(헤몬팜일일!$C$242:$C$380,$C96,헤몬팜일일!V$242:V$380)</f>
        <v>3326400</v>
      </c>
      <c r="P96" s="34">
        <f t="shared" si="50"/>
        <v>19800</v>
      </c>
      <c r="Q96" s="34">
        <f t="shared" si="51"/>
        <v>6685.6073999999981</v>
      </c>
      <c r="R96" s="31">
        <f>SUMIF(헤몬팜일일!$C$242:$C$380,$C96,헤몬팜일일!Y$242:Y$380)</f>
        <v>1123182.0431999997</v>
      </c>
      <c r="S96" s="31">
        <f>SUMIF(헤몬팜일일!$C$242:$C$380,$C96,헤몬팜일일!Z$242:Z$380)</f>
        <v>1054639.3</v>
      </c>
      <c r="T96" s="31">
        <f>SUMIF(헤몬팜일일!$C$242:$C$380,$C96,헤몬팜일일!AA$242:AA$380)</f>
        <v>958763</v>
      </c>
      <c r="U96" s="31">
        <f>SUMIF(헤몬팜일일!$C$242:$C$380,$C96,헤몬팜일일!AB$242:AB$380)</f>
        <v>461318</v>
      </c>
      <c r="V96" s="31">
        <f>SUMIF(헤몬팜일일!$C$242:$C$380,$C96,헤몬팜일일!AC$242:AC$380)</f>
        <v>36960</v>
      </c>
      <c r="W96" s="152">
        <v>0.1</v>
      </c>
      <c r="X96" s="31">
        <f>SUMIF(헤몬팜일일!$C$242:$C$380,$C96,헤몬팜일일!AE$242:AE$380)</f>
        <v>571200</v>
      </c>
      <c r="Y96" s="28">
        <f t="shared" si="52"/>
        <v>0.27171717171717169</v>
      </c>
      <c r="Z96" s="31">
        <f>SUMIF(헤몬팜일일!$C$242:$C$380,$C96,헤몬팜일일!AG$242:AG$380)</f>
        <v>837312.21000000008</v>
      </c>
      <c r="AA96" s="31">
        <f>SUMIF(헤몬팜일일!$C$242:$C$380,$C96,헤몬팜일일!AH$242:AH$380)</f>
        <v>106219.93788</v>
      </c>
      <c r="AB96" s="31">
        <f>SUMIF(헤몬팜일일!$C$242:$C$380,$C96,헤몬팜일일!AJ$242:AJ$380)</f>
        <v>1259685.80892</v>
      </c>
      <c r="AC96" s="31">
        <f>SUMIF(헤몬팜일일!$C$242:$C$380,$C96,헤몬팜일일!AK$242:AK$380)</f>
        <v>-256271.49107999995</v>
      </c>
      <c r="AD96" s="31">
        <f>SUMIF(헤몬팜일일!$C$242:$C$380,$C96,헤몬팜일일!AK$242:AK$380)</f>
        <v>-256271.49107999995</v>
      </c>
      <c r="AE96" s="31">
        <f>SUMIF(헤몬팜일일!$C$242:$C$380,$C96,헤몬팜일일!AL$242:AL$380)</f>
        <v>54.431999999999988</v>
      </c>
      <c r="AF96" s="26"/>
      <c r="AG96" s="26"/>
      <c r="AH96" s="26"/>
      <c r="AI96" s="26"/>
      <c r="AJ96" s="26"/>
      <c r="AK96" s="26"/>
      <c r="AL96" s="26"/>
      <c r="AM96" s="26"/>
      <c r="AN96" s="26"/>
      <c r="AO96" s="26"/>
      <c r="AP96" s="27"/>
      <c r="AQ96" s="27"/>
      <c r="AR96" s="27"/>
      <c r="AS96" s="27"/>
      <c r="AT96" s="27"/>
      <c r="AU96" s="27"/>
      <c r="AV96" s="26"/>
      <c r="AW96" s="26"/>
    </row>
    <row r="97" spans="1:49" ht="28.5" customHeight="1">
      <c r="A97" s="26"/>
      <c r="B97" s="158"/>
      <c r="C97" s="42" t="s">
        <v>118</v>
      </c>
      <c r="D97" s="28" t="e">
        <f t="shared" si="45"/>
        <v>#DIV/0!</v>
      </c>
      <c r="E97" s="29" t="e">
        <f t="shared" si="46"/>
        <v>#DIV/0!</v>
      </c>
      <c r="F97" s="29" t="e">
        <f t="shared" si="47"/>
        <v>#DIV/0!</v>
      </c>
      <c r="G97" s="30" t="e">
        <f t="shared" si="48"/>
        <v>#DIV/0!</v>
      </c>
      <c r="H97" s="31">
        <f>SUMIF(헤몬팜일일!$C$242:$C$380,$C97,헤몬팜일일!O$242:O$380)</f>
        <v>0</v>
      </c>
      <c r="I97" s="138">
        <f t="shared" ref="I97:I99" si="53">H97/7</f>
        <v>0</v>
      </c>
      <c r="J97" s="31">
        <f>SUMIF(헤몬팜일일!$C$242:$C$380,$C97,헤몬팜일일!P$242:P$380)</f>
        <v>0</v>
      </c>
      <c r="K97" s="31">
        <f>SUMIF(헤몬팜일일!$C$242:$C$380,$C97,헤몬팜일일!Q$242:Q$380)</f>
        <v>9</v>
      </c>
      <c r="L97" s="31">
        <f>SUMIF(헤몬팜일일!$C$242:$C$380,$C97,헤몬팜일일!S$242:S$380)</f>
        <v>0</v>
      </c>
      <c r="M97" s="31">
        <f>SUMIF(헤몬팜일일!$C$242:$C$380,$C97,헤몬팜일일!T$242:T$380)</f>
        <v>0</v>
      </c>
      <c r="N97" s="31">
        <f>SUMIF(헤몬팜일일!$C$242:$C$380,$C97,헤몬팜일일!U$242:U$380)</f>
        <v>0</v>
      </c>
      <c r="O97" s="31">
        <f>SUMIF(헤몬팜일일!$C$242:$C$380,$C97,헤몬팜일일!V$242:V$380)</f>
        <v>0</v>
      </c>
      <c r="P97" s="34" t="e">
        <f t="shared" si="50"/>
        <v>#DIV/0!</v>
      </c>
      <c r="Q97" s="34" t="e">
        <f t="shared" si="51"/>
        <v>#DIV/0!</v>
      </c>
      <c r="R97" s="31">
        <f>SUMIF(헤몬팜일일!$C$242:$C$380,$C97,헤몬팜일일!Y$242:Y$380)</f>
        <v>0</v>
      </c>
      <c r="S97" s="31">
        <f>SUMIF(헤몬팜일일!$C$242:$C$380,$C97,헤몬팜일일!Z$242:Z$380)</f>
        <v>88629.200000000012</v>
      </c>
      <c r="T97" s="31">
        <f>SUMIF(헤몬팜일일!$C$242:$C$380,$C97,헤몬팜일일!AA$242:AA$380)</f>
        <v>80572</v>
      </c>
      <c r="U97" s="31">
        <f>SUMIF(헤몬팜일일!$C$242:$C$380,$C97,헤몬팜일일!AB$242:AB$380)</f>
        <v>0</v>
      </c>
      <c r="V97" s="31">
        <f>SUMIF(헤몬팜일일!$C$242:$C$380,$C97,헤몬팜일일!AC$242:AC$380)</f>
        <v>20790</v>
      </c>
      <c r="W97" s="152">
        <v>0.1</v>
      </c>
      <c r="X97" s="31">
        <f>SUMIF(헤몬팜일일!$C$242:$C$380,$C97,헤몬팜일일!AE$242:AE$380)</f>
        <v>0</v>
      </c>
      <c r="Y97" s="28" t="e">
        <f t="shared" si="52"/>
        <v>#DIV/0!</v>
      </c>
      <c r="Z97" s="31">
        <f>SUMIF(헤몬팜일일!$C$242:$C$380,$C97,헤몬팜일일!AG$242:AG$380)</f>
        <v>0.18000000000029104</v>
      </c>
      <c r="AA97" s="31">
        <f>SUMIF(헤몬팜일일!$C$242:$C$380,$C97,헤몬팜일일!AH$242:AH$380)</f>
        <v>-1.8000000000938599E-2</v>
      </c>
      <c r="AB97" s="31">
        <f>SUMIF(헤몬팜일일!$C$242:$C$380,$C97,헤몬팜일일!AJ$242:AJ$380)</f>
        <v>-0.16200000000389991</v>
      </c>
      <c r="AC97" s="31">
        <f>SUMIF(헤몬팜일일!$C$242:$C$380,$C97,헤몬팜일일!AK$242:AK$380)</f>
        <v>-88629.362000000008</v>
      </c>
      <c r="AD97" s="31">
        <f>SUMIF(헤몬팜일일!$C$242:$C$380,$C97,헤몬팜일일!AK$242:AK$380)</f>
        <v>-88629.362000000008</v>
      </c>
      <c r="AE97" s="31">
        <f>SUMIF(헤몬팜일일!$C$242:$C$380,$C97,헤몬팜일일!AL$242:AL$380)</f>
        <v>196.55999999999995</v>
      </c>
      <c r="AF97" s="26"/>
      <c r="AG97" s="26"/>
      <c r="AH97" s="26"/>
      <c r="AI97" s="26"/>
      <c r="AJ97" s="26"/>
      <c r="AK97" s="26"/>
      <c r="AL97" s="26"/>
      <c r="AM97" s="26"/>
      <c r="AN97" s="26"/>
      <c r="AO97" s="26"/>
      <c r="AP97" s="27"/>
      <c r="AQ97" s="27"/>
      <c r="AR97" s="27"/>
      <c r="AS97" s="27"/>
      <c r="AT97" s="27"/>
      <c r="AU97" s="27"/>
      <c r="AV97" s="26"/>
      <c r="AW97" s="26"/>
    </row>
    <row r="98" spans="1:49" ht="28.5" customHeight="1">
      <c r="A98" s="26"/>
      <c r="B98" s="158"/>
      <c r="C98" s="42" t="s">
        <v>119</v>
      </c>
      <c r="D98" s="28">
        <f t="shared" si="45"/>
        <v>0.24162897322967475</v>
      </c>
      <c r="E98" s="29">
        <f t="shared" si="46"/>
        <v>0.43444842880843509</v>
      </c>
      <c r="F98" s="29">
        <f t="shared" si="47"/>
        <v>0.19281945557876032</v>
      </c>
      <c r="G98" s="30" t="e">
        <f t="shared" si="48"/>
        <v>#DIV/0!</v>
      </c>
      <c r="H98" s="31">
        <f>SUMIF(헤몬팜일일!$C$242:$C$380,$C98,헤몬팜일일!O$242:O$380)</f>
        <v>158</v>
      </c>
      <c r="I98" s="138">
        <f t="shared" si="53"/>
        <v>22.571428571428573</v>
      </c>
      <c r="J98" s="31">
        <f>SUMIF(헤몬팜일일!$C$242:$C$380,$C98,헤몬팜일일!P$242:P$380)</f>
        <v>158</v>
      </c>
      <c r="K98" s="31">
        <f>SUMIF(헤몬팜일일!$C$242:$C$380,$C98,헤몬팜일일!Q$242:Q$380)</f>
        <v>39</v>
      </c>
      <c r="L98" s="31">
        <f>SUMIF(헤몬팜일일!$C$242:$C$380,$C98,헤몬팜일일!S$242:S$380)</f>
        <v>0</v>
      </c>
      <c r="M98" s="31">
        <f>SUMIF(헤몬팜일일!$C$242:$C$380,$C98,헤몬팜일일!T$242:T$380)</f>
        <v>3916820</v>
      </c>
      <c r="N98" s="31">
        <f>SUMIF(헤몬팜일일!$C$242:$C$380,$C98,헤몬팜일일!U$242:U$380)</f>
        <v>0</v>
      </c>
      <c r="O98" s="31">
        <f>SUMIF(헤몬팜일일!$C$242:$C$380,$C98,헤몬팜일일!V$242:V$380)</f>
        <v>3916820</v>
      </c>
      <c r="P98" s="34">
        <f t="shared" si="50"/>
        <v>24790</v>
      </c>
      <c r="Q98" s="34">
        <f t="shared" si="51"/>
        <v>7253.6180999999988</v>
      </c>
      <c r="R98" s="31">
        <f>SUMIF(헤몬팜일일!$C$242:$C$380,$C98,헤몬팜일일!Y$242:Y$380)</f>
        <v>1146071.6597999998</v>
      </c>
      <c r="S98" s="31">
        <f>SUMIF(헤몬팜일일!$C$242:$C$380,$C98,헤몬팜일일!Z$242:Z$380)</f>
        <v>755239.1</v>
      </c>
      <c r="T98" s="31">
        <f>SUMIF(헤몬팜일일!$C$242:$C$380,$C98,헤몬팜일일!AA$242:AA$380)</f>
        <v>686581</v>
      </c>
      <c r="U98" s="31">
        <f>SUMIF(헤몬팜일일!$C$242:$C$380,$C98,헤몬팜일일!AB$242:AB$380)</f>
        <v>0</v>
      </c>
      <c r="V98" s="31">
        <f>SUMIF(헤몬팜일일!$C$242:$C$380,$C98,헤몬팜일일!AC$242:AC$380)</f>
        <v>90090</v>
      </c>
      <c r="W98" s="152">
        <v>0.1</v>
      </c>
      <c r="X98" s="31">
        <f>SUMIF(헤몬팜일일!$C$242:$C$380,$C98,헤몬팜일일!AE$242:AE$380)</f>
        <v>497700</v>
      </c>
      <c r="Y98" s="28">
        <f t="shared" si="52"/>
        <v>0.22706736587333604</v>
      </c>
      <c r="Z98" s="31">
        <f>SUMIF(헤몬팜일일!$C$242:$C$380,$C98,헤몬팜일일!AG$242:AG$380)</f>
        <v>920716.77</v>
      </c>
      <c r="AA98" s="31">
        <f>SUMIF(헤몬팜일일!$C$242:$C$380,$C98,헤몬팜일일!AH$242:AH$380)</f>
        <v>148375.27527454545</v>
      </c>
      <c r="AB98" s="31">
        <f>SUMIF(헤몬팜일일!$C$242:$C$380,$C98,헤몬팜일일!AJ$242:AJ$380)</f>
        <v>1701656.2949254548</v>
      </c>
      <c r="AC98" s="31">
        <f>SUMIF(헤몬팜일일!$C$242:$C$380,$C98,헤몬팜일일!AK$242:AK$380)</f>
        <v>946417.19492545468</v>
      </c>
      <c r="AD98" s="31">
        <f>SUMIF(헤몬팜일일!$C$242:$C$380,$C98,헤몬팜일일!AK$242:AK$380)</f>
        <v>946417.19492545468</v>
      </c>
      <c r="AE98" s="31">
        <f>SUMIF(헤몬팜일일!$C$242:$C$380,$C98,헤몬팜일일!AL$242:AL$380)</f>
        <v>452.08800000000002</v>
      </c>
      <c r="AF98" s="26"/>
      <c r="AG98" s="26"/>
      <c r="AH98" s="26"/>
      <c r="AI98" s="26"/>
      <c r="AJ98" s="26"/>
      <c r="AK98" s="26"/>
      <c r="AL98" s="26"/>
      <c r="AM98" s="26"/>
      <c r="AN98" s="26"/>
      <c r="AO98" s="26"/>
      <c r="AP98" s="27"/>
      <c r="AQ98" s="27"/>
      <c r="AR98" s="27"/>
      <c r="AS98" s="27"/>
      <c r="AT98" s="27"/>
      <c r="AU98" s="27"/>
      <c r="AV98" s="26"/>
      <c r="AW98" s="26"/>
    </row>
    <row r="99" spans="1:49" ht="28.5" customHeight="1">
      <c r="A99" s="26"/>
      <c r="B99" s="158"/>
      <c r="C99" s="42" t="s">
        <v>120</v>
      </c>
      <c r="D99" s="28">
        <f t="shared" si="45"/>
        <v>-0.75685425188061528</v>
      </c>
      <c r="E99" s="29">
        <f t="shared" si="46"/>
        <v>0.41263737291000452</v>
      </c>
      <c r="F99" s="29">
        <f t="shared" si="47"/>
        <v>1.16949162479062</v>
      </c>
      <c r="G99" s="30" t="e">
        <f t="shared" si="48"/>
        <v>#DIV/0!</v>
      </c>
      <c r="H99" s="31">
        <f>SUMIF(헤몬팜일일!$C$242:$C$380,$C99,헤몬팜일일!O$242:O$380)</f>
        <v>6</v>
      </c>
      <c r="I99" s="138">
        <f t="shared" si="53"/>
        <v>0.8571428571428571</v>
      </c>
      <c r="J99" s="31">
        <f>SUMIF(헤몬팜일일!$C$242:$C$380,$C99,헤몬팜일일!P$242:P$380)</f>
        <v>6</v>
      </c>
      <c r="K99" s="31">
        <f>SUMIF(헤몬팜일일!$C$242:$C$380,$C99,헤몬팜일일!Q$242:Q$380)</f>
        <v>1</v>
      </c>
      <c r="L99" s="31">
        <f>SUMIF(헤몬팜일일!$C$242:$C$380,$C99,헤몬팜일일!S$242:S$380)</f>
        <v>0</v>
      </c>
      <c r="M99" s="31">
        <f>SUMIF(헤몬팜일일!$C$242:$C$380,$C99,헤몬팜일일!T$242:T$380)</f>
        <v>238800</v>
      </c>
      <c r="N99" s="31">
        <f>SUMIF(헤몬팜일일!$C$242:$C$380,$C99,헤몬팜일일!U$242:U$380)</f>
        <v>0</v>
      </c>
      <c r="O99" s="31">
        <f>SUMIF(헤몬팜일일!$C$242:$C$380,$C99,헤몬팜일일!V$242:V$380)</f>
        <v>238800</v>
      </c>
      <c r="P99" s="34">
        <f t="shared" si="50"/>
        <v>39800</v>
      </c>
      <c r="Q99" s="34">
        <f t="shared" si="51"/>
        <v>14113.034599999999</v>
      </c>
      <c r="R99" s="31">
        <f>SUMIF(헤몬팜일일!$C$242:$C$380,$C99,헤몬팜일일!Y$242:Y$380)</f>
        <v>84678.207599999994</v>
      </c>
      <c r="S99" s="31">
        <f>SUMIF(헤몬팜일일!$C$242:$C$380,$C99,헤몬팜일일!Z$242:Z$380)</f>
        <v>279274.60000000003</v>
      </c>
      <c r="T99" s="31">
        <f>SUMIF(헤몬팜일일!$C$242:$C$380,$C99,헤몬팜일일!AA$242:AA$380)</f>
        <v>253886</v>
      </c>
      <c r="U99" s="31">
        <f>SUMIF(헤몬팜일일!$C$242:$C$380,$C99,헤몬팜일일!AB$242:AB$380)</f>
        <v>0</v>
      </c>
      <c r="V99" s="31">
        <f>SUMIF(헤몬팜일일!$C$242:$C$380,$C99,헤몬팜일일!AC$242:AC$380)</f>
        <v>2310</v>
      </c>
      <c r="W99" s="152">
        <v>0.1</v>
      </c>
      <c r="X99" s="31">
        <f>SUMIF(헤몬팜일일!$C$242:$C$380,$C99,헤몬팜일일!AE$242:AE$380)</f>
        <v>21300</v>
      </c>
      <c r="Y99" s="28">
        <f t="shared" si="52"/>
        <v>0.18919597989949749</v>
      </c>
      <c r="Z99" s="31">
        <f>SUMIF(헤몬팜일일!$C$242:$C$380,$C99,헤몬팜일일!AG$242:AG$380)</f>
        <v>47090.52</v>
      </c>
      <c r="AA99" s="31">
        <f>SUMIF(헤몬팜일일!$C$242:$C$380,$C99,헤몬팜일일!AH$242:AH$380)</f>
        <v>8493.4677490909089</v>
      </c>
      <c r="AB99" s="31">
        <f>SUMIF(헤몬팜일일!$C$242:$C$380,$C99,헤몬팜일일!AJ$242:AJ$380)</f>
        <v>98537.804650909078</v>
      </c>
      <c r="AC99" s="31">
        <f>SUMIF(헤몬팜일일!$C$242:$C$380,$C99,헤몬팜일일!AK$242:AK$380)</f>
        <v>-180736.79534909094</v>
      </c>
      <c r="AD99" s="31">
        <f>SUMIF(헤몬팜일일!$C$242:$C$380,$C99,헤몬팜일일!AK$242:AK$380)</f>
        <v>-180736.79534909094</v>
      </c>
      <c r="AE99" s="31">
        <f>SUMIF(헤몬팜일일!$C$242:$C$380,$C99,헤몬팜일일!AL$242:AL$380)</f>
        <v>452.08800000000002</v>
      </c>
      <c r="AF99" s="26"/>
      <c r="AG99" s="26"/>
      <c r="AH99" s="26"/>
      <c r="AI99" s="26"/>
      <c r="AJ99" s="26"/>
      <c r="AK99" s="26"/>
      <c r="AL99" s="26"/>
      <c r="AM99" s="26"/>
      <c r="AN99" s="26"/>
      <c r="AO99" s="26"/>
      <c r="AP99" s="27"/>
      <c r="AQ99" s="27"/>
      <c r="AR99" s="27"/>
      <c r="AS99" s="27"/>
      <c r="AT99" s="27"/>
      <c r="AU99" s="27"/>
      <c r="AV99" s="26"/>
      <c r="AW99" s="26"/>
    </row>
    <row r="100" spans="1:49" ht="28.5" customHeight="1">
      <c r="A100" s="26"/>
      <c r="B100" s="104"/>
      <c r="C100" s="104"/>
      <c r="D100" s="29" t="e">
        <f>AC100/P100</f>
        <v>#REF!</v>
      </c>
      <c r="E100" s="166" t="e">
        <f>AB100/P100</f>
        <v>#REF!</v>
      </c>
      <c r="F100" s="29" t="e">
        <f>T100/P100</f>
        <v>#DIV/0!</v>
      </c>
      <c r="G100" s="128"/>
      <c r="H100" s="128">
        <f t="shared" ref="H100:O100" si="54">SUM(H83:H99)</f>
        <v>2336</v>
      </c>
      <c r="I100" s="128">
        <f t="shared" si="54"/>
        <v>327.42857142857139</v>
      </c>
      <c r="J100" s="128">
        <f t="shared" si="54"/>
        <v>2292</v>
      </c>
      <c r="K100" s="128">
        <f t="shared" si="54"/>
        <v>248</v>
      </c>
      <c r="L100" s="128">
        <f t="shared" si="54"/>
        <v>44</v>
      </c>
      <c r="M100" s="128">
        <f t="shared" si="54"/>
        <v>64458210</v>
      </c>
      <c r="N100" s="128">
        <f t="shared" si="54"/>
        <v>871200</v>
      </c>
      <c r="O100" s="128">
        <f t="shared" si="54"/>
        <v>63587010</v>
      </c>
      <c r="P100" s="128"/>
      <c r="Q100" s="128" t="e">
        <f t="shared" ref="Q100:V100" si="55">SUM(Q83:Q99)</f>
        <v>#REF!</v>
      </c>
      <c r="R100" s="128" t="e">
        <f t="shared" si="55"/>
        <v>#REF!</v>
      </c>
      <c r="S100" s="128">
        <f t="shared" si="55"/>
        <v>16423481.800000001</v>
      </c>
      <c r="T100" s="128">
        <f t="shared" si="55"/>
        <v>14930438</v>
      </c>
      <c r="U100" s="128">
        <f t="shared" si="55"/>
        <v>461318</v>
      </c>
      <c r="V100" s="128">
        <f t="shared" si="55"/>
        <v>558804</v>
      </c>
      <c r="W100" s="154">
        <v>0.09</v>
      </c>
      <c r="X100" s="128">
        <f>SUM(X83:X99)</f>
        <v>7200200</v>
      </c>
      <c r="Y100" s="28"/>
      <c r="Z100" s="128">
        <f t="shared" ref="Z100:AC100" si="56">SUM(Z83:Z99)</f>
        <v>13286290.210000003</v>
      </c>
      <c r="AA100" s="128" t="e">
        <f t="shared" si="56"/>
        <v>#REF!</v>
      </c>
      <c r="AB100" s="128" t="e">
        <f t="shared" si="56"/>
        <v>#REF!</v>
      </c>
      <c r="AC100" s="128" t="e">
        <f t="shared" si="56"/>
        <v>#REF!</v>
      </c>
      <c r="AD100" s="26"/>
      <c r="AE100" s="26"/>
      <c r="AF100" s="26"/>
      <c r="AG100" s="26"/>
      <c r="AH100" s="26"/>
      <c r="AI100" s="26"/>
      <c r="AJ100" s="26"/>
      <c r="AK100" s="26"/>
      <c r="AL100" s="26"/>
      <c r="AM100" s="26"/>
      <c r="AN100" s="26"/>
      <c r="AO100" s="26"/>
      <c r="AP100" s="27"/>
      <c r="AQ100" s="27"/>
      <c r="AR100" s="27"/>
      <c r="AS100" s="27"/>
      <c r="AT100" s="27"/>
      <c r="AU100" s="27"/>
      <c r="AV100" s="26"/>
      <c r="AW100" s="26"/>
    </row>
    <row r="101" spans="1:49" ht="28.5" customHeight="1">
      <c r="A101" s="155"/>
      <c r="B101" s="155"/>
      <c r="C101" s="1"/>
      <c r="D101" s="10"/>
      <c r="E101" s="10"/>
      <c r="F101" s="156"/>
      <c r="G101" s="10"/>
      <c r="H101" s="10"/>
      <c r="I101" s="10"/>
      <c r="J101" s="10"/>
      <c r="K101" s="10"/>
      <c r="L101" s="10"/>
      <c r="M101" s="10"/>
      <c r="N101" s="10"/>
      <c r="O101" s="10"/>
      <c r="P101" s="10"/>
      <c r="Q101" s="10"/>
      <c r="R101" s="10"/>
      <c r="S101" s="10"/>
      <c r="T101" s="1"/>
      <c r="U101" s="10"/>
      <c r="V101" s="10"/>
      <c r="W101" s="10"/>
      <c r="X101" s="8"/>
      <c r="Y101" s="59"/>
      <c r="Z101" s="1"/>
      <c r="AA101" s="8"/>
      <c r="AB101" s="157"/>
      <c r="AC101" s="1"/>
      <c r="AD101" s="155"/>
      <c r="AE101" s="155"/>
      <c r="AF101" s="155"/>
      <c r="AG101" s="155"/>
      <c r="AH101" s="155"/>
      <c r="AI101" s="155"/>
      <c r="AJ101" s="155"/>
      <c r="AK101" s="155"/>
      <c r="AL101" s="155"/>
      <c r="AM101" s="155"/>
      <c r="AN101" s="155"/>
      <c r="AO101" s="155"/>
      <c r="AP101" s="7"/>
      <c r="AQ101" s="7"/>
      <c r="AR101" s="7"/>
      <c r="AS101" s="7"/>
      <c r="AT101" s="7"/>
      <c r="AU101" s="7"/>
    </row>
    <row r="102" spans="1:49" ht="28.5" customHeight="1">
      <c r="A102" s="155"/>
      <c r="B102" s="155"/>
      <c r="C102" s="1"/>
      <c r="D102" s="10"/>
      <c r="E102" s="10"/>
      <c r="F102" s="156"/>
      <c r="G102" s="10"/>
      <c r="H102" s="10"/>
      <c r="I102" s="10"/>
      <c r="J102" s="10"/>
      <c r="K102" s="10"/>
      <c r="L102" s="10"/>
      <c r="M102" s="10"/>
      <c r="N102" s="10"/>
      <c r="O102" s="10"/>
      <c r="P102" s="10"/>
      <c r="Q102" s="10"/>
      <c r="R102" s="10"/>
      <c r="S102" s="10"/>
      <c r="T102" s="1"/>
      <c r="U102" s="10"/>
      <c r="V102" s="10"/>
      <c r="W102" s="10"/>
      <c r="X102" s="8"/>
      <c r="Y102" s="59"/>
      <c r="Z102" s="1"/>
      <c r="AA102" s="8"/>
      <c r="AB102" s="157"/>
      <c r="AC102" s="1"/>
      <c r="AD102" s="155"/>
      <c r="AE102" s="155"/>
      <c r="AF102" s="155"/>
      <c r="AG102" s="155"/>
      <c r="AH102" s="155"/>
      <c r="AI102" s="155"/>
      <c r="AJ102" s="155"/>
      <c r="AK102" s="155"/>
      <c r="AL102" s="155"/>
      <c r="AM102" s="155"/>
      <c r="AN102" s="155"/>
      <c r="AO102" s="155"/>
      <c r="AP102" s="7"/>
      <c r="AQ102" s="7"/>
      <c r="AR102" s="7"/>
      <c r="AS102" s="7"/>
      <c r="AT102" s="7"/>
      <c r="AU102" s="7"/>
    </row>
    <row r="103" spans="1:49" ht="28.5" customHeight="1">
      <c r="A103" s="155"/>
      <c r="B103" s="155"/>
      <c r="C103" s="1"/>
      <c r="D103" s="10"/>
      <c r="E103" s="10"/>
      <c r="F103" s="156"/>
      <c r="G103" s="10"/>
      <c r="H103" s="10"/>
      <c r="I103" s="10"/>
      <c r="J103" s="10"/>
      <c r="K103" s="10"/>
      <c r="L103" s="10"/>
      <c r="M103" s="10"/>
      <c r="N103" s="10"/>
      <c r="O103" s="10"/>
      <c r="P103" s="10"/>
      <c r="Q103" s="10"/>
      <c r="R103" s="10"/>
      <c r="S103" s="10"/>
      <c r="T103" s="1"/>
      <c r="U103" s="10"/>
      <c r="V103" s="10"/>
      <c r="W103" s="10"/>
      <c r="X103" s="8"/>
      <c r="Y103" s="59"/>
      <c r="Z103" s="1"/>
      <c r="AA103" s="8"/>
      <c r="AB103" s="157"/>
      <c r="AC103" s="1"/>
      <c r="AD103" s="155"/>
      <c r="AE103" s="155"/>
      <c r="AF103" s="155"/>
      <c r="AG103" s="155"/>
      <c r="AH103" s="155"/>
      <c r="AI103" s="155"/>
      <c r="AJ103" s="155"/>
      <c r="AK103" s="155"/>
      <c r="AL103" s="155"/>
      <c r="AM103" s="155"/>
      <c r="AN103" s="155"/>
      <c r="AO103" s="155"/>
      <c r="AP103" s="7"/>
      <c r="AQ103" s="7"/>
      <c r="AR103" s="7"/>
      <c r="AS103" s="7"/>
      <c r="AT103" s="7"/>
      <c r="AU103" s="7"/>
    </row>
    <row r="104" spans="1:49" ht="28.5" customHeight="1">
      <c r="A104" s="155"/>
      <c r="B104" s="155"/>
      <c r="C104" s="1"/>
      <c r="D104" s="10"/>
      <c r="E104" s="10"/>
      <c r="F104" s="156"/>
      <c r="G104" s="10"/>
      <c r="H104" s="10"/>
      <c r="I104" s="10"/>
      <c r="J104" s="10"/>
      <c r="K104" s="10"/>
      <c r="L104" s="10"/>
      <c r="M104" s="10"/>
      <c r="N104" s="10"/>
      <c r="O104" s="10"/>
      <c r="P104" s="10"/>
      <c r="Q104" s="10"/>
      <c r="R104" s="10"/>
      <c r="S104" s="10"/>
      <c r="T104" s="1"/>
      <c r="U104" s="10"/>
      <c r="V104" s="10"/>
      <c r="W104" s="10"/>
      <c r="X104" s="8"/>
      <c r="Y104" s="59"/>
      <c r="Z104" s="1"/>
      <c r="AA104" s="8"/>
      <c r="AB104" s="157"/>
      <c r="AC104" s="1"/>
      <c r="AD104" s="155"/>
      <c r="AE104" s="155"/>
      <c r="AF104" s="155"/>
      <c r="AG104" s="155"/>
      <c r="AH104" s="155"/>
      <c r="AI104" s="155"/>
      <c r="AJ104" s="155"/>
      <c r="AK104" s="155"/>
      <c r="AL104" s="155"/>
      <c r="AM104" s="155"/>
      <c r="AN104" s="155"/>
      <c r="AO104" s="155"/>
      <c r="AP104" s="7"/>
      <c r="AQ104" s="7"/>
      <c r="AR104" s="7"/>
      <c r="AS104" s="7"/>
      <c r="AT104" s="7"/>
      <c r="AU104" s="7"/>
    </row>
    <row r="105" spans="1:49" ht="28.5" customHeight="1">
      <c r="A105" s="155"/>
      <c r="B105" s="155"/>
      <c r="C105" s="1"/>
      <c r="D105" s="10"/>
      <c r="E105" s="10"/>
      <c r="F105" s="156"/>
      <c r="G105" s="10"/>
      <c r="H105" s="10"/>
      <c r="I105" s="10"/>
      <c r="J105" s="10"/>
      <c r="K105" s="10"/>
      <c r="L105" s="10"/>
      <c r="M105" s="10"/>
      <c r="N105" s="10"/>
      <c r="O105" s="10"/>
      <c r="P105" s="10"/>
      <c r="Q105" s="10"/>
      <c r="R105" s="10"/>
      <c r="S105" s="10"/>
      <c r="T105" s="1"/>
      <c r="U105" s="10"/>
      <c r="V105" s="10"/>
      <c r="W105" s="10"/>
      <c r="X105" s="8"/>
      <c r="Y105" s="59"/>
      <c r="Z105" s="1"/>
      <c r="AA105" s="8"/>
      <c r="AB105" s="157"/>
      <c r="AC105" s="1"/>
      <c r="AD105" s="155"/>
      <c r="AE105" s="155"/>
      <c r="AF105" s="155"/>
      <c r="AG105" s="155"/>
      <c r="AH105" s="155"/>
      <c r="AI105" s="155"/>
      <c r="AJ105" s="155"/>
      <c r="AK105" s="155"/>
      <c r="AL105" s="155"/>
      <c r="AM105" s="155"/>
      <c r="AN105" s="155"/>
      <c r="AO105" s="155"/>
      <c r="AP105" s="7"/>
      <c r="AQ105" s="7"/>
      <c r="AR105" s="7"/>
      <c r="AS105" s="7"/>
      <c r="AT105" s="7"/>
      <c r="AU105" s="7"/>
    </row>
    <row r="106" spans="1:49" ht="28.5" customHeight="1">
      <c r="A106" s="155"/>
      <c r="B106" s="155"/>
      <c r="C106" s="1"/>
      <c r="D106" s="10"/>
      <c r="E106" s="10"/>
      <c r="F106" s="156"/>
      <c r="G106" s="10"/>
      <c r="H106" s="10"/>
      <c r="I106" s="10"/>
      <c r="J106" s="10"/>
      <c r="K106" s="10"/>
      <c r="L106" s="10"/>
      <c r="M106" s="10"/>
      <c r="N106" s="10"/>
      <c r="O106" s="10"/>
      <c r="P106" s="10"/>
      <c r="Q106" s="10"/>
      <c r="R106" s="10"/>
      <c r="S106" s="10"/>
      <c r="T106" s="1"/>
      <c r="U106" s="10"/>
      <c r="V106" s="10"/>
      <c r="W106" s="10"/>
      <c r="X106" s="8"/>
      <c r="Y106" s="59"/>
      <c r="Z106" s="1"/>
      <c r="AA106" s="8"/>
      <c r="AB106" s="157"/>
      <c r="AC106" s="1"/>
      <c r="AD106" s="155"/>
      <c r="AE106" s="155"/>
      <c r="AF106" s="155"/>
      <c r="AG106" s="155"/>
      <c r="AH106" s="155"/>
      <c r="AI106" s="155"/>
      <c r="AJ106" s="155"/>
      <c r="AK106" s="155"/>
      <c r="AL106" s="155"/>
      <c r="AM106" s="155"/>
      <c r="AN106" s="155"/>
      <c r="AO106" s="155"/>
      <c r="AP106" s="7"/>
      <c r="AQ106" s="7"/>
      <c r="AR106" s="7"/>
      <c r="AS106" s="7"/>
      <c r="AT106" s="7"/>
      <c r="AU106" s="7"/>
    </row>
    <row r="107" spans="1:49" ht="28.5" customHeight="1">
      <c r="A107" s="155"/>
      <c r="B107" s="155"/>
      <c r="C107" s="1"/>
      <c r="D107" s="10"/>
      <c r="E107" s="10"/>
      <c r="F107" s="156"/>
      <c r="G107" s="10"/>
      <c r="H107" s="10"/>
      <c r="I107" s="10"/>
      <c r="J107" s="10"/>
      <c r="K107" s="10"/>
      <c r="L107" s="10"/>
      <c r="M107" s="10"/>
      <c r="N107" s="10"/>
      <c r="O107" s="10"/>
      <c r="P107" s="10"/>
      <c r="Q107" s="10"/>
      <c r="R107" s="10"/>
      <c r="S107" s="10"/>
      <c r="T107" s="1"/>
      <c r="U107" s="10"/>
      <c r="V107" s="10"/>
      <c r="W107" s="10"/>
      <c r="X107" s="8"/>
      <c r="Y107" s="59"/>
      <c r="Z107" s="1"/>
      <c r="AA107" s="8"/>
      <c r="AB107" s="157"/>
      <c r="AC107" s="1"/>
      <c r="AD107" s="155"/>
      <c r="AE107" s="155"/>
      <c r="AF107" s="155"/>
      <c r="AG107" s="155"/>
      <c r="AH107" s="155"/>
      <c r="AI107" s="155"/>
      <c r="AJ107" s="155"/>
      <c r="AK107" s="155"/>
      <c r="AL107" s="155"/>
      <c r="AM107" s="155"/>
      <c r="AN107" s="155"/>
      <c r="AO107" s="155"/>
      <c r="AP107" s="7"/>
      <c r="AQ107" s="7"/>
      <c r="AR107" s="7"/>
      <c r="AS107" s="7"/>
      <c r="AT107" s="7"/>
      <c r="AU107" s="7"/>
    </row>
    <row r="108" spans="1:49" ht="28.5" customHeight="1">
      <c r="A108" s="155"/>
      <c r="B108" s="155"/>
      <c r="C108" s="1"/>
      <c r="D108" s="10"/>
      <c r="E108" s="10"/>
      <c r="F108" s="156"/>
      <c r="G108" s="10"/>
      <c r="H108" s="10"/>
      <c r="I108" s="10"/>
      <c r="J108" s="10"/>
      <c r="K108" s="10"/>
      <c r="L108" s="10"/>
      <c r="M108" s="10"/>
      <c r="N108" s="10"/>
      <c r="O108" s="10"/>
      <c r="P108" s="10"/>
      <c r="Q108" s="10"/>
      <c r="R108" s="10"/>
      <c r="S108" s="10"/>
      <c r="T108" s="1"/>
      <c r="U108" s="10"/>
      <c r="V108" s="10"/>
      <c r="W108" s="10"/>
      <c r="X108" s="8"/>
      <c r="Y108" s="59"/>
      <c r="Z108" s="1"/>
      <c r="AA108" s="8"/>
      <c r="AB108" s="157"/>
      <c r="AC108" s="1"/>
      <c r="AD108" s="155"/>
      <c r="AE108" s="155"/>
      <c r="AF108" s="155"/>
      <c r="AG108" s="155"/>
      <c r="AH108" s="155"/>
      <c r="AI108" s="155"/>
      <c r="AJ108" s="155"/>
      <c r="AK108" s="155"/>
      <c r="AL108" s="155"/>
      <c r="AM108" s="155"/>
      <c r="AN108" s="155"/>
      <c r="AO108" s="155"/>
      <c r="AP108" s="7"/>
      <c r="AQ108" s="7"/>
      <c r="AR108" s="7"/>
      <c r="AS108" s="7"/>
      <c r="AT108" s="7"/>
      <c r="AU108" s="7"/>
    </row>
    <row r="109" spans="1:49" ht="28.5" customHeight="1">
      <c r="A109" s="155"/>
      <c r="B109" s="155"/>
      <c r="C109" s="1"/>
      <c r="D109" s="10"/>
      <c r="E109" s="10"/>
      <c r="F109" s="156"/>
      <c r="G109" s="10"/>
      <c r="H109" s="10"/>
      <c r="I109" s="10"/>
      <c r="J109" s="10"/>
      <c r="K109" s="10"/>
      <c r="L109" s="10"/>
      <c r="M109" s="10"/>
      <c r="N109" s="10"/>
      <c r="O109" s="10"/>
      <c r="P109" s="10"/>
      <c r="Q109" s="10"/>
      <c r="R109" s="10"/>
      <c r="S109" s="10"/>
      <c r="T109" s="1"/>
      <c r="U109" s="10"/>
      <c r="V109" s="10"/>
      <c r="W109" s="10"/>
      <c r="X109" s="8"/>
      <c r="Y109" s="59"/>
      <c r="Z109" s="1"/>
      <c r="AA109" s="8"/>
      <c r="AB109" s="157"/>
      <c r="AC109" s="1"/>
      <c r="AD109" s="155"/>
      <c r="AE109" s="155"/>
      <c r="AF109" s="155"/>
      <c r="AG109" s="155"/>
      <c r="AH109" s="155"/>
      <c r="AI109" s="155"/>
      <c r="AJ109" s="155"/>
      <c r="AK109" s="155"/>
      <c r="AL109" s="155"/>
      <c r="AM109" s="155"/>
      <c r="AN109" s="155"/>
      <c r="AO109" s="155"/>
      <c r="AP109" s="7"/>
      <c r="AQ109" s="7"/>
      <c r="AR109" s="7"/>
      <c r="AS109" s="7"/>
      <c r="AT109" s="7"/>
      <c r="AU109" s="7"/>
    </row>
    <row r="110" spans="1:49" ht="28.5" customHeight="1">
      <c r="A110" s="155"/>
      <c r="B110" s="155"/>
      <c r="C110" s="1"/>
      <c r="D110" s="10"/>
      <c r="E110" s="10"/>
      <c r="F110" s="156"/>
      <c r="G110" s="10"/>
      <c r="H110" s="10"/>
      <c r="I110" s="10"/>
      <c r="J110" s="10"/>
      <c r="K110" s="10"/>
      <c r="L110" s="10"/>
      <c r="M110" s="10"/>
      <c r="N110" s="10"/>
      <c r="O110" s="10"/>
      <c r="P110" s="10"/>
      <c r="Q110" s="10"/>
      <c r="R110" s="10"/>
      <c r="S110" s="10"/>
      <c r="T110" s="1"/>
      <c r="U110" s="10"/>
      <c r="V110" s="10"/>
      <c r="W110" s="10"/>
      <c r="X110" s="8"/>
      <c r="Y110" s="59"/>
      <c r="Z110" s="1"/>
      <c r="AA110" s="8"/>
      <c r="AB110" s="157"/>
      <c r="AC110" s="1"/>
      <c r="AD110" s="155"/>
      <c r="AE110" s="155"/>
      <c r="AF110" s="155"/>
      <c r="AG110" s="155"/>
      <c r="AH110" s="155"/>
      <c r="AI110" s="155"/>
      <c r="AJ110" s="155"/>
      <c r="AK110" s="155"/>
      <c r="AL110" s="155"/>
      <c r="AM110" s="155"/>
      <c r="AN110" s="155"/>
      <c r="AO110" s="155"/>
      <c r="AP110" s="7"/>
      <c r="AQ110" s="7"/>
      <c r="AR110" s="7"/>
      <c r="AS110" s="7"/>
      <c r="AT110" s="7"/>
      <c r="AU110" s="7"/>
    </row>
    <row r="111" spans="1:49" ht="28.5" customHeight="1">
      <c r="A111" s="155"/>
      <c r="B111" s="155"/>
      <c r="C111" s="1"/>
      <c r="D111" s="10"/>
      <c r="E111" s="10"/>
      <c r="F111" s="156"/>
      <c r="G111" s="10"/>
      <c r="H111" s="10"/>
      <c r="I111" s="10"/>
      <c r="J111" s="10"/>
      <c r="K111" s="10"/>
      <c r="L111" s="10"/>
      <c r="M111" s="10"/>
      <c r="N111" s="10"/>
      <c r="O111" s="10"/>
      <c r="P111" s="10"/>
      <c r="Q111" s="10"/>
      <c r="R111" s="10"/>
      <c r="S111" s="10"/>
      <c r="T111" s="1"/>
      <c r="U111" s="10"/>
      <c r="V111" s="10"/>
      <c r="W111" s="10"/>
      <c r="X111" s="8"/>
      <c r="Y111" s="59"/>
      <c r="Z111" s="1"/>
      <c r="AA111" s="8"/>
      <c r="AB111" s="157"/>
      <c r="AC111" s="1"/>
      <c r="AD111" s="155"/>
      <c r="AE111" s="155"/>
      <c r="AF111" s="155"/>
      <c r="AG111" s="155"/>
      <c r="AH111" s="155"/>
      <c r="AI111" s="155"/>
      <c r="AJ111" s="155"/>
      <c r="AK111" s="155"/>
      <c r="AL111" s="155"/>
      <c r="AM111" s="155"/>
      <c r="AN111" s="155"/>
      <c r="AO111" s="155"/>
      <c r="AP111" s="7"/>
      <c r="AQ111" s="7"/>
      <c r="AR111" s="7"/>
      <c r="AS111" s="7"/>
      <c r="AT111" s="7"/>
      <c r="AU111" s="7"/>
    </row>
    <row r="112" spans="1:49" ht="28.5" customHeight="1">
      <c r="A112" s="155"/>
      <c r="B112" s="155"/>
      <c r="C112" s="1"/>
      <c r="D112" s="10"/>
      <c r="E112" s="10"/>
      <c r="F112" s="156"/>
      <c r="G112" s="10"/>
      <c r="H112" s="10"/>
      <c r="I112" s="10"/>
      <c r="J112" s="10"/>
      <c r="K112" s="10"/>
      <c r="L112" s="10"/>
      <c r="M112" s="10"/>
      <c r="N112" s="10"/>
      <c r="O112" s="10"/>
      <c r="P112" s="10"/>
      <c r="Q112" s="10"/>
      <c r="R112" s="10"/>
      <c r="S112" s="10"/>
      <c r="T112" s="1"/>
      <c r="U112" s="10"/>
      <c r="V112" s="10"/>
      <c r="W112" s="10"/>
      <c r="X112" s="8"/>
      <c r="Y112" s="59"/>
      <c r="Z112" s="1"/>
      <c r="AA112" s="8"/>
      <c r="AB112" s="157"/>
      <c r="AC112" s="1"/>
      <c r="AD112" s="155"/>
      <c r="AE112" s="155"/>
      <c r="AF112" s="155"/>
      <c r="AG112" s="155"/>
      <c r="AH112" s="155"/>
      <c r="AI112" s="155"/>
      <c r="AJ112" s="155"/>
      <c r="AK112" s="155"/>
      <c r="AL112" s="155"/>
      <c r="AM112" s="155"/>
      <c r="AN112" s="155"/>
      <c r="AO112" s="155"/>
      <c r="AP112" s="7"/>
      <c r="AQ112" s="7"/>
      <c r="AR112" s="7"/>
      <c r="AS112" s="7"/>
      <c r="AT112" s="7"/>
      <c r="AU112" s="7"/>
    </row>
    <row r="113" spans="1:47" ht="28.5" customHeight="1">
      <c r="A113" s="155"/>
      <c r="B113" s="155"/>
      <c r="C113" s="1"/>
      <c r="D113" s="10"/>
      <c r="E113" s="10"/>
      <c r="F113" s="156"/>
      <c r="G113" s="10"/>
      <c r="H113" s="10"/>
      <c r="I113" s="10"/>
      <c r="J113" s="10"/>
      <c r="K113" s="10"/>
      <c r="L113" s="10"/>
      <c r="M113" s="10"/>
      <c r="N113" s="10"/>
      <c r="O113" s="10"/>
      <c r="P113" s="10"/>
      <c r="Q113" s="10"/>
      <c r="R113" s="10"/>
      <c r="S113" s="10"/>
      <c r="T113" s="1"/>
      <c r="U113" s="10"/>
      <c r="V113" s="10"/>
      <c r="W113" s="10"/>
      <c r="X113" s="8"/>
      <c r="Y113" s="59"/>
      <c r="Z113" s="1"/>
      <c r="AA113" s="8"/>
      <c r="AB113" s="157"/>
      <c r="AC113" s="1"/>
      <c r="AD113" s="155"/>
      <c r="AE113" s="155"/>
      <c r="AF113" s="155"/>
      <c r="AG113" s="155"/>
      <c r="AH113" s="155"/>
      <c r="AI113" s="155"/>
      <c r="AJ113" s="155"/>
      <c r="AK113" s="155"/>
      <c r="AL113" s="155"/>
      <c r="AM113" s="155"/>
      <c r="AN113" s="155"/>
      <c r="AO113" s="155"/>
      <c r="AP113" s="7"/>
      <c r="AQ113" s="7"/>
      <c r="AR113" s="7"/>
      <c r="AS113" s="7"/>
      <c r="AT113" s="7"/>
      <c r="AU113" s="7"/>
    </row>
    <row r="114" spans="1:47" ht="28.5" customHeight="1">
      <c r="A114" s="155"/>
      <c r="B114" s="155"/>
      <c r="C114" s="1"/>
      <c r="D114" s="10"/>
      <c r="E114" s="10"/>
      <c r="F114" s="156"/>
      <c r="G114" s="10"/>
      <c r="H114" s="10"/>
      <c r="I114" s="10"/>
      <c r="J114" s="10"/>
      <c r="K114" s="10"/>
      <c r="L114" s="10"/>
      <c r="M114" s="10"/>
      <c r="N114" s="10"/>
      <c r="O114" s="10"/>
      <c r="P114" s="10"/>
      <c r="Q114" s="10"/>
      <c r="R114" s="10"/>
      <c r="S114" s="10"/>
      <c r="T114" s="1"/>
      <c r="U114" s="10"/>
      <c r="V114" s="10"/>
      <c r="W114" s="10"/>
      <c r="X114" s="8"/>
      <c r="Y114" s="59"/>
      <c r="Z114" s="1"/>
      <c r="AA114" s="8"/>
      <c r="AB114" s="157"/>
      <c r="AC114" s="1"/>
      <c r="AD114" s="155"/>
      <c r="AE114" s="155"/>
      <c r="AF114" s="155"/>
      <c r="AG114" s="155"/>
      <c r="AH114" s="155"/>
      <c r="AI114" s="155"/>
      <c r="AJ114" s="155"/>
      <c r="AK114" s="155"/>
      <c r="AL114" s="155"/>
      <c r="AM114" s="155"/>
      <c r="AN114" s="155"/>
      <c r="AO114" s="155"/>
      <c r="AP114" s="7"/>
      <c r="AQ114" s="7"/>
      <c r="AR114" s="7"/>
      <c r="AS114" s="7"/>
      <c r="AT114" s="7"/>
      <c r="AU114" s="7"/>
    </row>
    <row r="115" spans="1:47" ht="28.5" customHeight="1">
      <c r="A115" s="155"/>
      <c r="B115" s="155"/>
      <c r="C115" s="1"/>
      <c r="D115" s="10"/>
      <c r="E115" s="10"/>
      <c r="F115" s="156"/>
      <c r="G115" s="10"/>
      <c r="H115" s="10"/>
      <c r="I115" s="10"/>
      <c r="J115" s="10"/>
      <c r="K115" s="10"/>
      <c r="L115" s="10"/>
      <c r="M115" s="10"/>
      <c r="N115" s="10"/>
      <c r="O115" s="10"/>
      <c r="P115" s="10"/>
      <c r="Q115" s="10"/>
      <c r="R115" s="10"/>
      <c r="S115" s="10"/>
      <c r="T115" s="1"/>
      <c r="U115" s="10"/>
      <c r="V115" s="10"/>
      <c r="W115" s="10"/>
      <c r="X115" s="8"/>
      <c r="Y115" s="59"/>
      <c r="Z115" s="1"/>
      <c r="AA115" s="8"/>
      <c r="AB115" s="157"/>
      <c r="AC115" s="1"/>
      <c r="AD115" s="155"/>
      <c r="AE115" s="155"/>
      <c r="AF115" s="155"/>
      <c r="AG115" s="155"/>
      <c r="AH115" s="155"/>
      <c r="AI115" s="155"/>
      <c r="AJ115" s="155"/>
      <c r="AK115" s="155"/>
      <c r="AL115" s="155"/>
      <c r="AM115" s="155"/>
      <c r="AN115" s="155"/>
      <c r="AO115" s="155"/>
      <c r="AP115" s="7"/>
      <c r="AQ115" s="7"/>
      <c r="AR115" s="7"/>
      <c r="AS115" s="7"/>
      <c r="AT115" s="7"/>
      <c r="AU115" s="7"/>
    </row>
    <row r="116" spans="1:47" ht="28.5" customHeight="1">
      <c r="A116" s="155"/>
      <c r="B116" s="155"/>
      <c r="C116" s="1"/>
      <c r="D116" s="10"/>
      <c r="E116" s="10"/>
      <c r="F116" s="156"/>
      <c r="G116" s="10"/>
      <c r="H116" s="10"/>
      <c r="I116" s="10"/>
      <c r="J116" s="10"/>
      <c r="K116" s="10"/>
      <c r="L116" s="10"/>
      <c r="M116" s="10"/>
      <c r="N116" s="10"/>
      <c r="O116" s="10"/>
      <c r="P116" s="10"/>
      <c r="Q116" s="10"/>
      <c r="R116" s="10"/>
      <c r="S116" s="10"/>
      <c r="T116" s="1"/>
      <c r="U116" s="10"/>
      <c r="V116" s="10"/>
      <c r="W116" s="10"/>
      <c r="X116" s="8"/>
      <c r="Y116" s="59"/>
      <c r="Z116" s="1"/>
      <c r="AA116" s="8"/>
      <c r="AB116" s="157"/>
      <c r="AC116" s="1"/>
      <c r="AD116" s="155"/>
      <c r="AE116" s="155"/>
      <c r="AF116" s="155"/>
      <c r="AG116" s="155"/>
      <c r="AH116" s="155"/>
      <c r="AI116" s="155"/>
      <c r="AJ116" s="155"/>
      <c r="AK116" s="155"/>
      <c r="AL116" s="155"/>
      <c r="AM116" s="155"/>
      <c r="AN116" s="155"/>
      <c r="AO116" s="155"/>
      <c r="AP116" s="7"/>
      <c r="AQ116" s="7"/>
      <c r="AR116" s="7"/>
      <c r="AS116" s="7"/>
      <c r="AT116" s="7"/>
      <c r="AU116" s="7"/>
    </row>
    <row r="117" spans="1:47" ht="28.5" customHeight="1">
      <c r="A117" s="155"/>
      <c r="B117" s="155"/>
      <c r="C117" s="1"/>
      <c r="D117" s="10"/>
      <c r="E117" s="10"/>
      <c r="F117" s="156"/>
      <c r="G117" s="10"/>
      <c r="H117" s="10"/>
      <c r="I117" s="10"/>
      <c r="J117" s="10"/>
      <c r="K117" s="10"/>
      <c r="L117" s="10"/>
      <c r="M117" s="10"/>
      <c r="N117" s="10"/>
      <c r="O117" s="10"/>
      <c r="P117" s="10"/>
      <c r="Q117" s="10"/>
      <c r="R117" s="10"/>
      <c r="S117" s="10"/>
      <c r="T117" s="1"/>
      <c r="U117" s="10"/>
      <c r="V117" s="10"/>
      <c r="W117" s="10"/>
      <c r="X117" s="8"/>
      <c r="Y117" s="59"/>
      <c r="Z117" s="1"/>
      <c r="AA117" s="8"/>
      <c r="AB117" s="157"/>
      <c r="AC117" s="1"/>
      <c r="AD117" s="155"/>
      <c r="AE117" s="155"/>
      <c r="AF117" s="155"/>
      <c r="AG117" s="155"/>
      <c r="AH117" s="155"/>
      <c r="AI117" s="155"/>
      <c r="AJ117" s="155"/>
      <c r="AK117" s="155"/>
      <c r="AL117" s="155"/>
      <c r="AM117" s="155"/>
      <c r="AN117" s="155"/>
      <c r="AO117" s="155"/>
      <c r="AP117" s="7"/>
      <c r="AQ117" s="7"/>
      <c r="AR117" s="7"/>
      <c r="AS117" s="7"/>
      <c r="AT117" s="7"/>
      <c r="AU117" s="7"/>
    </row>
    <row r="118" spans="1:47" ht="28.5" customHeight="1">
      <c r="A118" s="155"/>
      <c r="B118" s="155"/>
      <c r="C118" s="1"/>
      <c r="D118" s="10"/>
      <c r="E118" s="10"/>
      <c r="F118" s="156"/>
      <c r="G118" s="10"/>
      <c r="H118" s="10"/>
      <c r="I118" s="10"/>
      <c r="J118" s="10"/>
      <c r="K118" s="10"/>
      <c r="L118" s="10"/>
      <c r="M118" s="10"/>
      <c r="N118" s="10"/>
      <c r="O118" s="10"/>
      <c r="P118" s="10"/>
      <c r="Q118" s="10"/>
      <c r="R118" s="10"/>
      <c r="S118" s="10"/>
      <c r="T118" s="1" t="s">
        <v>121</v>
      </c>
      <c r="U118" s="10"/>
      <c r="V118" s="10"/>
      <c r="W118" s="10"/>
      <c r="X118" s="8"/>
      <c r="Y118" s="59"/>
      <c r="Z118" s="1"/>
      <c r="AA118" s="8"/>
      <c r="AB118" s="169"/>
      <c r="AC118" s="1"/>
      <c r="AD118" s="155"/>
      <c r="AE118" s="155"/>
      <c r="AF118" s="155"/>
      <c r="AG118" s="155"/>
      <c r="AH118" s="155"/>
      <c r="AI118" s="155"/>
      <c r="AJ118" s="155"/>
      <c r="AK118" s="155"/>
      <c r="AL118" s="155"/>
      <c r="AM118" s="155"/>
      <c r="AN118" s="155"/>
      <c r="AO118" s="155"/>
      <c r="AP118" s="7"/>
      <c r="AQ118" s="7"/>
      <c r="AR118" s="7"/>
      <c r="AS118" s="7"/>
      <c r="AT118" s="7"/>
      <c r="AU118" s="7"/>
    </row>
    <row r="119" spans="1:47" ht="28.5" customHeight="1">
      <c r="A119" s="155"/>
      <c r="B119" s="170"/>
      <c r="C119" s="151"/>
      <c r="D119" s="171" t="s">
        <v>0</v>
      </c>
      <c r="E119" s="171" t="s">
        <v>1</v>
      </c>
      <c r="F119" s="172" t="s">
        <v>2</v>
      </c>
      <c r="G119" s="173"/>
      <c r="H119" s="173" t="s">
        <v>8</v>
      </c>
      <c r="I119" s="173" t="s">
        <v>102</v>
      </c>
      <c r="J119" s="173" t="s">
        <v>9</v>
      </c>
      <c r="K119" s="140" t="s">
        <v>11</v>
      </c>
      <c r="L119" s="140" t="s">
        <v>13</v>
      </c>
      <c r="M119" s="141" t="s">
        <v>20</v>
      </c>
      <c r="N119" s="174" t="s">
        <v>12</v>
      </c>
      <c r="O119" s="175" t="s">
        <v>14</v>
      </c>
      <c r="P119" s="174" t="s">
        <v>16</v>
      </c>
      <c r="Q119" s="174" t="s">
        <v>17</v>
      </c>
      <c r="R119" s="142" t="s">
        <v>18</v>
      </c>
      <c r="S119" s="176" t="s">
        <v>19</v>
      </c>
      <c r="T119" s="143" t="s">
        <v>93</v>
      </c>
      <c r="U119" s="143" t="s">
        <v>21</v>
      </c>
      <c r="V119" s="143" t="s">
        <v>22</v>
      </c>
      <c r="W119" s="144" t="s">
        <v>23</v>
      </c>
      <c r="X119" s="144" t="s">
        <v>21</v>
      </c>
      <c r="Y119" s="144" t="s">
        <v>24</v>
      </c>
      <c r="Z119" s="144" t="s">
        <v>26</v>
      </c>
      <c r="AA119" s="144" t="s">
        <v>27</v>
      </c>
      <c r="AB119" s="155"/>
      <c r="AC119" s="155"/>
      <c r="AD119" s="155"/>
      <c r="AE119" s="155"/>
      <c r="AF119" s="155"/>
      <c r="AG119" s="155"/>
      <c r="AH119" s="155"/>
      <c r="AI119" s="155"/>
      <c r="AJ119" s="155"/>
      <c r="AK119" s="155"/>
      <c r="AL119" s="7"/>
      <c r="AM119" s="7"/>
      <c r="AN119" s="7"/>
      <c r="AO119" s="7"/>
      <c r="AP119" s="7"/>
      <c r="AQ119" s="7"/>
    </row>
    <row r="120" spans="1:47" ht="28.5" customHeight="1">
      <c r="A120" s="155"/>
      <c r="B120" s="177"/>
      <c r="C120" s="119" t="s">
        <v>101</v>
      </c>
      <c r="D120" s="29">
        <f t="shared" ref="D120:D127" si="57">AA120/O120</f>
        <v>0.13930235885234729</v>
      </c>
      <c r="E120" s="29">
        <f t="shared" ref="E120:E126" si="58">Z120/O120</f>
        <v>0.41683064150092769</v>
      </c>
      <c r="F120" s="29">
        <f t="shared" ref="F120:F126" si="59">(R120+M120)/O120</f>
        <v>0.27752828264858043</v>
      </c>
      <c r="G120" s="178"/>
      <c r="H120" s="179">
        <v>456</v>
      </c>
      <c r="I120" s="179">
        <v>65.142857142857153</v>
      </c>
      <c r="J120" s="128">
        <v>436</v>
      </c>
      <c r="K120" s="179">
        <v>20</v>
      </c>
      <c r="L120" s="179">
        <v>379100</v>
      </c>
      <c r="M120" s="179">
        <v>224486.5</v>
      </c>
      <c r="N120" s="179">
        <v>13138690</v>
      </c>
      <c r="O120" s="179">
        <v>12759590</v>
      </c>
      <c r="P120" s="179">
        <v>311151.98329999996</v>
      </c>
      <c r="Q120" s="179">
        <v>4369135.2188205002</v>
      </c>
      <c r="R120" s="34">
        <f t="shared" ref="R120:R125" si="60">S120*1.1</f>
        <v>3316660.6</v>
      </c>
      <c r="S120" s="128">
        <v>3015146</v>
      </c>
      <c r="T120" s="180">
        <v>118704</v>
      </c>
      <c r="U120" s="150">
        <v>0.1</v>
      </c>
      <c r="V120" s="179">
        <v>1361500</v>
      </c>
      <c r="W120" s="28">
        <f>U120+(V120/O120)</f>
        <v>0.20670405553783469</v>
      </c>
      <c r="X120" s="179">
        <v>2613808.8600000003</v>
      </c>
      <c r="Y120" s="179">
        <v>458057.83619067725</v>
      </c>
      <c r="Z120" s="179">
        <v>5318588.0849888222</v>
      </c>
      <c r="AA120" s="128">
        <f t="shared" ref="AA120:AA126" si="61">Z120-R120-M120</f>
        <v>1777440.9849888221</v>
      </c>
      <c r="AB120" s="155"/>
      <c r="AC120" s="155"/>
      <c r="AD120" s="155"/>
      <c r="AE120" s="155"/>
      <c r="AF120" s="155"/>
      <c r="AG120" s="155"/>
      <c r="AH120" s="155"/>
      <c r="AI120" s="155"/>
      <c r="AJ120" s="155"/>
      <c r="AK120" s="155"/>
      <c r="AL120" s="155"/>
      <c r="AM120" s="155"/>
      <c r="AN120" s="155"/>
      <c r="AO120" s="155"/>
      <c r="AP120" s="155"/>
      <c r="AQ120" s="155"/>
    </row>
    <row r="121" spans="1:47" ht="28.5" customHeight="1">
      <c r="A121" s="155"/>
      <c r="B121" s="177"/>
      <c r="C121" s="159" t="s">
        <v>103</v>
      </c>
      <c r="D121" s="29">
        <f t="shared" si="57"/>
        <v>0.15358004126802058</v>
      </c>
      <c r="E121" s="29">
        <f t="shared" si="58"/>
        <v>0.4228651057122283</v>
      </c>
      <c r="F121" s="29">
        <f t="shared" si="59"/>
        <v>0.26928506444420774</v>
      </c>
      <c r="G121" s="179"/>
      <c r="H121" s="179">
        <v>1770</v>
      </c>
      <c r="I121" s="179">
        <v>252.85714285714286</v>
      </c>
      <c r="J121" s="128">
        <v>1723</v>
      </c>
      <c r="K121" s="179">
        <v>47</v>
      </c>
      <c r="L121" s="179">
        <v>823900</v>
      </c>
      <c r="M121" s="179">
        <v>555048.75</v>
      </c>
      <c r="N121" s="179">
        <v>47945280</v>
      </c>
      <c r="O121" s="179">
        <v>47121380</v>
      </c>
      <c r="P121" s="179">
        <v>1089031.9415499999</v>
      </c>
      <c r="Q121" s="179">
        <v>15709898.429569004</v>
      </c>
      <c r="R121" s="34">
        <f t="shared" si="60"/>
        <v>12134035.100000001</v>
      </c>
      <c r="S121" s="128">
        <v>11030941</v>
      </c>
      <c r="T121" s="180">
        <v>424860</v>
      </c>
      <c r="U121" s="150">
        <v>0.1</v>
      </c>
      <c r="V121" s="179">
        <v>5220350</v>
      </c>
      <c r="W121" s="28">
        <v>0.2007851680065397</v>
      </c>
      <c r="X121" s="179">
        <v>9762589.8500000034</v>
      </c>
      <c r="Y121" s="179">
        <v>1722904.3854249173</v>
      </c>
      <c r="Z121" s="179">
        <v>19925987.335006081</v>
      </c>
      <c r="AA121" s="128">
        <f t="shared" si="61"/>
        <v>7236903.4850060791</v>
      </c>
      <c r="AB121" s="155"/>
      <c r="AC121" s="155"/>
      <c r="AD121" s="155"/>
      <c r="AE121" s="155"/>
      <c r="AF121" s="155"/>
      <c r="AG121" s="155"/>
      <c r="AH121" s="155"/>
      <c r="AI121" s="155"/>
      <c r="AJ121" s="155"/>
      <c r="AK121" s="155"/>
      <c r="AL121" s="155"/>
      <c r="AM121" s="155"/>
      <c r="AN121" s="155"/>
      <c r="AO121" s="155"/>
      <c r="AP121" s="155"/>
      <c r="AQ121" s="155"/>
    </row>
    <row r="122" spans="1:47" ht="28.5" customHeight="1">
      <c r="A122" s="155"/>
      <c r="B122" s="177"/>
      <c r="C122" s="159" t="s">
        <v>89</v>
      </c>
      <c r="D122" s="29">
        <f t="shared" si="57"/>
        <v>0.15888178409847856</v>
      </c>
      <c r="E122" s="29">
        <f t="shared" si="58"/>
        <v>0.4251058879650117</v>
      </c>
      <c r="F122" s="29">
        <f t="shared" si="59"/>
        <v>0.26622410386653317</v>
      </c>
      <c r="G122" s="179"/>
      <c r="H122" s="179">
        <f t="shared" ref="H122:I122" si="62">H121-H120</f>
        <v>1314</v>
      </c>
      <c r="I122" s="179">
        <f t="shared" si="62"/>
        <v>187.71428571428572</v>
      </c>
      <c r="J122" s="31">
        <f t="shared" ref="J122:J125" si="63">H122-K122</f>
        <v>1287</v>
      </c>
      <c r="K122" s="179">
        <f t="shared" ref="K122:Q122" si="64">K121-K120</f>
        <v>27</v>
      </c>
      <c r="L122" s="179">
        <f t="shared" si="64"/>
        <v>444800</v>
      </c>
      <c r="M122" s="179">
        <f t="shared" si="64"/>
        <v>330562.25</v>
      </c>
      <c r="N122" s="179">
        <f t="shared" si="64"/>
        <v>34806590</v>
      </c>
      <c r="O122" s="179">
        <f t="shared" si="64"/>
        <v>34361790</v>
      </c>
      <c r="P122" s="179">
        <f t="shared" si="64"/>
        <v>777879.95824999991</v>
      </c>
      <c r="Q122" s="179">
        <f t="shared" si="64"/>
        <v>11340763.210748505</v>
      </c>
      <c r="R122" s="34">
        <f t="shared" si="60"/>
        <v>8817374.5</v>
      </c>
      <c r="S122" s="128">
        <f t="shared" ref="S122:T122" si="65">S121-S120</f>
        <v>8015795</v>
      </c>
      <c r="T122" s="180">
        <f t="shared" si="65"/>
        <v>306156</v>
      </c>
      <c r="U122" s="150">
        <v>0.1</v>
      </c>
      <c r="V122" s="179">
        <f>V121-V120</f>
        <v>3858850</v>
      </c>
      <c r="W122" s="28">
        <f t="shared" ref="W122:W127" si="66">U122+(V122/O122)</f>
        <v>0.21230061064921241</v>
      </c>
      <c r="X122" s="179">
        <f t="shared" ref="X122:Z122" si="67">X121-X120</f>
        <v>7148780.990000003</v>
      </c>
      <c r="Y122" s="179">
        <f t="shared" si="67"/>
        <v>1264846.5492342401</v>
      </c>
      <c r="Z122" s="179">
        <f t="shared" si="67"/>
        <v>14607399.250017259</v>
      </c>
      <c r="AA122" s="128">
        <f t="shared" si="61"/>
        <v>5459462.5000172593</v>
      </c>
      <c r="AB122" s="155"/>
      <c r="AC122" s="155"/>
      <c r="AD122" s="155"/>
      <c r="AE122" s="155"/>
      <c r="AF122" s="155"/>
      <c r="AG122" s="155"/>
      <c r="AH122" s="155"/>
      <c r="AI122" s="155"/>
      <c r="AJ122" s="155"/>
      <c r="AK122" s="155"/>
      <c r="AL122" s="155"/>
      <c r="AM122" s="155"/>
      <c r="AN122" s="155"/>
      <c r="AO122" s="155"/>
      <c r="AP122" s="155"/>
      <c r="AQ122" s="155"/>
    </row>
    <row r="123" spans="1:47" ht="28.5" customHeight="1">
      <c r="A123" s="155"/>
      <c r="B123" s="177"/>
      <c r="C123" s="119" t="s">
        <v>96</v>
      </c>
      <c r="D123" s="29">
        <f t="shared" si="57"/>
        <v>0.1655691113800557</v>
      </c>
      <c r="E123" s="29">
        <f t="shared" si="58"/>
        <v>0.42110409583711333</v>
      </c>
      <c r="F123" s="29">
        <f t="shared" si="59"/>
        <v>0.25553498445705763</v>
      </c>
      <c r="G123" s="178"/>
      <c r="H123" s="179">
        <v>2164</v>
      </c>
      <c r="I123" s="179">
        <v>309.14285714285711</v>
      </c>
      <c r="J123" s="31">
        <f t="shared" si="63"/>
        <v>2129</v>
      </c>
      <c r="K123" s="179">
        <v>35</v>
      </c>
      <c r="L123" s="179">
        <v>619400</v>
      </c>
      <c r="M123" s="179">
        <v>438492.5</v>
      </c>
      <c r="N123" s="179">
        <v>60019350</v>
      </c>
      <c r="O123" s="179">
        <v>59399950</v>
      </c>
      <c r="P123" s="178"/>
      <c r="Q123" s="179">
        <v>19892367.833372001</v>
      </c>
      <c r="R123" s="34">
        <f t="shared" si="60"/>
        <v>14740272.800000001</v>
      </c>
      <c r="S123" s="128">
        <v>13400248</v>
      </c>
      <c r="T123" s="180">
        <v>474816</v>
      </c>
      <c r="U123" s="150">
        <v>0.1</v>
      </c>
      <c r="V123" s="179">
        <v>6627900</v>
      </c>
      <c r="W123" s="28">
        <f t="shared" si="66"/>
        <v>0.21158090200412627</v>
      </c>
      <c r="X123" s="179">
        <v>12332558.340000002</v>
      </c>
      <c r="Y123" s="179">
        <v>2161461.5891082543</v>
      </c>
      <c r="Z123" s="179">
        <v>25013562.237519741</v>
      </c>
      <c r="AA123" s="128">
        <f t="shared" si="61"/>
        <v>9834796.9375197403</v>
      </c>
      <c r="AB123" s="155"/>
      <c r="AC123" s="155"/>
      <c r="AD123" s="155"/>
      <c r="AE123" s="155"/>
      <c r="AF123" s="155"/>
      <c r="AG123" s="155"/>
      <c r="AH123" s="155"/>
      <c r="AI123" s="155"/>
      <c r="AJ123" s="155"/>
      <c r="AK123" s="155"/>
      <c r="AL123" s="155"/>
      <c r="AM123" s="155"/>
      <c r="AN123" s="155"/>
      <c r="AO123" s="155"/>
      <c r="AP123" s="155"/>
      <c r="AQ123" s="155"/>
    </row>
    <row r="124" spans="1:47" ht="28.5" customHeight="1">
      <c r="A124" s="155"/>
      <c r="B124" s="177"/>
      <c r="C124" s="119" t="s">
        <v>122</v>
      </c>
      <c r="D124" s="29" t="e">
        <f t="shared" si="57"/>
        <v>#DIV/0!</v>
      </c>
      <c r="E124" s="29" t="e">
        <f t="shared" si="58"/>
        <v>#DIV/0!</v>
      </c>
      <c r="F124" s="29" t="e">
        <f t="shared" si="59"/>
        <v>#DIV/0!</v>
      </c>
      <c r="G124" s="178"/>
      <c r="H124" s="178"/>
      <c r="I124" s="179"/>
      <c r="J124" s="31">
        <f t="shared" si="63"/>
        <v>0</v>
      </c>
      <c r="K124" s="179"/>
      <c r="L124" s="178"/>
      <c r="M124" s="181"/>
      <c r="N124" s="178"/>
      <c r="O124" s="178">
        <f>P40</f>
        <v>0</v>
      </c>
      <c r="P124" s="178"/>
      <c r="Q124" s="178"/>
      <c r="R124" s="34">
        <f t="shared" si="60"/>
        <v>0</v>
      </c>
      <c r="S124" s="31"/>
      <c r="T124" s="182"/>
      <c r="U124" s="150">
        <v>0.1</v>
      </c>
      <c r="V124" s="178"/>
      <c r="W124" s="28" t="e">
        <f t="shared" si="66"/>
        <v>#DIV/0!</v>
      </c>
      <c r="X124" s="178"/>
      <c r="Y124" s="178"/>
      <c r="Z124" s="178"/>
      <c r="AA124" s="128">
        <f t="shared" si="61"/>
        <v>0</v>
      </c>
      <c r="AB124" s="155"/>
      <c r="AC124" s="155"/>
      <c r="AD124" s="155"/>
      <c r="AE124" s="155"/>
      <c r="AF124" s="155"/>
      <c r="AG124" s="155"/>
      <c r="AH124" s="155"/>
      <c r="AI124" s="155"/>
      <c r="AJ124" s="155"/>
      <c r="AK124" s="155"/>
      <c r="AL124" s="155"/>
      <c r="AM124" s="155"/>
      <c r="AN124" s="155"/>
      <c r="AO124" s="155"/>
      <c r="AP124" s="155"/>
      <c r="AQ124" s="155"/>
    </row>
    <row r="125" spans="1:47" ht="28.5" customHeight="1">
      <c r="A125" s="155"/>
      <c r="B125" s="177"/>
      <c r="C125" s="119" t="s">
        <v>101</v>
      </c>
      <c r="D125" s="29" t="e">
        <f t="shared" si="57"/>
        <v>#DIV/0!</v>
      </c>
      <c r="E125" s="29" t="e">
        <f t="shared" si="58"/>
        <v>#DIV/0!</v>
      </c>
      <c r="F125" s="29" t="e">
        <f t="shared" si="59"/>
        <v>#DIV/0!</v>
      </c>
      <c r="G125" s="178"/>
      <c r="H125" s="178"/>
      <c r="I125" s="179"/>
      <c r="J125" s="31">
        <f t="shared" si="63"/>
        <v>0</v>
      </c>
      <c r="K125" s="179"/>
      <c r="L125" s="178"/>
      <c r="M125" s="181"/>
      <c r="N125" s="178"/>
      <c r="O125" s="178"/>
      <c r="P125" s="178"/>
      <c r="Q125" s="178"/>
      <c r="R125" s="34">
        <f t="shared" si="60"/>
        <v>0</v>
      </c>
      <c r="S125" s="31"/>
      <c r="T125" s="182"/>
      <c r="U125" s="150">
        <v>0.1</v>
      </c>
      <c r="V125" s="178"/>
      <c r="W125" s="28" t="e">
        <f t="shared" si="66"/>
        <v>#DIV/0!</v>
      </c>
      <c r="X125" s="178"/>
      <c r="Y125" s="178"/>
      <c r="Z125" s="178"/>
      <c r="AA125" s="128">
        <f t="shared" si="61"/>
        <v>0</v>
      </c>
      <c r="AB125" s="155"/>
      <c r="AC125" s="155"/>
      <c r="AD125" s="155"/>
      <c r="AE125" s="155"/>
      <c r="AF125" s="155"/>
      <c r="AG125" s="155"/>
      <c r="AH125" s="155"/>
      <c r="AI125" s="155"/>
      <c r="AJ125" s="155"/>
      <c r="AK125" s="155"/>
      <c r="AL125" s="155"/>
      <c r="AM125" s="155"/>
      <c r="AN125" s="155"/>
      <c r="AO125" s="155"/>
      <c r="AP125" s="155"/>
      <c r="AQ125" s="155"/>
    </row>
    <row r="126" spans="1:47" ht="28.5" customHeight="1">
      <c r="A126" s="155"/>
      <c r="B126" s="177"/>
      <c r="C126" s="145" t="s">
        <v>104</v>
      </c>
      <c r="D126" s="29">
        <f t="shared" si="57"/>
        <v>0.15904861340603321</v>
      </c>
      <c r="E126" s="29">
        <f t="shared" si="58"/>
        <v>0.41850094492206524</v>
      </c>
      <c r="F126" s="29">
        <f t="shared" si="59"/>
        <v>0.25945233151603203</v>
      </c>
      <c r="G126" s="128"/>
      <c r="H126" s="128">
        <f t="shared" ref="H126:T126" si="68">SUM(H122:H125)</f>
        <v>3478</v>
      </c>
      <c r="I126" s="128">
        <f t="shared" si="68"/>
        <v>496.85714285714283</v>
      </c>
      <c r="J126" s="128">
        <f t="shared" si="68"/>
        <v>3416</v>
      </c>
      <c r="K126" s="128">
        <f t="shared" si="68"/>
        <v>62</v>
      </c>
      <c r="L126" s="128">
        <f t="shared" si="68"/>
        <v>1064200</v>
      </c>
      <c r="M126" s="128">
        <f t="shared" si="68"/>
        <v>769054.75</v>
      </c>
      <c r="N126" s="128">
        <f t="shared" si="68"/>
        <v>94825940</v>
      </c>
      <c r="O126" s="128">
        <f t="shared" si="68"/>
        <v>93761740</v>
      </c>
      <c r="P126" s="128">
        <f t="shared" si="68"/>
        <v>777879.95824999991</v>
      </c>
      <c r="Q126" s="128">
        <f t="shared" si="68"/>
        <v>31233131.044120505</v>
      </c>
      <c r="R126" s="128">
        <f t="shared" si="68"/>
        <v>23557647.300000001</v>
      </c>
      <c r="S126" s="128">
        <f t="shared" si="68"/>
        <v>21416043</v>
      </c>
      <c r="T126" s="128">
        <f t="shared" si="68"/>
        <v>780972</v>
      </c>
      <c r="U126" s="150">
        <v>0.1</v>
      </c>
      <c r="V126" s="128">
        <f>SUM(V122:V125)</f>
        <v>10486750</v>
      </c>
      <c r="W126" s="28">
        <f t="shared" si="66"/>
        <v>0.21184466073261865</v>
      </c>
      <c r="X126" s="34">
        <f t="shared" ref="X126:X127" si="69">O126*W126+3%</f>
        <v>19862924.030000001</v>
      </c>
      <c r="Y126" s="128">
        <f>SUM(Y122:Y125)</f>
        <v>3426308.1383424941</v>
      </c>
      <c r="Z126" s="34">
        <f t="shared" ref="Z126:Z127" si="70">O126-(Q126+X126+Y126)</f>
        <v>39239376.787537001</v>
      </c>
      <c r="AA126" s="31">
        <f t="shared" si="61"/>
        <v>14912674.737537</v>
      </c>
      <c r="AB126" s="155"/>
      <c r="AC126" s="155"/>
      <c r="AD126" s="155"/>
      <c r="AE126" s="155"/>
      <c r="AF126" s="155"/>
      <c r="AG126" s="155"/>
      <c r="AH126" s="155"/>
      <c r="AI126" s="155"/>
      <c r="AJ126" s="155"/>
      <c r="AK126" s="155"/>
      <c r="AL126" s="155"/>
      <c r="AM126" s="155"/>
      <c r="AN126" s="155"/>
      <c r="AO126" s="155"/>
      <c r="AP126" s="155"/>
      <c r="AQ126" s="155"/>
    </row>
    <row r="127" spans="1:47" ht="28.5" customHeight="1">
      <c r="A127" s="155"/>
      <c r="B127" s="183"/>
      <c r="C127" s="183" t="s">
        <v>105</v>
      </c>
      <c r="D127" s="29">
        <f t="shared" si="57"/>
        <v>0.12117250789994372</v>
      </c>
      <c r="E127" s="29">
        <f>Z127/N127</f>
        <v>0.36960291945188828</v>
      </c>
      <c r="F127" s="29">
        <f>(R127)/N127</f>
        <v>0.24843041155194456</v>
      </c>
      <c r="G127" s="128"/>
      <c r="H127" s="128">
        <f t="shared" ref="H127:N127" si="71">H126</f>
        <v>3478</v>
      </c>
      <c r="I127" s="128">
        <f t="shared" si="71"/>
        <v>496.85714285714283</v>
      </c>
      <c r="J127" s="128">
        <f t="shared" si="71"/>
        <v>3416</v>
      </c>
      <c r="K127" s="128">
        <f t="shared" si="71"/>
        <v>62</v>
      </c>
      <c r="L127" s="128">
        <f t="shared" si="71"/>
        <v>1064200</v>
      </c>
      <c r="M127" s="128">
        <f t="shared" si="71"/>
        <v>769054.75</v>
      </c>
      <c r="N127" s="128">
        <f t="shared" si="71"/>
        <v>94825940</v>
      </c>
      <c r="O127" s="128">
        <f>N127</f>
        <v>94825940</v>
      </c>
      <c r="P127" s="128">
        <f t="shared" ref="P127:T127" si="72">P126</f>
        <v>777879.95824999991</v>
      </c>
      <c r="Q127" s="128">
        <f t="shared" si="72"/>
        <v>31233131.044120505</v>
      </c>
      <c r="R127" s="128">
        <f t="shared" si="72"/>
        <v>23557647.300000001</v>
      </c>
      <c r="S127" s="128">
        <f t="shared" si="72"/>
        <v>21416043</v>
      </c>
      <c r="T127" s="128">
        <f t="shared" si="72"/>
        <v>780972</v>
      </c>
      <c r="U127" s="150">
        <v>0.1</v>
      </c>
      <c r="V127" s="128">
        <f>V126</f>
        <v>10486750</v>
      </c>
      <c r="W127" s="28">
        <f t="shared" si="66"/>
        <v>0.21058946528766287</v>
      </c>
      <c r="X127" s="34">
        <f t="shared" si="69"/>
        <v>19969344.030000005</v>
      </c>
      <c r="Y127" s="34">
        <f>SUM(Y121:Y126)</f>
        <v>8575520.6621099059</v>
      </c>
      <c r="Z127" s="34">
        <f t="shared" si="70"/>
        <v>35047944.263769589</v>
      </c>
      <c r="AA127" s="31">
        <f>Z127-R127</f>
        <v>11490296.963769589</v>
      </c>
      <c r="AB127" s="1"/>
      <c r="AC127" s="1"/>
      <c r="AD127" s="155"/>
      <c r="AE127" s="155"/>
      <c r="AF127" s="155"/>
      <c r="AG127" s="155"/>
      <c r="AH127" s="155"/>
      <c r="AI127" s="155"/>
      <c r="AJ127" s="155"/>
      <c r="AK127" s="155"/>
      <c r="AL127" s="155"/>
      <c r="AM127" s="155"/>
      <c r="AN127" s="155"/>
      <c r="AO127" s="155"/>
      <c r="AP127" s="155"/>
      <c r="AQ127" s="155"/>
      <c r="AR127" s="155"/>
      <c r="AS127" s="155"/>
      <c r="AT127" s="155"/>
    </row>
    <row r="128" spans="1:47" ht="28.5" customHeight="1">
      <c r="A128" s="155"/>
      <c r="B128" s="155"/>
      <c r="C128" s="1"/>
      <c r="D128" s="1"/>
      <c r="E128" s="1"/>
      <c r="F128" s="156"/>
      <c r="G128" s="1"/>
      <c r="H128" s="1"/>
      <c r="I128" s="1"/>
      <c r="J128" s="1"/>
      <c r="K128" s="1"/>
      <c r="L128" s="1"/>
      <c r="M128" s="1"/>
      <c r="N128" s="1"/>
      <c r="O128" s="1"/>
      <c r="P128" s="1"/>
      <c r="Q128" s="1"/>
      <c r="R128" s="1"/>
      <c r="S128" s="1"/>
      <c r="T128" s="1"/>
      <c r="U128" s="1"/>
      <c r="V128" s="1"/>
      <c r="W128" s="1"/>
      <c r="X128" s="1"/>
      <c r="Y128" s="1"/>
      <c r="Z128" s="1"/>
      <c r="AA128" s="1"/>
      <c r="AB128" s="1"/>
      <c r="AC128" s="1"/>
      <c r="AD128" s="155"/>
      <c r="AE128" s="155"/>
      <c r="AF128" s="155"/>
      <c r="AG128" s="155"/>
      <c r="AH128" s="155"/>
      <c r="AI128" s="155"/>
      <c r="AJ128" s="155"/>
      <c r="AK128" s="155"/>
      <c r="AL128" s="155"/>
      <c r="AM128" s="155"/>
      <c r="AN128" s="155"/>
      <c r="AO128" s="155"/>
      <c r="AP128" s="7"/>
    </row>
    <row r="129" spans="1:42" ht="28.5" customHeight="1">
      <c r="A129" s="155"/>
      <c r="B129" s="155"/>
      <c r="C129" s="1"/>
      <c r="D129" s="1"/>
      <c r="E129" s="1"/>
      <c r="F129" s="156"/>
      <c r="G129" s="1"/>
      <c r="H129" s="1"/>
      <c r="I129" s="1"/>
      <c r="J129" s="1"/>
      <c r="K129" s="1"/>
      <c r="L129" s="1"/>
      <c r="M129" s="1"/>
      <c r="N129" s="1"/>
      <c r="O129" s="1"/>
      <c r="P129" s="1"/>
      <c r="Q129" s="1"/>
      <c r="R129" s="1"/>
      <c r="S129" s="1"/>
      <c r="T129" s="1"/>
      <c r="U129" s="1"/>
      <c r="V129" s="1"/>
      <c r="W129" s="1"/>
      <c r="X129" s="1"/>
      <c r="Y129" s="1"/>
      <c r="Z129" s="1"/>
      <c r="AA129" s="1"/>
      <c r="AB129" s="1"/>
      <c r="AC129" s="1"/>
      <c r="AD129" s="155"/>
      <c r="AE129" s="155"/>
      <c r="AF129" s="155"/>
      <c r="AG129" s="155"/>
      <c r="AH129" s="155"/>
      <c r="AI129" s="155"/>
      <c r="AJ129" s="155"/>
      <c r="AK129" s="155"/>
      <c r="AL129" s="155"/>
      <c r="AM129" s="155"/>
      <c r="AN129" s="155"/>
      <c r="AO129" s="155"/>
      <c r="AP129" s="7"/>
    </row>
    <row r="130" spans="1:42" ht="28.5" customHeight="1">
      <c r="A130" s="155"/>
      <c r="B130" s="155"/>
      <c r="C130" s="1"/>
      <c r="D130" s="1"/>
      <c r="E130" s="1"/>
      <c r="F130" s="156"/>
      <c r="G130" s="1"/>
      <c r="H130" s="1"/>
      <c r="I130" s="1"/>
      <c r="J130" s="1"/>
      <c r="K130" s="1"/>
      <c r="L130" s="1"/>
      <c r="M130" s="1"/>
      <c r="N130" s="1"/>
      <c r="O130" s="1"/>
      <c r="P130" s="1"/>
      <c r="Q130" s="1"/>
      <c r="R130" s="1"/>
      <c r="S130" s="1"/>
      <c r="T130" s="1"/>
      <c r="U130" s="1"/>
      <c r="V130" s="1"/>
      <c r="W130" s="1"/>
      <c r="X130" s="1"/>
      <c r="Y130" s="1"/>
      <c r="Z130" s="1"/>
      <c r="AA130" s="1"/>
      <c r="AB130" s="1"/>
      <c r="AC130" s="1"/>
      <c r="AD130" s="155"/>
      <c r="AE130" s="155"/>
      <c r="AF130" s="155"/>
      <c r="AG130" s="155"/>
      <c r="AH130" s="155"/>
      <c r="AI130" s="155"/>
      <c r="AJ130" s="155"/>
      <c r="AK130" s="155"/>
      <c r="AL130" s="155"/>
      <c r="AM130" s="155"/>
      <c r="AN130" s="155"/>
      <c r="AO130" s="155"/>
      <c r="AP130" s="7"/>
    </row>
    <row r="131" spans="1:42" ht="28.5" customHeight="1">
      <c r="A131" s="155" t="s">
        <v>123</v>
      </c>
      <c r="B131" s="155"/>
      <c r="C131" s="1"/>
      <c r="D131" s="1"/>
      <c r="E131" s="1"/>
      <c r="F131" s="156"/>
      <c r="G131" s="1"/>
      <c r="H131" s="1"/>
      <c r="I131" s="1"/>
      <c r="J131" s="1"/>
      <c r="K131" s="1"/>
      <c r="L131" s="1"/>
      <c r="M131" s="1"/>
      <c r="N131" s="1"/>
      <c r="O131" s="1"/>
      <c r="P131" s="1"/>
      <c r="Q131" s="1"/>
      <c r="R131" s="1"/>
      <c r="S131" s="1"/>
      <c r="T131" s="1"/>
      <c r="U131" s="1"/>
      <c r="V131" s="1"/>
      <c r="W131" s="1"/>
      <c r="X131" s="1"/>
      <c r="Y131" s="1"/>
      <c r="Z131" s="1"/>
      <c r="AA131" s="1"/>
      <c r="AB131" s="1"/>
      <c r="AC131" s="1"/>
      <c r="AD131" s="155"/>
      <c r="AE131" s="155"/>
      <c r="AF131" s="155"/>
      <c r="AG131" s="155"/>
      <c r="AH131" s="155"/>
      <c r="AI131" s="155"/>
      <c r="AJ131" s="155"/>
      <c r="AK131" s="155"/>
      <c r="AL131" s="155"/>
      <c r="AM131" s="155"/>
      <c r="AN131" s="155"/>
      <c r="AO131" s="155"/>
      <c r="AP131" s="7"/>
    </row>
    <row r="132" spans="1:42" ht="28.5" customHeight="1">
      <c r="A132" s="155"/>
      <c r="B132" s="155"/>
      <c r="C132" s="1"/>
      <c r="D132" s="1"/>
      <c r="E132" s="1"/>
      <c r="F132" s="156"/>
      <c r="G132" s="1"/>
      <c r="H132" s="1"/>
      <c r="I132" s="1"/>
      <c r="J132" s="1"/>
      <c r="K132" s="1"/>
      <c r="L132" s="1"/>
      <c r="M132" s="1"/>
      <c r="N132" s="1"/>
      <c r="O132" s="1"/>
      <c r="P132" s="1"/>
      <c r="Q132" s="1"/>
      <c r="R132" s="1"/>
      <c r="S132" s="1"/>
      <c r="T132" s="1"/>
      <c r="U132" s="1"/>
      <c r="V132" s="1"/>
      <c r="W132" s="1"/>
      <c r="X132" s="1"/>
      <c r="Y132" s="1"/>
      <c r="Z132" s="1"/>
      <c r="AA132" s="1"/>
      <c r="AB132" s="1"/>
      <c r="AC132" s="1"/>
      <c r="AD132" s="155"/>
      <c r="AE132" s="155"/>
      <c r="AF132" s="155"/>
      <c r="AG132" s="155"/>
      <c r="AH132" s="155"/>
      <c r="AI132" s="155"/>
      <c r="AJ132" s="155"/>
      <c r="AK132" s="155"/>
      <c r="AL132" s="155"/>
      <c r="AM132" s="155"/>
      <c r="AN132" s="155"/>
      <c r="AO132" s="155"/>
      <c r="AP132" s="7"/>
    </row>
    <row r="133" spans="1:42" ht="28.5" customHeight="1">
      <c r="A133" s="155"/>
      <c r="B133" s="155"/>
      <c r="C133" s="1"/>
      <c r="D133" s="1"/>
      <c r="E133" s="1"/>
      <c r="F133" s="156"/>
      <c r="G133" s="1"/>
      <c r="H133" s="1"/>
      <c r="I133" s="1"/>
      <c r="J133" s="1"/>
      <c r="K133" s="1"/>
      <c r="L133" s="1"/>
      <c r="M133" s="1"/>
      <c r="N133" s="1"/>
      <c r="O133" s="1"/>
      <c r="P133" s="1"/>
      <c r="Q133" s="1"/>
      <c r="R133" s="1"/>
      <c r="S133" s="1"/>
      <c r="T133" s="1"/>
      <c r="U133" s="1"/>
      <c r="V133" s="1"/>
      <c r="W133" s="1"/>
      <c r="X133" s="1"/>
      <c r="Y133" s="1"/>
      <c r="Z133" s="1"/>
      <c r="AA133" s="1"/>
      <c r="AB133" s="1"/>
      <c r="AC133" s="1"/>
      <c r="AD133" s="155"/>
      <c r="AE133" s="155"/>
      <c r="AF133" s="155"/>
      <c r="AG133" s="155"/>
      <c r="AH133" s="155"/>
      <c r="AI133" s="155"/>
      <c r="AJ133" s="155"/>
      <c r="AK133" s="155"/>
      <c r="AL133" s="155"/>
      <c r="AM133" s="155"/>
      <c r="AN133" s="155"/>
      <c r="AO133" s="155"/>
      <c r="AP133" s="7"/>
    </row>
    <row r="134" spans="1:42" ht="28.5" customHeight="1">
      <c r="A134" s="155"/>
      <c r="B134" s="155"/>
      <c r="C134" s="1"/>
      <c r="D134" s="1"/>
      <c r="E134" s="1"/>
      <c r="F134" s="156"/>
      <c r="G134" s="1"/>
      <c r="H134" s="1"/>
      <c r="I134" s="1"/>
      <c r="J134" s="1"/>
      <c r="K134" s="1"/>
      <c r="L134" s="1"/>
      <c r="M134" s="1"/>
      <c r="N134" s="1"/>
      <c r="O134" s="1"/>
      <c r="P134" s="1"/>
      <c r="Q134" s="1"/>
      <c r="R134" s="1"/>
      <c r="S134" s="1"/>
      <c r="T134" s="1"/>
      <c r="U134" s="1"/>
      <c r="V134" s="1"/>
      <c r="W134" s="1"/>
      <c r="X134" s="1"/>
      <c r="Y134" s="1"/>
      <c r="Z134" s="1"/>
      <c r="AA134" s="1"/>
      <c r="AB134" s="1"/>
      <c r="AC134" s="1"/>
      <c r="AD134" s="155"/>
      <c r="AE134" s="155"/>
      <c r="AF134" s="155"/>
      <c r="AG134" s="155"/>
      <c r="AH134" s="155"/>
      <c r="AI134" s="155"/>
      <c r="AJ134" s="155"/>
      <c r="AK134" s="155"/>
      <c r="AL134" s="155"/>
      <c r="AM134" s="155"/>
      <c r="AN134" s="155"/>
      <c r="AO134" s="155"/>
      <c r="AP134" s="7"/>
    </row>
    <row r="135" spans="1:42" ht="28.5" customHeight="1">
      <c r="A135" s="155"/>
      <c r="B135" s="155"/>
      <c r="C135" s="1"/>
      <c r="D135" s="1"/>
      <c r="E135" s="1"/>
      <c r="F135" s="156"/>
      <c r="G135" s="1"/>
      <c r="H135" s="1"/>
      <c r="I135" s="1"/>
      <c r="J135" s="1"/>
      <c r="K135" s="1"/>
      <c r="L135" s="1"/>
      <c r="M135" s="1"/>
      <c r="N135" s="1"/>
      <c r="O135" s="1"/>
      <c r="P135" s="1"/>
      <c r="Q135" s="1"/>
      <c r="R135" s="1"/>
      <c r="S135" s="1"/>
      <c r="T135" s="1"/>
      <c r="U135" s="1"/>
      <c r="V135" s="1"/>
      <c r="W135" s="1"/>
      <c r="X135" s="1"/>
      <c r="Y135" s="1"/>
      <c r="Z135" s="1"/>
      <c r="AA135" s="1"/>
      <c r="AB135" s="1"/>
      <c r="AC135" s="1"/>
      <c r="AD135" s="155"/>
      <c r="AE135" s="155"/>
      <c r="AF135" s="155"/>
      <c r="AG135" s="155"/>
      <c r="AH135" s="155"/>
      <c r="AI135" s="155"/>
      <c r="AJ135" s="155"/>
      <c r="AK135" s="155"/>
      <c r="AL135" s="155"/>
      <c r="AM135" s="155"/>
      <c r="AN135" s="155"/>
      <c r="AO135" s="155"/>
      <c r="AP135" s="7"/>
    </row>
    <row r="136" spans="1:42" ht="28.5" customHeight="1">
      <c r="A136" s="155"/>
      <c r="B136" s="155"/>
      <c r="C136" s="1"/>
      <c r="D136" s="1"/>
      <c r="E136" s="1"/>
      <c r="F136" s="156"/>
      <c r="G136" s="1"/>
      <c r="H136" s="1"/>
      <c r="I136" s="1"/>
      <c r="J136" s="1"/>
      <c r="K136" s="1"/>
      <c r="L136" s="1"/>
      <c r="M136" s="1"/>
      <c r="N136" s="1"/>
      <c r="O136" s="1"/>
      <c r="P136" s="1"/>
      <c r="Q136" s="1"/>
      <c r="R136" s="1"/>
      <c r="S136" s="1"/>
      <c r="T136" s="1"/>
      <c r="U136" s="1"/>
      <c r="V136" s="1"/>
      <c r="W136" s="1"/>
      <c r="X136" s="1"/>
      <c r="Y136" s="1"/>
      <c r="Z136" s="1"/>
      <c r="AA136" s="1"/>
      <c r="AB136" s="1"/>
      <c r="AC136" s="1"/>
      <c r="AD136" s="155"/>
      <c r="AE136" s="155"/>
      <c r="AF136" s="155"/>
      <c r="AG136" s="155"/>
      <c r="AH136" s="155"/>
      <c r="AI136" s="155"/>
      <c r="AJ136" s="155"/>
      <c r="AK136" s="155"/>
      <c r="AL136" s="155"/>
      <c r="AM136" s="155"/>
      <c r="AN136" s="155"/>
      <c r="AO136" s="155"/>
      <c r="AP136" s="7"/>
    </row>
    <row r="137" spans="1:42" ht="28.5" customHeight="1">
      <c r="A137" s="155"/>
      <c r="B137" s="155"/>
      <c r="C137" s="1"/>
      <c r="D137" s="1"/>
      <c r="E137" s="1"/>
      <c r="F137" s="156"/>
      <c r="G137" s="1"/>
      <c r="H137" s="1"/>
      <c r="I137" s="1"/>
      <c r="J137" s="1"/>
      <c r="K137" s="1"/>
      <c r="L137" s="1"/>
      <c r="M137" s="1"/>
      <c r="N137" s="1"/>
      <c r="O137" s="1"/>
      <c r="P137" s="1"/>
      <c r="Q137" s="1"/>
      <c r="R137" s="1"/>
      <c r="S137" s="1"/>
      <c r="T137" s="1"/>
      <c r="U137" s="1"/>
      <c r="V137" s="1"/>
      <c r="W137" s="1"/>
      <c r="X137" s="1"/>
      <c r="Y137" s="1"/>
      <c r="Z137" s="1"/>
      <c r="AA137" s="1"/>
      <c r="AB137" s="1"/>
      <c r="AC137" s="1"/>
      <c r="AD137" s="155"/>
      <c r="AE137" s="155"/>
      <c r="AF137" s="155"/>
      <c r="AG137" s="155"/>
      <c r="AH137" s="155"/>
      <c r="AI137" s="155"/>
      <c r="AJ137" s="155"/>
      <c r="AK137" s="155"/>
      <c r="AL137" s="155"/>
      <c r="AM137" s="155"/>
      <c r="AN137" s="155"/>
      <c r="AO137" s="155"/>
      <c r="AP137" s="7"/>
    </row>
    <row r="138" spans="1:42" ht="28.5" customHeight="1">
      <c r="A138" s="155"/>
      <c r="B138" s="155"/>
      <c r="C138" s="1"/>
      <c r="D138" s="1"/>
      <c r="E138" s="1"/>
      <c r="F138" s="156"/>
      <c r="G138" s="1"/>
      <c r="H138" s="1"/>
      <c r="I138" s="1"/>
      <c r="J138" s="1"/>
      <c r="K138" s="1"/>
      <c r="L138" s="1"/>
      <c r="M138" s="1"/>
      <c r="N138" s="1"/>
      <c r="O138" s="1"/>
      <c r="P138" s="1"/>
      <c r="Q138" s="1"/>
      <c r="R138" s="1"/>
      <c r="S138" s="1"/>
      <c r="T138" s="1"/>
      <c r="U138" s="1"/>
      <c r="V138" s="1"/>
      <c r="W138" s="1"/>
      <c r="X138" s="1"/>
      <c r="Y138" s="1"/>
      <c r="Z138" s="1"/>
      <c r="AA138" s="1"/>
      <c r="AB138" s="1"/>
      <c r="AC138" s="1"/>
      <c r="AD138" s="155"/>
      <c r="AE138" s="155"/>
      <c r="AF138" s="155"/>
      <c r="AG138" s="155"/>
      <c r="AH138" s="155"/>
      <c r="AI138" s="155"/>
      <c r="AJ138" s="155"/>
      <c r="AK138" s="155"/>
      <c r="AL138" s="155"/>
      <c r="AM138" s="155"/>
      <c r="AN138" s="155"/>
      <c r="AO138" s="155"/>
      <c r="AP138" s="7"/>
    </row>
    <row r="139" spans="1:42" ht="28.5" customHeight="1">
      <c r="A139" s="155"/>
      <c r="B139" s="155"/>
      <c r="C139" s="1"/>
      <c r="D139" s="1"/>
      <c r="E139" s="1"/>
      <c r="F139" s="156"/>
      <c r="G139" s="1"/>
      <c r="H139" s="1"/>
      <c r="I139" s="1"/>
      <c r="J139" s="1"/>
      <c r="K139" s="1"/>
      <c r="L139" s="1"/>
      <c r="M139" s="1"/>
      <c r="N139" s="1"/>
      <c r="O139" s="1"/>
      <c r="P139" s="1"/>
      <c r="Q139" s="1"/>
      <c r="R139" s="1"/>
      <c r="S139" s="1"/>
      <c r="T139" s="1"/>
      <c r="U139" s="1"/>
      <c r="V139" s="1"/>
      <c r="W139" s="1"/>
      <c r="X139" s="1"/>
      <c r="Y139" s="1"/>
      <c r="Z139" s="1"/>
      <c r="AA139" s="1"/>
      <c r="AB139" s="1"/>
      <c r="AC139" s="1"/>
      <c r="AD139" s="155"/>
      <c r="AE139" s="155"/>
      <c r="AF139" s="155"/>
      <c r="AG139" s="155"/>
      <c r="AH139" s="155"/>
      <c r="AI139" s="155"/>
      <c r="AJ139" s="155"/>
      <c r="AK139" s="155"/>
      <c r="AL139" s="155"/>
      <c r="AM139" s="155"/>
      <c r="AN139" s="155"/>
      <c r="AO139" s="155"/>
      <c r="AP139" s="7"/>
    </row>
    <row r="140" spans="1:42" ht="28.5" customHeight="1">
      <c r="A140" s="155"/>
      <c r="B140" s="155"/>
      <c r="C140" s="1"/>
      <c r="D140" s="1"/>
      <c r="E140" s="1"/>
      <c r="F140" s="156"/>
      <c r="G140" s="1"/>
      <c r="H140" s="1"/>
      <c r="I140" s="1"/>
      <c r="J140" s="1"/>
      <c r="K140" s="1"/>
      <c r="L140" s="1"/>
      <c r="M140" s="1"/>
      <c r="N140" s="1"/>
      <c r="O140" s="1"/>
      <c r="P140" s="1"/>
      <c r="Q140" s="1"/>
      <c r="R140" s="1"/>
      <c r="S140" s="1"/>
      <c r="T140" s="1"/>
      <c r="U140" s="1"/>
      <c r="V140" s="1"/>
      <c r="W140" s="1"/>
      <c r="X140" s="1"/>
      <c r="Y140" s="1"/>
      <c r="Z140" s="1"/>
      <c r="AA140" s="1"/>
      <c r="AB140" s="1"/>
      <c r="AC140" s="1"/>
      <c r="AD140" s="155"/>
      <c r="AE140" s="155"/>
      <c r="AF140" s="155"/>
      <c r="AG140" s="155"/>
      <c r="AH140" s="155"/>
      <c r="AI140" s="155"/>
      <c r="AJ140" s="155"/>
      <c r="AK140" s="155"/>
      <c r="AL140" s="155"/>
      <c r="AM140" s="155"/>
      <c r="AN140" s="155"/>
      <c r="AO140" s="155"/>
      <c r="AP140" s="7"/>
    </row>
    <row r="141" spans="1:42" ht="28.5" customHeight="1">
      <c r="A141" s="155"/>
      <c r="B141" s="155"/>
      <c r="C141" s="1"/>
      <c r="D141" s="1"/>
      <c r="E141" s="1"/>
      <c r="F141" s="156"/>
      <c r="G141" s="1"/>
      <c r="H141" s="1"/>
      <c r="I141" s="1"/>
      <c r="J141" s="1"/>
      <c r="K141" s="1"/>
      <c r="L141" s="1"/>
      <c r="M141" s="1"/>
      <c r="N141" s="1"/>
      <c r="O141" s="1"/>
      <c r="P141" s="1"/>
      <c r="Q141" s="1"/>
      <c r="R141" s="1"/>
      <c r="S141" s="1"/>
      <c r="T141" s="1"/>
      <c r="U141" s="1"/>
      <c r="V141" s="1"/>
      <c r="W141" s="1"/>
      <c r="X141" s="1"/>
      <c r="Y141" s="1"/>
      <c r="Z141" s="1"/>
      <c r="AA141" s="1"/>
      <c r="AB141" s="1"/>
      <c r="AC141" s="1"/>
      <c r="AD141" s="155"/>
      <c r="AE141" s="155"/>
      <c r="AF141" s="155"/>
      <c r="AG141" s="155"/>
      <c r="AH141" s="155"/>
      <c r="AI141" s="155"/>
      <c r="AJ141" s="155"/>
      <c r="AK141" s="155"/>
      <c r="AL141" s="155"/>
      <c r="AM141" s="155"/>
      <c r="AN141" s="155"/>
      <c r="AO141" s="155"/>
      <c r="AP141" s="7"/>
    </row>
    <row r="142" spans="1:42" ht="28.5" customHeight="1">
      <c r="A142" s="155"/>
      <c r="B142" s="155"/>
      <c r="C142" s="1"/>
      <c r="D142" s="1"/>
      <c r="E142" s="1"/>
      <c r="F142" s="156"/>
      <c r="G142" s="1"/>
      <c r="H142" s="1"/>
      <c r="I142" s="1"/>
      <c r="J142" s="1"/>
      <c r="K142" s="1"/>
      <c r="L142" s="1"/>
      <c r="M142" s="1"/>
      <c r="N142" s="1"/>
      <c r="O142" s="1"/>
      <c r="P142" s="1"/>
      <c r="Q142" s="1"/>
      <c r="R142" s="1"/>
      <c r="S142" s="1"/>
      <c r="T142" s="1"/>
      <c r="U142" s="1"/>
      <c r="V142" s="1"/>
      <c r="W142" s="1"/>
      <c r="X142" s="1"/>
      <c r="Y142" s="1"/>
      <c r="Z142" s="1"/>
      <c r="AA142" s="1"/>
      <c r="AB142" s="1"/>
      <c r="AC142" s="1"/>
      <c r="AD142" s="155"/>
      <c r="AE142" s="155"/>
      <c r="AF142" s="155"/>
      <c r="AG142" s="155"/>
      <c r="AH142" s="155"/>
      <c r="AI142" s="155"/>
      <c r="AJ142" s="155"/>
      <c r="AK142" s="155"/>
      <c r="AL142" s="155"/>
      <c r="AM142" s="155"/>
      <c r="AN142" s="155"/>
      <c r="AO142" s="155"/>
      <c r="AP142" s="7"/>
    </row>
    <row r="143" spans="1:42" ht="28.5" customHeight="1">
      <c r="A143" s="155"/>
      <c r="B143" s="155"/>
      <c r="C143" s="1"/>
      <c r="D143" s="1"/>
      <c r="E143" s="1"/>
      <c r="F143" s="156"/>
      <c r="G143" s="1"/>
      <c r="H143" s="1"/>
      <c r="I143" s="1"/>
      <c r="J143" s="1"/>
      <c r="K143" s="1"/>
      <c r="L143" s="1"/>
      <c r="M143" s="1"/>
      <c r="N143" s="1"/>
      <c r="O143" s="1"/>
      <c r="P143" s="1"/>
      <c r="Q143" s="1"/>
      <c r="R143" s="1"/>
      <c r="S143" s="1"/>
      <c r="T143" s="1"/>
      <c r="U143" s="1"/>
      <c r="V143" s="1"/>
      <c r="W143" s="1"/>
      <c r="X143" s="1"/>
      <c r="Y143" s="1"/>
      <c r="Z143" s="1"/>
      <c r="AA143" s="1"/>
      <c r="AB143" s="1"/>
      <c r="AC143" s="1"/>
      <c r="AD143" s="155"/>
      <c r="AE143" s="155"/>
      <c r="AF143" s="155"/>
      <c r="AG143" s="155"/>
      <c r="AH143" s="155"/>
      <c r="AI143" s="155"/>
      <c r="AJ143" s="155"/>
      <c r="AK143" s="155"/>
      <c r="AL143" s="155"/>
      <c r="AM143" s="155"/>
      <c r="AN143" s="155"/>
      <c r="AO143" s="155"/>
      <c r="AP143" s="7"/>
    </row>
    <row r="144" spans="1:42" ht="28.5" customHeight="1">
      <c r="A144" s="155"/>
      <c r="B144" s="155"/>
      <c r="C144" s="1"/>
      <c r="D144" s="1"/>
      <c r="E144" s="1"/>
      <c r="F144" s="156"/>
      <c r="G144" s="1"/>
      <c r="H144" s="1"/>
      <c r="I144" s="1"/>
      <c r="J144" s="1"/>
      <c r="K144" s="1"/>
      <c r="L144" s="1"/>
      <c r="M144" s="1"/>
      <c r="N144" s="1"/>
      <c r="O144" s="1"/>
      <c r="P144" s="1"/>
      <c r="Q144" s="1"/>
      <c r="R144" s="1"/>
      <c r="S144" s="1"/>
      <c r="T144" s="1"/>
      <c r="U144" s="1"/>
      <c r="V144" s="1"/>
      <c r="W144" s="1"/>
      <c r="X144" s="1"/>
      <c r="Y144" s="1"/>
      <c r="Z144" s="1"/>
      <c r="AA144" s="1"/>
      <c r="AB144" s="1"/>
      <c r="AC144" s="1"/>
      <c r="AD144" s="155"/>
      <c r="AE144" s="155"/>
      <c r="AF144" s="155"/>
      <c r="AG144" s="155"/>
      <c r="AH144" s="155"/>
      <c r="AI144" s="155"/>
      <c r="AJ144" s="155"/>
      <c r="AK144" s="155"/>
      <c r="AL144" s="155"/>
      <c r="AM144" s="155"/>
      <c r="AN144" s="155"/>
      <c r="AO144" s="155"/>
      <c r="AP144" s="7"/>
    </row>
    <row r="145" spans="1:49" ht="28.5" customHeight="1">
      <c r="A145" s="155"/>
      <c r="B145" s="155"/>
      <c r="C145" s="1"/>
      <c r="D145" s="1"/>
      <c r="E145" s="1"/>
      <c r="F145" s="156"/>
      <c r="G145" s="1"/>
      <c r="H145" s="1"/>
      <c r="I145" s="1"/>
      <c r="J145" s="1"/>
      <c r="K145" s="1"/>
      <c r="L145" s="1"/>
      <c r="M145" s="1"/>
      <c r="N145" s="1"/>
      <c r="O145" s="1"/>
      <c r="P145" s="1"/>
      <c r="Q145" s="1"/>
      <c r="R145" s="1"/>
      <c r="S145" s="1"/>
      <c r="T145" s="1"/>
      <c r="U145" s="1"/>
      <c r="V145" s="1"/>
      <c r="W145" s="1"/>
      <c r="X145" s="1"/>
      <c r="Y145" s="1"/>
      <c r="Z145" s="1"/>
      <c r="AA145" s="1"/>
      <c r="AB145" s="1"/>
      <c r="AC145" s="1"/>
      <c r="AD145" s="155"/>
      <c r="AE145" s="155"/>
      <c r="AF145" s="155"/>
      <c r="AG145" s="155"/>
      <c r="AH145" s="155"/>
      <c r="AI145" s="155"/>
      <c r="AJ145" s="155"/>
      <c r="AK145" s="155"/>
      <c r="AL145" s="155"/>
      <c r="AM145" s="155"/>
      <c r="AN145" s="155"/>
      <c r="AO145" s="155"/>
      <c r="AP145" s="7"/>
    </row>
    <row r="146" spans="1:49" ht="28.5" customHeight="1">
      <c r="A146" s="155"/>
      <c r="B146" s="155"/>
      <c r="C146" s="1"/>
      <c r="D146" s="1"/>
      <c r="E146" s="1"/>
      <c r="F146" s="156"/>
      <c r="G146" s="1"/>
      <c r="H146" s="1"/>
      <c r="I146" s="1"/>
      <c r="J146" s="1"/>
      <c r="K146" s="1"/>
      <c r="L146" s="1"/>
      <c r="M146" s="1"/>
      <c r="N146" s="1"/>
      <c r="O146" s="1"/>
      <c r="P146" s="1"/>
      <c r="Q146" s="1"/>
      <c r="R146" s="1"/>
      <c r="S146" s="1"/>
      <c r="T146" s="1"/>
      <c r="U146" s="1"/>
      <c r="V146" s="1"/>
      <c r="W146" s="1"/>
      <c r="X146" s="1"/>
      <c r="Y146" s="1"/>
      <c r="Z146" s="1"/>
      <c r="AA146" s="1"/>
      <c r="AB146" s="1"/>
      <c r="AC146" s="1"/>
      <c r="AD146" s="155"/>
      <c r="AE146" s="155"/>
      <c r="AF146" s="155"/>
      <c r="AG146" s="155"/>
      <c r="AH146" s="155"/>
      <c r="AI146" s="155"/>
      <c r="AJ146" s="155"/>
      <c r="AK146" s="155"/>
      <c r="AL146" s="155"/>
      <c r="AM146" s="155"/>
      <c r="AN146" s="155"/>
      <c r="AO146" s="155"/>
      <c r="AP146" s="7"/>
    </row>
    <row r="147" spans="1:49" ht="28.5" customHeight="1">
      <c r="A147" s="155"/>
      <c r="B147" s="155"/>
      <c r="C147" s="1"/>
      <c r="D147" s="1"/>
      <c r="E147" s="1"/>
      <c r="F147" s="156"/>
      <c r="G147" s="1"/>
      <c r="H147" s="1"/>
      <c r="I147" s="1"/>
      <c r="J147" s="1"/>
      <c r="K147" s="1"/>
      <c r="L147" s="1"/>
      <c r="M147" s="1"/>
      <c r="N147" s="1"/>
      <c r="O147" s="1"/>
      <c r="P147" s="1"/>
      <c r="Q147" s="1"/>
      <c r="R147" s="1"/>
      <c r="S147" s="1"/>
      <c r="T147" s="1"/>
      <c r="U147" s="1"/>
      <c r="V147" s="1"/>
      <c r="W147" s="1"/>
      <c r="X147" s="1"/>
      <c r="Y147" s="1"/>
      <c r="Z147" s="1"/>
      <c r="AA147" s="1"/>
      <c r="AB147" s="1"/>
      <c r="AC147" s="1"/>
      <c r="AD147" s="155"/>
      <c r="AE147" s="155"/>
      <c r="AF147" s="155"/>
      <c r="AG147" s="155"/>
      <c r="AH147" s="155"/>
      <c r="AI147" s="155"/>
      <c r="AJ147" s="155"/>
      <c r="AK147" s="155"/>
      <c r="AL147" s="155"/>
      <c r="AM147" s="155"/>
      <c r="AN147" s="155"/>
      <c r="AO147" s="155"/>
      <c r="AP147" s="7"/>
    </row>
    <row r="148" spans="1:49" ht="28.5" customHeight="1">
      <c r="A148" s="155"/>
      <c r="B148" s="155"/>
      <c r="C148" s="1"/>
      <c r="D148" s="1"/>
      <c r="E148" s="1"/>
      <c r="F148" s="156"/>
      <c r="G148" s="1"/>
      <c r="H148" s="1"/>
      <c r="I148" s="1"/>
      <c r="J148" s="1"/>
      <c r="K148" s="1"/>
      <c r="L148" s="1"/>
      <c r="M148" s="1"/>
      <c r="N148" s="1"/>
      <c r="O148" s="1"/>
      <c r="P148" s="1"/>
      <c r="Q148" s="1"/>
      <c r="R148" s="1"/>
      <c r="S148" s="1"/>
      <c r="T148" s="1"/>
      <c r="U148" s="1"/>
      <c r="V148" s="1"/>
      <c r="W148" s="1"/>
      <c r="X148" s="1"/>
      <c r="Y148" s="1"/>
      <c r="Z148" s="1"/>
      <c r="AA148" s="1"/>
      <c r="AB148" s="1"/>
      <c r="AC148" s="1"/>
      <c r="AD148" s="155"/>
      <c r="AE148" s="155"/>
      <c r="AF148" s="155"/>
      <c r="AG148" s="155"/>
      <c r="AH148" s="155"/>
      <c r="AI148" s="155"/>
      <c r="AJ148" s="155"/>
      <c r="AK148" s="155"/>
      <c r="AL148" s="155"/>
      <c r="AM148" s="155"/>
      <c r="AN148" s="155"/>
      <c r="AO148" s="155"/>
      <c r="AP148" s="7"/>
    </row>
    <row r="149" spans="1:49" ht="28.5" customHeight="1">
      <c r="A149" s="155"/>
      <c r="B149" s="155"/>
      <c r="C149" s="1"/>
      <c r="D149" s="1"/>
      <c r="E149" s="1"/>
      <c r="F149" s="156"/>
      <c r="G149" s="1"/>
      <c r="H149" s="1"/>
      <c r="I149" s="1"/>
      <c r="J149" s="1"/>
      <c r="K149" s="1"/>
      <c r="L149" s="1"/>
      <c r="M149" s="1"/>
      <c r="N149" s="1"/>
      <c r="O149" s="1"/>
      <c r="P149" s="1"/>
      <c r="Q149" s="1"/>
      <c r="R149" s="1"/>
      <c r="S149" s="1"/>
      <c r="T149" s="1"/>
      <c r="U149" s="1"/>
      <c r="V149" s="1"/>
      <c r="W149" s="1"/>
      <c r="X149" s="1"/>
      <c r="Y149" s="1"/>
      <c r="Z149" s="1"/>
      <c r="AA149" s="1"/>
      <c r="AB149" s="1"/>
      <c r="AC149" s="1"/>
      <c r="AD149" s="155"/>
      <c r="AE149" s="155"/>
      <c r="AF149" s="155"/>
      <c r="AG149" s="155"/>
      <c r="AH149" s="155"/>
      <c r="AI149" s="155"/>
      <c r="AJ149" s="155"/>
      <c r="AK149" s="155"/>
      <c r="AL149" s="155"/>
      <c r="AM149" s="155"/>
      <c r="AN149" s="155"/>
      <c r="AO149" s="155"/>
      <c r="AP149" s="7"/>
    </row>
    <row r="150" spans="1:49" ht="28.5" customHeight="1">
      <c r="A150" s="155"/>
      <c r="B150" s="155"/>
      <c r="C150" s="1"/>
      <c r="D150" s="1"/>
      <c r="E150" s="1"/>
      <c r="F150" s="156"/>
      <c r="G150" s="1"/>
      <c r="H150" s="1"/>
      <c r="I150" s="1"/>
      <c r="J150" s="1"/>
      <c r="K150" s="1"/>
      <c r="L150" s="1"/>
      <c r="M150" s="1"/>
      <c r="N150" s="1"/>
      <c r="O150" s="1"/>
      <c r="P150" s="1"/>
      <c r="Q150" s="1"/>
      <c r="R150" s="1"/>
      <c r="S150" s="1"/>
      <c r="T150" s="1"/>
      <c r="U150" s="1"/>
      <c r="V150" s="1"/>
      <c r="W150" s="1"/>
      <c r="X150" s="1"/>
      <c r="Y150" s="1"/>
      <c r="Z150" s="1"/>
      <c r="AA150" s="1"/>
      <c r="AB150" s="1"/>
      <c r="AC150" s="1"/>
      <c r="AD150" s="155"/>
      <c r="AE150" s="155"/>
      <c r="AF150" s="155"/>
      <c r="AG150" s="155"/>
      <c r="AH150" s="155"/>
      <c r="AI150" s="155"/>
      <c r="AJ150" s="155"/>
      <c r="AK150" s="155"/>
      <c r="AL150" s="155"/>
      <c r="AM150" s="155"/>
      <c r="AN150" s="155"/>
      <c r="AO150" s="155"/>
      <c r="AP150" s="7"/>
    </row>
    <row r="151" spans="1:49" ht="28.5" customHeight="1">
      <c r="A151" s="155"/>
      <c r="B151" s="155"/>
      <c r="C151" s="1"/>
      <c r="D151" s="1"/>
      <c r="E151" s="1"/>
      <c r="F151" s="156"/>
      <c r="G151" s="1"/>
      <c r="H151" s="1"/>
      <c r="I151" s="1"/>
      <c r="J151" s="1"/>
      <c r="K151" s="1"/>
      <c r="L151" s="1"/>
      <c r="M151" s="1"/>
      <c r="N151" s="1"/>
      <c r="O151" s="1"/>
      <c r="P151" s="1"/>
      <c r="Q151" s="1"/>
      <c r="R151" s="1"/>
      <c r="S151" s="1"/>
      <c r="T151" s="1"/>
      <c r="U151" s="1"/>
      <c r="V151" s="1"/>
      <c r="W151" s="1"/>
      <c r="X151" s="1"/>
      <c r="Y151" s="1"/>
      <c r="Z151" s="1"/>
      <c r="AA151" s="1"/>
      <c r="AB151" s="1"/>
      <c r="AC151" s="1"/>
      <c r="AD151" s="155"/>
      <c r="AE151" s="155"/>
      <c r="AF151" s="155"/>
      <c r="AG151" s="155"/>
      <c r="AH151" s="155"/>
      <c r="AI151" s="155"/>
      <c r="AJ151" s="155"/>
      <c r="AK151" s="155"/>
      <c r="AL151" s="155"/>
      <c r="AM151" s="155"/>
      <c r="AN151" s="155"/>
      <c r="AO151" s="155"/>
      <c r="AP151" s="7"/>
    </row>
    <row r="152" spans="1:49" ht="28.5" customHeight="1">
      <c r="A152" s="155"/>
      <c r="B152" s="155"/>
      <c r="C152" s="1"/>
      <c r="D152" s="1"/>
      <c r="E152" s="1"/>
      <c r="F152" s="156"/>
      <c r="G152" s="1"/>
      <c r="H152" s="1"/>
      <c r="I152" s="1"/>
      <c r="J152" s="1"/>
      <c r="K152" s="1"/>
      <c r="L152" s="1"/>
      <c r="M152" s="1"/>
      <c r="N152" s="1"/>
      <c r="O152" s="1"/>
      <c r="P152" s="1"/>
      <c r="Q152" s="1"/>
      <c r="R152" s="1"/>
      <c r="S152" s="1"/>
      <c r="T152" s="1"/>
      <c r="U152" s="1"/>
      <c r="V152" s="1"/>
      <c r="W152" s="1"/>
      <c r="X152" s="1"/>
      <c r="Y152" s="1"/>
      <c r="Z152" s="1"/>
      <c r="AA152" s="1"/>
      <c r="AB152" s="1"/>
      <c r="AC152" s="1"/>
      <c r="AD152" s="155"/>
      <c r="AE152" s="155"/>
      <c r="AF152" s="155"/>
      <c r="AG152" s="155"/>
      <c r="AH152" s="155"/>
      <c r="AI152" s="155"/>
      <c r="AJ152" s="155"/>
      <c r="AK152" s="155"/>
      <c r="AL152" s="155"/>
      <c r="AM152" s="155"/>
      <c r="AN152" s="155"/>
      <c r="AO152" s="155"/>
      <c r="AP152" s="7"/>
    </row>
    <row r="153" spans="1:49" ht="28.5" customHeight="1">
      <c r="A153" s="155"/>
      <c r="B153" s="155"/>
      <c r="C153" s="1"/>
      <c r="D153" s="1"/>
      <c r="E153" s="1"/>
      <c r="F153" s="156"/>
      <c r="G153" s="1"/>
      <c r="H153" s="1"/>
      <c r="I153" s="1"/>
      <c r="J153" s="1"/>
      <c r="K153" s="1"/>
      <c r="L153" s="1"/>
      <c r="M153" s="1"/>
      <c r="N153" s="1"/>
      <c r="O153" s="1"/>
      <c r="P153" s="1"/>
      <c r="Q153" s="1"/>
      <c r="R153" s="1"/>
      <c r="S153" s="1"/>
      <c r="T153" s="1"/>
      <c r="U153" s="1"/>
      <c r="V153" s="1"/>
      <c r="W153" s="1"/>
      <c r="X153" s="1"/>
      <c r="Y153" s="1"/>
      <c r="Z153" s="1"/>
      <c r="AA153" s="1"/>
      <c r="AB153" s="1"/>
      <c r="AC153" s="1"/>
      <c r="AD153" s="155"/>
      <c r="AE153" s="155"/>
      <c r="AF153" s="155"/>
      <c r="AG153" s="155"/>
      <c r="AH153" s="155"/>
      <c r="AI153" s="155"/>
      <c r="AJ153" s="155"/>
      <c r="AK153" s="155"/>
      <c r="AL153" s="155"/>
      <c r="AM153" s="155"/>
      <c r="AN153" s="155"/>
      <c r="AO153" s="155"/>
      <c r="AP153" s="7"/>
    </row>
    <row r="154" spans="1:49" ht="28.5" customHeight="1">
      <c r="A154" s="155"/>
      <c r="B154" s="155"/>
      <c r="C154" s="1"/>
      <c r="D154" s="1"/>
      <c r="E154" s="1"/>
      <c r="F154" s="156"/>
      <c r="G154" s="1"/>
      <c r="H154" s="1"/>
      <c r="I154" s="1"/>
      <c r="J154" s="1"/>
      <c r="K154" s="1"/>
      <c r="L154" s="1"/>
      <c r="M154" s="1"/>
      <c r="N154" s="1"/>
      <c r="O154" s="1"/>
      <c r="P154" s="1"/>
      <c r="Q154" s="1"/>
      <c r="R154" s="1"/>
      <c r="S154" s="1"/>
      <c r="T154" s="1"/>
      <c r="U154" s="1"/>
      <c r="V154" s="1"/>
      <c r="W154" s="1"/>
      <c r="X154" s="1"/>
      <c r="Y154" s="1"/>
      <c r="Z154" s="1"/>
      <c r="AA154" s="1"/>
      <c r="AB154" s="1"/>
      <c r="AC154" s="1"/>
      <c r="AD154" s="155"/>
      <c r="AE154" s="155"/>
      <c r="AF154" s="155"/>
      <c r="AG154" s="155"/>
      <c r="AH154" s="155"/>
      <c r="AI154" s="155"/>
      <c r="AJ154" s="155"/>
      <c r="AK154" s="155"/>
      <c r="AL154" s="155"/>
      <c r="AM154" s="155"/>
      <c r="AN154" s="155"/>
      <c r="AO154" s="155"/>
      <c r="AP154" s="7"/>
    </row>
    <row r="155" spans="1:49" ht="28.5" customHeight="1">
      <c r="A155" s="155"/>
      <c r="B155" s="155"/>
      <c r="C155" s="1"/>
      <c r="D155" s="1"/>
      <c r="E155" s="1"/>
      <c r="F155" s="156"/>
      <c r="G155" s="1"/>
      <c r="H155" s="1"/>
      <c r="I155" s="1"/>
      <c r="J155" s="1"/>
      <c r="K155" s="1"/>
      <c r="L155" s="1"/>
      <c r="M155" s="1"/>
      <c r="N155" s="1"/>
      <c r="O155" s="1"/>
      <c r="P155" s="1"/>
      <c r="Q155" s="1"/>
      <c r="R155" s="1"/>
      <c r="S155" s="1"/>
      <c r="T155" s="1"/>
      <c r="U155" s="1"/>
      <c r="V155" s="1"/>
      <c r="W155" s="1"/>
      <c r="X155" s="1"/>
      <c r="Y155" s="1"/>
      <c r="Z155" s="1"/>
      <c r="AA155" s="1"/>
      <c r="AB155" s="1"/>
      <c r="AC155" s="1"/>
      <c r="AD155" s="155"/>
      <c r="AE155" s="155"/>
      <c r="AF155" s="155"/>
      <c r="AG155" s="155"/>
      <c r="AH155" s="155"/>
      <c r="AI155" s="155"/>
      <c r="AJ155" s="155"/>
      <c r="AK155" s="155"/>
      <c r="AL155" s="155"/>
      <c r="AM155" s="155"/>
      <c r="AN155" s="155"/>
      <c r="AO155" s="155"/>
      <c r="AP155" s="7"/>
    </row>
    <row r="156" spans="1:49" ht="28.5" customHeight="1">
      <c r="A156" s="155"/>
      <c r="B156" s="155"/>
      <c r="C156" s="1"/>
      <c r="D156" s="1"/>
      <c r="E156" s="1"/>
      <c r="F156" s="156"/>
      <c r="G156" s="1"/>
      <c r="H156" s="1"/>
      <c r="I156" s="1"/>
      <c r="J156" s="1"/>
      <c r="K156" s="1"/>
      <c r="L156" s="1"/>
      <c r="M156" s="1"/>
      <c r="N156" s="1"/>
      <c r="O156" s="1"/>
      <c r="P156" s="1"/>
      <c r="Q156" s="1"/>
      <c r="R156" s="1"/>
      <c r="S156" s="1"/>
      <c r="T156" s="1"/>
      <c r="U156" s="1"/>
      <c r="V156" s="1"/>
      <c r="W156" s="1"/>
      <c r="X156" s="1"/>
      <c r="Y156" s="1"/>
      <c r="Z156" s="1"/>
      <c r="AA156" s="1"/>
      <c r="AB156" s="1"/>
      <c r="AC156" s="1"/>
      <c r="AD156" s="155"/>
      <c r="AE156" s="155"/>
      <c r="AF156" s="155"/>
      <c r="AG156" s="155"/>
      <c r="AH156" s="155"/>
      <c r="AI156" s="155"/>
      <c r="AJ156" s="155"/>
      <c r="AK156" s="155"/>
      <c r="AL156" s="155"/>
      <c r="AM156" s="155"/>
      <c r="AN156" s="155"/>
      <c r="AO156" s="155"/>
      <c r="AP156" s="7"/>
    </row>
    <row r="157" spans="1:49" ht="28.5" customHeight="1">
      <c r="A157" s="155"/>
      <c r="B157" s="155"/>
      <c r="C157" s="1"/>
      <c r="D157" s="1"/>
      <c r="E157" s="1"/>
      <c r="F157" s="156"/>
      <c r="G157" s="1"/>
      <c r="H157" s="1"/>
      <c r="I157" s="1"/>
      <c r="J157" s="1"/>
      <c r="K157" s="1"/>
      <c r="L157" s="1"/>
      <c r="M157" s="1"/>
      <c r="N157" s="1"/>
      <c r="O157" s="1"/>
      <c r="P157" s="1"/>
      <c r="Q157" s="1"/>
      <c r="R157" s="1"/>
      <c r="S157" s="1"/>
      <c r="T157" s="1"/>
      <c r="U157" s="1"/>
      <c r="V157" s="1"/>
      <c r="W157" s="1"/>
      <c r="X157" s="1"/>
      <c r="Y157" s="1"/>
      <c r="Z157" s="1"/>
      <c r="AA157" s="1"/>
      <c r="AB157" s="1"/>
      <c r="AC157" s="1"/>
      <c r="AD157" s="155"/>
      <c r="AE157" s="155"/>
      <c r="AF157" s="155"/>
      <c r="AG157" s="155"/>
      <c r="AH157" s="155"/>
      <c r="AI157" s="155"/>
      <c r="AJ157" s="155"/>
      <c r="AK157" s="155"/>
      <c r="AL157" s="155"/>
      <c r="AM157" s="155"/>
      <c r="AN157" s="155"/>
      <c r="AO157" s="155"/>
      <c r="AP157" s="7"/>
    </row>
    <row r="158" spans="1:49" ht="28.5" customHeight="1">
      <c r="A158" s="155"/>
      <c r="B158" s="155"/>
      <c r="C158" s="1"/>
      <c r="D158" s="1"/>
      <c r="E158" s="1"/>
      <c r="F158" s="156"/>
      <c r="G158" s="1"/>
      <c r="H158" s="1"/>
      <c r="I158" s="1"/>
      <c r="J158" s="1"/>
      <c r="K158" s="1"/>
      <c r="L158" s="1"/>
      <c r="M158" s="1"/>
      <c r="N158" s="1"/>
      <c r="O158" s="1"/>
      <c r="P158" s="1"/>
      <c r="Q158" s="1"/>
      <c r="R158" s="1"/>
      <c r="S158" s="1"/>
      <c r="T158" s="1"/>
      <c r="U158" s="1"/>
      <c r="V158" s="1"/>
      <c r="W158" s="1"/>
      <c r="X158" s="1"/>
      <c r="Y158" s="1"/>
      <c r="Z158" s="1"/>
      <c r="AA158" s="1"/>
      <c r="AB158" s="1"/>
      <c r="AC158" s="1"/>
      <c r="AD158" s="155"/>
      <c r="AE158" s="155"/>
      <c r="AF158" s="155"/>
      <c r="AG158" s="155"/>
      <c r="AH158" s="155"/>
      <c r="AI158" s="155"/>
      <c r="AJ158" s="155"/>
      <c r="AK158" s="155"/>
      <c r="AL158" s="155"/>
      <c r="AM158" s="155"/>
      <c r="AN158" s="155"/>
      <c r="AO158" s="155"/>
      <c r="AP158" s="7"/>
    </row>
    <row r="159" spans="1:49" ht="28.5" customHeight="1">
      <c r="A159" s="155"/>
      <c r="B159" s="155"/>
      <c r="C159" s="1"/>
      <c r="D159" s="1"/>
      <c r="E159" s="1"/>
      <c r="F159" s="156"/>
      <c r="G159" s="1"/>
      <c r="H159" s="1"/>
      <c r="I159" s="1"/>
      <c r="J159" s="1"/>
      <c r="K159" s="1"/>
      <c r="L159" s="1"/>
      <c r="M159" s="1"/>
      <c r="N159" s="1"/>
      <c r="O159" s="1"/>
      <c r="P159" s="1"/>
      <c r="Q159" s="1"/>
      <c r="R159" s="1"/>
      <c r="S159" s="1"/>
      <c r="T159" s="1"/>
      <c r="U159" s="1"/>
      <c r="V159" s="1"/>
      <c r="W159" s="1"/>
      <c r="X159" s="1"/>
      <c r="Y159" s="1"/>
      <c r="Z159" s="1"/>
      <c r="AA159" s="1"/>
      <c r="AB159" s="1"/>
      <c r="AC159" s="1"/>
      <c r="AD159" s="155"/>
      <c r="AE159" s="155"/>
      <c r="AF159" s="155"/>
      <c r="AG159" s="155"/>
      <c r="AH159" s="155"/>
      <c r="AI159" s="155"/>
      <c r="AJ159" s="155"/>
      <c r="AK159" s="155"/>
      <c r="AL159" s="155"/>
      <c r="AM159" s="155"/>
      <c r="AN159" s="155"/>
      <c r="AO159" s="155"/>
      <c r="AP159" s="7"/>
    </row>
    <row r="160" spans="1:49" ht="28.5" customHeight="1">
      <c r="A160" s="155"/>
      <c r="B160" s="155"/>
      <c r="C160" s="1"/>
      <c r="D160" s="1"/>
      <c r="E160" s="1"/>
      <c r="F160" s="156"/>
      <c r="G160" s="1"/>
      <c r="H160" s="1"/>
      <c r="I160" s="1"/>
      <c r="J160" s="1"/>
      <c r="K160" s="1"/>
      <c r="L160" s="1"/>
      <c r="M160" s="1"/>
      <c r="N160" s="1"/>
      <c r="O160" s="1"/>
      <c r="P160" s="1"/>
      <c r="Q160" s="1"/>
      <c r="R160" s="1"/>
      <c r="S160" s="1"/>
      <c r="T160" s="1"/>
      <c r="U160" s="1"/>
      <c r="V160" s="1"/>
      <c r="W160" s="1"/>
      <c r="X160" s="1"/>
      <c r="Y160" s="1"/>
      <c r="Z160" s="1"/>
      <c r="AA160" s="1"/>
      <c r="AB160" s="1"/>
      <c r="AC160" s="1"/>
      <c r="AD160" s="155"/>
      <c r="AE160" s="155"/>
      <c r="AF160" s="155"/>
      <c r="AG160" s="155"/>
      <c r="AH160" s="155"/>
      <c r="AI160" s="155"/>
      <c r="AJ160" s="155"/>
      <c r="AK160" s="155"/>
      <c r="AL160" s="155"/>
      <c r="AM160" s="155"/>
      <c r="AN160" s="155"/>
      <c r="AO160" s="155"/>
      <c r="AP160" s="155"/>
      <c r="AQ160" s="155"/>
      <c r="AR160" s="155"/>
      <c r="AS160" s="155"/>
      <c r="AT160" s="155"/>
      <c r="AU160" s="155"/>
      <c r="AV160" s="155"/>
      <c r="AW160" s="155"/>
    </row>
    <row r="161" spans="1:49" ht="16.5" customHeight="1">
      <c r="A161" s="155"/>
      <c r="B161" s="155"/>
      <c r="C161" s="1"/>
      <c r="D161" s="1"/>
      <c r="E161" s="1"/>
      <c r="F161" s="156"/>
      <c r="G161" s="1"/>
      <c r="H161" s="1"/>
      <c r="I161" s="1"/>
      <c r="J161" s="1"/>
      <c r="K161" s="1"/>
      <c r="L161" s="1"/>
      <c r="M161" s="1"/>
      <c r="N161" s="1"/>
      <c r="O161" s="1"/>
      <c r="P161" s="1"/>
      <c r="Q161" s="1"/>
      <c r="R161" s="1"/>
      <c r="S161" s="1"/>
      <c r="T161" s="1"/>
      <c r="U161" s="1"/>
      <c r="V161" s="1"/>
      <c r="W161" s="1"/>
      <c r="X161" s="1"/>
      <c r="Y161" s="1"/>
      <c r="Z161" s="1"/>
      <c r="AA161" s="1"/>
      <c r="AB161" s="1"/>
      <c r="AC161" s="1"/>
      <c r="AD161" s="155"/>
      <c r="AE161" s="155"/>
      <c r="AF161" s="155"/>
      <c r="AG161" s="155"/>
      <c r="AH161" s="155"/>
      <c r="AI161" s="155"/>
      <c r="AJ161" s="155"/>
      <c r="AK161" s="155"/>
      <c r="AL161" s="155"/>
      <c r="AM161" s="155"/>
      <c r="AN161" s="155"/>
      <c r="AO161" s="155"/>
      <c r="AP161" s="155"/>
      <c r="AQ161" s="155"/>
      <c r="AR161" s="155"/>
      <c r="AS161" s="155"/>
      <c r="AT161" s="155"/>
      <c r="AU161" s="155"/>
      <c r="AV161" s="155"/>
      <c r="AW161" s="155"/>
    </row>
    <row r="162" spans="1:49" ht="16.5" customHeight="1">
      <c r="A162" s="155"/>
      <c r="B162" s="155"/>
      <c r="C162" s="1"/>
      <c r="D162" s="1"/>
      <c r="E162" s="1"/>
      <c r="F162" s="156"/>
      <c r="G162" s="1"/>
      <c r="H162" s="1"/>
      <c r="I162" s="1"/>
      <c r="J162" s="1"/>
      <c r="K162" s="1"/>
      <c r="L162" s="1"/>
      <c r="M162" s="1"/>
      <c r="N162" s="1"/>
      <c r="O162" s="1"/>
      <c r="P162" s="1"/>
      <c r="Q162" s="1"/>
      <c r="R162" s="1"/>
      <c r="S162" s="1"/>
      <c r="T162" s="1"/>
      <c r="U162" s="1"/>
      <c r="V162" s="1"/>
      <c r="W162" s="1"/>
      <c r="X162" s="1"/>
      <c r="Y162" s="1"/>
      <c r="Z162" s="1"/>
      <c r="AA162" s="1"/>
      <c r="AB162" s="1"/>
      <c r="AC162" s="1"/>
      <c r="AD162" s="155"/>
      <c r="AE162" s="155"/>
      <c r="AF162" s="155"/>
      <c r="AG162" s="155"/>
      <c r="AH162" s="155"/>
      <c r="AI162" s="155"/>
      <c r="AJ162" s="155"/>
      <c r="AK162" s="155"/>
      <c r="AL162" s="155"/>
      <c r="AM162" s="155"/>
      <c r="AN162" s="155"/>
      <c r="AO162" s="155"/>
      <c r="AP162" s="155"/>
      <c r="AQ162" s="155"/>
      <c r="AR162" s="155"/>
      <c r="AS162" s="155"/>
      <c r="AT162" s="155"/>
      <c r="AU162" s="155"/>
      <c r="AV162" s="155"/>
      <c r="AW162" s="155"/>
    </row>
    <row r="163" spans="1:49" ht="16.5" customHeight="1">
      <c r="A163" s="155"/>
      <c r="B163" s="155"/>
      <c r="C163" s="1"/>
      <c r="D163" s="1"/>
      <c r="E163" s="1"/>
      <c r="F163" s="156"/>
      <c r="G163" s="1"/>
      <c r="H163" s="1"/>
      <c r="I163" s="1"/>
      <c r="J163" s="1"/>
      <c r="K163" s="1"/>
      <c r="L163" s="1"/>
      <c r="M163" s="1"/>
      <c r="N163" s="1"/>
      <c r="O163" s="1"/>
      <c r="P163" s="1"/>
      <c r="Q163" s="1"/>
      <c r="R163" s="1"/>
      <c r="S163" s="1"/>
      <c r="T163" s="1"/>
      <c r="U163" s="1"/>
      <c r="V163" s="1"/>
      <c r="W163" s="1"/>
      <c r="X163" s="1"/>
      <c r="Y163" s="1"/>
      <c r="Z163" s="1"/>
      <c r="AA163" s="1"/>
      <c r="AB163" s="1"/>
      <c r="AC163" s="1"/>
      <c r="AD163" s="155"/>
      <c r="AE163" s="155"/>
      <c r="AF163" s="155"/>
      <c r="AG163" s="155"/>
      <c r="AH163" s="155"/>
      <c r="AI163" s="155"/>
      <c r="AJ163" s="155"/>
      <c r="AK163" s="155"/>
      <c r="AL163" s="155"/>
      <c r="AM163" s="155"/>
      <c r="AN163" s="155"/>
      <c r="AO163" s="155"/>
      <c r="AP163" s="155"/>
      <c r="AQ163" s="155"/>
      <c r="AR163" s="155"/>
      <c r="AS163" s="155"/>
      <c r="AT163" s="155"/>
      <c r="AU163" s="155"/>
      <c r="AV163" s="155"/>
      <c r="AW163" s="155"/>
    </row>
    <row r="164" spans="1:49" ht="16.5" customHeight="1">
      <c r="A164" s="155"/>
      <c r="B164" s="155"/>
      <c r="C164" s="1"/>
      <c r="D164" s="1"/>
      <c r="E164" s="1"/>
      <c r="F164" s="156"/>
      <c r="G164" s="1"/>
      <c r="H164" s="1"/>
      <c r="I164" s="1"/>
      <c r="J164" s="1"/>
      <c r="K164" s="1"/>
      <c r="L164" s="1"/>
      <c r="M164" s="1"/>
      <c r="N164" s="1"/>
      <c r="O164" s="1"/>
      <c r="P164" s="1"/>
      <c r="Q164" s="1"/>
      <c r="R164" s="1"/>
      <c r="S164" s="1"/>
      <c r="T164" s="1"/>
      <c r="U164" s="1"/>
      <c r="V164" s="1"/>
      <c r="W164" s="1"/>
      <c r="X164" s="1"/>
      <c r="Y164" s="1"/>
      <c r="Z164" s="1"/>
      <c r="AA164" s="1"/>
      <c r="AB164" s="1"/>
      <c r="AC164" s="1"/>
      <c r="AD164" s="155"/>
      <c r="AE164" s="155"/>
      <c r="AF164" s="155"/>
      <c r="AG164" s="155"/>
      <c r="AH164" s="155"/>
      <c r="AI164" s="155"/>
      <c r="AJ164" s="155"/>
      <c r="AK164" s="155"/>
      <c r="AL164" s="155"/>
      <c r="AM164" s="155"/>
      <c r="AN164" s="155"/>
      <c r="AO164" s="155"/>
      <c r="AP164" s="155"/>
      <c r="AQ164" s="155"/>
      <c r="AR164" s="155"/>
      <c r="AS164" s="155"/>
      <c r="AT164" s="155"/>
      <c r="AU164" s="155"/>
      <c r="AV164" s="155"/>
      <c r="AW164" s="155"/>
    </row>
    <row r="165" spans="1:49" ht="16.5" customHeight="1">
      <c r="A165" s="155"/>
      <c r="B165" s="155"/>
      <c r="C165" s="1"/>
      <c r="D165" s="1"/>
      <c r="E165" s="1"/>
      <c r="F165" s="156"/>
      <c r="G165" s="1"/>
      <c r="H165" s="1"/>
      <c r="I165" s="1"/>
      <c r="J165" s="1"/>
      <c r="K165" s="1"/>
      <c r="L165" s="1"/>
      <c r="M165" s="1"/>
      <c r="N165" s="1"/>
      <c r="O165" s="1"/>
      <c r="P165" s="1"/>
      <c r="Q165" s="1"/>
      <c r="R165" s="1"/>
      <c r="S165" s="1"/>
      <c r="T165" s="1"/>
      <c r="U165" s="1"/>
      <c r="V165" s="1"/>
      <c r="W165" s="1"/>
      <c r="X165" s="1"/>
      <c r="Y165" s="1"/>
      <c r="Z165" s="1"/>
      <c r="AA165" s="1"/>
      <c r="AB165" s="1"/>
      <c r="AC165" s="1"/>
      <c r="AD165" s="155"/>
      <c r="AE165" s="155"/>
      <c r="AF165" s="155"/>
      <c r="AG165" s="155"/>
      <c r="AH165" s="155"/>
      <c r="AI165" s="155"/>
      <c r="AJ165" s="155"/>
      <c r="AK165" s="155"/>
      <c r="AL165" s="155"/>
      <c r="AM165" s="155"/>
      <c r="AN165" s="155"/>
      <c r="AO165" s="155"/>
      <c r="AP165" s="155"/>
      <c r="AQ165" s="155"/>
      <c r="AR165" s="155"/>
      <c r="AS165" s="155"/>
      <c r="AT165" s="155"/>
      <c r="AU165" s="155"/>
      <c r="AV165" s="155"/>
      <c r="AW165" s="155"/>
    </row>
    <row r="166" spans="1:49" ht="16.5" customHeight="1">
      <c r="A166" s="155"/>
      <c r="B166" s="155"/>
      <c r="C166" s="1"/>
      <c r="D166" s="1"/>
      <c r="E166" s="1"/>
      <c r="F166" s="156"/>
      <c r="G166" s="1"/>
      <c r="H166" s="1"/>
      <c r="I166" s="1"/>
      <c r="J166" s="1"/>
      <c r="K166" s="1"/>
      <c r="L166" s="1"/>
      <c r="M166" s="1"/>
      <c r="N166" s="1"/>
      <c r="O166" s="1"/>
      <c r="P166" s="1"/>
      <c r="Q166" s="1"/>
      <c r="R166" s="1"/>
      <c r="S166" s="1"/>
      <c r="T166" s="1"/>
      <c r="U166" s="1"/>
      <c r="V166" s="1"/>
      <c r="W166" s="1"/>
      <c r="X166" s="1"/>
      <c r="Y166" s="1"/>
      <c r="Z166" s="1"/>
      <c r="AA166" s="1"/>
      <c r="AB166" s="1"/>
      <c r="AC166" s="1"/>
      <c r="AD166" s="155"/>
      <c r="AE166" s="155"/>
      <c r="AF166" s="155"/>
      <c r="AG166" s="155"/>
      <c r="AH166" s="155"/>
      <c r="AI166" s="155"/>
      <c r="AJ166" s="155"/>
      <c r="AK166" s="155"/>
      <c r="AL166" s="155"/>
      <c r="AM166" s="155"/>
      <c r="AN166" s="155"/>
      <c r="AO166" s="155"/>
      <c r="AP166" s="155"/>
      <c r="AQ166" s="155"/>
      <c r="AR166" s="155"/>
      <c r="AS166" s="155"/>
      <c r="AT166" s="155"/>
      <c r="AU166" s="155"/>
      <c r="AV166" s="155"/>
      <c r="AW166" s="155"/>
    </row>
    <row r="167" spans="1:49" ht="16.5" customHeight="1">
      <c r="A167" s="155"/>
      <c r="B167" s="155"/>
      <c r="C167" s="1"/>
      <c r="D167" s="1"/>
      <c r="E167" s="1"/>
      <c r="F167" s="156"/>
      <c r="G167" s="1"/>
      <c r="H167" s="1"/>
      <c r="I167" s="1"/>
      <c r="J167" s="1"/>
      <c r="K167" s="1"/>
      <c r="L167" s="1"/>
      <c r="M167" s="1"/>
      <c r="N167" s="1"/>
      <c r="O167" s="1"/>
      <c r="P167" s="1"/>
      <c r="Q167" s="1"/>
      <c r="R167" s="1"/>
      <c r="S167" s="1"/>
      <c r="T167" s="1"/>
      <c r="U167" s="1"/>
      <c r="V167" s="1"/>
      <c r="W167" s="1"/>
      <c r="X167" s="1"/>
      <c r="Y167" s="1"/>
      <c r="Z167" s="1"/>
      <c r="AA167" s="1"/>
      <c r="AB167" s="1"/>
      <c r="AC167" s="1"/>
      <c r="AD167" s="155"/>
      <c r="AE167" s="155"/>
      <c r="AF167" s="155"/>
      <c r="AG167" s="155"/>
      <c r="AH167" s="155"/>
      <c r="AI167" s="155"/>
      <c r="AJ167" s="155"/>
      <c r="AK167" s="155"/>
      <c r="AL167" s="155"/>
      <c r="AM167" s="155"/>
      <c r="AN167" s="155"/>
      <c r="AO167" s="155"/>
      <c r="AP167" s="155"/>
      <c r="AQ167" s="155"/>
      <c r="AR167" s="155"/>
      <c r="AS167" s="155"/>
      <c r="AT167" s="155"/>
      <c r="AU167" s="155"/>
      <c r="AV167" s="155"/>
      <c r="AW167" s="155"/>
    </row>
    <row r="168" spans="1:49" ht="16.5" customHeight="1">
      <c r="A168" s="155"/>
      <c r="B168" s="155"/>
      <c r="C168" s="1"/>
      <c r="D168" s="1"/>
      <c r="E168" s="1"/>
      <c r="F168" s="156"/>
      <c r="G168" s="1"/>
      <c r="H168" s="1"/>
      <c r="I168" s="1"/>
      <c r="J168" s="1"/>
      <c r="K168" s="1"/>
      <c r="L168" s="1"/>
      <c r="M168" s="1"/>
      <c r="N168" s="1"/>
      <c r="O168" s="1"/>
      <c r="P168" s="1"/>
      <c r="Q168" s="1"/>
      <c r="R168" s="1"/>
      <c r="S168" s="1"/>
      <c r="T168" s="1"/>
      <c r="U168" s="1"/>
      <c r="V168" s="1"/>
      <c r="W168" s="1"/>
      <c r="X168" s="1"/>
      <c r="Y168" s="1"/>
      <c r="Z168" s="1"/>
      <c r="AA168" s="1"/>
      <c r="AB168" s="1"/>
      <c r="AC168" s="1"/>
      <c r="AD168" s="155"/>
      <c r="AE168" s="155"/>
      <c r="AF168" s="155"/>
      <c r="AG168" s="155"/>
      <c r="AH168" s="155"/>
      <c r="AI168" s="155"/>
      <c r="AJ168" s="155"/>
      <c r="AK168" s="155"/>
      <c r="AL168" s="155"/>
      <c r="AM168" s="155"/>
      <c r="AN168" s="155"/>
      <c r="AO168" s="155"/>
      <c r="AP168" s="155"/>
      <c r="AQ168" s="155"/>
      <c r="AR168" s="155"/>
      <c r="AS168" s="155"/>
      <c r="AT168" s="155"/>
      <c r="AU168" s="155"/>
      <c r="AV168" s="155"/>
      <c r="AW168" s="155"/>
    </row>
    <row r="169" spans="1:49" ht="16.5" customHeight="1">
      <c r="A169" s="155"/>
      <c r="B169" s="155"/>
      <c r="C169" s="1"/>
      <c r="D169" s="1"/>
      <c r="E169" s="1"/>
      <c r="F169" s="156"/>
      <c r="G169" s="1"/>
      <c r="H169" s="1"/>
      <c r="I169" s="1"/>
      <c r="J169" s="1"/>
      <c r="K169" s="1"/>
      <c r="L169" s="1"/>
      <c r="M169" s="1"/>
      <c r="N169" s="1"/>
      <c r="O169" s="1"/>
      <c r="P169" s="1"/>
      <c r="Q169" s="1"/>
      <c r="R169" s="1"/>
      <c r="S169" s="1"/>
      <c r="T169" s="1"/>
      <c r="U169" s="1"/>
      <c r="V169" s="1"/>
      <c r="W169" s="1"/>
      <c r="X169" s="1"/>
      <c r="Y169" s="1"/>
      <c r="Z169" s="1"/>
      <c r="AA169" s="1"/>
      <c r="AB169" s="1"/>
      <c r="AC169" s="1"/>
      <c r="AD169" s="155"/>
      <c r="AE169" s="155"/>
      <c r="AF169" s="155"/>
      <c r="AG169" s="155"/>
      <c r="AH169" s="155"/>
      <c r="AI169" s="155"/>
      <c r="AJ169" s="155"/>
      <c r="AK169" s="155"/>
      <c r="AL169" s="155"/>
      <c r="AM169" s="155"/>
      <c r="AN169" s="155"/>
      <c r="AO169" s="155"/>
      <c r="AP169" s="155"/>
      <c r="AQ169" s="155"/>
      <c r="AR169" s="155"/>
      <c r="AS169" s="155"/>
      <c r="AT169" s="155"/>
      <c r="AU169" s="155"/>
      <c r="AV169" s="155"/>
      <c r="AW169" s="155"/>
    </row>
    <row r="170" spans="1:49" ht="16.5" customHeight="1">
      <c r="A170" s="155"/>
      <c r="B170" s="155"/>
      <c r="C170" s="1"/>
      <c r="D170" s="1"/>
      <c r="E170" s="1"/>
      <c r="F170" s="156"/>
      <c r="G170" s="1"/>
      <c r="H170" s="1"/>
      <c r="I170" s="1"/>
      <c r="J170" s="1"/>
      <c r="K170" s="1"/>
      <c r="L170" s="1"/>
      <c r="M170" s="1"/>
      <c r="N170" s="1"/>
      <c r="O170" s="1"/>
      <c r="P170" s="1"/>
      <c r="Q170" s="1"/>
      <c r="R170" s="1"/>
      <c r="S170" s="1"/>
      <c r="T170" s="1"/>
      <c r="U170" s="1"/>
      <c r="V170" s="1"/>
      <c r="W170" s="1"/>
      <c r="X170" s="1"/>
      <c r="Y170" s="1"/>
      <c r="Z170" s="1"/>
      <c r="AA170" s="1"/>
      <c r="AB170" s="1"/>
      <c r="AC170" s="1"/>
      <c r="AD170" s="155"/>
      <c r="AE170" s="155"/>
      <c r="AF170" s="155"/>
      <c r="AG170" s="155"/>
      <c r="AH170" s="155"/>
      <c r="AI170" s="155"/>
      <c r="AJ170" s="155"/>
      <c r="AK170" s="155"/>
      <c r="AL170" s="155"/>
      <c r="AM170" s="155"/>
      <c r="AN170" s="155"/>
      <c r="AO170" s="155"/>
      <c r="AP170" s="155"/>
      <c r="AQ170" s="155"/>
      <c r="AR170" s="155"/>
      <c r="AS170" s="155"/>
      <c r="AT170" s="155"/>
      <c r="AU170" s="155"/>
      <c r="AV170" s="155"/>
      <c r="AW170" s="155"/>
    </row>
    <row r="171" spans="1:49" ht="16.5" customHeight="1">
      <c r="A171" s="155"/>
      <c r="B171" s="155"/>
      <c r="C171" s="1"/>
      <c r="D171" s="1"/>
      <c r="E171" s="1"/>
      <c r="F171" s="156"/>
      <c r="G171" s="1"/>
      <c r="H171" s="1"/>
      <c r="I171" s="1"/>
      <c r="J171" s="1"/>
      <c r="K171" s="1"/>
      <c r="L171" s="1"/>
      <c r="M171" s="1"/>
      <c r="N171" s="1"/>
      <c r="O171" s="1"/>
      <c r="P171" s="1"/>
      <c r="Q171" s="1"/>
      <c r="R171" s="1"/>
      <c r="S171" s="1"/>
      <c r="T171" s="1"/>
      <c r="U171" s="1"/>
      <c r="V171" s="1"/>
      <c r="W171" s="1"/>
      <c r="X171" s="1"/>
      <c r="Y171" s="1"/>
      <c r="Z171" s="1"/>
      <c r="AA171" s="1"/>
      <c r="AB171" s="1"/>
      <c r="AC171" s="1"/>
      <c r="AD171" s="155"/>
      <c r="AE171" s="155"/>
      <c r="AF171" s="155"/>
      <c r="AG171" s="155"/>
      <c r="AH171" s="155"/>
      <c r="AI171" s="155"/>
      <c r="AJ171" s="155"/>
      <c r="AK171" s="155"/>
      <c r="AL171" s="155"/>
      <c r="AM171" s="155"/>
      <c r="AN171" s="155"/>
      <c r="AO171" s="155"/>
      <c r="AP171" s="155"/>
      <c r="AQ171" s="155"/>
      <c r="AR171" s="155"/>
      <c r="AS171" s="155"/>
      <c r="AT171" s="155"/>
      <c r="AU171" s="155"/>
      <c r="AV171" s="155"/>
      <c r="AW171" s="155"/>
    </row>
    <row r="172" spans="1:49" ht="16.5" customHeight="1">
      <c r="A172" s="155"/>
      <c r="B172" s="155"/>
      <c r="C172" s="1"/>
      <c r="D172" s="1"/>
      <c r="E172" s="1"/>
      <c r="F172" s="156"/>
      <c r="G172" s="1"/>
      <c r="H172" s="1"/>
      <c r="I172" s="1"/>
      <c r="J172" s="1"/>
      <c r="K172" s="1"/>
      <c r="L172" s="1"/>
      <c r="M172" s="1"/>
      <c r="N172" s="1"/>
      <c r="O172" s="1"/>
      <c r="P172" s="1"/>
      <c r="Q172" s="1"/>
      <c r="R172" s="1"/>
      <c r="S172" s="1"/>
      <c r="T172" s="1"/>
      <c r="U172" s="1"/>
      <c r="V172" s="1"/>
      <c r="W172" s="1"/>
      <c r="X172" s="1"/>
      <c r="Y172" s="1"/>
      <c r="Z172" s="1"/>
      <c r="AA172" s="1"/>
      <c r="AB172" s="1"/>
      <c r="AC172" s="1"/>
      <c r="AD172" s="155"/>
      <c r="AE172" s="155"/>
      <c r="AF172" s="155"/>
      <c r="AG172" s="155"/>
      <c r="AH172" s="155"/>
      <c r="AI172" s="155"/>
      <c r="AJ172" s="155"/>
      <c r="AK172" s="155"/>
      <c r="AL172" s="155"/>
      <c r="AM172" s="155"/>
      <c r="AN172" s="155"/>
      <c r="AO172" s="155"/>
      <c r="AP172" s="155"/>
      <c r="AQ172" s="155"/>
      <c r="AR172" s="155"/>
      <c r="AS172" s="155"/>
      <c r="AT172" s="155"/>
      <c r="AU172" s="155"/>
      <c r="AV172" s="155"/>
      <c r="AW172" s="155"/>
    </row>
    <row r="173" spans="1:49" ht="16.5" customHeight="1">
      <c r="A173" s="155"/>
      <c r="B173" s="155"/>
      <c r="C173" s="1"/>
      <c r="D173" s="1"/>
      <c r="E173" s="1"/>
      <c r="F173" s="156"/>
      <c r="G173" s="1"/>
      <c r="H173" s="1"/>
      <c r="I173" s="1"/>
      <c r="J173" s="1"/>
      <c r="K173" s="1"/>
      <c r="L173" s="1"/>
      <c r="M173" s="1"/>
      <c r="N173" s="1"/>
      <c r="O173" s="1"/>
      <c r="P173" s="1"/>
      <c r="Q173" s="1"/>
      <c r="R173" s="1"/>
      <c r="S173" s="1"/>
      <c r="T173" s="1"/>
      <c r="U173" s="1"/>
      <c r="V173" s="1"/>
      <c r="W173" s="1"/>
      <c r="X173" s="1"/>
      <c r="Y173" s="1"/>
      <c r="Z173" s="1"/>
      <c r="AA173" s="1"/>
      <c r="AB173" s="1"/>
      <c r="AC173" s="1"/>
      <c r="AD173" s="155"/>
      <c r="AE173" s="155"/>
      <c r="AF173" s="155"/>
      <c r="AG173" s="155"/>
      <c r="AH173" s="155"/>
      <c r="AI173" s="155"/>
      <c r="AJ173" s="155"/>
      <c r="AK173" s="155"/>
      <c r="AL173" s="155"/>
      <c r="AM173" s="155"/>
      <c r="AN173" s="155"/>
      <c r="AO173" s="155"/>
      <c r="AP173" s="155"/>
      <c r="AQ173" s="155"/>
      <c r="AR173" s="155"/>
      <c r="AS173" s="155"/>
      <c r="AT173" s="155"/>
      <c r="AU173" s="155"/>
      <c r="AV173" s="155"/>
      <c r="AW173" s="155"/>
    </row>
    <row r="174" spans="1:49" ht="16.5" customHeight="1">
      <c r="A174" s="155"/>
      <c r="B174" s="155"/>
      <c r="C174" s="1"/>
      <c r="D174" s="1"/>
      <c r="E174" s="1"/>
      <c r="F174" s="156"/>
      <c r="G174" s="1"/>
      <c r="H174" s="1"/>
      <c r="I174" s="1"/>
      <c r="J174" s="1"/>
      <c r="K174" s="1"/>
      <c r="L174" s="1"/>
      <c r="M174" s="1"/>
      <c r="N174" s="1"/>
      <c r="O174" s="1"/>
      <c r="P174" s="1"/>
      <c r="Q174" s="1"/>
      <c r="R174" s="1"/>
      <c r="S174" s="1"/>
      <c r="T174" s="1"/>
      <c r="U174" s="1"/>
      <c r="V174" s="1"/>
      <c r="W174" s="1"/>
      <c r="X174" s="1"/>
      <c r="Y174" s="1"/>
      <c r="Z174" s="1"/>
      <c r="AA174" s="1"/>
      <c r="AB174" s="1"/>
      <c r="AC174" s="1"/>
      <c r="AD174" s="155"/>
      <c r="AE174" s="155"/>
      <c r="AF174" s="155"/>
      <c r="AG174" s="155"/>
      <c r="AH174" s="155"/>
      <c r="AI174" s="155"/>
      <c r="AJ174" s="155"/>
      <c r="AK174" s="155"/>
      <c r="AL174" s="155"/>
      <c r="AM174" s="155"/>
      <c r="AN174" s="155"/>
      <c r="AO174" s="155"/>
      <c r="AP174" s="155"/>
      <c r="AQ174" s="155"/>
      <c r="AR174" s="155"/>
      <c r="AS174" s="155"/>
      <c r="AT174" s="155"/>
      <c r="AU174" s="155"/>
      <c r="AV174" s="155"/>
      <c r="AW174" s="155"/>
    </row>
    <row r="175" spans="1:49" ht="16.5" customHeight="1">
      <c r="A175" s="155"/>
      <c r="B175" s="155"/>
      <c r="C175" s="1"/>
      <c r="D175" s="1"/>
      <c r="E175" s="1"/>
      <c r="F175" s="156"/>
      <c r="G175" s="1"/>
      <c r="H175" s="1"/>
      <c r="I175" s="1"/>
      <c r="J175" s="1"/>
      <c r="K175" s="1"/>
      <c r="L175" s="1"/>
      <c r="M175" s="1"/>
      <c r="N175" s="1"/>
      <c r="O175" s="1"/>
      <c r="P175" s="1"/>
      <c r="Q175" s="1"/>
      <c r="R175" s="1"/>
      <c r="S175" s="1"/>
      <c r="T175" s="1"/>
      <c r="U175" s="1"/>
      <c r="V175" s="1"/>
      <c r="W175" s="1"/>
      <c r="X175" s="1"/>
      <c r="Y175" s="1"/>
      <c r="Z175" s="1"/>
      <c r="AA175" s="1"/>
      <c r="AB175" s="1"/>
      <c r="AC175" s="1"/>
      <c r="AD175" s="155"/>
      <c r="AE175" s="155"/>
      <c r="AF175" s="155"/>
      <c r="AG175" s="155"/>
      <c r="AH175" s="155"/>
      <c r="AI175" s="155"/>
      <c r="AJ175" s="155"/>
      <c r="AK175" s="155"/>
      <c r="AL175" s="155"/>
      <c r="AM175" s="155"/>
      <c r="AN175" s="155"/>
      <c r="AO175" s="155"/>
      <c r="AP175" s="155"/>
      <c r="AQ175" s="155"/>
      <c r="AR175" s="155"/>
      <c r="AS175" s="155"/>
      <c r="AT175" s="155"/>
      <c r="AU175" s="155"/>
      <c r="AV175" s="155"/>
      <c r="AW175" s="155"/>
    </row>
    <row r="176" spans="1:49" ht="16.5" customHeight="1">
      <c r="A176" s="155"/>
      <c r="B176" s="155"/>
      <c r="C176" s="1"/>
      <c r="D176" s="1"/>
      <c r="E176" s="1"/>
      <c r="F176" s="156"/>
      <c r="G176" s="1"/>
      <c r="H176" s="1"/>
      <c r="I176" s="1"/>
      <c r="J176" s="1"/>
      <c r="K176" s="1"/>
      <c r="L176" s="1"/>
      <c r="M176" s="1"/>
      <c r="N176" s="1"/>
      <c r="O176" s="1"/>
      <c r="P176" s="1"/>
      <c r="Q176" s="1"/>
      <c r="R176" s="1"/>
      <c r="S176" s="1"/>
      <c r="T176" s="1"/>
      <c r="U176" s="1"/>
      <c r="V176" s="1"/>
      <c r="W176" s="1"/>
      <c r="X176" s="1"/>
      <c r="Y176" s="1"/>
      <c r="Z176" s="1"/>
      <c r="AA176" s="1"/>
      <c r="AB176" s="1"/>
      <c r="AC176" s="1"/>
      <c r="AD176" s="155"/>
      <c r="AE176" s="155"/>
      <c r="AF176" s="155"/>
      <c r="AG176" s="155"/>
      <c r="AH176" s="155"/>
      <c r="AI176" s="155"/>
      <c r="AJ176" s="155"/>
      <c r="AK176" s="155"/>
      <c r="AL176" s="155"/>
      <c r="AM176" s="155"/>
      <c r="AN176" s="155"/>
      <c r="AO176" s="155"/>
      <c r="AP176" s="155"/>
      <c r="AQ176" s="155"/>
      <c r="AR176" s="155"/>
      <c r="AS176" s="155"/>
      <c r="AT176" s="155"/>
      <c r="AU176" s="155"/>
      <c r="AV176" s="155"/>
      <c r="AW176" s="155"/>
    </row>
    <row r="177" spans="1:49" ht="16.5" customHeight="1">
      <c r="A177" s="155"/>
      <c r="B177" s="155"/>
      <c r="C177" s="1"/>
      <c r="D177" s="1"/>
      <c r="E177" s="1"/>
      <c r="F177" s="156"/>
      <c r="G177" s="1"/>
      <c r="H177" s="1"/>
      <c r="I177" s="1"/>
      <c r="J177" s="1"/>
      <c r="K177" s="1"/>
      <c r="L177" s="1"/>
      <c r="M177" s="1"/>
      <c r="N177" s="1"/>
      <c r="O177" s="1"/>
      <c r="P177" s="1"/>
      <c r="Q177" s="1"/>
      <c r="R177" s="1"/>
      <c r="S177" s="1"/>
      <c r="T177" s="1"/>
      <c r="U177" s="1"/>
      <c r="V177" s="1"/>
      <c r="W177" s="1"/>
      <c r="X177" s="1"/>
      <c r="Y177" s="1"/>
      <c r="Z177" s="1"/>
      <c r="AA177" s="1"/>
      <c r="AB177" s="1"/>
      <c r="AC177" s="1"/>
      <c r="AD177" s="155"/>
      <c r="AE177" s="155"/>
      <c r="AF177" s="155"/>
      <c r="AG177" s="155"/>
      <c r="AH177" s="155"/>
      <c r="AI177" s="155"/>
      <c r="AJ177" s="155"/>
      <c r="AK177" s="155"/>
      <c r="AL177" s="155"/>
      <c r="AM177" s="155"/>
      <c r="AN177" s="155"/>
      <c r="AO177" s="155"/>
      <c r="AP177" s="155"/>
      <c r="AQ177" s="155"/>
      <c r="AR177" s="155"/>
      <c r="AS177" s="155"/>
      <c r="AT177" s="155"/>
      <c r="AU177" s="155"/>
      <c r="AV177" s="155"/>
      <c r="AW177" s="155"/>
    </row>
    <row r="178" spans="1:49" ht="16.5" customHeight="1">
      <c r="A178" s="155"/>
      <c r="B178" s="155"/>
      <c r="C178" s="1"/>
      <c r="D178" s="1"/>
      <c r="E178" s="1"/>
      <c r="F178" s="156"/>
      <c r="G178" s="1"/>
      <c r="H178" s="1"/>
      <c r="I178" s="1"/>
      <c r="J178" s="1"/>
      <c r="K178" s="1"/>
      <c r="L178" s="1"/>
      <c r="M178" s="1"/>
      <c r="N178" s="1"/>
      <c r="O178" s="1"/>
      <c r="P178" s="1"/>
      <c r="Q178" s="1"/>
      <c r="R178" s="1"/>
      <c r="S178" s="1"/>
      <c r="T178" s="1"/>
      <c r="U178" s="1"/>
      <c r="V178" s="1"/>
      <c r="W178" s="1"/>
      <c r="X178" s="1"/>
      <c r="Y178" s="1"/>
      <c r="Z178" s="1"/>
      <c r="AA178" s="1"/>
      <c r="AB178" s="1"/>
      <c r="AC178" s="1"/>
      <c r="AD178" s="155"/>
      <c r="AE178" s="155"/>
      <c r="AF178" s="155"/>
      <c r="AG178" s="155"/>
      <c r="AH178" s="155"/>
      <c r="AI178" s="155"/>
      <c r="AJ178" s="155"/>
      <c r="AK178" s="155"/>
      <c r="AL178" s="155"/>
      <c r="AM178" s="155"/>
      <c r="AN178" s="155"/>
      <c r="AO178" s="155"/>
      <c r="AP178" s="155"/>
      <c r="AQ178" s="155"/>
      <c r="AR178" s="155"/>
      <c r="AS178" s="155"/>
      <c r="AT178" s="155"/>
      <c r="AU178" s="155"/>
      <c r="AV178" s="155"/>
      <c r="AW178" s="155"/>
    </row>
    <row r="179" spans="1:49" ht="16.5" customHeight="1">
      <c r="A179" s="155"/>
      <c r="B179" s="155"/>
      <c r="C179" s="1"/>
      <c r="D179" s="1"/>
      <c r="E179" s="1"/>
      <c r="F179" s="156"/>
      <c r="G179" s="1"/>
      <c r="H179" s="1"/>
      <c r="I179" s="1"/>
      <c r="J179" s="1"/>
      <c r="K179" s="1"/>
      <c r="L179" s="1"/>
      <c r="M179" s="1"/>
      <c r="N179" s="1"/>
      <c r="O179" s="1"/>
      <c r="P179" s="1"/>
      <c r="Q179" s="1"/>
      <c r="R179" s="1"/>
      <c r="S179" s="1"/>
      <c r="T179" s="1"/>
      <c r="U179" s="1"/>
      <c r="V179" s="1"/>
      <c r="W179" s="1"/>
      <c r="X179" s="1"/>
      <c r="Y179" s="1"/>
      <c r="Z179" s="1"/>
      <c r="AA179" s="1"/>
      <c r="AB179" s="1"/>
      <c r="AC179" s="1"/>
      <c r="AD179" s="155"/>
      <c r="AE179" s="155"/>
      <c r="AF179" s="155"/>
      <c r="AG179" s="155"/>
      <c r="AH179" s="155"/>
      <c r="AI179" s="155"/>
      <c r="AJ179" s="155"/>
      <c r="AK179" s="155"/>
      <c r="AL179" s="155"/>
      <c r="AM179" s="155"/>
      <c r="AN179" s="155"/>
      <c r="AO179" s="155"/>
      <c r="AP179" s="155"/>
      <c r="AQ179" s="155"/>
      <c r="AR179" s="155"/>
      <c r="AS179" s="155"/>
      <c r="AT179" s="155"/>
      <c r="AU179" s="155"/>
      <c r="AV179" s="155"/>
      <c r="AW179" s="155"/>
    </row>
    <row r="180" spans="1:49" ht="16.5" customHeight="1">
      <c r="A180" s="155"/>
      <c r="B180" s="155"/>
      <c r="C180" s="1"/>
      <c r="D180" s="1"/>
      <c r="E180" s="1"/>
      <c r="F180" s="156"/>
      <c r="G180" s="1"/>
      <c r="H180" s="1"/>
      <c r="I180" s="1"/>
      <c r="J180" s="1"/>
      <c r="K180" s="1"/>
      <c r="L180" s="1"/>
      <c r="M180" s="1"/>
      <c r="N180" s="1"/>
      <c r="O180" s="1"/>
      <c r="P180" s="1"/>
      <c r="Q180" s="1"/>
      <c r="R180" s="1"/>
      <c r="S180" s="1"/>
      <c r="T180" s="1"/>
      <c r="U180" s="1"/>
      <c r="V180" s="1"/>
      <c r="W180" s="1"/>
      <c r="X180" s="1"/>
      <c r="Y180" s="1"/>
      <c r="Z180" s="1"/>
      <c r="AA180" s="1"/>
      <c r="AB180" s="1"/>
      <c r="AC180" s="1"/>
      <c r="AD180" s="155"/>
      <c r="AE180" s="155"/>
      <c r="AF180" s="155"/>
      <c r="AG180" s="155"/>
      <c r="AH180" s="155"/>
      <c r="AI180" s="155"/>
      <c r="AJ180" s="155"/>
      <c r="AK180" s="155"/>
      <c r="AL180" s="155"/>
      <c r="AM180" s="155"/>
      <c r="AN180" s="155"/>
      <c r="AO180" s="155"/>
      <c r="AP180" s="155"/>
      <c r="AQ180" s="155"/>
      <c r="AR180" s="155"/>
      <c r="AS180" s="155"/>
      <c r="AT180" s="155"/>
      <c r="AU180" s="155"/>
      <c r="AV180" s="155"/>
      <c r="AW180" s="155"/>
    </row>
    <row r="181" spans="1:49" ht="16.5" customHeight="1">
      <c r="A181" s="155"/>
      <c r="B181" s="155"/>
      <c r="C181" s="1"/>
      <c r="D181" s="1"/>
      <c r="E181" s="1"/>
      <c r="F181" s="156"/>
      <c r="G181" s="1"/>
      <c r="H181" s="1"/>
      <c r="I181" s="1"/>
      <c r="J181" s="1"/>
      <c r="K181" s="1"/>
      <c r="L181" s="1"/>
      <c r="M181" s="1"/>
      <c r="N181" s="1"/>
      <c r="O181" s="1"/>
      <c r="P181" s="1"/>
      <c r="Q181" s="1"/>
      <c r="R181" s="1"/>
      <c r="S181" s="1"/>
      <c r="T181" s="1"/>
      <c r="U181" s="1"/>
      <c r="V181" s="1"/>
      <c r="W181" s="1"/>
      <c r="X181" s="1"/>
      <c r="Y181" s="1"/>
      <c r="Z181" s="1"/>
      <c r="AA181" s="1"/>
      <c r="AB181" s="1"/>
      <c r="AC181" s="1"/>
      <c r="AD181" s="155"/>
      <c r="AE181" s="155"/>
      <c r="AF181" s="155"/>
      <c r="AG181" s="155"/>
      <c r="AH181" s="155"/>
      <c r="AI181" s="155"/>
      <c r="AJ181" s="155"/>
      <c r="AK181" s="155"/>
      <c r="AL181" s="155"/>
      <c r="AM181" s="155"/>
      <c r="AN181" s="155"/>
      <c r="AO181" s="155"/>
      <c r="AP181" s="155"/>
      <c r="AQ181" s="155"/>
      <c r="AR181" s="155"/>
      <c r="AS181" s="155"/>
      <c r="AT181" s="155"/>
      <c r="AU181" s="155"/>
      <c r="AV181" s="155"/>
      <c r="AW181" s="155"/>
    </row>
    <row r="182" spans="1:49" ht="16.5" customHeight="1">
      <c r="A182" s="155"/>
      <c r="B182" s="155"/>
      <c r="C182" s="1"/>
      <c r="D182" s="1"/>
      <c r="E182" s="1"/>
      <c r="F182" s="156"/>
      <c r="G182" s="1"/>
      <c r="H182" s="1"/>
      <c r="I182" s="1"/>
      <c r="J182" s="1"/>
      <c r="K182" s="1"/>
      <c r="L182" s="1"/>
      <c r="M182" s="1"/>
      <c r="N182" s="1"/>
      <c r="O182" s="1"/>
      <c r="P182" s="1"/>
      <c r="Q182" s="1"/>
      <c r="R182" s="1"/>
      <c r="S182" s="1"/>
      <c r="T182" s="1"/>
      <c r="U182" s="1"/>
      <c r="V182" s="1"/>
      <c r="W182" s="1"/>
      <c r="X182" s="1"/>
      <c r="Y182" s="1"/>
      <c r="Z182" s="1"/>
      <c r="AA182" s="1"/>
      <c r="AB182" s="1"/>
      <c r="AC182" s="1"/>
      <c r="AD182" s="155"/>
      <c r="AE182" s="155"/>
      <c r="AF182" s="155"/>
      <c r="AG182" s="155"/>
      <c r="AH182" s="155"/>
      <c r="AI182" s="155"/>
      <c r="AJ182" s="155"/>
      <c r="AK182" s="155"/>
      <c r="AL182" s="155"/>
      <c r="AM182" s="155"/>
      <c r="AN182" s="155"/>
      <c r="AO182" s="155"/>
      <c r="AP182" s="155"/>
      <c r="AQ182" s="155"/>
      <c r="AR182" s="155"/>
      <c r="AS182" s="155"/>
      <c r="AT182" s="155"/>
      <c r="AU182" s="155"/>
      <c r="AV182" s="155"/>
      <c r="AW182" s="155"/>
    </row>
    <row r="183" spans="1:49" ht="16.5" customHeight="1">
      <c r="A183" s="155"/>
      <c r="B183" s="155"/>
      <c r="C183" s="1"/>
      <c r="D183" s="1"/>
      <c r="E183" s="1"/>
      <c r="F183" s="156"/>
      <c r="G183" s="1"/>
      <c r="H183" s="1"/>
      <c r="I183" s="1"/>
      <c r="J183" s="1"/>
      <c r="K183" s="1"/>
      <c r="L183" s="1"/>
      <c r="M183" s="1"/>
      <c r="N183" s="1"/>
      <c r="O183" s="1"/>
      <c r="P183" s="1"/>
      <c r="Q183" s="1"/>
      <c r="R183" s="1"/>
      <c r="S183" s="1"/>
      <c r="T183" s="1"/>
      <c r="U183" s="1"/>
      <c r="V183" s="1"/>
      <c r="W183" s="1"/>
      <c r="X183" s="1"/>
      <c r="Y183" s="1"/>
      <c r="Z183" s="1"/>
      <c r="AA183" s="1"/>
      <c r="AB183" s="1"/>
      <c r="AC183" s="1"/>
      <c r="AD183" s="155"/>
      <c r="AE183" s="155"/>
      <c r="AF183" s="155"/>
      <c r="AG183" s="155"/>
      <c r="AH183" s="155"/>
      <c r="AI183" s="155"/>
      <c r="AJ183" s="155"/>
      <c r="AK183" s="155"/>
      <c r="AL183" s="155"/>
      <c r="AM183" s="155"/>
      <c r="AN183" s="155"/>
      <c r="AO183" s="155"/>
      <c r="AP183" s="155"/>
      <c r="AQ183" s="155"/>
      <c r="AR183" s="155"/>
      <c r="AS183" s="155"/>
      <c r="AT183" s="155"/>
      <c r="AU183" s="155"/>
      <c r="AV183" s="155"/>
      <c r="AW183" s="155"/>
    </row>
    <row r="184" spans="1:49" ht="16.5" customHeight="1">
      <c r="A184" s="155"/>
      <c r="B184" s="155"/>
      <c r="C184" s="1"/>
      <c r="D184" s="1"/>
      <c r="E184" s="1"/>
      <c r="F184" s="156"/>
      <c r="G184" s="1"/>
      <c r="H184" s="1"/>
      <c r="I184" s="1"/>
      <c r="J184" s="1"/>
      <c r="K184" s="1"/>
      <c r="L184" s="1"/>
      <c r="M184" s="1"/>
      <c r="N184" s="1"/>
      <c r="O184" s="1"/>
      <c r="P184" s="1"/>
      <c r="Q184" s="1"/>
      <c r="R184" s="1"/>
      <c r="S184" s="1"/>
      <c r="T184" s="1"/>
      <c r="U184" s="1"/>
      <c r="V184" s="1"/>
      <c r="W184" s="1"/>
      <c r="X184" s="1"/>
      <c r="Y184" s="1"/>
      <c r="Z184" s="1"/>
      <c r="AA184" s="1"/>
      <c r="AB184" s="1"/>
      <c r="AC184" s="1"/>
      <c r="AD184" s="155"/>
      <c r="AE184" s="155"/>
      <c r="AF184" s="155"/>
      <c r="AG184" s="155"/>
      <c r="AH184" s="155"/>
      <c r="AI184" s="155"/>
      <c r="AJ184" s="155"/>
      <c r="AK184" s="155"/>
      <c r="AL184" s="155"/>
      <c r="AM184" s="155"/>
      <c r="AN184" s="155"/>
      <c r="AO184" s="155"/>
      <c r="AP184" s="155"/>
      <c r="AQ184" s="155"/>
      <c r="AR184" s="155"/>
      <c r="AS184" s="155"/>
      <c r="AT184" s="155"/>
      <c r="AU184" s="155"/>
      <c r="AV184" s="155"/>
      <c r="AW184" s="155"/>
    </row>
    <row r="185" spans="1:49" ht="16.5" customHeight="1">
      <c r="A185" s="155"/>
      <c r="B185" s="155"/>
      <c r="C185" s="1"/>
      <c r="D185" s="1"/>
      <c r="E185" s="1"/>
      <c r="F185" s="156"/>
      <c r="G185" s="1"/>
      <c r="H185" s="1"/>
      <c r="I185" s="1"/>
      <c r="J185" s="1"/>
      <c r="K185" s="1"/>
      <c r="L185" s="1"/>
      <c r="M185" s="1"/>
      <c r="N185" s="1"/>
      <c r="O185" s="1"/>
      <c r="P185" s="1"/>
      <c r="Q185" s="1"/>
      <c r="R185" s="1"/>
      <c r="S185" s="1"/>
      <c r="T185" s="1"/>
      <c r="U185" s="1"/>
      <c r="V185" s="1"/>
      <c r="W185" s="1"/>
      <c r="X185" s="1"/>
      <c r="Y185" s="1"/>
      <c r="Z185" s="1"/>
      <c r="AA185" s="1"/>
      <c r="AB185" s="1"/>
      <c r="AC185" s="1"/>
      <c r="AD185" s="155"/>
      <c r="AE185" s="155"/>
      <c r="AF185" s="155"/>
      <c r="AG185" s="155"/>
      <c r="AH185" s="155"/>
      <c r="AI185" s="155"/>
      <c r="AJ185" s="155"/>
      <c r="AK185" s="155"/>
      <c r="AL185" s="155"/>
      <c r="AM185" s="155"/>
      <c r="AN185" s="155"/>
      <c r="AO185" s="155"/>
      <c r="AP185" s="155"/>
      <c r="AQ185" s="155"/>
      <c r="AR185" s="155"/>
      <c r="AS185" s="155"/>
      <c r="AT185" s="155"/>
      <c r="AU185" s="155"/>
      <c r="AV185" s="155"/>
      <c r="AW185" s="155"/>
    </row>
    <row r="186" spans="1:49" ht="16.5" customHeight="1">
      <c r="A186" s="155"/>
      <c r="B186" s="155"/>
      <c r="C186" s="1"/>
      <c r="D186" s="1"/>
      <c r="E186" s="1"/>
      <c r="F186" s="156"/>
      <c r="G186" s="1"/>
      <c r="H186" s="1"/>
      <c r="I186" s="1"/>
      <c r="J186" s="1"/>
      <c r="K186" s="1"/>
      <c r="L186" s="1"/>
      <c r="M186" s="1"/>
      <c r="N186" s="1"/>
      <c r="O186" s="1"/>
      <c r="P186" s="1"/>
      <c r="Q186" s="1"/>
      <c r="R186" s="1"/>
      <c r="S186" s="1"/>
      <c r="T186" s="1"/>
      <c r="U186" s="1"/>
      <c r="V186" s="1"/>
      <c r="W186" s="1"/>
      <c r="X186" s="1"/>
      <c r="Y186" s="1"/>
      <c r="Z186" s="1"/>
      <c r="AA186" s="1"/>
      <c r="AB186" s="1"/>
      <c r="AC186" s="1"/>
      <c r="AD186" s="155"/>
      <c r="AE186" s="155"/>
      <c r="AF186" s="155"/>
      <c r="AG186" s="155"/>
      <c r="AH186" s="155"/>
      <c r="AI186" s="155"/>
      <c r="AJ186" s="155"/>
      <c r="AK186" s="155"/>
      <c r="AL186" s="155"/>
      <c r="AM186" s="155"/>
      <c r="AN186" s="155"/>
      <c r="AO186" s="155"/>
      <c r="AP186" s="155"/>
      <c r="AQ186" s="155"/>
      <c r="AR186" s="155"/>
      <c r="AS186" s="155"/>
      <c r="AT186" s="155"/>
      <c r="AU186" s="155"/>
      <c r="AV186" s="155"/>
      <c r="AW186" s="155"/>
    </row>
    <row r="187" spans="1:49" ht="16.5" customHeight="1">
      <c r="A187" s="155"/>
      <c r="B187" s="155"/>
      <c r="C187" s="1"/>
      <c r="D187" s="1"/>
      <c r="E187" s="1"/>
      <c r="F187" s="156"/>
      <c r="G187" s="1"/>
      <c r="H187" s="1"/>
      <c r="I187" s="1"/>
      <c r="J187" s="1"/>
      <c r="K187" s="1"/>
      <c r="L187" s="1"/>
      <c r="M187" s="1"/>
      <c r="N187" s="1"/>
      <c r="O187" s="1"/>
      <c r="P187" s="1"/>
      <c r="Q187" s="1"/>
      <c r="R187" s="1"/>
      <c r="S187" s="1"/>
      <c r="T187" s="1"/>
      <c r="U187" s="1"/>
      <c r="V187" s="1"/>
      <c r="W187" s="1"/>
      <c r="X187" s="1"/>
      <c r="Y187" s="1"/>
      <c r="Z187" s="1"/>
      <c r="AA187" s="1"/>
      <c r="AB187" s="1"/>
      <c r="AC187" s="1"/>
      <c r="AD187" s="155"/>
      <c r="AE187" s="155"/>
      <c r="AF187" s="155"/>
      <c r="AG187" s="155"/>
      <c r="AH187" s="155"/>
      <c r="AI187" s="155"/>
      <c r="AJ187" s="155"/>
      <c r="AK187" s="155"/>
      <c r="AL187" s="155"/>
      <c r="AM187" s="155"/>
      <c r="AN187" s="155"/>
      <c r="AO187" s="155"/>
      <c r="AP187" s="155"/>
      <c r="AQ187" s="155"/>
      <c r="AR187" s="155"/>
      <c r="AS187" s="155"/>
      <c r="AT187" s="155"/>
      <c r="AU187" s="155"/>
      <c r="AV187" s="155"/>
      <c r="AW187" s="155"/>
    </row>
    <row r="188" spans="1:49" ht="16.5" customHeight="1">
      <c r="A188" s="155"/>
      <c r="B188" s="155"/>
      <c r="C188" s="1"/>
      <c r="D188" s="1"/>
      <c r="E188" s="1"/>
      <c r="F188" s="156"/>
      <c r="G188" s="1"/>
      <c r="H188" s="1"/>
      <c r="I188" s="1"/>
      <c r="J188" s="1"/>
      <c r="K188" s="1"/>
      <c r="L188" s="1"/>
      <c r="M188" s="1"/>
      <c r="N188" s="1"/>
      <c r="O188" s="1"/>
      <c r="P188" s="1"/>
      <c r="Q188" s="1"/>
      <c r="R188" s="1"/>
      <c r="S188" s="1"/>
      <c r="T188" s="1"/>
      <c r="U188" s="1"/>
      <c r="V188" s="1"/>
      <c r="W188" s="1"/>
      <c r="X188" s="1"/>
      <c r="Y188" s="1"/>
      <c r="Z188" s="1"/>
      <c r="AA188" s="1"/>
      <c r="AB188" s="1"/>
      <c r="AC188" s="1"/>
      <c r="AD188" s="155"/>
      <c r="AE188" s="155"/>
      <c r="AF188" s="155"/>
      <c r="AG188" s="155"/>
      <c r="AH188" s="155"/>
      <c r="AI188" s="155"/>
      <c r="AJ188" s="155"/>
      <c r="AK188" s="155"/>
      <c r="AL188" s="155"/>
      <c r="AM188" s="155"/>
      <c r="AN188" s="155"/>
      <c r="AO188" s="155"/>
      <c r="AP188" s="155"/>
      <c r="AQ188" s="155"/>
      <c r="AR188" s="155"/>
      <c r="AS188" s="155"/>
      <c r="AT188" s="155"/>
      <c r="AU188" s="155"/>
      <c r="AV188" s="155"/>
      <c r="AW188" s="155"/>
    </row>
    <row r="189" spans="1:49" ht="16.5" customHeight="1">
      <c r="A189" s="155"/>
      <c r="B189" s="155"/>
      <c r="C189" s="1"/>
      <c r="D189" s="1"/>
      <c r="E189" s="1"/>
      <c r="F189" s="156"/>
      <c r="G189" s="1"/>
      <c r="H189" s="1"/>
      <c r="I189" s="1"/>
      <c r="J189" s="1"/>
      <c r="K189" s="1"/>
      <c r="L189" s="1"/>
      <c r="M189" s="1"/>
      <c r="N189" s="1"/>
      <c r="O189" s="1"/>
      <c r="P189" s="1"/>
      <c r="Q189" s="1"/>
      <c r="R189" s="1"/>
      <c r="S189" s="1"/>
      <c r="T189" s="1"/>
      <c r="U189" s="1"/>
      <c r="V189" s="1"/>
      <c r="W189" s="1"/>
      <c r="X189" s="1"/>
      <c r="Y189" s="1"/>
      <c r="Z189" s="1"/>
      <c r="AA189" s="1"/>
      <c r="AB189" s="1"/>
      <c r="AC189" s="1"/>
      <c r="AD189" s="155"/>
      <c r="AE189" s="155"/>
      <c r="AF189" s="155"/>
      <c r="AG189" s="155"/>
      <c r="AH189" s="155"/>
      <c r="AI189" s="155"/>
      <c r="AJ189" s="155"/>
      <c r="AK189" s="155"/>
      <c r="AL189" s="155"/>
      <c r="AM189" s="155"/>
      <c r="AN189" s="155"/>
      <c r="AO189" s="155"/>
      <c r="AP189" s="155"/>
      <c r="AQ189" s="155"/>
      <c r="AR189" s="155"/>
      <c r="AS189" s="155"/>
      <c r="AT189" s="155"/>
      <c r="AU189" s="155"/>
      <c r="AV189" s="155"/>
      <c r="AW189" s="155"/>
    </row>
    <row r="190" spans="1:49" ht="16.5" customHeight="1">
      <c r="A190" s="155"/>
      <c r="B190" s="155"/>
      <c r="C190" s="1"/>
      <c r="D190" s="1"/>
      <c r="E190" s="1"/>
      <c r="F190" s="156"/>
      <c r="G190" s="1"/>
      <c r="H190" s="1"/>
      <c r="I190" s="1"/>
      <c r="J190" s="1"/>
      <c r="K190" s="1"/>
      <c r="L190" s="1"/>
      <c r="M190" s="1"/>
      <c r="N190" s="1"/>
      <c r="O190" s="1"/>
      <c r="P190" s="1"/>
      <c r="Q190" s="1"/>
      <c r="R190" s="1"/>
      <c r="S190" s="1"/>
      <c r="T190" s="1"/>
      <c r="U190" s="1"/>
      <c r="V190" s="1"/>
      <c r="W190" s="1"/>
      <c r="X190" s="1"/>
      <c r="Y190" s="1"/>
      <c r="Z190" s="1"/>
      <c r="AA190" s="1"/>
      <c r="AB190" s="1"/>
      <c r="AC190" s="1"/>
      <c r="AD190" s="155"/>
      <c r="AE190" s="155"/>
      <c r="AF190" s="155"/>
      <c r="AG190" s="155"/>
      <c r="AH190" s="155"/>
      <c r="AI190" s="155"/>
      <c r="AJ190" s="155"/>
      <c r="AK190" s="155"/>
      <c r="AL190" s="155"/>
      <c r="AM190" s="155"/>
      <c r="AN190" s="155"/>
      <c r="AO190" s="155"/>
      <c r="AP190" s="155"/>
      <c r="AQ190" s="155"/>
      <c r="AR190" s="155"/>
      <c r="AS190" s="155"/>
      <c r="AT190" s="155"/>
      <c r="AU190" s="155"/>
      <c r="AV190" s="155"/>
      <c r="AW190" s="155"/>
    </row>
    <row r="191" spans="1:49" ht="16.5" customHeight="1">
      <c r="A191" s="155"/>
      <c r="B191" s="155"/>
      <c r="C191" s="1"/>
      <c r="D191" s="1"/>
      <c r="E191" s="1"/>
      <c r="F191" s="156"/>
      <c r="G191" s="1"/>
      <c r="H191" s="1"/>
      <c r="I191" s="1"/>
      <c r="J191" s="1"/>
      <c r="K191" s="1"/>
      <c r="L191" s="1"/>
      <c r="M191" s="1"/>
      <c r="N191" s="1"/>
      <c r="O191" s="1"/>
      <c r="P191" s="1"/>
      <c r="Q191" s="1"/>
      <c r="R191" s="1"/>
      <c r="S191" s="1"/>
      <c r="T191" s="1"/>
      <c r="U191" s="1"/>
      <c r="V191" s="1"/>
      <c r="W191" s="1"/>
      <c r="X191" s="1"/>
      <c r="Y191" s="1"/>
      <c r="Z191" s="1"/>
      <c r="AA191" s="1"/>
      <c r="AB191" s="1"/>
      <c r="AC191" s="1"/>
      <c r="AD191" s="155"/>
      <c r="AE191" s="155"/>
      <c r="AF191" s="155"/>
      <c r="AG191" s="155"/>
      <c r="AH191" s="155"/>
      <c r="AI191" s="155"/>
      <c r="AJ191" s="155"/>
      <c r="AK191" s="155"/>
      <c r="AL191" s="155"/>
      <c r="AM191" s="155"/>
      <c r="AN191" s="155"/>
      <c r="AO191" s="155"/>
      <c r="AP191" s="155"/>
      <c r="AQ191" s="155"/>
      <c r="AR191" s="155"/>
      <c r="AS191" s="155"/>
      <c r="AT191" s="155"/>
      <c r="AU191" s="155"/>
      <c r="AV191" s="155"/>
      <c r="AW191" s="155"/>
    </row>
    <row r="192" spans="1:49" ht="16.5" customHeight="1">
      <c r="A192" s="155"/>
      <c r="B192" s="155"/>
      <c r="C192" s="1"/>
      <c r="D192" s="1"/>
      <c r="E192" s="1"/>
      <c r="F192" s="156"/>
      <c r="G192" s="1"/>
      <c r="H192" s="1"/>
      <c r="I192" s="1"/>
      <c r="J192" s="1"/>
      <c r="K192" s="1"/>
      <c r="L192" s="1"/>
      <c r="M192" s="1"/>
      <c r="N192" s="1"/>
      <c r="O192" s="1"/>
      <c r="P192" s="1"/>
      <c r="Q192" s="1"/>
      <c r="R192" s="1"/>
      <c r="S192" s="1"/>
      <c r="T192" s="1"/>
      <c r="U192" s="1"/>
      <c r="V192" s="1"/>
      <c r="W192" s="1"/>
      <c r="X192" s="1"/>
      <c r="Y192" s="1"/>
      <c r="Z192" s="1"/>
      <c r="AA192" s="1"/>
      <c r="AB192" s="1"/>
      <c r="AC192" s="1"/>
      <c r="AD192" s="155"/>
      <c r="AE192" s="155"/>
      <c r="AF192" s="155"/>
      <c r="AG192" s="155"/>
      <c r="AH192" s="155"/>
      <c r="AI192" s="155"/>
      <c r="AJ192" s="155"/>
      <c r="AK192" s="155"/>
      <c r="AL192" s="155"/>
      <c r="AM192" s="155"/>
      <c r="AN192" s="155"/>
      <c r="AO192" s="155"/>
      <c r="AP192" s="155"/>
      <c r="AQ192" s="155"/>
      <c r="AR192" s="155"/>
      <c r="AS192" s="155"/>
      <c r="AT192" s="155"/>
      <c r="AU192" s="155"/>
      <c r="AV192" s="155"/>
      <c r="AW192" s="155"/>
    </row>
    <row r="193" spans="1:49" ht="16.5" customHeight="1">
      <c r="A193" s="155"/>
      <c r="B193" s="155"/>
      <c r="C193" s="1"/>
      <c r="D193" s="1"/>
      <c r="E193" s="1"/>
      <c r="F193" s="156"/>
      <c r="G193" s="1"/>
      <c r="H193" s="1"/>
      <c r="I193" s="1"/>
      <c r="J193" s="1"/>
      <c r="K193" s="1"/>
      <c r="L193" s="1"/>
      <c r="M193" s="1"/>
      <c r="N193" s="1"/>
      <c r="O193" s="1"/>
      <c r="P193" s="1"/>
      <c r="Q193" s="1"/>
      <c r="R193" s="1"/>
      <c r="S193" s="1"/>
      <c r="T193" s="1"/>
      <c r="U193" s="1"/>
      <c r="V193" s="1"/>
      <c r="W193" s="1"/>
      <c r="X193" s="1"/>
      <c r="Y193" s="1"/>
      <c r="Z193" s="1"/>
      <c r="AA193" s="1"/>
      <c r="AB193" s="1"/>
      <c r="AC193" s="1"/>
      <c r="AD193" s="155"/>
      <c r="AE193" s="155"/>
      <c r="AF193" s="155"/>
      <c r="AG193" s="155"/>
      <c r="AH193" s="155"/>
      <c r="AI193" s="155"/>
      <c r="AJ193" s="155"/>
      <c r="AK193" s="155"/>
      <c r="AL193" s="155"/>
      <c r="AM193" s="155"/>
      <c r="AN193" s="155"/>
      <c r="AO193" s="155"/>
      <c r="AP193" s="155"/>
      <c r="AQ193" s="155"/>
      <c r="AR193" s="155"/>
      <c r="AS193" s="155"/>
      <c r="AT193" s="155"/>
      <c r="AU193" s="155"/>
      <c r="AV193" s="155"/>
      <c r="AW193" s="155"/>
    </row>
    <row r="194" spans="1:49" ht="16.5" customHeight="1">
      <c r="A194" s="155"/>
      <c r="B194" s="155"/>
      <c r="C194" s="1"/>
      <c r="D194" s="1"/>
      <c r="E194" s="1"/>
      <c r="F194" s="156"/>
      <c r="G194" s="1"/>
      <c r="H194" s="1"/>
      <c r="I194" s="1"/>
      <c r="J194" s="1"/>
      <c r="K194" s="1"/>
      <c r="L194" s="1"/>
      <c r="M194" s="1"/>
      <c r="N194" s="1"/>
      <c r="O194" s="1"/>
      <c r="P194" s="1"/>
      <c r="Q194" s="1"/>
      <c r="R194" s="1"/>
      <c r="S194" s="1"/>
      <c r="T194" s="1"/>
      <c r="U194" s="1"/>
      <c r="V194" s="1"/>
      <c r="W194" s="1"/>
      <c r="X194" s="1"/>
      <c r="Y194" s="1"/>
      <c r="Z194" s="1"/>
      <c r="AA194" s="1"/>
      <c r="AB194" s="1"/>
      <c r="AC194" s="1"/>
      <c r="AD194" s="155"/>
      <c r="AE194" s="155"/>
      <c r="AF194" s="155"/>
      <c r="AG194" s="155"/>
      <c r="AH194" s="155"/>
      <c r="AI194" s="155"/>
      <c r="AJ194" s="155"/>
      <c r="AK194" s="155"/>
      <c r="AL194" s="155"/>
      <c r="AM194" s="155"/>
      <c r="AN194" s="155"/>
      <c r="AO194" s="155"/>
      <c r="AP194" s="155"/>
      <c r="AQ194" s="155"/>
      <c r="AR194" s="155"/>
      <c r="AS194" s="155"/>
      <c r="AT194" s="155"/>
      <c r="AU194" s="155"/>
      <c r="AV194" s="155"/>
      <c r="AW194" s="155"/>
    </row>
    <row r="195" spans="1:49" ht="16.5" customHeight="1">
      <c r="A195" s="155"/>
      <c r="B195" s="155"/>
      <c r="C195" s="1"/>
      <c r="D195" s="1"/>
      <c r="E195" s="1"/>
      <c r="F195" s="156"/>
      <c r="G195" s="1"/>
      <c r="H195" s="1"/>
      <c r="I195" s="1"/>
      <c r="J195" s="1"/>
      <c r="K195" s="1"/>
      <c r="L195" s="1"/>
      <c r="M195" s="1"/>
      <c r="N195" s="1"/>
      <c r="O195" s="1"/>
      <c r="P195" s="1"/>
      <c r="Q195" s="1"/>
      <c r="R195" s="1"/>
      <c r="S195" s="1"/>
      <c r="T195" s="1"/>
      <c r="U195" s="1"/>
      <c r="V195" s="1"/>
      <c r="W195" s="1"/>
      <c r="X195" s="1"/>
      <c r="Y195" s="1"/>
      <c r="Z195" s="1"/>
      <c r="AA195" s="1"/>
      <c r="AB195" s="1"/>
      <c r="AC195" s="1"/>
      <c r="AD195" s="155"/>
      <c r="AE195" s="155"/>
      <c r="AF195" s="155"/>
      <c r="AG195" s="155"/>
      <c r="AH195" s="155"/>
      <c r="AI195" s="155"/>
      <c r="AJ195" s="155"/>
      <c r="AK195" s="155"/>
      <c r="AL195" s="155"/>
      <c r="AM195" s="155"/>
      <c r="AN195" s="155"/>
      <c r="AO195" s="155"/>
      <c r="AP195" s="155"/>
      <c r="AQ195" s="155"/>
      <c r="AR195" s="155"/>
      <c r="AS195" s="155"/>
      <c r="AT195" s="155"/>
      <c r="AU195" s="155"/>
      <c r="AV195" s="155"/>
      <c r="AW195" s="155"/>
    </row>
    <row r="196" spans="1:49" ht="16.5" customHeight="1">
      <c r="A196" s="155"/>
      <c r="B196" s="155"/>
      <c r="C196" s="1"/>
      <c r="D196" s="1"/>
      <c r="E196" s="1"/>
      <c r="F196" s="156"/>
      <c r="G196" s="1"/>
      <c r="H196" s="1"/>
      <c r="I196" s="1"/>
      <c r="J196" s="1"/>
      <c r="K196" s="1"/>
      <c r="L196" s="1"/>
      <c r="M196" s="1"/>
      <c r="N196" s="1"/>
      <c r="O196" s="1"/>
      <c r="P196" s="1"/>
      <c r="Q196" s="1"/>
      <c r="R196" s="1"/>
      <c r="S196" s="1"/>
      <c r="T196" s="1"/>
      <c r="U196" s="1"/>
      <c r="V196" s="1"/>
      <c r="W196" s="1"/>
      <c r="X196" s="1"/>
      <c r="Y196" s="1"/>
      <c r="Z196" s="1"/>
      <c r="AA196" s="1"/>
      <c r="AB196" s="1"/>
      <c r="AC196" s="1"/>
      <c r="AD196" s="155"/>
      <c r="AE196" s="155"/>
      <c r="AF196" s="155"/>
      <c r="AG196" s="155"/>
      <c r="AH196" s="155"/>
      <c r="AI196" s="155"/>
      <c r="AJ196" s="155"/>
      <c r="AK196" s="155"/>
      <c r="AL196" s="155"/>
      <c r="AM196" s="155"/>
      <c r="AN196" s="155"/>
      <c r="AO196" s="155"/>
      <c r="AP196" s="155"/>
      <c r="AQ196" s="155"/>
      <c r="AR196" s="155"/>
      <c r="AS196" s="155"/>
      <c r="AT196" s="155"/>
      <c r="AU196" s="155"/>
      <c r="AV196" s="155"/>
      <c r="AW196" s="155"/>
    </row>
    <row r="197" spans="1:49" ht="16.5" customHeight="1">
      <c r="A197" s="155"/>
      <c r="B197" s="155"/>
      <c r="C197" s="1"/>
      <c r="D197" s="1"/>
      <c r="E197" s="1"/>
      <c r="F197" s="156"/>
      <c r="G197" s="1"/>
      <c r="H197" s="1"/>
      <c r="I197" s="1"/>
      <c r="J197" s="1"/>
      <c r="K197" s="1"/>
      <c r="L197" s="1"/>
      <c r="M197" s="1"/>
      <c r="N197" s="1"/>
      <c r="O197" s="1"/>
      <c r="P197" s="1"/>
      <c r="Q197" s="1"/>
      <c r="R197" s="1"/>
      <c r="S197" s="1"/>
      <c r="T197" s="1"/>
      <c r="U197" s="1"/>
      <c r="V197" s="1"/>
      <c r="W197" s="1"/>
      <c r="X197" s="1"/>
      <c r="Y197" s="1"/>
      <c r="Z197" s="1"/>
      <c r="AA197" s="1"/>
      <c r="AB197" s="1"/>
      <c r="AC197" s="1"/>
      <c r="AD197" s="155"/>
      <c r="AE197" s="155"/>
      <c r="AF197" s="155"/>
      <c r="AG197" s="155"/>
      <c r="AH197" s="155"/>
      <c r="AI197" s="155"/>
      <c r="AJ197" s="155"/>
      <c r="AK197" s="155"/>
      <c r="AL197" s="155"/>
      <c r="AM197" s="155"/>
      <c r="AN197" s="155"/>
      <c r="AO197" s="155"/>
      <c r="AP197" s="155"/>
      <c r="AQ197" s="155"/>
      <c r="AR197" s="155"/>
      <c r="AS197" s="155"/>
      <c r="AT197" s="155"/>
      <c r="AU197" s="155"/>
      <c r="AV197" s="155"/>
      <c r="AW197" s="155"/>
    </row>
    <row r="198" spans="1:49" ht="16.5" customHeight="1">
      <c r="A198" s="155"/>
      <c r="B198" s="155"/>
      <c r="C198" s="1"/>
      <c r="D198" s="1"/>
      <c r="E198" s="1"/>
      <c r="F198" s="156"/>
      <c r="G198" s="1"/>
      <c r="H198" s="1"/>
      <c r="I198" s="1"/>
      <c r="J198" s="1"/>
      <c r="K198" s="1"/>
      <c r="L198" s="1"/>
      <c r="M198" s="1"/>
      <c r="N198" s="1"/>
      <c r="O198" s="1"/>
      <c r="P198" s="1"/>
      <c r="Q198" s="1"/>
      <c r="R198" s="1"/>
      <c r="S198" s="1"/>
      <c r="T198" s="1"/>
      <c r="U198" s="1"/>
      <c r="V198" s="1"/>
      <c r="W198" s="1"/>
      <c r="X198" s="1"/>
      <c r="Y198" s="1"/>
      <c r="Z198" s="1"/>
      <c r="AA198" s="1"/>
      <c r="AB198" s="1"/>
      <c r="AC198" s="1"/>
      <c r="AD198" s="155"/>
      <c r="AE198" s="155"/>
      <c r="AF198" s="155"/>
      <c r="AG198" s="155"/>
      <c r="AH198" s="155"/>
      <c r="AI198" s="155"/>
      <c r="AJ198" s="155"/>
      <c r="AK198" s="155"/>
      <c r="AL198" s="155"/>
      <c r="AM198" s="155"/>
      <c r="AN198" s="155"/>
      <c r="AO198" s="155"/>
      <c r="AP198" s="155"/>
      <c r="AQ198" s="155"/>
      <c r="AR198" s="155"/>
      <c r="AS198" s="155"/>
      <c r="AT198" s="155"/>
      <c r="AU198" s="155"/>
      <c r="AV198" s="155"/>
      <c r="AW198" s="155"/>
    </row>
    <row r="199" spans="1:49" ht="16.5" customHeight="1">
      <c r="A199" s="155"/>
      <c r="B199" s="155"/>
      <c r="C199" s="1"/>
      <c r="D199" s="1"/>
      <c r="E199" s="1"/>
      <c r="F199" s="156"/>
      <c r="G199" s="1"/>
      <c r="H199" s="1"/>
      <c r="I199" s="1"/>
      <c r="J199" s="1"/>
      <c r="K199" s="1"/>
      <c r="L199" s="1"/>
      <c r="M199" s="1"/>
      <c r="N199" s="1"/>
      <c r="O199" s="1"/>
      <c r="P199" s="1"/>
      <c r="Q199" s="1"/>
      <c r="R199" s="1"/>
      <c r="S199" s="1"/>
      <c r="T199" s="1"/>
      <c r="U199" s="1"/>
      <c r="V199" s="1"/>
      <c r="W199" s="1"/>
      <c r="X199" s="1"/>
      <c r="Y199" s="1"/>
      <c r="Z199" s="1"/>
      <c r="AA199" s="1"/>
      <c r="AB199" s="1"/>
      <c r="AC199" s="1"/>
      <c r="AD199" s="155"/>
      <c r="AE199" s="155"/>
      <c r="AF199" s="155"/>
      <c r="AG199" s="155"/>
      <c r="AH199" s="155"/>
      <c r="AI199" s="155"/>
      <c r="AJ199" s="155"/>
      <c r="AK199" s="155"/>
      <c r="AL199" s="155"/>
      <c r="AM199" s="155"/>
      <c r="AN199" s="155"/>
      <c r="AO199" s="155"/>
      <c r="AP199" s="155"/>
      <c r="AQ199" s="155"/>
      <c r="AR199" s="155"/>
      <c r="AS199" s="155"/>
      <c r="AT199" s="155"/>
      <c r="AU199" s="155"/>
      <c r="AV199" s="155"/>
      <c r="AW199" s="155"/>
    </row>
    <row r="200" spans="1:49" ht="16.5" customHeight="1">
      <c r="A200" s="155"/>
      <c r="B200" s="155"/>
      <c r="C200" s="1"/>
      <c r="D200" s="1"/>
      <c r="E200" s="1"/>
      <c r="F200" s="156"/>
      <c r="G200" s="1"/>
      <c r="H200" s="1"/>
      <c r="I200" s="1"/>
      <c r="J200" s="1"/>
      <c r="K200" s="1"/>
      <c r="L200" s="1"/>
      <c r="M200" s="1"/>
      <c r="N200" s="1"/>
      <c r="O200" s="1"/>
      <c r="P200" s="1"/>
      <c r="Q200" s="1"/>
      <c r="R200" s="1"/>
      <c r="S200" s="1"/>
      <c r="T200" s="1"/>
      <c r="U200" s="1"/>
      <c r="V200" s="1"/>
      <c r="W200" s="1"/>
      <c r="X200" s="1"/>
      <c r="Y200" s="1"/>
      <c r="Z200" s="1"/>
      <c r="AA200" s="1"/>
      <c r="AB200" s="1"/>
      <c r="AC200" s="1"/>
      <c r="AD200" s="155"/>
      <c r="AE200" s="155"/>
      <c r="AF200" s="155"/>
      <c r="AG200" s="155"/>
      <c r="AH200" s="155"/>
      <c r="AI200" s="155"/>
      <c r="AJ200" s="155"/>
      <c r="AK200" s="155"/>
      <c r="AL200" s="155"/>
      <c r="AM200" s="155"/>
      <c r="AN200" s="155"/>
      <c r="AO200" s="155"/>
      <c r="AP200" s="155"/>
      <c r="AQ200" s="155"/>
      <c r="AR200" s="155"/>
      <c r="AS200" s="155"/>
      <c r="AT200" s="155"/>
      <c r="AU200" s="155"/>
      <c r="AV200" s="155"/>
      <c r="AW200" s="155"/>
    </row>
    <row r="201" spans="1:49" ht="16.5" customHeight="1">
      <c r="A201" s="155"/>
      <c r="B201" s="155"/>
      <c r="C201" s="1"/>
      <c r="D201" s="1"/>
      <c r="E201" s="1"/>
      <c r="F201" s="156"/>
      <c r="G201" s="1"/>
      <c r="H201" s="1"/>
      <c r="I201" s="1"/>
      <c r="J201" s="1"/>
      <c r="K201" s="1"/>
      <c r="L201" s="1"/>
      <c r="M201" s="1"/>
      <c r="N201" s="1"/>
      <c r="O201" s="1"/>
      <c r="P201" s="1"/>
      <c r="Q201" s="1"/>
      <c r="R201" s="1"/>
      <c r="S201" s="1"/>
      <c r="T201" s="1"/>
      <c r="U201" s="1"/>
      <c r="V201" s="1"/>
      <c r="W201" s="1"/>
      <c r="X201" s="1"/>
      <c r="Y201" s="1"/>
      <c r="Z201" s="1"/>
      <c r="AA201" s="1"/>
      <c r="AB201" s="1"/>
      <c r="AC201" s="1"/>
      <c r="AD201" s="155"/>
      <c r="AE201" s="155"/>
      <c r="AF201" s="155"/>
      <c r="AG201" s="155"/>
      <c r="AH201" s="155"/>
      <c r="AI201" s="155"/>
      <c r="AJ201" s="155"/>
      <c r="AK201" s="155"/>
      <c r="AL201" s="155"/>
      <c r="AM201" s="155"/>
      <c r="AN201" s="155"/>
      <c r="AO201" s="155"/>
      <c r="AP201" s="155"/>
      <c r="AQ201" s="155"/>
      <c r="AR201" s="155"/>
      <c r="AS201" s="155"/>
      <c r="AT201" s="155"/>
      <c r="AU201" s="155"/>
      <c r="AV201" s="155"/>
      <c r="AW201" s="155"/>
    </row>
    <row r="202" spans="1:49" ht="16.5" customHeight="1">
      <c r="A202" s="155"/>
      <c r="B202" s="155"/>
      <c r="C202" s="1"/>
      <c r="D202" s="1"/>
      <c r="E202" s="1"/>
      <c r="F202" s="156"/>
      <c r="G202" s="1"/>
      <c r="H202" s="1"/>
      <c r="I202" s="1"/>
      <c r="J202" s="1"/>
      <c r="K202" s="1"/>
      <c r="L202" s="1"/>
      <c r="M202" s="1"/>
      <c r="N202" s="1"/>
      <c r="O202" s="1"/>
      <c r="P202" s="1"/>
      <c r="Q202" s="1"/>
      <c r="R202" s="1"/>
      <c r="S202" s="1"/>
      <c r="T202" s="1"/>
      <c r="U202" s="1"/>
      <c r="V202" s="1"/>
      <c r="W202" s="1"/>
      <c r="X202" s="1"/>
      <c r="Y202" s="1"/>
      <c r="Z202" s="1"/>
      <c r="AA202" s="1"/>
      <c r="AB202" s="1"/>
      <c r="AC202" s="1"/>
      <c r="AD202" s="155"/>
      <c r="AE202" s="155"/>
      <c r="AF202" s="155"/>
      <c r="AG202" s="155"/>
      <c r="AH202" s="155"/>
      <c r="AI202" s="155"/>
      <c r="AJ202" s="155"/>
      <c r="AK202" s="155"/>
      <c r="AL202" s="155"/>
      <c r="AM202" s="155"/>
      <c r="AN202" s="155"/>
      <c r="AO202" s="155"/>
      <c r="AP202" s="155"/>
      <c r="AQ202" s="155"/>
      <c r="AR202" s="155"/>
      <c r="AS202" s="155"/>
      <c r="AT202" s="155"/>
      <c r="AU202" s="155"/>
      <c r="AV202" s="155"/>
      <c r="AW202" s="155"/>
    </row>
    <row r="203" spans="1:49" ht="16.5" customHeight="1">
      <c r="A203" s="155"/>
      <c r="B203" s="155"/>
      <c r="C203" s="1"/>
      <c r="D203" s="1"/>
      <c r="E203" s="1"/>
      <c r="F203" s="156"/>
      <c r="G203" s="1"/>
      <c r="H203" s="1"/>
      <c r="I203" s="1"/>
      <c r="J203" s="1"/>
      <c r="K203" s="1"/>
      <c r="L203" s="1"/>
      <c r="M203" s="1"/>
      <c r="N203" s="1"/>
      <c r="O203" s="1"/>
      <c r="P203" s="1"/>
      <c r="Q203" s="1"/>
      <c r="R203" s="1"/>
      <c r="S203" s="1"/>
      <c r="T203" s="1"/>
      <c r="U203" s="1"/>
      <c r="V203" s="1"/>
      <c r="W203" s="1"/>
      <c r="X203" s="1"/>
      <c r="Y203" s="1"/>
      <c r="Z203" s="1"/>
      <c r="AA203" s="1"/>
      <c r="AB203" s="1"/>
      <c r="AC203" s="1"/>
      <c r="AD203" s="155"/>
      <c r="AE203" s="155"/>
      <c r="AF203" s="155"/>
      <c r="AG203" s="155"/>
      <c r="AH203" s="155"/>
      <c r="AI203" s="155"/>
      <c r="AJ203" s="155"/>
      <c r="AK203" s="155"/>
      <c r="AL203" s="155"/>
      <c r="AM203" s="155"/>
      <c r="AN203" s="155"/>
      <c r="AO203" s="155"/>
      <c r="AP203" s="155"/>
      <c r="AQ203" s="155"/>
      <c r="AR203" s="155"/>
      <c r="AS203" s="155"/>
      <c r="AT203" s="155"/>
      <c r="AU203" s="155"/>
      <c r="AV203" s="155"/>
      <c r="AW203" s="155"/>
    </row>
    <row r="204" spans="1:49" ht="16.5" customHeight="1">
      <c r="A204" s="155"/>
      <c r="B204" s="155"/>
      <c r="C204" s="1"/>
      <c r="D204" s="1"/>
      <c r="E204" s="1"/>
      <c r="F204" s="156"/>
      <c r="G204" s="1"/>
      <c r="H204" s="1"/>
      <c r="I204" s="1"/>
      <c r="J204" s="1"/>
      <c r="K204" s="1"/>
      <c r="L204" s="1"/>
      <c r="M204" s="1"/>
      <c r="N204" s="1"/>
      <c r="O204" s="1"/>
      <c r="P204" s="1"/>
      <c r="Q204" s="1"/>
      <c r="R204" s="1"/>
      <c r="S204" s="1"/>
      <c r="T204" s="1"/>
      <c r="U204" s="1"/>
      <c r="V204" s="1"/>
      <c r="W204" s="1"/>
      <c r="X204" s="1"/>
      <c r="Y204" s="1"/>
      <c r="Z204" s="1"/>
      <c r="AA204" s="1"/>
      <c r="AB204" s="1"/>
      <c r="AC204" s="1"/>
      <c r="AD204" s="155"/>
      <c r="AE204" s="155"/>
      <c r="AF204" s="155"/>
      <c r="AG204" s="155"/>
      <c r="AH204" s="155"/>
      <c r="AI204" s="155"/>
      <c r="AJ204" s="155"/>
      <c r="AK204" s="155"/>
      <c r="AL204" s="155"/>
      <c r="AM204" s="155"/>
      <c r="AN204" s="155"/>
      <c r="AO204" s="155"/>
      <c r="AP204" s="155"/>
      <c r="AQ204" s="155"/>
      <c r="AR204" s="155"/>
      <c r="AS204" s="155"/>
      <c r="AT204" s="155"/>
      <c r="AU204" s="155"/>
      <c r="AV204" s="155"/>
      <c r="AW204" s="155"/>
    </row>
    <row r="205" spans="1:49" ht="16.5" customHeight="1">
      <c r="A205" s="155"/>
      <c r="B205" s="155"/>
      <c r="C205" s="1"/>
      <c r="D205" s="1"/>
      <c r="E205" s="1"/>
      <c r="F205" s="156"/>
      <c r="G205" s="1"/>
      <c r="H205" s="1"/>
      <c r="I205" s="1"/>
      <c r="J205" s="1"/>
      <c r="K205" s="1"/>
      <c r="L205" s="1"/>
      <c r="M205" s="1"/>
      <c r="N205" s="1"/>
      <c r="O205" s="1"/>
      <c r="P205" s="1"/>
      <c r="Q205" s="1"/>
      <c r="R205" s="1"/>
      <c r="S205" s="1"/>
      <c r="T205" s="1"/>
      <c r="U205" s="1"/>
      <c r="V205" s="1"/>
      <c r="W205" s="1"/>
      <c r="X205" s="1"/>
      <c r="Y205" s="1"/>
      <c r="Z205" s="1"/>
      <c r="AA205" s="1"/>
      <c r="AB205" s="1"/>
      <c r="AC205" s="1"/>
      <c r="AD205" s="155"/>
      <c r="AE205" s="155"/>
      <c r="AF205" s="155"/>
      <c r="AG205" s="155"/>
      <c r="AH205" s="155"/>
      <c r="AI205" s="155"/>
      <c r="AJ205" s="155"/>
      <c r="AK205" s="155"/>
      <c r="AL205" s="155"/>
      <c r="AM205" s="155"/>
      <c r="AN205" s="155"/>
      <c r="AO205" s="155"/>
      <c r="AP205" s="155"/>
      <c r="AQ205" s="155"/>
      <c r="AR205" s="155"/>
      <c r="AS205" s="155"/>
      <c r="AT205" s="155"/>
      <c r="AU205" s="155"/>
      <c r="AV205" s="155"/>
      <c r="AW205" s="155"/>
    </row>
    <row r="206" spans="1:49" ht="16.5" customHeight="1">
      <c r="A206" s="155"/>
      <c r="B206" s="155"/>
      <c r="C206" s="1"/>
      <c r="D206" s="1"/>
      <c r="E206" s="1"/>
      <c r="F206" s="156"/>
      <c r="G206" s="1"/>
      <c r="H206" s="1"/>
      <c r="I206" s="1"/>
      <c r="J206" s="1"/>
      <c r="K206" s="1"/>
      <c r="L206" s="1"/>
      <c r="M206" s="1"/>
      <c r="N206" s="1"/>
      <c r="O206" s="1"/>
      <c r="P206" s="1"/>
      <c r="Q206" s="1"/>
      <c r="R206" s="1"/>
      <c r="S206" s="1"/>
      <c r="T206" s="1"/>
      <c r="U206" s="1"/>
      <c r="V206" s="1"/>
      <c r="W206" s="1"/>
      <c r="X206" s="1"/>
      <c r="Y206" s="1"/>
      <c r="Z206" s="1"/>
      <c r="AA206" s="1"/>
      <c r="AB206" s="1"/>
      <c r="AC206" s="1"/>
      <c r="AD206" s="155"/>
      <c r="AE206" s="155"/>
      <c r="AF206" s="155"/>
      <c r="AG206" s="155"/>
      <c r="AH206" s="155"/>
      <c r="AI206" s="155"/>
      <c r="AJ206" s="155"/>
      <c r="AK206" s="155"/>
      <c r="AL206" s="155"/>
      <c r="AM206" s="155"/>
      <c r="AN206" s="155"/>
      <c r="AO206" s="155"/>
      <c r="AP206" s="155"/>
      <c r="AQ206" s="155"/>
      <c r="AR206" s="155"/>
      <c r="AS206" s="155"/>
      <c r="AT206" s="155"/>
      <c r="AU206" s="155"/>
      <c r="AV206" s="155"/>
      <c r="AW206" s="155"/>
    </row>
    <row r="207" spans="1:49" ht="16.5" customHeight="1">
      <c r="A207" s="155"/>
      <c r="B207" s="155"/>
      <c r="C207" s="1"/>
      <c r="D207" s="1"/>
      <c r="E207" s="1"/>
      <c r="F207" s="156"/>
      <c r="G207" s="1"/>
      <c r="H207" s="1"/>
      <c r="I207" s="1"/>
      <c r="J207" s="1"/>
      <c r="K207" s="1"/>
      <c r="L207" s="1"/>
      <c r="M207" s="1"/>
      <c r="N207" s="1"/>
      <c r="O207" s="1"/>
      <c r="P207" s="1"/>
      <c r="Q207" s="1"/>
      <c r="R207" s="1"/>
      <c r="S207" s="1"/>
      <c r="T207" s="1"/>
      <c r="U207" s="1"/>
      <c r="V207" s="1"/>
      <c r="W207" s="1"/>
      <c r="X207" s="1"/>
      <c r="Y207" s="1"/>
      <c r="Z207" s="1"/>
      <c r="AA207" s="1"/>
      <c r="AB207" s="1"/>
      <c r="AC207" s="1"/>
      <c r="AD207" s="155"/>
      <c r="AE207" s="155"/>
      <c r="AF207" s="155"/>
      <c r="AG207" s="155"/>
      <c r="AH207" s="155"/>
      <c r="AI207" s="155"/>
      <c r="AJ207" s="155"/>
      <c r="AK207" s="155"/>
      <c r="AL207" s="155"/>
      <c r="AM207" s="155"/>
      <c r="AN207" s="155"/>
      <c r="AO207" s="155"/>
      <c r="AP207" s="155"/>
      <c r="AQ207" s="155"/>
      <c r="AR207" s="155"/>
      <c r="AS207" s="155"/>
      <c r="AT207" s="155"/>
      <c r="AU207" s="155"/>
      <c r="AV207" s="155"/>
      <c r="AW207" s="155"/>
    </row>
    <row r="208" spans="1:49" ht="16.5" customHeight="1">
      <c r="A208" s="155"/>
      <c r="B208" s="155"/>
      <c r="C208" s="1"/>
      <c r="D208" s="1"/>
      <c r="E208" s="1"/>
      <c r="F208" s="156"/>
      <c r="G208" s="1"/>
      <c r="H208" s="1"/>
      <c r="I208" s="1"/>
      <c r="J208" s="1"/>
      <c r="K208" s="1"/>
      <c r="L208" s="1"/>
      <c r="M208" s="1"/>
      <c r="N208" s="1"/>
      <c r="O208" s="1"/>
      <c r="P208" s="1"/>
      <c r="Q208" s="1"/>
      <c r="R208" s="1"/>
      <c r="S208" s="1"/>
      <c r="T208" s="1"/>
      <c r="U208" s="1"/>
      <c r="V208" s="1"/>
      <c r="W208" s="1"/>
      <c r="X208" s="1"/>
      <c r="Y208" s="1"/>
      <c r="Z208" s="1"/>
      <c r="AA208" s="1"/>
      <c r="AB208" s="1"/>
      <c r="AC208" s="1"/>
      <c r="AD208" s="155"/>
      <c r="AE208" s="155"/>
      <c r="AF208" s="155"/>
      <c r="AG208" s="155"/>
      <c r="AH208" s="155"/>
      <c r="AI208" s="155"/>
      <c r="AJ208" s="155"/>
      <c r="AK208" s="155"/>
      <c r="AL208" s="155"/>
      <c r="AM208" s="155"/>
      <c r="AN208" s="155"/>
      <c r="AO208" s="155"/>
      <c r="AP208" s="155"/>
      <c r="AQ208" s="155"/>
      <c r="AR208" s="155"/>
      <c r="AS208" s="155"/>
      <c r="AT208" s="155"/>
      <c r="AU208" s="155"/>
      <c r="AV208" s="155"/>
      <c r="AW208" s="155"/>
    </row>
    <row r="209" spans="1:49" ht="16.5" customHeight="1">
      <c r="A209" s="155"/>
      <c r="B209" s="155"/>
      <c r="C209" s="1"/>
      <c r="D209" s="1"/>
      <c r="E209" s="1"/>
      <c r="F209" s="156"/>
      <c r="G209" s="1"/>
      <c r="H209" s="1"/>
      <c r="I209" s="1"/>
      <c r="J209" s="1"/>
      <c r="K209" s="1"/>
      <c r="L209" s="1"/>
      <c r="M209" s="1"/>
      <c r="N209" s="1"/>
      <c r="O209" s="1"/>
      <c r="P209" s="1"/>
      <c r="Q209" s="1"/>
      <c r="R209" s="1"/>
      <c r="S209" s="1"/>
      <c r="T209" s="1"/>
      <c r="U209" s="1"/>
      <c r="V209" s="1"/>
      <c r="W209" s="1"/>
      <c r="X209" s="1"/>
      <c r="Y209" s="1"/>
      <c r="Z209" s="1"/>
      <c r="AA209" s="1"/>
      <c r="AB209" s="1"/>
      <c r="AC209" s="1"/>
      <c r="AD209" s="155"/>
      <c r="AE209" s="155"/>
      <c r="AF209" s="155"/>
      <c r="AG209" s="155"/>
      <c r="AH209" s="155"/>
      <c r="AI209" s="155"/>
      <c r="AJ209" s="155"/>
      <c r="AK209" s="155"/>
      <c r="AL209" s="155"/>
      <c r="AM209" s="155"/>
      <c r="AN209" s="155"/>
      <c r="AO209" s="155"/>
      <c r="AP209" s="155"/>
      <c r="AQ209" s="155"/>
      <c r="AR209" s="155"/>
      <c r="AS209" s="155"/>
      <c r="AT209" s="155"/>
      <c r="AU209" s="155"/>
      <c r="AV209" s="155"/>
      <c r="AW209" s="155"/>
    </row>
    <row r="210" spans="1:49" ht="16.5" customHeight="1">
      <c r="A210" s="155"/>
      <c r="B210" s="155"/>
      <c r="C210" s="1"/>
      <c r="D210" s="1"/>
      <c r="E210" s="1"/>
      <c r="F210" s="156"/>
      <c r="G210" s="1"/>
      <c r="H210" s="1"/>
      <c r="I210" s="1"/>
      <c r="J210" s="1"/>
      <c r="K210" s="1"/>
      <c r="L210" s="1"/>
      <c r="M210" s="1"/>
      <c r="N210" s="1"/>
      <c r="O210" s="1"/>
      <c r="P210" s="1"/>
      <c r="Q210" s="1"/>
      <c r="R210" s="1"/>
      <c r="S210" s="1"/>
      <c r="T210" s="1"/>
      <c r="U210" s="1"/>
      <c r="V210" s="1"/>
      <c r="W210" s="1"/>
      <c r="X210" s="1"/>
      <c r="Y210" s="1"/>
      <c r="Z210" s="1"/>
      <c r="AA210" s="1"/>
      <c r="AB210" s="1"/>
      <c r="AC210" s="1"/>
      <c r="AD210" s="155"/>
      <c r="AE210" s="155"/>
      <c r="AF210" s="155"/>
      <c r="AG210" s="155"/>
      <c r="AH210" s="155"/>
      <c r="AI210" s="155"/>
      <c r="AJ210" s="155"/>
      <c r="AK210" s="155"/>
      <c r="AL210" s="155"/>
      <c r="AM210" s="155"/>
      <c r="AN210" s="155"/>
      <c r="AO210" s="155"/>
      <c r="AP210" s="155"/>
      <c r="AQ210" s="155"/>
      <c r="AR210" s="155"/>
      <c r="AS210" s="155"/>
      <c r="AT210" s="155"/>
      <c r="AU210" s="155"/>
      <c r="AV210" s="155"/>
      <c r="AW210" s="155"/>
    </row>
    <row r="211" spans="1:49" ht="16.5" customHeight="1">
      <c r="A211" s="155"/>
      <c r="B211" s="155"/>
      <c r="C211" s="1"/>
      <c r="D211" s="1"/>
      <c r="E211" s="1"/>
      <c r="F211" s="156"/>
      <c r="G211" s="1"/>
      <c r="H211" s="1"/>
      <c r="I211" s="1"/>
      <c r="J211" s="1"/>
      <c r="K211" s="1"/>
      <c r="L211" s="1"/>
      <c r="M211" s="1"/>
      <c r="N211" s="1"/>
      <c r="O211" s="1"/>
      <c r="P211" s="1"/>
      <c r="Q211" s="1"/>
      <c r="R211" s="1"/>
      <c r="S211" s="1"/>
      <c r="T211" s="1"/>
      <c r="U211" s="1"/>
      <c r="V211" s="1"/>
      <c r="W211" s="1"/>
      <c r="X211" s="1"/>
      <c r="Y211" s="1"/>
      <c r="Z211" s="1"/>
      <c r="AA211" s="1"/>
      <c r="AB211" s="1"/>
      <c r="AC211" s="1"/>
      <c r="AD211" s="155"/>
      <c r="AE211" s="155"/>
      <c r="AF211" s="155"/>
      <c r="AG211" s="155"/>
      <c r="AH211" s="155"/>
      <c r="AI211" s="155"/>
      <c r="AJ211" s="155"/>
      <c r="AK211" s="155"/>
      <c r="AL211" s="155"/>
      <c r="AM211" s="155"/>
      <c r="AN211" s="155"/>
      <c r="AO211" s="155"/>
      <c r="AP211" s="155"/>
      <c r="AQ211" s="155"/>
      <c r="AR211" s="155"/>
      <c r="AS211" s="155"/>
      <c r="AT211" s="155"/>
      <c r="AU211" s="155"/>
      <c r="AV211" s="155"/>
      <c r="AW211" s="155"/>
    </row>
    <row r="212" spans="1:49" ht="16.5" customHeight="1">
      <c r="A212" s="155"/>
      <c r="B212" s="155"/>
      <c r="C212" s="1"/>
      <c r="D212" s="1"/>
      <c r="E212" s="1"/>
      <c r="F212" s="156"/>
      <c r="G212" s="1"/>
      <c r="H212" s="1"/>
      <c r="I212" s="1"/>
      <c r="J212" s="1"/>
      <c r="K212" s="1"/>
      <c r="L212" s="1"/>
      <c r="M212" s="1"/>
      <c r="N212" s="1"/>
      <c r="O212" s="1"/>
      <c r="P212" s="1"/>
      <c r="Q212" s="1"/>
      <c r="R212" s="1"/>
      <c r="S212" s="1"/>
      <c r="T212" s="1"/>
      <c r="U212" s="1"/>
      <c r="V212" s="1"/>
      <c r="W212" s="1"/>
      <c r="X212" s="1"/>
      <c r="Y212" s="1"/>
      <c r="Z212" s="1"/>
      <c r="AA212" s="1"/>
      <c r="AB212" s="1"/>
      <c r="AC212" s="1"/>
      <c r="AD212" s="155"/>
      <c r="AE212" s="155"/>
      <c r="AF212" s="155"/>
      <c r="AG212" s="155"/>
      <c r="AH212" s="155"/>
      <c r="AI212" s="155"/>
      <c r="AJ212" s="155"/>
      <c r="AK212" s="155"/>
      <c r="AL212" s="155"/>
      <c r="AM212" s="155"/>
      <c r="AN212" s="155"/>
      <c r="AO212" s="155"/>
      <c r="AP212" s="155"/>
      <c r="AQ212" s="155"/>
      <c r="AR212" s="155"/>
      <c r="AS212" s="155"/>
      <c r="AT212" s="155"/>
      <c r="AU212" s="155"/>
      <c r="AV212" s="155"/>
      <c r="AW212" s="155"/>
    </row>
    <row r="213" spans="1:49" ht="16.5" customHeight="1">
      <c r="A213" s="155"/>
      <c r="B213" s="155"/>
      <c r="C213" s="1"/>
      <c r="D213" s="1"/>
      <c r="E213" s="1"/>
      <c r="F213" s="156"/>
      <c r="G213" s="1"/>
      <c r="H213" s="1"/>
      <c r="I213" s="1"/>
      <c r="J213" s="1"/>
      <c r="K213" s="1"/>
      <c r="L213" s="1"/>
      <c r="M213" s="1"/>
      <c r="N213" s="1"/>
      <c r="O213" s="1"/>
      <c r="P213" s="1"/>
      <c r="Q213" s="1"/>
      <c r="R213" s="1"/>
      <c r="S213" s="1"/>
      <c r="T213" s="1"/>
      <c r="U213" s="1"/>
      <c r="V213" s="1"/>
      <c r="W213" s="1"/>
      <c r="X213" s="1"/>
      <c r="Y213" s="1"/>
      <c r="Z213" s="1"/>
      <c r="AA213" s="1"/>
      <c r="AB213" s="1"/>
      <c r="AC213" s="1"/>
      <c r="AD213" s="155"/>
      <c r="AE213" s="155"/>
      <c r="AF213" s="155"/>
      <c r="AG213" s="155"/>
      <c r="AH213" s="155"/>
      <c r="AI213" s="155"/>
      <c r="AJ213" s="155"/>
      <c r="AK213" s="155"/>
      <c r="AL213" s="155"/>
      <c r="AM213" s="155"/>
      <c r="AN213" s="155"/>
      <c r="AO213" s="155"/>
      <c r="AP213" s="155"/>
      <c r="AQ213" s="155"/>
      <c r="AR213" s="155"/>
      <c r="AS213" s="155"/>
      <c r="AT213" s="155"/>
      <c r="AU213" s="155"/>
      <c r="AV213" s="155"/>
      <c r="AW213" s="155"/>
    </row>
    <row r="214" spans="1:49" ht="16.5" customHeight="1">
      <c r="A214" s="155"/>
      <c r="B214" s="155"/>
      <c r="C214" s="1"/>
      <c r="D214" s="1"/>
      <c r="E214" s="1"/>
      <c r="F214" s="156"/>
      <c r="G214" s="1"/>
      <c r="H214" s="1"/>
      <c r="I214" s="1"/>
      <c r="J214" s="1"/>
      <c r="K214" s="1"/>
      <c r="L214" s="1"/>
      <c r="M214" s="1"/>
      <c r="N214" s="1"/>
      <c r="O214" s="1"/>
      <c r="P214" s="1"/>
      <c r="Q214" s="1"/>
      <c r="R214" s="1"/>
      <c r="S214" s="1"/>
      <c r="T214" s="1"/>
      <c r="U214" s="1"/>
      <c r="V214" s="1"/>
      <c r="W214" s="1"/>
      <c r="X214" s="1"/>
      <c r="Y214" s="1"/>
      <c r="Z214" s="1"/>
      <c r="AA214" s="1"/>
      <c r="AB214" s="1"/>
      <c r="AC214" s="1"/>
      <c r="AD214" s="155"/>
      <c r="AE214" s="155"/>
      <c r="AF214" s="155"/>
      <c r="AG214" s="155"/>
      <c r="AH214" s="155"/>
      <c r="AI214" s="155"/>
      <c r="AJ214" s="155"/>
      <c r="AK214" s="155"/>
      <c r="AL214" s="155"/>
      <c r="AM214" s="155"/>
      <c r="AN214" s="155"/>
      <c r="AO214" s="155"/>
      <c r="AP214" s="155"/>
      <c r="AQ214" s="155"/>
      <c r="AR214" s="155"/>
      <c r="AS214" s="155"/>
      <c r="AT214" s="155"/>
      <c r="AU214" s="155"/>
      <c r="AV214" s="155"/>
      <c r="AW214" s="155"/>
    </row>
    <row r="215" spans="1:49" ht="16.5" customHeight="1">
      <c r="A215" s="155"/>
      <c r="B215" s="155"/>
      <c r="C215" s="1"/>
      <c r="D215" s="1"/>
      <c r="E215" s="1"/>
      <c r="F215" s="156"/>
      <c r="G215" s="1"/>
      <c r="H215" s="1"/>
      <c r="I215" s="1"/>
      <c r="J215" s="1"/>
      <c r="K215" s="1"/>
      <c r="L215" s="1"/>
      <c r="M215" s="1"/>
      <c r="N215" s="1"/>
      <c r="O215" s="1"/>
      <c r="P215" s="1"/>
      <c r="Q215" s="1"/>
      <c r="R215" s="1"/>
      <c r="S215" s="1"/>
      <c r="T215" s="1"/>
      <c r="U215" s="1"/>
      <c r="V215" s="1"/>
      <c r="W215" s="1"/>
      <c r="X215" s="1"/>
      <c r="Y215" s="1"/>
      <c r="Z215" s="1"/>
      <c r="AA215" s="1"/>
      <c r="AB215" s="1"/>
      <c r="AC215" s="1"/>
      <c r="AD215" s="155"/>
      <c r="AE215" s="155"/>
      <c r="AF215" s="155"/>
      <c r="AG215" s="155"/>
      <c r="AH215" s="155"/>
      <c r="AI215" s="155"/>
      <c r="AJ215" s="155"/>
      <c r="AK215" s="155"/>
      <c r="AL215" s="155"/>
      <c r="AM215" s="155"/>
      <c r="AN215" s="155"/>
      <c r="AO215" s="155"/>
      <c r="AP215" s="155"/>
      <c r="AQ215" s="155"/>
      <c r="AR215" s="155"/>
      <c r="AS215" s="155"/>
      <c r="AT215" s="155"/>
      <c r="AU215" s="155"/>
      <c r="AV215" s="155"/>
      <c r="AW215" s="155"/>
    </row>
    <row r="216" spans="1:49" ht="16.5" customHeight="1">
      <c r="A216" s="155"/>
      <c r="B216" s="155"/>
      <c r="C216" s="1"/>
      <c r="D216" s="1"/>
      <c r="E216" s="1"/>
      <c r="F216" s="156"/>
      <c r="G216" s="1"/>
      <c r="H216" s="1"/>
      <c r="I216" s="1"/>
      <c r="J216" s="1"/>
      <c r="K216" s="1"/>
      <c r="L216" s="1"/>
      <c r="M216" s="1"/>
      <c r="N216" s="1"/>
      <c r="O216" s="1"/>
      <c r="P216" s="1"/>
      <c r="Q216" s="1"/>
      <c r="R216" s="1"/>
      <c r="S216" s="1"/>
      <c r="T216" s="1"/>
      <c r="U216" s="1"/>
      <c r="V216" s="1"/>
      <c r="W216" s="1"/>
      <c r="X216" s="1"/>
      <c r="Y216" s="1"/>
      <c r="Z216" s="1"/>
      <c r="AA216" s="1"/>
      <c r="AB216" s="1"/>
      <c r="AC216" s="1"/>
      <c r="AD216" s="155"/>
      <c r="AE216" s="155"/>
      <c r="AF216" s="155"/>
      <c r="AG216" s="155"/>
      <c r="AH216" s="155"/>
      <c r="AI216" s="155"/>
      <c r="AJ216" s="155"/>
      <c r="AK216" s="155"/>
      <c r="AL216" s="155"/>
      <c r="AM216" s="155"/>
      <c r="AN216" s="155"/>
      <c r="AO216" s="155"/>
      <c r="AP216" s="155"/>
      <c r="AQ216" s="155"/>
      <c r="AR216" s="155"/>
      <c r="AS216" s="155"/>
      <c r="AT216" s="155"/>
      <c r="AU216" s="155"/>
      <c r="AV216" s="155"/>
      <c r="AW216" s="155"/>
    </row>
    <row r="217" spans="1:49" ht="16.5" customHeight="1">
      <c r="A217" s="155"/>
      <c r="B217" s="155"/>
      <c r="C217" s="1"/>
      <c r="D217" s="1"/>
      <c r="E217" s="1"/>
      <c r="F217" s="156"/>
      <c r="G217" s="1"/>
      <c r="H217" s="1"/>
      <c r="I217" s="1"/>
      <c r="J217" s="1"/>
      <c r="K217" s="1"/>
      <c r="L217" s="1"/>
      <c r="M217" s="1"/>
      <c r="N217" s="1"/>
      <c r="O217" s="1"/>
      <c r="P217" s="1"/>
      <c r="Q217" s="1"/>
      <c r="R217" s="1"/>
      <c r="S217" s="1"/>
      <c r="T217" s="1"/>
      <c r="U217" s="1"/>
      <c r="V217" s="1"/>
      <c r="W217" s="1"/>
      <c r="X217" s="1"/>
      <c r="Y217" s="1"/>
      <c r="Z217" s="1"/>
      <c r="AA217" s="1"/>
      <c r="AB217" s="1"/>
      <c r="AC217" s="1"/>
      <c r="AD217" s="155"/>
      <c r="AE217" s="155"/>
      <c r="AF217" s="155"/>
      <c r="AG217" s="155"/>
      <c r="AH217" s="155"/>
      <c r="AI217" s="155"/>
      <c r="AJ217" s="155"/>
      <c r="AK217" s="155"/>
      <c r="AL217" s="155"/>
      <c r="AM217" s="155"/>
      <c r="AN217" s="155"/>
      <c r="AO217" s="155"/>
      <c r="AP217" s="155"/>
      <c r="AQ217" s="155"/>
      <c r="AR217" s="155"/>
      <c r="AS217" s="155"/>
      <c r="AT217" s="155"/>
      <c r="AU217" s="155"/>
      <c r="AV217" s="155"/>
      <c r="AW217" s="155"/>
    </row>
    <row r="218" spans="1:49" ht="16.5" customHeight="1">
      <c r="A218" s="155"/>
      <c r="B218" s="155"/>
      <c r="C218" s="1"/>
      <c r="D218" s="1"/>
      <c r="E218" s="1"/>
      <c r="F218" s="156"/>
      <c r="G218" s="1"/>
      <c r="H218" s="1"/>
      <c r="I218" s="1"/>
      <c r="J218" s="1"/>
      <c r="K218" s="1"/>
      <c r="L218" s="1"/>
      <c r="M218" s="1"/>
      <c r="N218" s="1"/>
      <c r="O218" s="1"/>
      <c r="P218" s="1"/>
      <c r="Q218" s="1"/>
      <c r="R218" s="1"/>
      <c r="S218" s="1"/>
      <c r="T218" s="1"/>
      <c r="U218" s="1"/>
      <c r="V218" s="1"/>
      <c r="W218" s="1"/>
      <c r="X218" s="1"/>
      <c r="Y218" s="1"/>
      <c r="Z218" s="1"/>
      <c r="AA218" s="1"/>
      <c r="AB218" s="1"/>
      <c r="AC218" s="1"/>
      <c r="AD218" s="155"/>
      <c r="AE218" s="155"/>
      <c r="AF218" s="155"/>
      <c r="AG218" s="155"/>
      <c r="AH218" s="155"/>
      <c r="AI218" s="155"/>
      <c r="AJ218" s="155"/>
      <c r="AK218" s="155"/>
      <c r="AL218" s="155"/>
      <c r="AM218" s="155"/>
      <c r="AN218" s="155"/>
      <c r="AO218" s="155"/>
      <c r="AP218" s="155"/>
      <c r="AQ218" s="155"/>
      <c r="AR218" s="155"/>
      <c r="AS218" s="155"/>
      <c r="AT218" s="155"/>
      <c r="AU218" s="155"/>
      <c r="AV218" s="155"/>
      <c r="AW218" s="155"/>
    </row>
    <row r="219" spans="1:49" ht="16.5" customHeight="1">
      <c r="A219" s="155"/>
      <c r="B219" s="155"/>
      <c r="C219" s="1"/>
      <c r="D219" s="1"/>
      <c r="E219" s="1"/>
      <c r="F219" s="156"/>
      <c r="G219" s="1"/>
      <c r="H219" s="1"/>
      <c r="I219" s="1"/>
      <c r="J219" s="1"/>
      <c r="K219" s="1"/>
      <c r="L219" s="1"/>
      <c r="M219" s="1"/>
      <c r="N219" s="1"/>
      <c r="O219" s="1"/>
      <c r="P219" s="1"/>
      <c r="Q219" s="1"/>
      <c r="R219" s="1"/>
      <c r="S219" s="1"/>
      <c r="T219" s="1"/>
      <c r="U219" s="1"/>
      <c r="V219" s="1"/>
      <c r="W219" s="1"/>
      <c r="X219" s="1"/>
      <c r="Y219" s="1"/>
      <c r="Z219" s="1"/>
      <c r="AA219" s="1"/>
      <c r="AB219" s="1"/>
      <c r="AC219" s="1"/>
      <c r="AD219" s="155"/>
      <c r="AE219" s="155"/>
      <c r="AF219" s="155"/>
      <c r="AG219" s="155"/>
      <c r="AH219" s="155"/>
      <c r="AI219" s="155"/>
      <c r="AJ219" s="155"/>
      <c r="AK219" s="155"/>
      <c r="AL219" s="155"/>
      <c r="AM219" s="155"/>
      <c r="AN219" s="155"/>
      <c r="AO219" s="155"/>
      <c r="AP219" s="155"/>
      <c r="AQ219" s="155"/>
      <c r="AR219" s="155"/>
      <c r="AS219" s="155"/>
      <c r="AT219" s="155"/>
      <c r="AU219" s="155"/>
      <c r="AV219" s="155"/>
      <c r="AW219" s="155"/>
    </row>
    <row r="220" spans="1:49" ht="16.5" customHeight="1">
      <c r="A220" s="155"/>
      <c r="B220" s="155"/>
      <c r="C220" s="1"/>
      <c r="D220" s="1"/>
      <c r="E220" s="1"/>
      <c r="F220" s="156"/>
      <c r="G220" s="1"/>
      <c r="H220" s="1"/>
      <c r="I220" s="1"/>
      <c r="J220" s="1"/>
      <c r="K220" s="1"/>
      <c r="L220" s="1"/>
      <c r="M220" s="1"/>
      <c r="N220" s="1"/>
      <c r="O220" s="1"/>
      <c r="P220" s="1"/>
      <c r="Q220" s="1"/>
      <c r="R220" s="1"/>
      <c r="S220" s="1"/>
      <c r="T220" s="1"/>
      <c r="U220" s="1"/>
      <c r="V220" s="1"/>
      <c r="W220" s="1"/>
      <c r="X220" s="1"/>
      <c r="Y220" s="1"/>
      <c r="Z220" s="1"/>
      <c r="AA220" s="1"/>
      <c r="AB220" s="1"/>
      <c r="AC220" s="1"/>
      <c r="AD220" s="155"/>
      <c r="AE220" s="155"/>
      <c r="AF220" s="155"/>
      <c r="AG220" s="155"/>
      <c r="AH220" s="155"/>
      <c r="AI220" s="155"/>
      <c r="AJ220" s="155"/>
      <c r="AK220" s="155"/>
      <c r="AL220" s="155"/>
      <c r="AM220" s="155"/>
      <c r="AN220" s="155"/>
      <c r="AO220" s="155"/>
      <c r="AP220" s="155"/>
      <c r="AQ220" s="155"/>
      <c r="AR220" s="155"/>
      <c r="AS220" s="155"/>
      <c r="AT220" s="155"/>
      <c r="AU220" s="155"/>
      <c r="AV220" s="155"/>
      <c r="AW220" s="155"/>
    </row>
    <row r="221" spans="1:49" ht="16.5" customHeight="1">
      <c r="A221" s="155"/>
      <c r="B221" s="155"/>
      <c r="C221" s="1"/>
      <c r="D221" s="1"/>
      <c r="E221" s="1"/>
      <c r="F221" s="156"/>
      <c r="G221" s="1"/>
      <c r="H221" s="1"/>
      <c r="I221" s="1"/>
      <c r="J221" s="1"/>
      <c r="K221" s="1"/>
      <c r="L221" s="1"/>
      <c r="M221" s="1"/>
      <c r="N221" s="1"/>
      <c r="O221" s="1"/>
      <c r="P221" s="1"/>
      <c r="Q221" s="1"/>
      <c r="R221" s="1"/>
      <c r="S221" s="1"/>
      <c r="T221" s="1"/>
      <c r="U221" s="1"/>
      <c r="V221" s="1"/>
      <c r="W221" s="1"/>
      <c r="X221" s="1"/>
      <c r="Y221" s="1"/>
      <c r="Z221" s="1"/>
      <c r="AA221" s="1"/>
      <c r="AB221" s="1"/>
      <c r="AC221" s="1"/>
      <c r="AD221" s="155"/>
      <c r="AE221" s="155"/>
      <c r="AF221" s="155"/>
      <c r="AG221" s="155"/>
      <c r="AH221" s="155"/>
      <c r="AI221" s="155"/>
      <c r="AJ221" s="155"/>
      <c r="AK221" s="155"/>
      <c r="AL221" s="155"/>
      <c r="AM221" s="155"/>
      <c r="AN221" s="155"/>
      <c r="AO221" s="155"/>
      <c r="AP221" s="155"/>
      <c r="AQ221" s="155"/>
      <c r="AR221" s="155"/>
      <c r="AS221" s="155"/>
      <c r="AT221" s="155"/>
      <c r="AU221" s="155"/>
      <c r="AV221" s="155"/>
      <c r="AW221" s="155"/>
    </row>
    <row r="222" spans="1:49" ht="16.5" customHeight="1">
      <c r="A222" s="155"/>
      <c r="B222" s="155"/>
      <c r="C222" s="1"/>
      <c r="D222" s="1"/>
      <c r="E222" s="1"/>
      <c r="F222" s="156"/>
      <c r="G222" s="1"/>
      <c r="H222" s="1"/>
      <c r="I222" s="1"/>
      <c r="J222" s="1"/>
      <c r="K222" s="1"/>
      <c r="L222" s="1"/>
      <c r="M222" s="1"/>
      <c r="N222" s="1"/>
      <c r="O222" s="1"/>
      <c r="P222" s="1"/>
      <c r="Q222" s="1"/>
      <c r="R222" s="1"/>
      <c r="S222" s="1"/>
      <c r="T222" s="1"/>
      <c r="U222" s="1"/>
      <c r="V222" s="1"/>
      <c r="W222" s="1"/>
      <c r="X222" s="1"/>
      <c r="Y222" s="1"/>
      <c r="Z222" s="1"/>
      <c r="AA222" s="1"/>
      <c r="AB222" s="1"/>
      <c r="AC222" s="1"/>
      <c r="AD222" s="155"/>
      <c r="AE222" s="155"/>
      <c r="AF222" s="155"/>
      <c r="AG222" s="155"/>
      <c r="AH222" s="155"/>
      <c r="AI222" s="155"/>
      <c r="AJ222" s="155"/>
      <c r="AK222" s="155"/>
      <c r="AL222" s="155"/>
      <c r="AM222" s="155"/>
      <c r="AN222" s="155"/>
      <c r="AO222" s="155"/>
      <c r="AP222" s="155"/>
      <c r="AQ222" s="155"/>
      <c r="AR222" s="155"/>
      <c r="AS222" s="155"/>
      <c r="AT222" s="155"/>
      <c r="AU222" s="155"/>
      <c r="AV222" s="155"/>
      <c r="AW222" s="155"/>
    </row>
    <row r="223" spans="1:49" ht="16.5" customHeight="1">
      <c r="A223" s="155"/>
      <c r="B223" s="155"/>
      <c r="C223" s="1"/>
      <c r="D223" s="1"/>
      <c r="E223" s="1"/>
      <c r="F223" s="156"/>
      <c r="G223" s="1"/>
      <c r="H223" s="1"/>
      <c r="I223" s="1"/>
      <c r="J223" s="1"/>
      <c r="K223" s="1"/>
      <c r="L223" s="1"/>
      <c r="M223" s="1"/>
      <c r="N223" s="1"/>
      <c r="O223" s="1"/>
      <c r="P223" s="1"/>
      <c r="Q223" s="1"/>
      <c r="R223" s="1"/>
      <c r="S223" s="1"/>
      <c r="T223" s="1"/>
      <c r="U223" s="1"/>
      <c r="V223" s="1"/>
      <c r="W223" s="1"/>
      <c r="X223" s="1"/>
      <c r="Y223" s="1"/>
      <c r="Z223" s="1"/>
      <c r="AA223" s="1"/>
      <c r="AB223" s="1"/>
      <c r="AC223" s="1"/>
      <c r="AD223" s="155"/>
      <c r="AE223" s="155"/>
      <c r="AF223" s="155"/>
      <c r="AG223" s="155"/>
      <c r="AH223" s="155"/>
      <c r="AI223" s="155"/>
      <c r="AJ223" s="155"/>
      <c r="AK223" s="155"/>
      <c r="AL223" s="155"/>
      <c r="AM223" s="155"/>
      <c r="AN223" s="155"/>
      <c r="AO223" s="155"/>
      <c r="AP223" s="155"/>
      <c r="AQ223" s="155"/>
      <c r="AR223" s="155"/>
      <c r="AS223" s="155"/>
      <c r="AT223" s="155"/>
      <c r="AU223" s="155"/>
      <c r="AV223" s="155"/>
      <c r="AW223" s="155"/>
    </row>
    <row r="224" spans="1:49" ht="16.5" customHeight="1">
      <c r="A224" s="155"/>
      <c r="B224" s="155"/>
      <c r="C224" s="1"/>
      <c r="D224" s="1"/>
      <c r="E224" s="1"/>
      <c r="F224" s="156"/>
      <c r="G224" s="1"/>
      <c r="H224" s="1"/>
      <c r="I224" s="1"/>
      <c r="J224" s="1"/>
      <c r="K224" s="1"/>
      <c r="L224" s="1"/>
      <c r="M224" s="1"/>
      <c r="N224" s="1"/>
      <c r="O224" s="1"/>
      <c r="P224" s="1"/>
      <c r="Q224" s="1"/>
      <c r="R224" s="1"/>
      <c r="S224" s="1"/>
      <c r="T224" s="1"/>
      <c r="U224" s="1"/>
      <c r="V224" s="1"/>
      <c r="W224" s="1"/>
      <c r="X224" s="1"/>
      <c r="Y224" s="1"/>
      <c r="Z224" s="1"/>
      <c r="AA224" s="1"/>
      <c r="AB224" s="1"/>
      <c r="AC224" s="1"/>
      <c r="AD224" s="155"/>
      <c r="AE224" s="155"/>
      <c r="AF224" s="155"/>
      <c r="AG224" s="155"/>
      <c r="AH224" s="155"/>
      <c r="AI224" s="155"/>
      <c r="AJ224" s="155"/>
      <c r="AK224" s="155"/>
      <c r="AL224" s="155"/>
      <c r="AM224" s="155"/>
      <c r="AN224" s="155"/>
      <c r="AO224" s="155"/>
      <c r="AP224" s="155"/>
      <c r="AQ224" s="155"/>
      <c r="AR224" s="155"/>
      <c r="AS224" s="155"/>
      <c r="AT224" s="155"/>
      <c r="AU224" s="155"/>
      <c r="AV224" s="155"/>
      <c r="AW224" s="155"/>
    </row>
    <row r="225" spans="1:49" ht="16.5" customHeight="1">
      <c r="A225" s="155"/>
      <c r="B225" s="155"/>
      <c r="C225" s="1"/>
      <c r="D225" s="1"/>
      <c r="E225" s="1"/>
      <c r="F225" s="156"/>
      <c r="G225" s="1"/>
      <c r="H225" s="1"/>
      <c r="I225" s="1"/>
      <c r="J225" s="1"/>
      <c r="K225" s="1"/>
      <c r="L225" s="1"/>
      <c r="M225" s="1"/>
      <c r="N225" s="1"/>
      <c r="O225" s="1"/>
      <c r="P225" s="1"/>
      <c r="Q225" s="1"/>
      <c r="R225" s="1"/>
      <c r="S225" s="1"/>
      <c r="T225" s="1"/>
      <c r="U225" s="1"/>
      <c r="V225" s="1"/>
      <c r="W225" s="1"/>
      <c r="X225" s="1"/>
      <c r="Y225" s="1"/>
      <c r="Z225" s="1"/>
      <c r="AA225" s="1"/>
      <c r="AB225" s="1"/>
      <c r="AC225" s="1"/>
      <c r="AD225" s="155"/>
      <c r="AE225" s="155"/>
      <c r="AF225" s="155"/>
      <c r="AG225" s="155"/>
      <c r="AH225" s="155"/>
      <c r="AI225" s="155"/>
      <c r="AJ225" s="155"/>
      <c r="AK225" s="155"/>
      <c r="AL225" s="155"/>
      <c r="AM225" s="155"/>
      <c r="AN225" s="155"/>
      <c r="AO225" s="155"/>
      <c r="AP225" s="155"/>
      <c r="AQ225" s="155"/>
      <c r="AR225" s="155"/>
      <c r="AS225" s="155"/>
      <c r="AT225" s="155"/>
      <c r="AU225" s="155"/>
      <c r="AV225" s="155"/>
      <c r="AW225" s="155"/>
    </row>
    <row r="226" spans="1:49" ht="16.5" customHeight="1">
      <c r="A226" s="155"/>
      <c r="B226" s="155"/>
      <c r="C226" s="1"/>
      <c r="D226" s="1"/>
      <c r="E226" s="1"/>
      <c r="F226" s="156"/>
      <c r="G226" s="1"/>
      <c r="H226" s="1"/>
      <c r="I226" s="1"/>
      <c r="J226" s="1"/>
      <c r="K226" s="1"/>
      <c r="L226" s="1"/>
      <c r="M226" s="1"/>
      <c r="N226" s="1"/>
      <c r="O226" s="1"/>
      <c r="P226" s="1"/>
      <c r="Q226" s="1"/>
      <c r="R226" s="1"/>
      <c r="S226" s="1"/>
      <c r="T226" s="1"/>
      <c r="U226" s="1"/>
      <c r="V226" s="1"/>
      <c r="W226" s="1"/>
      <c r="X226" s="1"/>
      <c r="Y226" s="1"/>
      <c r="Z226" s="1"/>
      <c r="AA226" s="1"/>
      <c r="AB226" s="1"/>
      <c r="AC226" s="1"/>
      <c r="AD226" s="155"/>
      <c r="AE226" s="155"/>
      <c r="AF226" s="155"/>
      <c r="AG226" s="155"/>
      <c r="AH226" s="155"/>
      <c r="AI226" s="155"/>
      <c r="AJ226" s="155"/>
      <c r="AK226" s="155"/>
      <c r="AL226" s="155"/>
      <c r="AM226" s="155"/>
      <c r="AN226" s="155"/>
      <c r="AO226" s="155"/>
      <c r="AP226" s="155"/>
      <c r="AQ226" s="155"/>
      <c r="AR226" s="155"/>
      <c r="AS226" s="155"/>
      <c r="AT226" s="155"/>
      <c r="AU226" s="155"/>
      <c r="AV226" s="155"/>
      <c r="AW226" s="155"/>
    </row>
    <row r="227" spans="1:49" ht="16.5" customHeight="1">
      <c r="A227" s="155"/>
      <c r="B227" s="155"/>
      <c r="C227" s="1"/>
      <c r="D227" s="1"/>
      <c r="E227" s="1"/>
      <c r="F227" s="156"/>
      <c r="G227" s="1"/>
      <c r="H227" s="1"/>
      <c r="I227" s="1"/>
      <c r="J227" s="1"/>
      <c r="K227" s="1"/>
      <c r="L227" s="1"/>
      <c r="M227" s="1"/>
      <c r="N227" s="1"/>
      <c r="O227" s="1"/>
      <c r="P227" s="1"/>
      <c r="Q227" s="1"/>
      <c r="R227" s="1"/>
      <c r="S227" s="1"/>
      <c r="T227" s="1"/>
      <c r="U227" s="1"/>
      <c r="V227" s="1"/>
      <c r="W227" s="1"/>
      <c r="X227" s="1"/>
      <c r="Y227" s="1"/>
      <c r="Z227" s="1"/>
      <c r="AA227" s="1"/>
      <c r="AB227" s="1"/>
      <c r="AC227" s="1"/>
      <c r="AD227" s="155"/>
      <c r="AE227" s="155"/>
      <c r="AF227" s="155"/>
      <c r="AG227" s="155"/>
      <c r="AH227" s="155"/>
      <c r="AI227" s="155"/>
      <c r="AJ227" s="155"/>
      <c r="AK227" s="155"/>
      <c r="AL227" s="155"/>
      <c r="AM227" s="155"/>
      <c r="AN227" s="155"/>
      <c r="AO227" s="155"/>
      <c r="AP227" s="155"/>
      <c r="AQ227" s="155"/>
      <c r="AR227" s="155"/>
      <c r="AS227" s="155"/>
      <c r="AT227" s="155"/>
      <c r="AU227" s="155"/>
      <c r="AV227" s="155"/>
      <c r="AW227" s="155"/>
    </row>
    <row r="228" spans="1:49" ht="16.5" customHeight="1">
      <c r="A228" s="155"/>
      <c r="B228" s="155"/>
      <c r="C228" s="1"/>
      <c r="D228" s="1"/>
      <c r="E228" s="1"/>
      <c r="F228" s="156"/>
      <c r="G228" s="1"/>
      <c r="H228" s="1"/>
      <c r="I228" s="1"/>
      <c r="J228" s="1"/>
      <c r="K228" s="1"/>
      <c r="L228" s="1"/>
      <c r="M228" s="1"/>
      <c r="N228" s="1"/>
      <c r="O228" s="1"/>
      <c r="P228" s="1"/>
      <c r="Q228" s="1"/>
      <c r="R228" s="1"/>
      <c r="S228" s="1"/>
      <c r="T228" s="1"/>
      <c r="U228" s="1"/>
      <c r="V228" s="1"/>
      <c r="W228" s="1"/>
      <c r="X228" s="1"/>
      <c r="Y228" s="1"/>
      <c r="Z228" s="1"/>
      <c r="AA228" s="1"/>
      <c r="AB228" s="1"/>
      <c r="AC228" s="1"/>
      <c r="AD228" s="155"/>
      <c r="AE228" s="155"/>
      <c r="AF228" s="155"/>
      <c r="AG228" s="155"/>
      <c r="AH228" s="155"/>
      <c r="AI228" s="155"/>
      <c r="AJ228" s="155"/>
      <c r="AK228" s="155"/>
      <c r="AL228" s="155"/>
      <c r="AM228" s="155"/>
      <c r="AN228" s="155"/>
      <c r="AO228" s="155"/>
      <c r="AP228" s="155"/>
      <c r="AQ228" s="155"/>
      <c r="AR228" s="155"/>
      <c r="AS228" s="155"/>
      <c r="AT228" s="155"/>
      <c r="AU228" s="155"/>
      <c r="AV228" s="155"/>
      <c r="AW228" s="155"/>
    </row>
    <row r="229" spans="1:49" ht="16.5" customHeight="1">
      <c r="A229" s="155"/>
      <c r="B229" s="155"/>
      <c r="C229" s="1"/>
      <c r="D229" s="1"/>
      <c r="E229" s="1"/>
      <c r="F229" s="156"/>
      <c r="G229" s="1"/>
      <c r="H229" s="1"/>
      <c r="I229" s="1"/>
      <c r="J229" s="1"/>
      <c r="K229" s="1"/>
      <c r="L229" s="1"/>
      <c r="M229" s="1"/>
      <c r="N229" s="1"/>
      <c r="O229" s="1"/>
      <c r="P229" s="1"/>
      <c r="Q229" s="1"/>
      <c r="R229" s="1"/>
      <c r="S229" s="1"/>
      <c r="T229" s="1"/>
      <c r="U229" s="1"/>
      <c r="V229" s="1"/>
      <c r="W229" s="1"/>
      <c r="X229" s="1"/>
      <c r="Y229" s="1"/>
      <c r="Z229" s="1"/>
      <c r="AA229" s="1"/>
      <c r="AB229" s="1"/>
      <c r="AC229" s="1"/>
      <c r="AD229" s="155"/>
      <c r="AE229" s="155"/>
      <c r="AF229" s="155"/>
      <c r="AG229" s="155"/>
      <c r="AH229" s="155"/>
      <c r="AI229" s="155"/>
      <c r="AJ229" s="155"/>
      <c r="AK229" s="155"/>
      <c r="AL229" s="155"/>
      <c r="AM229" s="155"/>
      <c r="AN229" s="155"/>
      <c r="AO229" s="155"/>
      <c r="AP229" s="155"/>
      <c r="AQ229" s="155"/>
      <c r="AR229" s="155"/>
      <c r="AS229" s="155"/>
      <c r="AT229" s="155"/>
      <c r="AU229" s="155"/>
      <c r="AV229" s="155"/>
      <c r="AW229" s="155"/>
    </row>
    <row r="230" spans="1:49" ht="16.5" customHeight="1">
      <c r="A230" s="155"/>
      <c r="B230" s="155"/>
      <c r="C230" s="1"/>
      <c r="D230" s="1"/>
      <c r="E230" s="1"/>
      <c r="F230" s="156"/>
      <c r="G230" s="1"/>
      <c r="H230" s="1"/>
      <c r="I230" s="1"/>
      <c r="J230" s="1"/>
      <c r="K230" s="1"/>
      <c r="L230" s="1"/>
      <c r="M230" s="1"/>
      <c r="N230" s="1"/>
      <c r="O230" s="1"/>
      <c r="P230" s="1"/>
      <c r="Q230" s="1"/>
      <c r="R230" s="1"/>
      <c r="S230" s="1"/>
      <c r="T230" s="1"/>
      <c r="U230" s="1"/>
      <c r="V230" s="1"/>
      <c r="W230" s="1"/>
      <c r="X230" s="1"/>
      <c r="Y230" s="1"/>
      <c r="Z230" s="1"/>
      <c r="AA230" s="1"/>
      <c r="AB230" s="1"/>
      <c r="AC230" s="1"/>
      <c r="AD230" s="155"/>
      <c r="AE230" s="155"/>
      <c r="AF230" s="155"/>
      <c r="AG230" s="155"/>
      <c r="AH230" s="155"/>
      <c r="AI230" s="155"/>
      <c r="AJ230" s="155"/>
      <c r="AK230" s="155"/>
      <c r="AL230" s="155"/>
      <c r="AM230" s="155"/>
      <c r="AN230" s="155"/>
      <c r="AO230" s="155"/>
      <c r="AP230" s="155"/>
      <c r="AQ230" s="155"/>
      <c r="AR230" s="155"/>
      <c r="AS230" s="155"/>
      <c r="AT230" s="155"/>
      <c r="AU230" s="155"/>
      <c r="AV230" s="155"/>
      <c r="AW230" s="155"/>
    </row>
    <row r="231" spans="1:49" ht="16.5" customHeight="1">
      <c r="A231" s="155"/>
      <c r="B231" s="155"/>
      <c r="C231" s="1"/>
      <c r="D231" s="1"/>
      <c r="E231" s="1"/>
      <c r="F231" s="156"/>
      <c r="G231" s="1"/>
      <c r="H231" s="1"/>
      <c r="I231" s="1"/>
      <c r="J231" s="1"/>
      <c r="K231" s="1"/>
      <c r="L231" s="1"/>
      <c r="M231" s="1"/>
      <c r="N231" s="1"/>
      <c r="O231" s="1"/>
      <c r="P231" s="1"/>
      <c r="Q231" s="1"/>
      <c r="R231" s="1"/>
      <c r="S231" s="1"/>
      <c r="T231" s="1"/>
      <c r="U231" s="1"/>
      <c r="V231" s="1"/>
      <c r="W231" s="1"/>
      <c r="X231" s="1"/>
      <c r="Y231" s="1"/>
      <c r="Z231" s="1"/>
      <c r="AA231" s="1"/>
      <c r="AB231" s="1"/>
      <c r="AC231" s="1"/>
      <c r="AD231" s="155"/>
      <c r="AE231" s="155"/>
      <c r="AF231" s="155"/>
      <c r="AG231" s="155"/>
      <c r="AH231" s="155"/>
      <c r="AI231" s="155"/>
      <c r="AJ231" s="155"/>
      <c r="AK231" s="155"/>
      <c r="AL231" s="155"/>
      <c r="AM231" s="155"/>
      <c r="AN231" s="155"/>
      <c r="AO231" s="155"/>
      <c r="AP231" s="155"/>
      <c r="AQ231" s="155"/>
      <c r="AR231" s="155"/>
      <c r="AS231" s="155"/>
      <c r="AT231" s="155"/>
      <c r="AU231" s="155"/>
      <c r="AV231" s="155"/>
      <c r="AW231" s="155"/>
    </row>
    <row r="232" spans="1:49" ht="16.5" customHeight="1">
      <c r="A232" s="155"/>
      <c r="B232" s="155"/>
      <c r="C232" s="1"/>
      <c r="D232" s="1"/>
      <c r="E232" s="1"/>
      <c r="F232" s="156"/>
      <c r="G232" s="1"/>
      <c r="H232" s="1"/>
      <c r="I232" s="1"/>
      <c r="J232" s="1"/>
      <c r="K232" s="1"/>
      <c r="L232" s="1"/>
      <c r="M232" s="1"/>
      <c r="N232" s="1"/>
      <c r="O232" s="1"/>
      <c r="P232" s="1"/>
      <c r="Q232" s="1"/>
      <c r="R232" s="1"/>
      <c r="S232" s="1"/>
      <c r="T232" s="1"/>
      <c r="U232" s="1"/>
      <c r="V232" s="1"/>
      <c r="W232" s="1"/>
      <c r="X232" s="1"/>
      <c r="Y232" s="1"/>
      <c r="Z232" s="1"/>
      <c r="AA232" s="1"/>
      <c r="AB232" s="1"/>
      <c r="AC232" s="1"/>
      <c r="AD232" s="155"/>
      <c r="AE232" s="155"/>
      <c r="AF232" s="155"/>
      <c r="AG232" s="155"/>
      <c r="AH232" s="155"/>
      <c r="AI232" s="155"/>
      <c r="AJ232" s="155"/>
      <c r="AK232" s="155"/>
      <c r="AL232" s="155"/>
      <c r="AM232" s="155"/>
      <c r="AN232" s="155"/>
      <c r="AO232" s="155"/>
      <c r="AP232" s="155"/>
      <c r="AQ232" s="155"/>
      <c r="AR232" s="155"/>
      <c r="AS232" s="155"/>
      <c r="AT232" s="155"/>
      <c r="AU232" s="155"/>
      <c r="AV232" s="155"/>
      <c r="AW232" s="155"/>
    </row>
    <row r="233" spans="1:49" ht="16.5" customHeight="1">
      <c r="A233" s="155"/>
      <c r="B233" s="155"/>
      <c r="C233" s="1"/>
      <c r="D233" s="1"/>
      <c r="E233" s="1"/>
      <c r="F233" s="156"/>
      <c r="G233" s="1"/>
      <c r="H233" s="1"/>
      <c r="I233" s="1"/>
      <c r="J233" s="1"/>
      <c r="K233" s="1"/>
      <c r="L233" s="1"/>
      <c r="M233" s="1"/>
      <c r="N233" s="1"/>
      <c r="O233" s="1"/>
      <c r="P233" s="1"/>
      <c r="Q233" s="1"/>
      <c r="R233" s="1"/>
      <c r="S233" s="1"/>
      <c r="T233" s="1"/>
      <c r="U233" s="1"/>
      <c r="V233" s="1"/>
      <c r="W233" s="1"/>
      <c r="X233" s="1"/>
      <c r="Y233" s="1"/>
      <c r="Z233" s="1"/>
      <c r="AA233" s="1"/>
      <c r="AB233" s="1"/>
      <c r="AC233" s="1"/>
      <c r="AD233" s="155"/>
      <c r="AE233" s="155"/>
      <c r="AF233" s="155"/>
      <c r="AG233" s="155"/>
      <c r="AH233" s="155"/>
      <c r="AI233" s="155"/>
      <c r="AJ233" s="155"/>
      <c r="AK233" s="155"/>
      <c r="AL233" s="155"/>
      <c r="AM233" s="155"/>
      <c r="AN233" s="155"/>
      <c r="AO233" s="155"/>
      <c r="AP233" s="155"/>
      <c r="AQ233" s="155"/>
      <c r="AR233" s="155"/>
      <c r="AS233" s="155"/>
      <c r="AT233" s="155"/>
      <c r="AU233" s="155"/>
      <c r="AV233" s="155"/>
      <c r="AW233" s="155"/>
    </row>
    <row r="234" spans="1:49" ht="16.5" customHeight="1">
      <c r="A234" s="155"/>
      <c r="B234" s="155"/>
      <c r="C234" s="1"/>
      <c r="D234" s="1"/>
      <c r="E234" s="1"/>
      <c r="F234" s="156"/>
      <c r="G234" s="1"/>
      <c r="H234" s="1"/>
      <c r="I234" s="1"/>
      <c r="J234" s="1"/>
      <c r="K234" s="1"/>
      <c r="L234" s="1"/>
      <c r="M234" s="1"/>
      <c r="N234" s="1"/>
      <c r="O234" s="1"/>
      <c r="P234" s="1"/>
      <c r="Q234" s="1"/>
      <c r="R234" s="1"/>
      <c r="S234" s="1"/>
      <c r="T234" s="1"/>
      <c r="U234" s="1"/>
      <c r="V234" s="1"/>
      <c r="W234" s="1"/>
      <c r="X234" s="1"/>
      <c r="Y234" s="1"/>
      <c r="Z234" s="1"/>
      <c r="AA234" s="1"/>
      <c r="AB234" s="1"/>
      <c r="AC234" s="1"/>
      <c r="AD234" s="155"/>
      <c r="AE234" s="155"/>
      <c r="AF234" s="155"/>
      <c r="AG234" s="155"/>
      <c r="AH234" s="155"/>
      <c r="AI234" s="155"/>
      <c r="AJ234" s="155"/>
      <c r="AK234" s="155"/>
      <c r="AL234" s="155"/>
      <c r="AM234" s="155"/>
      <c r="AN234" s="155"/>
      <c r="AO234" s="155"/>
      <c r="AP234" s="155"/>
      <c r="AQ234" s="155"/>
      <c r="AR234" s="155"/>
      <c r="AS234" s="155"/>
      <c r="AT234" s="155"/>
      <c r="AU234" s="155"/>
      <c r="AV234" s="155"/>
      <c r="AW234" s="155"/>
    </row>
    <row r="235" spans="1:49" ht="16.5" customHeight="1">
      <c r="A235" s="155"/>
      <c r="B235" s="155"/>
      <c r="C235" s="1"/>
      <c r="D235" s="1"/>
      <c r="E235" s="1"/>
      <c r="F235" s="156"/>
      <c r="G235" s="1"/>
      <c r="H235" s="1"/>
      <c r="I235" s="1"/>
      <c r="J235" s="1"/>
      <c r="K235" s="1"/>
      <c r="L235" s="1"/>
      <c r="M235" s="1"/>
      <c r="N235" s="1"/>
      <c r="O235" s="1"/>
      <c r="P235" s="1"/>
      <c r="Q235" s="1"/>
      <c r="R235" s="1"/>
      <c r="S235" s="1"/>
      <c r="T235" s="1"/>
      <c r="U235" s="1"/>
      <c r="V235" s="1"/>
      <c r="W235" s="1"/>
      <c r="X235" s="1"/>
      <c r="Y235" s="1"/>
      <c r="Z235" s="1"/>
      <c r="AA235" s="1"/>
      <c r="AB235" s="1"/>
      <c r="AC235" s="1"/>
      <c r="AD235" s="155"/>
      <c r="AE235" s="155"/>
      <c r="AF235" s="155"/>
      <c r="AG235" s="155"/>
      <c r="AH235" s="155"/>
      <c r="AI235" s="155"/>
      <c r="AJ235" s="155"/>
      <c r="AK235" s="155"/>
      <c r="AL235" s="155"/>
      <c r="AM235" s="155"/>
      <c r="AN235" s="155"/>
      <c r="AO235" s="155"/>
      <c r="AP235" s="155"/>
      <c r="AQ235" s="155"/>
      <c r="AR235" s="155"/>
      <c r="AS235" s="155"/>
      <c r="AT235" s="155"/>
      <c r="AU235" s="155"/>
      <c r="AV235" s="155"/>
      <c r="AW235" s="155"/>
    </row>
    <row r="236" spans="1:49" ht="16.5" customHeight="1">
      <c r="A236" s="155"/>
      <c r="B236" s="155"/>
      <c r="C236" s="1"/>
      <c r="D236" s="1"/>
      <c r="E236" s="1"/>
      <c r="F236" s="156"/>
      <c r="G236" s="1"/>
      <c r="H236" s="1"/>
      <c r="I236" s="1"/>
      <c r="J236" s="1"/>
      <c r="K236" s="1"/>
      <c r="L236" s="1"/>
      <c r="M236" s="1"/>
      <c r="N236" s="1"/>
      <c r="O236" s="1"/>
      <c r="P236" s="1"/>
      <c r="Q236" s="1"/>
      <c r="R236" s="1"/>
      <c r="S236" s="1"/>
      <c r="T236" s="1"/>
      <c r="U236" s="1"/>
      <c r="V236" s="1"/>
      <c r="W236" s="1"/>
      <c r="X236" s="1"/>
      <c r="Y236" s="1"/>
      <c r="Z236" s="1"/>
      <c r="AA236" s="1"/>
      <c r="AB236" s="1"/>
      <c r="AC236" s="1"/>
      <c r="AD236" s="155"/>
      <c r="AE236" s="155"/>
      <c r="AF236" s="155"/>
      <c r="AG236" s="155"/>
      <c r="AH236" s="155"/>
      <c r="AI236" s="155"/>
      <c r="AJ236" s="155"/>
      <c r="AK236" s="155"/>
      <c r="AL236" s="155"/>
      <c r="AM236" s="155"/>
      <c r="AN236" s="155"/>
      <c r="AO236" s="155"/>
      <c r="AP236" s="155"/>
      <c r="AQ236" s="155"/>
      <c r="AR236" s="155"/>
      <c r="AS236" s="155"/>
      <c r="AT236" s="155"/>
      <c r="AU236" s="155"/>
      <c r="AV236" s="155"/>
      <c r="AW236" s="155"/>
    </row>
    <row r="237" spans="1:49" ht="16.5" customHeight="1">
      <c r="A237" s="155"/>
      <c r="B237" s="155"/>
      <c r="C237" s="1"/>
      <c r="D237" s="1"/>
      <c r="E237" s="1"/>
      <c r="F237" s="156"/>
      <c r="G237" s="1"/>
      <c r="H237" s="1"/>
      <c r="I237" s="1"/>
      <c r="J237" s="1"/>
      <c r="K237" s="1"/>
      <c r="L237" s="1"/>
      <c r="M237" s="1"/>
      <c r="N237" s="1"/>
      <c r="O237" s="1"/>
      <c r="P237" s="1"/>
      <c r="Q237" s="1"/>
      <c r="R237" s="1"/>
      <c r="S237" s="1"/>
      <c r="T237" s="1"/>
      <c r="U237" s="1"/>
      <c r="V237" s="1"/>
      <c r="W237" s="1"/>
      <c r="X237" s="1"/>
      <c r="Y237" s="1"/>
      <c r="Z237" s="1"/>
      <c r="AA237" s="1"/>
      <c r="AB237" s="1"/>
      <c r="AC237" s="1"/>
      <c r="AD237" s="155"/>
      <c r="AE237" s="155"/>
      <c r="AF237" s="155"/>
      <c r="AG237" s="155"/>
      <c r="AH237" s="155"/>
      <c r="AI237" s="155"/>
      <c r="AJ237" s="155"/>
      <c r="AK237" s="155"/>
      <c r="AL237" s="155"/>
      <c r="AM237" s="155"/>
      <c r="AN237" s="155"/>
      <c r="AO237" s="155"/>
      <c r="AP237" s="155"/>
      <c r="AQ237" s="155"/>
      <c r="AR237" s="155"/>
      <c r="AS237" s="155"/>
      <c r="AT237" s="155"/>
      <c r="AU237" s="155"/>
      <c r="AV237" s="155"/>
      <c r="AW237" s="155"/>
    </row>
    <row r="238" spans="1:49" ht="16.5" customHeight="1">
      <c r="A238" s="155"/>
      <c r="B238" s="155"/>
      <c r="C238" s="1"/>
      <c r="D238" s="1"/>
      <c r="E238" s="1"/>
      <c r="F238" s="156"/>
      <c r="G238" s="1"/>
      <c r="H238" s="1"/>
      <c r="I238" s="1"/>
      <c r="J238" s="1"/>
      <c r="K238" s="1"/>
      <c r="L238" s="1"/>
      <c r="M238" s="1"/>
      <c r="N238" s="1"/>
      <c r="O238" s="1"/>
      <c r="P238" s="1"/>
      <c r="Q238" s="1"/>
      <c r="R238" s="1"/>
      <c r="S238" s="1"/>
      <c r="T238" s="1"/>
      <c r="U238" s="1"/>
      <c r="V238" s="1"/>
      <c r="W238" s="1"/>
      <c r="X238" s="1"/>
      <c r="Y238" s="1"/>
      <c r="Z238" s="1"/>
      <c r="AA238" s="1"/>
      <c r="AB238" s="1"/>
      <c r="AC238" s="1"/>
      <c r="AD238" s="155"/>
      <c r="AE238" s="155"/>
      <c r="AF238" s="155"/>
      <c r="AG238" s="155"/>
      <c r="AH238" s="155"/>
      <c r="AI238" s="155"/>
      <c r="AJ238" s="155"/>
      <c r="AK238" s="155"/>
      <c r="AL238" s="155"/>
      <c r="AM238" s="155"/>
      <c r="AN238" s="155"/>
      <c r="AO238" s="155"/>
      <c r="AP238" s="155"/>
      <c r="AQ238" s="155"/>
      <c r="AR238" s="155"/>
      <c r="AS238" s="155"/>
      <c r="AT238" s="155"/>
      <c r="AU238" s="155"/>
      <c r="AV238" s="155"/>
      <c r="AW238" s="155"/>
    </row>
    <row r="239" spans="1:49" ht="16.5" customHeight="1">
      <c r="A239" s="155"/>
      <c r="B239" s="155"/>
      <c r="C239" s="1"/>
      <c r="D239" s="1"/>
      <c r="E239" s="1"/>
      <c r="F239" s="156"/>
      <c r="G239" s="1"/>
      <c r="H239" s="1"/>
      <c r="I239" s="1"/>
      <c r="J239" s="1"/>
      <c r="K239" s="1"/>
      <c r="L239" s="1"/>
      <c r="M239" s="1"/>
      <c r="N239" s="1"/>
      <c r="O239" s="1"/>
      <c r="P239" s="1"/>
      <c r="Q239" s="1"/>
      <c r="R239" s="1"/>
      <c r="S239" s="1"/>
      <c r="T239" s="1"/>
      <c r="U239" s="1"/>
      <c r="V239" s="1"/>
      <c r="W239" s="1"/>
      <c r="X239" s="1"/>
      <c r="Y239" s="1"/>
      <c r="Z239" s="1"/>
      <c r="AA239" s="1"/>
      <c r="AB239" s="1"/>
      <c r="AC239" s="1"/>
      <c r="AD239" s="155"/>
      <c r="AE239" s="155"/>
      <c r="AF239" s="155"/>
      <c r="AG239" s="155"/>
      <c r="AH239" s="155"/>
      <c r="AI239" s="155"/>
      <c r="AJ239" s="155"/>
      <c r="AK239" s="155"/>
      <c r="AL239" s="155"/>
      <c r="AM239" s="155"/>
      <c r="AN239" s="155"/>
      <c r="AO239" s="155"/>
      <c r="AP239" s="155"/>
      <c r="AQ239" s="155"/>
      <c r="AR239" s="155"/>
      <c r="AS239" s="155"/>
      <c r="AT239" s="155"/>
      <c r="AU239" s="155"/>
      <c r="AV239" s="155"/>
      <c r="AW239" s="155"/>
    </row>
    <row r="240" spans="1:49" ht="16.5" customHeight="1">
      <c r="A240" s="155"/>
      <c r="B240" s="155"/>
      <c r="C240" s="1"/>
      <c r="D240" s="1"/>
      <c r="E240" s="1"/>
      <c r="F240" s="156"/>
      <c r="G240" s="1"/>
      <c r="H240" s="1"/>
      <c r="I240" s="1"/>
      <c r="J240" s="1"/>
      <c r="K240" s="1"/>
      <c r="L240" s="1"/>
      <c r="M240" s="1"/>
      <c r="N240" s="1"/>
      <c r="O240" s="1"/>
      <c r="P240" s="1"/>
      <c r="Q240" s="1"/>
      <c r="R240" s="1"/>
      <c r="S240" s="1"/>
      <c r="T240" s="1"/>
      <c r="U240" s="1"/>
      <c r="V240" s="1"/>
      <c r="W240" s="1"/>
      <c r="X240" s="1"/>
      <c r="Y240" s="1"/>
      <c r="Z240" s="1"/>
      <c r="AA240" s="1"/>
      <c r="AB240" s="1"/>
      <c r="AC240" s="1"/>
      <c r="AD240" s="155"/>
      <c r="AE240" s="155"/>
      <c r="AF240" s="155"/>
      <c r="AG240" s="155"/>
      <c r="AH240" s="155"/>
      <c r="AI240" s="155"/>
      <c r="AJ240" s="155"/>
      <c r="AK240" s="155"/>
      <c r="AL240" s="155"/>
      <c r="AM240" s="155"/>
      <c r="AN240" s="155"/>
      <c r="AO240" s="155"/>
      <c r="AP240" s="155"/>
      <c r="AQ240" s="155"/>
      <c r="AR240" s="155"/>
      <c r="AS240" s="155"/>
      <c r="AT240" s="155"/>
      <c r="AU240" s="155"/>
      <c r="AV240" s="155"/>
      <c r="AW240" s="155"/>
    </row>
    <row r="241" spans="1:49" ht="16.5" customHeight="1">
      <c r="A241" s="155"/>
      <c r="B241" s="155"/>
      <c r="C241" s="1"/>
      <c r="D241" s="1"/>
      <c r="E241" s="1"/>
      <c r="F241" s="156"/>
      <c r="G241" s="1"/>
      <c r="H241" s="1"/>
      <c r="I241" s="1"/>
      <c r="J241" s="1"/>
      <c r="K241" s="1"/>
      <c r="L241" s="1"/>
      <c r="M241" s="1"/>
      <c r="N241" s="1"/>
      <c r="O241" s="1"/>
      <c r="P241" s="1"/>
      <c r="Q241" s="1"/>
      <c r="R241" s="1"/>
      <c r="S241" s="1"/>
      <c r="T241" s="1"/>
      <c r="U241" s="1"/>
      <c r="V241" s="1"/>
      <c r="W241" s="1"/>
      <c r="X241" s="1"/>
      <c r="Y241" s="1"/>
      <c r="Z241" s="1"/>
      <c r="AA241" s="1"/>
      <c r="AB241" s="1"/>
      <c r="AC241" s="1"/>
      <c r="AD241" s="155"/>
      <c r="AE241" s="155"/>
      <c r="AF241" s="155"/>
      <c r="AG241" s="155"/>
      <c r="AH241" s="155"/>
      <c r="AI241" s="155"/>
      <c r="AJ241" s="155"/>
      <c r="AK241" s="155"/>
      <c r="AL241" s="155"/>
      <c r="AM241" s="155"/>
      <c r="AN241" s="155"/>
      <c r="AO241" s="155"/>
      <c r="AP241" s="155"/>
      <c r="AQ241" s="155"/>
      <c r="AR241" s="155"/>
      <c r="AS241" s="155"/>
      <c r="AT241" s="155"/>
      <c r="AU241" s="155"/>
      <c r="AV241" s="155"/>
      <c r="AW241" s="155"/>
    </row>
    <row r="242" spans="1:49" ht="16.5" customHeight="1">
      <c r="A242" s="155"/>
      <c r="B242" s="155"/>
      <c r="C242" s="1"/>
      <c r="D242" s="1"/>
      <c r="E242" s="1"/>
      <c r="F242" s="156"/>
      <c r="G242" s="1"/>
      <c r="H242" s="1"/>
      <c r="I242" s="1"/>
      <c r="J242" s="1"/>
      <c r="K242" s="1"/>
      <c r="L242" s="1"/>
      <c r="M242" s="1"/>
      <c r="N242" s="1"/>
      <c r="O242" s="1"/>
      <c r="P242" s="1"/>
      <c r="Q242" s="1"/>
      <c r="R242" s="1"/>
      <c r="S242" s="1"/>
      <c r="T242" s="1"/>
      <c r="U242" s="1"/>
      <c r="V242" s="1"/>
      <c r="W242" s="1"/>
      <c r="X242" s="1"/>
      <c r="Y242" s="1"/>
      <c r="Z242" s="1"/>
      <c r="AA242" s="1"/>
      <c r="AB242" s="1"/>
      <c r="AC242" s="1"/>
      <c r="AD242" s="155"/>
      <c r="AE242" s="155"/>
      <c r="AF242" s="155"/>
      <c r="AG242" s="155"/>
      <c r="AH242" s="155"/>
      <c r="AI242" s="155"/>
      <c r="AJ242" s="155"/>
      <c r="AK242" s="155"/>
      <c r="AL242" s="155"/>
      <c r="AM242" s="155"/>
      <c r="AN242" s="155"/>
      <c r="AO242" s="155"/>
      <c r="AP242" s="155"/>
      <c r="AQ242" s="155"/>
      <c r="AR242" s="155"/>
      <c r="AS242" s="155"/>
      <c r="AT242" s="155"/>
      <c r="AU242" s="155"/>
      <c r="AV242" s="155"/>
      <c r="AW242" s="155"/>
    </row>
    <row r="243" spans="1:49" ht="16.5" customHeight="1">
      <c r="A243" s="155"/>
      <c r="B243" s="155"/>
      <c r="C243" s="1"/>
      <c r="D243" s="1"/>
      <c r="E243" s="1"/>
      <c r="F243" s="156"/>
      <c r="G243" s="1"/>
      <c r="H243" s="1"/>
      <c r="I243" s="1"/>
      <c r="J243" s="1"/>
      <c r="K243" s="1"/>
      <c r="L243" s="1"/>
      <c r="M243" s="1"/>
      <c r="N243" s="1"/>
      <c r="O243" s="1"/>
      <c r="P243" s="1"/>
      <c r="Q243" s="1"/>
      <c r="R243" s="1"/>
      <c r="S243" s="1"/>
      <c r="T243" s="1"/>
      <c r="U243" s="1"/>
      <c r="V243" s="1"/>
      <c r="W243" s="1"/>
      <c r="X243" s="1"/>
      <c r="Y243" s="1"/>
      <c r="Z243" s="1"/>
      <c r="AA243" s="1"/>
      <c r="AB243" s="1"/>
      <c r="AC243" s="1"/>
      <c r="AD243" s="155"/>
      <c r="AE243" s="155"/>
      <c r="AF243" s="155"/>
      <c r="AG243" s="155"/>
      <c r="AH243" s="155"/>
      <c r="AI243" s="155"/>
      <c r="AJ243" s="155"/>
      <c r="AK243" s="155"/>
      <c r="AL243" s="155"/>
      <c r="AM243" s="155"/>
      <c r="AN243" s="155"/>
      <c r="AO243" s="155"/>
      <c r="AP243" s="155"/>
      <c r="AQ243" s="155"/>
      <c r="AR243" s="155"/>
      <c r="AS243" s="155"/>
      <c r="AT243" s="155"/>
      <c r="AU243" s="155"/>
      <c r="AV243" s="155"/>
      <c r="AW243" s="155"/>
    </row>
    <row r="244" spans="1:49" ht="16.5" customHeight="1">
      <c r="A244" s="155"/>
      <c r="B244" s="155"/>
      <c r="C244" s="1"/>
      <c r="D244" s="1"/>
      <c r="E244" s="1"/>
      <c r="F244" s="156"/>
      <c r="G244" s="1"/>
      <c r="H244" s="1"/>
      <c r="I244" s="1"/>
      <c r="J244" s="1"/>
      <c r="K244" s="1"/>
      <c r="L244" s="1"/>
      <c r="M244" s="1"/>
      <c r="N244" s="1"/>
      <c r="O244" s="1"/>
      <c r="P244" s="1"/>
      <c r="Q244" s="1"/>
      <c r="R244" s="1"/>
      <c r="S244" s="1"/>
      <c r="T244" s="1"/>
      <c r="U244" s="1"/>
      <c r="V244" s="1"/>
      <c r="W244" s="1"/>
      <c r="X244" s="1"/>
      <c r="Y244" s="1"/>
      <c r="Z244" s="1"/>
      <c r="AA244" s="1"/>
      <c r="AB244" s="1"/>
      <c r="AC244" s="1"/>
      <c r="AD244" s="155"/>
      <c r="AE244" s="155"/>
      <c r="AF244" s="155"/>
      <c r="AG244" s="155"/>
      <c r="AH244" s="155"/>
      <c r="AI244" s="155"/>
      <c r="AJ244" s="155"/>
      <c r="AK244" s="155"/>
      <c r="AL244" s="155"/>
      <c r="AM244" s="155"/>
      <c r="AN244" s="155"/>
      <c r="AO244" s="155"/>
      <c r="AP244" s="155"/>
      <c r="AQ244" s="155"/>
      <c r="AR244" s="155"/>
      <c r="AS244" s="155"/>
      <c r="AT244" s="155"/>
      <c r="AU244" s="155"/>
      <c r="AV244" s="155"/>
      <c r="AW244" s="155"/>
    </row>
    <row r="245" spans="1:49" ht="16.5" customHeight="1">
      <c r="A245" s="155"/>
      <c r="B245" s="155"/>
      <c r="C245" s="1"/>
      <c r="D245" s="1"/>
      <c r="E245" s="1"/>
      <c r="F245" s="156"/>
      <c r="G245" s="1"/>
      <c r="H245" s="1"/>
      <c r="I245" s="1"/>
      <c r="J245" s="1"/>
      <c r="K245" s="1"/>
      <c r="L245" s="1"/>
      <c r="M245" s="1"/>
      <c r="N245" s="1"/>
      <c r="O245" s="1"/>
      <c r="P245" s="1"/>
      <c r="Q245" s="1"/>
      <c r="R245" s="1"/>
      <c r="S245" s="1"/>
      <c r="T245" s="1"/>
      <c r="U245" s="1"/>
      <c r="V245" s="1"/>
      <c r="W245" s="1"/>
      <c r="X245" s="1"/>
      <c r="Y245" s="1"/>
      <c r="Z245" s="1"/>
      <c r="AA245" s="1"/>
      <c r="AB245" s="1"/>
      <c r="AC245" s="1"/>
      <c r="AD245" s="155"/>
      <c r="AE245" s="155"/>
      <c r="AF245" s="155"/>
      <c r="AG245" s="155"/>
      <c r="AH245" s="155"/>
      <c r="AI245" s="155"/>
      <c r="AJ245" s="155"/>
      <c r="AK245" s="155"/>
      <c r="AL245" s="155"/>
      <c r="AM245" s="155"/>
      <c r="AN245" s="155"/>
      <c r="AO245" s="155"/>
      <c r="AP245" s="155"/>
      <c r="AQ245" s="155"/>
      <c r="AR245" s="155"/>
      <c r="AS245" s="155"/>
      <c r="AT245" s="155"/>
      <c r="AU245" s="155"/>
      <c r="AV245" s="155"/>
      <c r="AW245" s="155"/>
    </row>
    <row r="246" spans="1:49" ht="16.5" customHeight="1">
      <c r="A246" s="155"/>
      <c r="B246" s="155"/>
      <c r="C246" s="1"/>
      <c r="D246" s="1"/>
      <c r="E246" s="1"/>
      <c r="F246" s="156"/>
      <c r="G246" s="1"/>
      <c r="H246" s="1"/>
      <c r="I246" s="1"/>
      <c r="J246" s="1"/>
      <c r="K246" s="1"/>
      <c r="L246" s="1"/>
      <c r="M246" s="1"/>
      <c r="N246" s="1"/>
      <c r="O246" s="1"/>
      <c r="P246" s="1"/>
      <c r="Q246" s="1"/>
      <c r="R246" s="1"/>
      <c r="S246" s="1"/>
      <c r="T246" s="1"/>
      <c r="U246" s="1"/>
      <c r="V246" s="1"/>
      <c r="W246" s="1"/>
      <c r="X246" s="1"/>
      <c r="Y246" s="1"/>
      <c r="Z246" s="1"/>
      <c r="AA246" s="1"/>
      <c r="AB246" s="1"/>
      <c r="AC246" s="1"/>
      <c r="AD246" s="155"/>
      <c r="AE246" s="155"/>
      <c r="AF246" s="155"/>
      <c r="AG246" s="155"/>
      <c r="AH246" s="155"/>
      <c r="AI246" s="155"/>
      <c r="AJ246" s="155"/>
      <c r="AK246" s="155"/>
      <c r="AL246" s="155"/>
      <c r="AM246" s="155"/>
      <c r="AN246" s="155"/>
      <c r="AO246" s="155"/>
      <c r="AP246" s="155"/>
      <c r="AQ246" s="155"/>
      <c r="AR246" s="155"/>
      <c r="AS246" s="155"/>
      <c r="AT246" s="155"/>
      <c r="AU246" s="155"/>
      <c r="AV246" s="155"/>
      <c r="AW246" s="155"/>
    </row>
    <row r="247" spans="1:49" ht="16.5" customHeight="1">
      <c r="A247" s="155"/>
      <c r="B247" s="155"/>
      <c r="C247" s="1"/>
      <c r="D247" s="1"/>
      <c r="E247" s="1"/>
      <c r="F247" s="156"/>
      <c r="G247" s="1"/>
      <c r="H247" s="1"/>
      <c r="I247" s="1"/>
      <c r="J247" s="1"/>
      <c r="K247" s="1"/>
      <c r="L247" s="1"/>
      <c r="M247" s="1"/>
      <c r="N247" s="1"/>
      <c r="O247" s="1"/>
      <c r="P247" s="1"/>
      <c r="Q247" s="1"/>
      <c r="R247" s="1"/>
      <c r="S247" s="1"/>
      <c r="T247" s="1"/>
      <c r="U247" s="1"/>
      <c r="V247" s="1"/>
      <c r="W247" s="1"/>
      <c r="X247" s="1"/>
      <c r="Y247" s="1"/>
      <c r="Z247" s="1"/>
      <c r="AA247" s="1"/>
      <c r="AB247" s="1"/>
      <c r="AC247" s="1"/>
      <c r="AD247" s="155"/>
      <c r="AE247" s="155"/>
      <c r="AF247" s="155"/>
      <c r="AG247" s="155"/>
      <c r="AH247" s="155"/>
      <c r="AI247" s="155"/>
      <c r="AJ247" s="155"/>
      <c r="AK247" s="155"/>
      <c r="AL247" s="155"/>
      <c r="AM247" s="155"/>
      <c r="AN247" s="155"/>
      <c r="AO247" s="155"/>
      <c r="AP247" s="155"/>
      <c r="AQ247" s="155"/>
      <c r="AR247" s="155"/>
      <c r="AS247" s="155"/>
      <c r="AT247" s="155"/>
      <c r="AU247" s="155"/>
      <c r="AV247" s="155"/>
      <c r="AW247" s="155"/>
    </row>
    <row r="248" spans="1:49" ht="16.5" customHeight="1">
      <c r="A248" s="155"/>
      <c r="B248" s="155"/>
      <c r="C248" s="1"/>
      <c r="D248" s="1"/>
      <c r="E248" s="1"/>
      <c r="F248" s="156"/>
      <c r="G248" s="1"/>
      <c r="H248" s="1"/>
      <c r="I248" s="1"/>
      <c r="J248" s="1"/>
      <c r="K248" s="1"/>
      <c r="L248" s="1"/>
      <c r="M248" s="1"/>
      <c r="N248" s="1"/>
      <c r="O248" s="1"/>
      <c r="P248" s="1"/>
      <c r="Q248" s="1"/>
      <c r="R248" s="1"/>
      <c r="S248" s="1"/>
      <c r="T248" s="1"/>
      <c r="U248" s="1"/>
      <c r="V248" s="1"/>
      <c r="W248" s="1"/>
      <c r="X248" s="1"/>
      <c r="Y248" s="1"/>
      <c r="Z248" s="1"/>
      <c r="AA248" s="1"/>
      <c r="AB248" s="1"/>
      <c r="AC248" s="1"/>
      <c r="AD248" s="155"/>
      <c r="AE248" s="155"/>
      <c r="AF248" s="155"/>
      <c r="AG248" s="155"/>
      <c r="AH248" s="155"/>
      <c r="AI248" s="155"/>
      <c r="AJ248" s="155"/>
      <c r="AK248" s="155"/>
      <c r="AL248" s="155"/>
      <c r="AM248" s="155"/>
      <c r="AN248" s="155"/>
      <c r="AO248" s="155"/>
      <c r="AP248" s="155"/>
      <c r="AQ248" s="155"/>
      <c r="AR248" s="155"/>
      <c r="AS248" s="155"/>
      <c r="AT248" s="155"/>
      <c r="AU248" s="155"/>
      <c r="AV248" s="155"/>
      <c r="AW248" s="155"/>
    </row>
    <row r="249" spans="1:49" ht="16.5" customHeight="1">
      <c r="A249" s="155"/>
      <c r="B249" s="155"/>
      <c r="C249" s="1"/>
      <c r="D249" s="1"/>
      <c r="E249" s="1"/>
      <c r="F249" s="156"/>
      <c r="G249" s="1"/>
      <c r="H249" s="1"/>
      <c r="I249" s="1"/>
      <c r="J249" s="1"/>
      <c r="K249" s="1"/>
      <c r="L249" s="1"/>
      <c r="M249" s="1"/>
      <c r="N249" s="1"/>
      <c r="O249" s="1"/>
      <c r="P249" s="1"/>
      <c r="Q249" s="1"/>
      <c r="R249" s="1"/>
      <c r="S249" s="1"/>
      <c r="T249" s="1"/>
      <c r="U249" s="1"/>
      <c r="V249" s="1"/>
      <c r="W249" s="1"/>
      <c r="X249" s="1"/>
      <c r="Y249" s="1"/>
      <c r="Z249" s="1"/>
      <c r="AA249" s="1"/>
      <c r="AB249" s="1"/>
      <c r="AC249" s="1"/>
      <c r="AD249" s="155"/>
      <c r="AE249" s="155"/>
      <c r="AF249" s="155"/>
      <c r="AG249" s="155"/>
      <c r="AH249" s="155"/>
      <c r="AI249" s="155"/>
      <c r="AJ249" s="155"/>
      <c r="AK249" s="155"/>
      <c r="AL249" s="155"/>
      <c r="AM249" s="155"/>
      <c r="AN249" s="155"/>
      <c r="AO249" s="155"/>
      <c r="AP249" s="155"/>
      <c r="AQ249" s="155"/>
      <c r="AR249" s="155"/>
      <c r="AS249" s="155"/>
      <c r="AT249" s="155"/>
      <c r="AU249" s="155"/>
      <c r="AV249" s="155"/>
      <c r="AW249" s="155"/>
    </row>
    <row r="250" spans="1:49" ht="16.5" customHeight="1">
      <c r="A250" s="155"/>
      <c r="B250" s="155"/>
      <c r="C250" s="1"/>
      <c r="D250" s="1"/>
      <c r="E250" s="1"/>
      <c r="F250" s="156"/>
      <c r="G250" s="1"/>
      <c r="H250" s="1"/>
      <c r="I250" s="1"/>
      <c r="J250" s="1"/>
      <c r="K250" s="1"/>
      <c r="L250" s="1"/>
      <c r="M250" s="1"/>
      <c r="N250" s="1"/>
      <c r="O250" s="1"/>
      <c r="P250" s="1"/>
      <c r="Q250" s="1"/>
      <c r="R250" s="1"/>
      <c r="S250" s="1"/>
      <c r="T250" s="1"/>
      <c r="U250" s="1"/>
      <c r="V250" s="1"/>
      <c r="W250" s="1"/>
      <c r="X250" s="1"/>
      <c r="Y250" s="1"/>
      <c r="Z250" s="1"/>
      <c r="AA250" s="1"/>
      <c r="AB250" s="1"/>
      <c r="AC250" s="1"/>
      <c r="AD250" s="155"/>
      <c r="AE250" s="155"/>
      <c r="AF250" s="155"/>
      <c r="AG250" s="155"/>
      <c r="AH250" s="155"/>
      <c r="AI250" s="155"/>
      <c r="AJ250" s="155"/>
      <c r="AK250" s="155"/>
      <c r="AL250" s="155"/>
      <c r="AM250" s="155"/>
      <c r="AN250" s="155"/>
      <c r="AO250" s="155"/>
      <c r="AP250" s="155"/>
      <c r="AQ250" s="155"/>
      <c r="AR250" s="155"/>
      <c r="AS250" s="155"/>
      <c r="AT250" s="155"/>
      <c r="AU250" s="155"/>
      <c r="AV250" s="155"/>
      <c r="AW250" s="155"/>
    </row>
    <row r="251" spans="1:49" ht="16.5" customHeight="1">
      <c r="A251" s="155"/>
      <c r="B251" s="155"/>
      <c r="C251" s="1"/>
      <c r="D251" s="1"/>
      <c r="E251" s="1"/>
      <c r="F251" s="156"/>
      <c r="G251" s="1"/>
      <c r="H251" s="1"/>
      <c r="I251" s="1"/>
      <c r="J251" s="1"/>
      <c r="K251" s="1"/>
      <c r="L251" s="1"/>
      <c r="M251" s="1"/>
      <c r="N251" s="1"/>
      <c r="O251" s="1"/>
      <c r="P251" s="1"/>
      <c r="Q251" s="1"/>
      <c r="R251" s="1"/>
      <c r="S251" s="1"/>
      <c r="T251" s="1"/>
      <c r="U251" s="1"/>
      <c r="V251" s="1"/>
      <c r="W251" s="1"/>
      <c r="X251" s="1"/>
      <c r="Y251" s="1"/>
      <c r="Z251" s="1"/>
      <c r="AA251" s="1"/>
      <c r="AB251" s="1"/>
      <c r="AC251" s="1"/>
      <c r="AD251" s="155"/>
      <c r="AE251" s="155"/>
      <c r="AF251" s="155"/>
      <c r="AG251" s="155"/>
      <c r="AH251" s="155"/>
      <c r="AI251" s="155"/>
      <c r="AJ251" s="155"/>
      <c r="AK251" s="155"/>
      <c r="AL251" s="155"/>
      <c r="AM251" s="155"/>
      <c r="AN251" s="155"/>
      <c r="AO251" s="155"/>
      <c r="AP251" s="155"/>
      <c r="AQ251" s="155"/>
      <c r="AR251" s="155"/>
      <c r="AS251" s="155"/>
      <c r="AT251" s="155"/>
      <c r="AU251" s="155"/>
      <c r="AV251" s="155"/>
      <c r="AW251" s="155"/>
    </row>
    <row r="252" spans="1:49" ht="16.5" customHeight="1">
      <c r="A252" s="155"/>
      <c r="B252" s="155"/>
      <c r="C252" s="1"/>
      <c r="D252" s="1"/>
      <c r="E252" s="1"/>
      <c r="F252" s="156"/>
      <c r="G252" s="1"/>
      <c r="H252" s="1"/>
      <c r="I252" s="1"/>
      <c r="J252" s="1"/>
      <c r="K252" s="1"/>
      <c r="L252" s="1"/>
      <c r="M252" s="1"/>
      <c r="N252" s="1"/>
      <c r="O252" s="1"/>
      <c r="P252" s="1"/>
      <c r="Q252" s="1"/>
      <c r="R252" s="1"/>
      <c r="S252" s="1"/>
      <c r="T252" s="1"/>
      <c r="U252" s="1"/>
      <c r="V252" s="1"/>
      <c r="W252" s="1"/>
      <c r="X252" s="1"/>
      <c r="Y252" s="1"/>
      <c r="Z252" s="1"/>
      <c r="AA252" s="1"/>
      <c r="AB252" s="1"/>
      <c r="AC252" s="1"/>
      <c r="AD252" s="155"/>
      <c r="AE252" s="155"/>
      <c r="AF252" s="155"/>
      <c r="AG252" s="155"/>
      <c r="AH252" s="155"/>
      <c r="AI252" s="155"/>
      <c r="AJ252" s="155"/>
      <c r="AK252" s="155"/>
      <c r="AL252" s="155"/>
      <c r="AM252" s="155"/>
      <c r="AN252" s="155"/>
      <c r="AO252" s="155"/>
      <c r="AP252" s="155"/>
      <c r="AQ252" s="155"/>
      <c r="AR252" s="155"/>
      <c r="AS252" s="155"/>
      <c r="AT252" s="155"/>
      <c r="AU252" s="155"/>
      <c r="AV252" s="155"/>
      <c r="AW252" s="155"/>
    </row>
    <row r="253" spans="1:49" ht="16.5" customHeight="1">
      <c r="A253" s="155"/>
      <c r="B253" s="155"/>
      <c r="C253" s="1"/>
      <c r="D253" s="1"/>
      <c r="E253" s="1"/>
      <c r="F253" s="156"/>
      <c r="G253" s="1"/>
      <c r="H253" s="1"/>
      <c r="I253" s="1"/>
      <c r="J253" s="1"/>
      <c r="K253" s="1"/>
      <c r="L253" s="1"/>
      <c r="M253" s="1"/>
      <c r="N253" s="1"/>
      <c r="O253" s="1"/>
      <c r="P253" s="1"/>
      <c r="Q253" s="1"/>
      <c r="R253" s="1"/>
      <c r="S253" s="1"/>
      <c r="T253" s="1"/>
      <c r="U253" s="1"/>
      <c r="V253" s="1"/>
      <c r="W253" s="1"/>
      <c r="X253" s="1"/>
      <c r="Y253" s="1"/>
      <c r="Z253" s="1"/>
      <c r="AA253" s="1"/>
      <c r="AB253" s="1"/>
      <c r="AC253" s="1"/>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row>
    <row r="254" spans="1:49" ht="16.5" customHeight="1">
      <c r="A254" s="155"/>
      <c r="B254" s="155"/>
      <c r="C254" s="1"/>
      <c r="D254" s="1"/>
      <c r="E254" s="1"/>
      <c r="F254" s="156"/>
      <c r="G254" s="1"/>
      <c r="H254" s="1"/>
      <c r="I254" s="1"/>
      <c r="J254" s="1"/>
      <c r="K254" s="1"/>
      <c r="L254" s="1"/>
      <c r="M254" s="1"/>
      <c r="N254" s="1"/>
      <c r="O254" s="1"/>
      <c r="P254" s="1"/>
      <c r="Q254" s="1"/>
      <c r="R254" s="1"/>
      <c r="S254" s="1"/>
      <c r="T254" s="1"/>
      <c r="U254" s="1"/>
      <c r="V254" s="1"/>
      <c r="W254" s="1"/>
      <c r="X254" s="1"/>
      <c r="Y254" s="1"/>
      <c r="Z254" s="1"/>
      <c r="AA254" s="1"/>
      <c r="AB254" s="1"/>
      <c r="AC254" s="1"/>
      <c r="AD254" s="155"/>
      <c r="AE254" s="155"/>
      <c r="AF254" s="155"/>
      <c r="AG254" s="155"/>
      <c r="AH254" s="155"/>
      <c r="AI254" s="155"/>
      <c r="AJ254" s="155"/>
      <c r="AK254" s="155"/>
      <c r="AL254" s="155"/>
      <c r="AM254" s="155"/>
      <c r="AN254" s="155"/>
      <c r="AO254" s="155"/>
      <c r="AP254" s="155"/>
      <c r="AQ254" s="155"/>
      <c r="AR254" s="155"/>
      <c r="AS254" s="155"/>
      <c r="AT254" s="155"/>
      <c r="AU254" s="155"/>
      <c r="AV254" s="155"/>
      <c r="AW254" s="155"/>
    </row>
    <row r="255" spans="1:49" ht="16.5" customHeight="1">
      <c r="A255" s="155"/>
      <c r="B255" s="155"/>
      <c r="C255" s="1"/>
      <c r="D255" s="1"/>
      <c r="E255" s="1"/>
      <c r="F255" s="156"/>
      <c r="G255" s="1"/>
      <c r="H255" s="1"/>
      <c r="I255" s="1"/>
      <c r="J255" s="1"/>
      <c r="K255" s="1"/>
      <c r="L255" s="1"/>
      <c r="M255" s="1"/>
      <c r="N255" s="1"/>
      <c r="O255" s="1"/>
      <c r="P255" s="1"/>
      <c r="Q255" s="1"/>
      <c r="R255" s="1"/>
      <c r="S255" s="1"/>
      <c r="T255" s="1"/>
      <c r="U255" s="1"/>
      <c r="V255" s="1"/>
      <c r="W255" s="1"/>
      <c r="X255" s="1"/>
      <c r="Y255" s="1"/>
      <c r="Z255" s="1"/>
      <c r="AA255" s="1"/>
      <c r="AB255" s="1"/>
      <c r="AC255" s="1"/>
      <c r="AD255" s="155"/>
      <c r="AE255" s="155"/>
      <c r="AF255" s="155"/>
      <c r="AG255" s="155"/>
      <c r="AH255" s="155"/>
      <c r="AI255" s="155"/>
      <c r="AJ255" s="155"/>
      <c r="AK255" s="155"/>
      <c r="AL255" s="155"/>
      <c r="AM255" s="155"/>
      <c r="AN255" s="155"/>
      <c r="AO255" s="155"/>
      <c r="AP255" s="155"/>
      <c r="AQ255" s="155"/>
      <c r="AR255" s="155"/>
      <c r="AS255" s="155"/>
      <c r="AT255" s="155"/>
      <c r="AU255" s="155"/>
      <c r="AV255" s="155"/>
      <c r="AW255" s="155"/>
    </row>
    <row r="256" spans="1:49" ht="16.5" customHeight="1">
      <c r="A256" s="155"/>
      <c r="B256" s="155"/>
      <c r="C256" s="1"/>
      <c r="D256" s="1"/>
      <c r="E256" s="1"/>
      <c r="F256" s="156"/>
      <c r="G256" s="1"/>
      <c r="H256" s="1"/>
      <c r="I256" s="1"/>
      <c r="J256" s="1"/>
      <c r="K256" s="1"/>
      <c r="L256" s="1"/>
      <c r="M256" s="1"/>
      <c r="N256" s="1"/>
      <c r="O256" s="1"/>
      <c r="P256" s="1"/>
      <c r="Q256" s="1"/>
      <c r="R256" s="1"/>
      <c r="S256" s="1"/>
      <c r="T256" s="1"/>
      <c r="U256" s="1"/>
      <c r="V256" s="1"/>
      <c r="W256" s="1"/>
      <c r="X256" s="1"/>
      <c r="Y256" s="1"/>
      <c r="Z256" s="1"/>
      <c r="AA256" s="1"/>
      <c r="AB256" s="1"/>
      <c r="AC256" s="1"/>
      <c r="AD256" s="155"/>
      <c r="AE256" s="155"/>
      <c r="AF256" s="155"/>
      <c r="AG256" s="155"/>
      <c r="AH256" s="155"/>
      <c r="AI256" s="155"/>
      <c r="AJ256" s="155"/>
      <c r="AK256" s="155"/>
      <c r="AL256" s="155"/>
      <c r="AM256" s="155"/>
      <c r="AN256" s="155"/>
      <c r="AO256" s="155"/>
      <c r="AP256" s="155"/>
      <c r="AQ256" s="155"/>
      <c r="AR256" s="155"/>
      <c r="AS256" s="155"/>
      <c r="AT256" s="155"/>
      <c r="AU256" s="155"/>
      <c r="AV256" s="155"/>
      <c r="AW256" s="155"/>
    </row>
    <row r="257" spans="1:49" ht="16.5" customHeight="1">
      <c r="A257" s="155"/>
      <c r="B257" s="155"/>
      <c r="C257" s="1"/>
      <c r="D257" s="1"/>
      <c r="E257" s="1"/>
      <c r="F257" s="156"/>
      <c r="G257" s="1"/>
      <c r="H257" s="1"/>
      <c r="I257" s="1"/>
      <c r="J257" s="1"/>
      <c r="K257" s="1"/>
      <c r="L257" s="1"/>
      <c r="M257" s="1"/>
      <c r="N257" s="1"/>
      <c r="O257" s="1"/>
      <c r="P257" s="1"/>
      <c r="Q257" s="1"/>
      <c r="R257" s="1"/>
      <c r="S257" s="1"/>
      <c r="T257" s="1"/>
      <c r="U257" s="1"/>
      <c r="V257" s="1"/>
      <c r="W257" s="1"/>
      <c r="X257" s="1"/>
      <c r="Y257" s="1"/>
      <c r="Z257" s="1"/>
      <c r="AA257" s="1"/>
      <c r="AB257" s="1"/>
      <c r="AC257" s="1"/>
      <c r="AD257" s="155"/>
      <c r="AE257" s="155"/>
      <c r="AF257" s="155"/>
      <c r="AG257" s="155"/>
      <c r="AH257" s="155"/>
      <c r="AI257" s="155"/>
      <c r="AJ257" s="155"/>
      <c r="AK257" s="155"/>
      <c r="AL257" s="155"/>
      <c r="AM257" s="155"/>
      <c r="AN257" s="155"/>
      <c r="AO257" s="155"/>
      <c r="AP257" s="155"/>
      <c r="AQ257" s="155"/>
      <c r="AR257" s="155"/>
      <c r="AS257" s="155"/>
      <c r="AT257" s="155"/>
      <c r="AU257" s="155"/>
      <c r="AV257" s="155"/>
      <c r="AW257" s="155"/>
    </row>
    <row r="258" spans="1:49" ht="16.5" customHeight="1">
      <c r="A258" s="155"/>
      <c r="B258" s="155"/>
      <c r="C258" s="1"/>
      <c r="D258" s="1"/>
      <c r="E258" s="1"/>
      <c r="F258" s="156"/>
      <c r="G258" s="1"/>
      <c r="H258" s="1"/>
      <c r="I258" s="1"/>
      <c r="J258" s="1"/>
      <c r="K258" s="1"/>
      <c r="L258" s="1"/>
      <c r="M258" s="1"/>
      <c r="N258" s="1"/>
      <c r="O258" s="1"/>
      <c r="P258" s="1"/>
      <c r="Q258" s="1"/>
      <c r="R258" s="1"/>
      <c r="S258" s="1"/>
      <c r="T258" s="1"/>
      <c r="U258" s="1"/>
      <c r="V258" s="1"/>
      <c r="W258" s="1"/>
      <c r="X258" s="1"/>
      <c r="Y258" s="1"/>
      <c r="Z258" s="1"/>
      <c r="AA258" s="1"/>
      <c r="AB258" s="1"/>
      <c r="AC258" s="1"/>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row>
    <row r="259" spans="1:49" ht="16.5" customHeight="1">
      <c r="A259" s="155"/>
      <c r="B259" s="155"/>
      <c r="C259" s="1"/>
      <c r="D259" s="1"/>
      <c r="E259" s="1"/>
      <c r="F259" s="156"/>
      <c r="G259" s="1"/>
      <c r="H259" s="1"/>
      <c r="I259" s="1"/>
      <c r="J259" s="1"/>
      <c r="K259" s="1"/>
      <c r="L259" s="1"/>
      <c r="M259" s="1"/>
      <c r="N259" s="1"/>
      <c r="O259" s="1"/>
      <c r="P259" s="1"/>
      <c r="Q259" s="1"/>
      <c r="R259" s="1"/>
      <c r="S259" s="1"/>
      <c r="T259" s="1"/>
      <c r="U259" s="1"/>
      <c r="V259" s="1"/>
      <c r="W259" s="1"/>
      <c r="X259" s="1"/>
      <c r="Y259" s="1"/>
      <c r="Z259" s="1"/>
      <c r="AA259" s="1"/>
      <c r="AB259" s="1"/>
      <c r="AC259" s="1"/>
      <c r="AD259" s="155"/>
      <c r="AE259" s="155"/>
      <c r="AF259" s="155"/>
      <c r="AG259" s="155"/>
      <c r="AH259" s="155"/>
      <c r="AI259" s="155"/>
      <c r="AJ259" s="155"/>
      <c r="AK259" s="155"/>
      <c r="AL259" s="155"/>
      <c r="AM259" s="155"/>
      <c r="AN259" s="155"/>
      <c r="AO259" s="155"/>
      <c r="AP259" s="155"/>
      <c r="AQ259" s="155"/>
      <c r="AR259" s="155"/>
      <c r="AS259" s="155"/>
      <c r="AT259" s="155"/>
      <c r="AU259" s="155"/>
      <c r="AV259" s="155"/>
      <c r="AW259" s="155"/>
    </row>
    <row r="260" spans="1:49" ht="16.5" customHeight="1">
      <c r="A260" s="155"/>
      <c r="B260" s="155"/>
      <c r="C260" s="1"/>
      <c r="D260" s="1"/>
      <c r="E260" s="1"/>
      <c r="F260" s="156"/>
      <c r="G260" s="1"/>
      <c r="H260" s="1"/>
      <c r="I260" s="1"/>
      <c r="J260" s="1"/>
      <c r="K260" s="1"/>
      <c r="L260" s="1"/>
      <c r="M260" s="1"/>
      <c r="N260" s="1"/>
      <c r="O260" s="1"/>
      <c r="P260" s="1"/>
      <c r="Q260" s="1"/>
      <c r="R260" s="1"/>
      <c r="S260" s="1"/>
      <c r="T260" s="1"/>
      <c r="U260" s="1"/>
      <c r="V260" s="1"/>
      <c r="W260" s="1"/>
      <c r="X260" s="1"/>
      <c r="Y260" s="1"/>
      <c r="Z260" s="1"/>
      <c r="AA260" s="1"/>
      <c r="AB260" s="1"/>
      <c r="AC260" s="1"/>
      <c r="AD260" s="155"/>
      <c r="AE260" s="155"/>
      <c r="AF260" s="155"/>
      <c r="AG260" s="155"/>
      <c r="AH260" s="155"/>
      <c r="AI260" s="155"/>
      <c r="AJ260" s="155"/>
      <c r="AK260" s="155"/>
      <c r="AL260" s="155"/>
      <c r="AM260" s="155"/>
      <c r="AN260" s="155"/>
      <c r="AO260" s="155"/>
      <c r="AP260" s="155"/>
      <c r="AQ260" s="155"/>
      <c r="AR260" s="155"/>
      <c r="AS260" s="155"/>
      <c r="AT260" s="155"/>
      <c r="AU260" s="155"/>
      <c r="AV260" s="155"/>
      <c r="AW260" s="155"/>
    </row>
    <row r="261" spans="1:49" ht="16.5" customHeight="1">
      <c r="A261" s="155"/>
      <c r="B261" s="155"/>
      <c r="C261" s="1"/>
      <c r="D261" s="1"/>
      <c r="E261" s="1"/>
      <c r="F261" s="156"/>
      <c r="G261" s="1"/>
      <c r="H261" s="1"/>
      <c r="I261" s="1"/>
      <c r="J261" s="1"/>
      <c r="K261" s="1"/>
      <c r="L261" s="1"/>
      <c r="M261" s="1"/>
      <c r="N261" s="1"/>
      <c r="O261" s="1"/>
      <c r="P261" s="1"/>
      <c r="Q261" s="1"/>
      <c r="R261" s="1"/>
      <c r="S261" s="1"/>
      <c r="T261" s="1"/>
      <c r="U261" s="1"/>
      <c r="V261" s="1"/>
      <c r="W261" s="1"/>
      <c r="X261" s="1"/>
      <c r="Y261" s="1"/>
      <c r="Z261" s="1"/>
      <c r="AA261" s="1"/>
      <c r="AB261" s="1"/>
      <c r="AC261" s="1"/>
      <c r="AD261" s="155"/>
      <c r="AE261" s="155"/>
      <c r="AF261" s="155"/>
      <c r="AG261" s="155"/>
      <c r="AH261" s="155"/>
      <c r="AI261" s="155"/>
      <c r="AJ261" s="155"/>
      <c r="AK261" s="155"/>
      <c r="AL261" s="155"/>
      <c r="AM261" s="155"/>
      <c r="AN261" s="155"/>
      <c r="AO261" s="155"/>
      <c r="AP261" s="155"/>
      <c r="AQ261" s="155"/>
      <c r="AR261" s="155"/>
      <c r="AS261" s="155"/>
      <c r="AT261" s="155"/>
      <c r="AU261" s="155"/>
      <c r="AV261" s="155"/>
      <c r="AW261" s="155"/>
    </row>
    <row r="262" spans="1:49" ht="16.5" customHeight="1">
      <c r="A262" s="155"/>
      <c r="B262" s="155"/>
      <c r="C262" s="1"/>
      <c r="D262" s="1"/>
      <c r="E262" s="1"/>
      <c r="F262" s="156"/>
      <c r="G262" s="1"/>
      <c r="H262" s="1"/>
      <c r="I262" s="1"/>
      <c r="J262" s="1"/>
      <c r="K262" s="1"/>
      <c r="L262" s="1"/>
      <c r="M262" s="1"/>
      <c r="N262" s="1"/>
      <c r="O262" s="1"/>
      <c r="P262" s="1"/>
      <c r="Q262" s="1"/>
      <c r="R262" s="1"/>
      <c r="S262" s="1"/>
      <c r="T262" s="1"/>
      <c r="U262" s="1"/>
      <c r="V262" s="1"/>
      <c r="W262" s="1"/>
      <c r="X262" s="1"/>
      <c r="Y262" s="1"/>
      <c r="Z262" s="1"/>
      <c r="AA262" s="1"/>
      <c r="AB262" s="1"/>
      <c r="AC262" s="1"/>
      <c r="AD262" s="155"/>
      <c r="AE262" s="155"/>
      <c r="AF262" s="155"/>
      <c r="AG262" s="155"/>
      <c r="AH262" s="155"/>
      <c r="AI262" s="155"/>
      <c r="AJ262" s="155"/>
      <c r="AK262" s="155"/>
      <c r="AL262" s="155"/>
      <c r="AM262" s="155"/>
      <c r="AN262" s="155"/>
      <c r="AO262" s="155"/>
      <c r="AP262" s="155"/>
      <c r="AQ262" s="155"/>
      <c r="AR262" s="155"/>
      <c r="AS262" s="155"/>
      <c r="AT262" s="155"/>
      <c r="AU262" s="155"/>
      <c r="AV262" s="155"/>
      <c r="AW262" s="155"/>
    </row>
    <row r="263" spans="1:49" ht="16.5" customHeight="1">
      <c r="A263" s="155"/>
      <c r="B263" s="155"/>
      <c r="C263" s="1"/>
      <c r="D263" s="1"/>
      <c r="E263" s="1"/>
      <c r="F263" s="156"/>
      <c r="G263" s="1"/>
      <c r="H263" s="1"/>
      <c r="I263" s="1"/>
      <c r="J263" s="1"/>
      <c r="K263" s="1"/>
      <c r="L263" s="1"/>
      <c r="M263" s="1"/>
      <c r="N263" s="1"/>
      <c r="O263" s="1"/>
      <c r="P263" s="1"/>
      <c r="Q263" s="1"/>
      <c r="R263" s="1"/>
      <c r="S263" s="1"/>
      <c r="T263" s="1"/>
      <c r="U263" s="1"/>
      <c r="V263" s="1"/>
      <c r="W263" s="1"/>
      <c r="X263" s="1"/>
      <c r="Y263" s="1"/>
      <c r="Z263" s="1"/>
      <c r="AA263" s="1"/>
      <c r="AB263" s="1"/>
      <c r="AC263" s="1"/>
      <c r="AD263" s="155"/>
      <c r="AE263" s="155"/>
      <c r="AF263" s="155"/>
      <c r="AG263" s="155"/>
      <c r="AH263" s="155"/>
      <c r="AI263" s="155"/>
      <c r="AJ263" s="155"/>
      <c r="AK263" s="155"/>
      <c r="AL263" s="155"/>
      <c r="AM263" s="155"/>
      <c r="AN263" s="155"/>
      <c r="AO263" s="155"/>
      <c r="AP263" s="155"/>
      <c r="AQ263" s="155"/>
      <c r="AR263" s="155"/>
      <c r="AS263" s="155"/>
      <c r="AT263" s="155"/>
      <c r="AU263" s="155"/>
      <c r="AV263" s="155"/>
      <c r="AW263" s="155"/>
    </row>
    <row r="264" spans="1:49" ht="16.5" customHeight="1">
      <c r="A264" s="155"/>
      <c r="B264" s="155"/>
      <c r="C264" s="1"/>
      <c r="D264" s="1"/>
      <c r="E264" s="1"/>
      <c r="F264" s="156"/>
      <c r="G264" s="1"/>
      <c r="H264" s="1"/>
      <c r="I264" s="1"/>
      <c r="J264" s="1"/>
      <c r="K264" s="1"/>
      <c r="L264" s="1"/>
      <c r="M264" s="1"/>
      <c r="N264" s="1"/>
      <c r="O264" s="1"/>
      <c r="P264" s="1"/>
      <c r="Q264" s="1"/>
      <c r="R264" s="1"/>
      <c r="S264" s="1"/>
      <c r="T264" s="1"/>
      <c r="U264" s="1"/>
      <c r="V264" s="1"/>
      <c r="W264" s="1"/>
      <c r="X264" s="1"/>
      <c r="Y264" s="1"/>
      <c r="Z264" s="1"/>
      <c r="AA264" s="1"/>
      <c r="AB264" s="1"/>
      <c r="AC264" s="1"/>
      <c r="AD264" s="155"/>
      <c r="AE264" s="155"/>
      <c r="AF264" s="155"/>
      <c r="AG264" s="155"/>
      <c r="AH264" s="155"/>
      <c r="AI264" s="155"/>
      <c r="AJ264" s="155"/>
      <c r="AK264" s="155"/>
      <c r="AL264" s="155"/>
      <c r="AM264" s="155"/>
      <c r="AN264" s="155"/>
      <c r="AO264" s="155"/>
      <c r="AP264" s="155"/>
      <c r="AQ264" s="155"/>
      <c r="AR264" s="155"/>
      <c r="AS264" s="155"/>
      <c r="AT264" s="155"/>
      <c r="AU264" s="155"/>
      <c r="AV264" s="155"/>
      <c r="AW264" s="155"/>
    </row>
    <row r="265" spans="1:49" ht="16.5" customHeight="1">
      <c r="A265" s="155"/>
      <c r="B265" s="155"/>
      <c r="C265" s="1"/>
      <c r="D265" s="1"/>
      <c r="E265" s="1"/>
      <c r="F265" s="156"/>
      <c r="G265" s="1"/>
      <c r="H265" s="1"/>
      <c r="I265" s="1"/>
      <c r="J265" s="1"/>
      <c r="K265" s="1"/>
      <c r="L265" s="1"/>
      <c r="M265" s="1"/>
      <c r="N265" s="1"/>
      <c r="O265" s="1"/>
      <c r="P265" s="1"/>
      <c r="Q265" s="1"/>
      <c r="R265" s="1"/>
      <c r="S265" s="1"/>
      <c r="T265" s="1"/>
      <c r="U265" s="1"/>
      <c r="V265" s="1"/>
      <c r="W265" s="1"/>
      <c r="X265" s="1"/>
      <c r="Y265" s="1"/>
      <c r="Z265" s="1"/>
      <c r="AA265" s="1"/>
      <c r="AB265" s="1"/>
      <c r="AC265" s="1"/>
      <c r="AD265" s="155"/>
      <c r="AE265" s="155"/>
      <c r="AF265" s="155"/>
      <c r="AG265" s="155"/>
      <c r="AH265" s="155"/>
      <c r="AI265" s="155"/>
      <c r="AJ265" s="155"/>
      <c r="AK265" s="155"/>
      <c r="AL265" s="155"/>
      <c r="AM265" s="155"/>
      <c r="AN265" s="155"/>
      <c r="AO265" s="155"/>
      <c r="AP265" s="155"/>
      <c r="AQ265" s="155"/>
      <c r="AR265" s="155"/>
      <c r="AS265" s="155"/>
      <c r="AT265" s="155"/>
      <c r="AU265" s="155"/>
      <c r="AV265" s="155"/>
      <c r="AW265" s="155"/>
    </row>
    <row r="266" spans="1:49" ht="16.5" customHeight="1">
      <c r="A266" s="155"/>
      <c r="B266" s="155"/>
      <c r="C266" s="1"/>
      <c r="D266" s="1"/>
      <c r="E266" s="1"/>
      <c r="F266" s="156"/>
      <c r="G266" s="1"/>
      <c r="H266" s="1"/>
      <c r="I266" s="1"/>
      <c r="J266" s="1"/>
      <c r="K266" s="1"/>
      <c r="L266" s="1"/>
      <c r="M266" s="1"/>
      <c r="N266" s="1"/>
      <c r="O266" s="1"/>
      <c r="P266" s="1"/>
      <c r="Q266" s="1"/>
      <c r="R266" s="1"/>
      <c r="S266" s="1"/>
      <c r="T266" s="1"/>
      <c r="U266" s="1"/>
      <c r="V266" s="1"/>
      <c r="W266" s="1"/>
      <c r="X266" s="1"/>
      <c r="Y266" s="1"/>
      <c r="Z266" s="1"/>
      <c r="AA266" s="1"/>
      <c r="AB266" s="1"/>
      <c r="AC266" s="1"/>
      <c r="AD266" s="155"/>
      <c r="AE266" s="155"/>
      <c r="AF266" s="155"/>
      <c r="AG266" s="155"/>
      <c r="AH266" s="155"/>
      <c r="AI266" s="155"/>
      <c r="AJ266" s="155"/>
      <c r="AK266" s="155"/>
      <c r="AL266" s="155"/>
      <c r="AM266" s="155"/>
      <c r="AN266" s="155"/>
      <c r="AO266" s="155"/>
      <c r="AP266" s="155"/>
      <c r="AQ266" s="155"/>
      <c r="AR266" s="155"/>
      <c r="AS266" s="155"/>
      <c r="AT266" s="155"/>
      <c r="AU266" s="155"/>
      <c r="AV266" s="155"/>
      <c r="AW266" s="155"/>
    </row>
    <row r="267" spans="1:49" ht="16.5" customHeight="1">
      <c r="A267" s="155"/>
      <c r="B267" s="155"/>
      <c r="C267" s="1"/>
      <c r="D267" s="1"/>
      <c r="E267" s="1"/>
      <c r="F267" s="156"/>
      <c r="G267" s="1"/>
      <c r="H267" s="1"/>
      <c r="I267" s="1"/>
      <c r="J267" s="1"/>
      <c r="K267" s="1"/>
      <c r="L267" s="1"/>
      <c r="M267" s="1"/>
      <c r="N267" s="1"/>
      <c r="O267" s="1"/>
      <c r="P267" s="1"/>
      <c r="Q267" s="1"/>
      <c r="R267" s="1"/>
      <c r="S267" s="1"/>
      <c r="T267" s="1"/>
      <c r="U267" s="1"/>
      <c r="V267" s="1"/>
      <c r="W267" s="1"/>
      <c r="X267" s="1"/>
      <c r="Y267" s="1"/>
      <c r="Z267" s="1"/>
      <c r="AA267" s="1"/>
      <c r="AB267" s="1"/>
      <c r="AC267" s="1"/>
      <c r="AD267" s="155"/>
      <c r="AE267" s="155"/>
      <c r="AF267" s="155"/>
      <c r="AG267" s="155"/>
      <c r="AH267" s="155"/>
      <c r="AI267" s="155"/>
      <c r="AJ267" s="155"/>
      <c r="AK267" s="155"/>
      <c r="AL267" s="155"/>
      <c r="AM267" s="155"/>
      <c r="AN267" s="155"/>
      <c r="AO267" s="155"/>
      <c r="AP267" s="155"/>
      <c r="AQ267" s="155"/>
      <c r="AR267" s="155"/>
      <c r="AS267" s="155"/>
      <c r="AT267" s="155"/>
      <c r="AU267" s="155"/>
      <c r="AV267" s="155"/>
      <c r="AW267" s="155"/>
    </row>
    <row r="268" spans="1:49" ht="16.5" customHeight="1">
      <c r="A268" s="155"/>
      <c r="B268" s="155"/>
      <c r="C268" s="1"/>
      <c r="D268" s="1"/>
      <c r="E268" s="1"/>
      <c r="F268" s="156"/>
      <c r="G268" s="1"/>
      <c r="H268" s="1"/>
      <c r="I268" s="1"/>
      <c r="J268" s="1"/>
      <c r="K268" s="1"/>
      <c r="L268" s="1"/>
      <c r="M268" s="1"/>
      <c r="N268" s="1"/>
      <c r="O268" s="1"/>
      <c r="P268" s="1"/>
      <c r="Q268" s="1"/>
      <c r="R268" s="1"/>
      <c r="S268" s="1"/>
      <c r="T268" s="1"/>
      <c r="U268" s="1"/>
      <c r="V268" s="1"/>
      <c r="W268" s="1"/>
      <c r="X268" s="1"/>
      <c r="Y268" s="1"/>
      <c r="Z268" s="1"/>
      <c r="AA268" s="1"/>
      <c r="AB268" s="1"/>
      <c r="AC268" s="1"/>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row>
    <row r="269" spans="1:49" ht="16.5" customHeight="1">
      <c r="A269" s="155"/>
      <c r="B269" s="155"/>
      <c r="C269" s="1"/>
      <c r="D269" s="1"/>
      <c r="E269" s="1"/>
      <c r="F269" s="156"/>
      <c r="G269" s="1"/>
      <c r="H269" s="1"/>
      <c r="I269" s="1"/>
      <c r="J269" s="1"/>
      <c r="K269" s="1"/>
      <c r="L269" s="1"/>
      <c r="M269" s="1"/>
      <c r="N269" s="1"/>
      <c r="O269" s="1"/>
      <c r="P269" s="1"/>
      <c r="Q269" s="1"/>
      <c r="R269" s="1"/>
      <c r="S269" s="1"/>
      <c r="T269" s="1"/>
      <c r="U269" s="1"/>
      <c r="V269" s="1"/>
      <c r="W269" s="1"/>
      <c r="X269" s="1"/>
      <c r="Y269" s="1"/>
      <c r="Z269" s="1"/>
      <c r="AA269" s="1"/>
      <c r="AB269" s="1"/>
      <c r="AC269" s="1"/>
      <c r="AD269" s="155"/>
      <c r="AE269" s="155"/>
      <c r="AF269" s="155"/>
      <c r="AG269" s="155"/>
      <c r="AH269" s="155"/>
      <c r="AI269" s="155"/>
      <c r="AJ269" s="155"/>
      <c r="AK269" s="155"/>
      <c r="AL269" s="155"/>
      <c r="AM269" s="155"/>
      <c r="AN269" s="155"/>
      <c r="AO269" s="155"/>
      <c r="AP269" s="155"/>
      <c r="AQ269" s="155"/>
      <c r="AR269" s="155"/>
      <c r="AS269" s="155"/>
      <c r="AT269" s="155"/>
      <c r="AU269" s="155"/>
      <c r="AV269" s="155"/>
      <c r="AW269" s="155"/>
    </row>
    <row r="270" spans="1:49" ht="16.5" customHeight="1">
      <c r="A270" s="155"/>
      <c r="B270" s="155"/>
      <c r="C270" s="1"/>
      <c r="D270" s="1"/>
      <c r="E270" s="1"/>
      <c r="F270" s="156"/>
      <c r="G270" s="1"/>
      <c r="H270" s="1"/>
      <c r="I270" s="1"/>
      <c r="J270" s="1"/>
      <c r="K270" s="1"/>
      <c r="L270" s="1"/>
      <c r="M270" s="1"/>
      <c r="N270" s="1"/>
      <c r="O270" s="1"/>
      <c r="P270" s="1"/>
      <c r="Q270" s="1"/>
      <c r="R270" s="1"/>
      <c r="S270" s="1"/>
      <c r="T270" s="1"/>
      <c r="U270" s="1"/>
      <c r="V270" s="1"/>
      <c r="W270" s="1"/>
      <c r="X270" s="1"/>
      <c r="Y270" s="1"/>
      <c r="Z270" s="1"/>
      <c r="AA270" s="1"/>
      <c r="AB270" s="1"/>
      <c r="AC270" s="1"/>
      <c r="AD270" s="155"/>
      <c r="AE270" s="155"/>
      <c r="AF270" s="155"/>
      <c r="AG270" s="155"/>
      <c r="AH270" s="155"/>
      <c r="AI270" s="155"/>
      <c r="AJ270" s="155"/>
      <c r="AK270" s="155"/>
      <c r="AL270" s="155"/>
      <c r="AM270" s="155"/>
      <c r="AN270" s="155"/>
      <c r="AO270" s="155"/>
      <c r="AP270" s="155"/>
      <c r="AQ270" s="155"/>
      <c r="AR270" s="155"/>
      <c r="AS270" s="155"/>
      <c r="AT270" s="155"/>
      <c r="AU270" s="155"/>
      <c r="AV270" s="155"/>
      <c r="AW270" s="155"/>
    </row>
    <row r="271" spans="1:49" ht="16.5" customHeight="1">
      <c r="A271" s="155"/>
      <c r="B271" s="155"/>
      <c r="C271" s="1"/>
      <c r="D271" s="1"/>
      <c r="E271" s="1"/>
      <c r="F271" s="156"/>
      <c r="G271" s="1"/>
      <c r="H271" s="1"/>
      <c r="I271" s="1"/>
      <c r="J271" s="1"/>
      <c r="K271" s="1"/>
      <c r="L271" s="1"/>
      <c r="M271" s="1"/>
      <c r="N271" s="1"/>
      <c r="O271" s="1"/>
      <c r="P271" s="1"/>
      <c r="Q271" s="1"/>
      <c r="R271" s="1"/>
      <c r="S271" s="1"/>
      <c r="T271" s="1"/>
      <c r="U271" s="1"/>
      <c r="V271" s="1"/>
      <c r="W271" s="1"/>
      <c r="X271" s="1"/>
      <c r="Y271" s="1"/>
      <c r="Z271" s="1"/>
      <c r="AA271" s="1"/>
      <c r="AB271" s="1"/>
      <c r="AC271" s="1"/>
      <c r="AD271" s="155"/>
      <c r="AE271" s="155"/>
      <c r="AF271" s="155"/>
      <c r="AG271" s="155"/>
      <c r="AH271" s="155"/>
      <c r="AI271" s="155"/>
      <c r="AJ271" s="155"/>
      <c r="AK271" s="155"/>
      <c r="AL271" s="155"/>
      <c r="AM271" s="155"/>
      <c r="AN271" s="155"/>
      <c r="AO271" s="155"/>
      <c r="AP271" s="155"/>
      <c r="AQ271" s="155"/>
      <c r="AR271" s="155"/>
      <c r="AS271" s="155"/>
      <c r="AT271" s="155"/>
      <c r="AU271" s="155"/>
      <c r="AV271" s="155"/>
      <c r="AW271" s="155"/>
    </row>
    <row r="272" spans="1:49" ht="16.5" customHeight="1">
      <c r="A272" s="155"/>
      <c r="B272" s="155"/>
      <c r="C272" s="1"/>
      <c r="D272" s="1"/>
      <c r="E272" s="1"/>
      <c r="F272" s="156"/>
      <c r="G272" s="1"/>
      <c r="H272" s="1"/>
      <c r="I272" s="1"/>
      <c r="J272" s="1"/>
      <c r="K272" s="1"/>
      <c r="L272" s="1"/>
      <c r="M272" s="1"/>
      <c r="N272" s="1"/>
      <c r="O272" s="1"/>
      <c r="P272" s="1"/>
      <c r="Q272" s="1"/>
      <c r="R272" s="1"/>
      <c r="S272" s="1"/>
      <c r="T272" s="1"/>
      <c r="U272" s="1"/>
      <c r="V272" s="1"/>
      <c r="W272" s="1"/>
      <c r="X272" s="1"/>
      <c r="Y272" s="1"/>
      <c r="Z272" s="1"/>
      <c r="AA272" s="1"/>
      <c r="AB272" s="1"/>
      <c r="AC272" s="1"/>
      <c r="AD272" s="155"/>
      <c r="AE272" s="155"/>
      <c r="AF272" s="155"/>
      <c r="AG272" s="155"/>
      <c r="AH272" s="155"/>
      <c r="AI272" s="155"/>
      <c r="AJ272" s="155"/>
      <c r="AK272" s="155"/>
      <c r="AL272" s="155"/>
      <c r="AM272" s="155"/>
      <c r="AN272" s="155"/>
      <c r="AO272" s="155"/>
      <c r="AP272" s="155"/>
      <c r="AQ272" s="155"/>
      <c r="AR272" s="155"/>
      <c r="AS272" s="155"/>
      <c r="AT272" s="155"/>
      <c r="AU272" s="155"/>
      <c r="AV272" s="155"/>
      <c r="AW272" s="155"/>
    </row>
    <row r="273" spans="1:49" ht="16.5" customHeight="1">
      <c r="A273" s="155"/>
      <c r="B273" s="155"/>
      <c r="C273" s="1"/>
      <c r="D273" s="1"/>
      <c r="E273" s="1"/>
      <c r="F273" s="156"/>
      <c r="G273" s="1"/>
      <c r="H273" s="1"/>
      <c r="I273" s="1"/>
      <c r="J273" s="1"/>
      <c r="K273" s="1"/>
      <c r="L273" s="1"/>
      <c r="M273" s="1"/>
      <c r="N273" s="1"/>
      <c r="O273" s="1"/>
      <c r="P273" s="1"/>
      <c r="Q273" s="1"/>
      <c r="R273" s="1"/>
      <c r="S273" s="1"/>
      <c r="T273" s="1"/>
      <c r="U273" s="1"/>
      <c r="V273" s="1"/>
      <c r="W273" s="1"/>
      <c r="X273" s="1"/>
      <c r="Y273" s="1"/>
      <c r="Z273" s="1"/>
      <c r="AA273" s="1"/>
      <c r="AB273" s="1"/>
      <c r="AC273" s="1"/>
      <c r="AD273" s="155"/>
      <c r="AE273" s="155"/>
      <c r="AF273" s="155"/>
      <c r="AG273" s="155"/>
      <c r="AH273" s="155"/>
      <c r="AI273" s="155"/>
      <c r="AJ273" s="155"/>
      <c r="AK273" s="155"/>
      <c r="AL273" s="155"/>
      <c r="AM273" s="155"/>
      <c r="AN273" s="155"/>
      <c r="AO273" s="155"/>
      <c r="AP273" s="155"/>
      <c r="AQ273" s="155"/>
      <c r="AR273" s="155"/>
      <c r="AS273" s="155"/>
      <c r="AT273" s="155"/>
      <c r="AU273" s="155"/>
      <c r="AV273" s="155"/>
      <c r="AW273" s="155"/>
    </row>
    <row r="274" spans="1:49" ht="16.5" customHeight="1">
      <c r="A274" s="155"/>
      <c r="B274" s="155"/>
      <c r="C274" s="1"/>
      <c r="D274" s="1"/>
      <c r="E274" s="1"/>
      <c r="F274" s="156"/>
      <c r="G274" s="1"/>
      <c r="H274" s="1"/>
      <c r="I274" s="1"/>
      <c r="J274" s="1"/>
      <c r="K274" s="1"/>
      <c r="L274" s="1"/>
      <c r="M274" s="1"/>
      <c r="N274" s="1"/>
      <c r="O274" s="1"/>
      <c r="P274" s="1"/>
      <c r="Q274" s="1"/>
      <c r="R274" s="1"/>
      <c r="S274" s="1"/>
      <c r="T274" s="1"/>
      <c r="U274" s="1"/>
      <c r="V274" s="1"/>
      <c r="W274" s="1"/>
      <c r="X274" s="1"/>
      <c r="Y274" s="1"/>
      <c r="Z274" s="1"/>
      <c r="AA274" s="1"/>
      <c r="AB274" s="1"/>
      <c r="AC274" s="1"/>
      <c r="AD274" s="155"/>
      <c r="AE274" s="155"/>
      <c r="AF274" s="155"/>
      <c r="AG274" s="155"/>
      <c r="AH274" s="155"/>
      <c r="AI274" s="155"/>
      <c r="AJ274" s="155"/>
      <c r="AK274" s="155"/>
      <c r="AL274" s="155"/>
      <c r="AM274" s="155"/>
      <c r="AN274" s="155"/>
      <c r="AO274" s="155"/>
      <c r="AP274" s="155"/>
      <c r="AQ274" s="155"/>
      <c r="AR274" s="155"/>
      <c r="AS274" s="155"/>
      <c r="AT274" s="155"/>
      <c r="AU274" s="155"/>
      <c r="AV274" s="155"/>
      <c r="AW274" s="155"/>
    </row>
    <row r="275" spans="1:49" ht="16.5" customHeight="1">
      <c r="A275" s="155"/>
      <c r="B275" s="155"/>
      <c r="C275" s="1"/>
      <c r="D275" s="1"/>
      <c r="E275" s="1"/>
      <c r="F275" s="156"/>
      <c r="G275" s="1"/>
      <c r="H275" s="1"/>
      <c r="I275" s="1"/>
      <c r="J275" s="1"/>
      <c r="K275" s="1"/>
      <c r="L275" s="1"/>
      <c r="M275" s="1"/>
      <c r="N275" s="1"/>
      <c r="O275" s="1"/>
      <c r="P275" s="1"/>
      <c r="Q275" s="1"/>
      <c r="R275" s="1"/>
      <c r="S275" s="1"/>
      <c r="T275" s="1"/>
      <c r="U275" s="1"/>
      <c r="V275" s="1"/>
      <c r="W275" s="1"/>
      <c r="X275" s="1"/>
      <c r="Y275" s="1"/>
      <c r="Z275" s="1"/>
      <c r="AA275" s="1"/>
      <c r="AB275" s="1"/>
      <c r="AC275" s="1"/>
      <c r="AD275" s="155"/>
      <c r="AE275" s="155"/>
      <c r="AF275" s="155"/>
      <c r="AG275" s="155"/>
      <c r="AH275" s="155"/>
      <c r="AI275" s="155"/>
      <c r="AJ275" s="155"/>
      <c r="AK275" s="155"/>
      <c r="AL275" s="155"/>
      <c r="AM275" s="155"/>
      <c r="AN275" s="155"/>
      <c r="AO275" s="155"/>
      <c r="AP275" s="155"/>
      <c r="AQ275" s="155"/>
      <c r="AR275" s="155"/>
      <c r="AS275" s="155"/>
      <c r="AT275" s="155"/>
      <c r="AU275" s="155"/>
      <c r="AV275" s="155"/>
      <c r="AW275" s="155"/>
    </row>
    <row r="276" spans="1:49" ht="16.5" customHeight="1">
      <c r="A276" s="155"/>
      <c r="B276" s="155"/>
      <c r="C276" s="1"/>
      <c r="D276" s="1"/>
      <c r="E276" s="1"/>
      <c r="F276" s="156"/>
      <c r="G276" s="1"/>
      <c r="H276" s="1"/>
      <c r="I276" s="1"/>
      <c r="J276" s="1"/>
      <c r="K276" s="1"/>
      <c r="L276" s="1"/>
      <c r="M276" s="1"/>
      <c r="N276" s="1"/>
      <c r="O276" s="1"/>
      <c r="P276" s="1"/>
      <c r="Q276" s="1"/>
      <c r="R276" s="1"/>
      <c r="S276" s="1"/>
      <c r="T276" s="1"/>
      <c r="U276" s="1"/>
      <c r="V276" s="1"/>
      <c r="W276" s="1"/>
      <c r="X276" s="1"/>
      <c r="Y276" s="1"/>
      <c r="Z276" s="1"/>
      <c r="AA276" s="1"/>
      <c r="AB276" s="1"/>
      <c r="AC276" s="1"/>
      <c r="AD276" s="155"/>
      <c r="AE276" s="155"/>
      <c r="AF276" s="155"/>
      <c r="AG276" s="155"/>
      <c r="AH276" s="155"/>
      <c r="AI276" s="155"/>
      <c r="AJ276" s="155"/>
      <c r="AK276" s="155"/>
      <c r="AL276" s="155"/>
      <c r="AM276" s="155"/>
      <c r="AN276" s="155"/>
      <c r="AO276" s="155"/>
      <c r="AP276" s="155"/>
      <c r="AQ276" s="155"/>
      <c r="AR276" s="155"/>
      <c r="AS276" s="155"/>
      <c r="AT276" s="155"/>
      <c r="AU276" s="155"/>
      <c r="AV276" s="155"/>
      <c r="AW276" s="155"/>
    </row>
    <row r="277" spans="1:49" ht="16.5" customHeight="1">
      <c r="A277" s="155"/>
      <c r="B277" s="155"/>
      <c r="C277" s="1"/>
      <c r="D277" s="1"/>
      <c r="E277" s="1"/>
      <c r="F277" s="156"/>
      <c r="G277" s="1"/>
      <c r="H277" s="1"/>
      <c r="I277" s="1"/>
      <c r="J277" s="1"/>
      <c r="K277" s="1"/>
      <c r="L277" s="1"/>
      <c r="M277" s="1"/>
      <c r="N277" s="1"/>
      <c r="O277" s="1"/>
      <c r="P277" s="1"/>
      <c r="Q277" s="1"/>
      <c r="R277" s="1"/>
      <c r="S277" s="1"/>
      <c r="T277" s="1"/>
      <c r="U277" s="1"/>
      <c r="V277" s="1"/>
      <c r="W277" s="1"/>
      <c r="X277" s="1"/>
      <c r="Y277" s="1"/>
      <c r="Z277" s="1"/>
      <c r="AA277" s="1"/>
      <c r="AB277" s="1"/>
      <c r="AC277" s="1"/>
      <c r="AD277" s="155"/>
      <c r="AE277" s="155"/>
      <c r="AF277" s="155"/>
      <c r="AG277" s="155"/>
      <c r="AH277" s="155"/>
      <c r="AI277" s="155"/>
      <c r="AJ277" s="155"/>
      <c r="AK277" s="155"/>
      <c r="AL277" s="155"/>
      <c r="AM277" s="155"/>
      <c r="AN277" s="155"/>
      <c r="AO277" s="155"/>
      <c r="AP277" s="155"/>
      <c r="AQ277" s="155"/>
      <c r="AR277" s="155"/>
      <c r="AS277" s="155"/>
      <c r="AT277" s="155"/>
      <c r="AU277" s="155"/>
      <c r="AV277" s="155"/>
      <c r="AW277" s="155"/>
    </row>
    <row r="278" spans="1:49" ht="16.5" customHeight="1">
      <c r="A278" s="155"/>
      <c r="B278" s="155"/>
      <c r="C278" s="1"/>
      <c r="D278" s="1"/>
      <c r="E278" s="1"/>
      <c r="F278" s="156"/>
      <c r="G278" s="1"/>
      <c r="H278" s="1"/>
      <c r="I278" s="1"/>
      <c r="J278" s="1"/>
      <c r="K278" s="1"/>
      <c r="L278" s="1"/>
      <c r="M278" s="1"/>
      <c r="N278" s="1"/>
      <c r="O278" s="1"/>
      <c r="P278" s="1"/>
      <c r="Q278" s="1"/>
      <c r="R278" s="1"/>
      <c r="S278" s="1"/>
      <c r="T278" s="1"/>
      <c r="U278" s="1"/>
      <c r="V278" s="1"/>
      <c r="W278" s="1"/>
      <c r="X278" s="1"/>
      <c r="Y278" s="1"/>
      <c r="Z278" s="1"/>
      <c r="AA278" s="1"/>
      <c r="AB278" s="1"/>
      <c r="AC278" s="1"/>
      <c r="AD278" s="155"/>
      <c r="AE278" s="155"/>
      <c r="AF278" s="155"/>
      <c r="AG278" s="155"/>
      <c r="AH278" s="155"/>
      <c r="AI278" s="155"/>
      <c r="AJ278" s="155"/>
      <c r="AK278" s="155"/>
      <c r="AL278" s="155"/>
      <c r="AM278" s="155"/>
      <c r="AN278" s="155"/>
      <c r="AO278" s="155"/>
      <c r="AP278" s="155"/>
      <c r="AQ278" s="155"/>
      <c r="AR278" s="155"/>
      <c r="AS278" s="155"/>
      <c r="AT278" s="155"/>
      <c r="AU278" s="155"/>
      <c r="AV278" s="155"/>
      <c r="AW278" s="155"/>
    </row>
    <row r="279" spans="1:49" ht="16.5" customHeight="1">
      <c r="A279" s="155"/>
      <c r="B279" s="155"/>
      <c r="C279" s="1"/>
      <c r="D279" s="1"/>
      <c r="E279" s="1"/>
      <c r="F279" s="156"/>
      <c r="G279" s="1"/>
      <c r="H279" s="1"/>
      <c r="I279" s="1"/>
      <c r="J279" s="1"/>
      <c r="K279" s="1"/>
      <c r="L279" s="1"/>
      <c r="M279" s="1"/>
      <c r="N279" s="1"/>
      <c r="O279" s="1"/>
      <c r="P279" s="1"/>
      <c r="Q279" s="1"/>
      <c r="R279" s="1"/>
      <c r="S279" s="1"/>
      <c r="T279" s="1"/>
      <c r="U279" s="1"/>
      <c r="V279" s="1"/>
      <c r="W279" s="1"/>
      <c r="X279" s="1"/>
      <c r="Y279" s="1"/>
      <c r="Z279" s="1"/>
      <c r="AA279" s="1"/>
      <c r="AB279" s="1"/>
      <c r="AC279" s="1"/>
      <c r="AD279" s="155"/>
      <c r="AE279" s="155"/>
      <c r="AF279" s="155"/>
      <c r="AG279" s="155"/>
      <c r="AH279" s="155"/>
      <c r="AI279" s="155"/>
      <c r="AJ279" s="155"/>
      <c r="AK279" s="155"/>
      <c r="AL279" s="155"/>
      <c r="AM279" s="155"/>
      <c r="AN279" s="155"/>
      <c r="AO279" s="155"/>
      <c r="AP279" s="155"/>
      <c r="AQ279" s="155"/>
      <c r="AR279" s="155"/>
      <c r="AS279" s="155"/>
      <c r="AT279" s="155"/>
      <c r="AU279" s="155"/>
      <c r="AV279" s="155"/>
      <c r="AW279" s="155"/>
    </row>
    <row r="280" spans="1:49" ht="16.5" customHeight="1">
      <c r="A280" s="155"/>
      <c r="B280" s="155"/>
      <c r="C280" s="1"/>
      <c r="D280" s="1"/>
      <c r="E280" s="1"/>
      <c r="F280" s="156"/>
      <c r="G280" s="1"/>
      <c r="H280" s="1"/>
      <c r="I280" s="1"/>
      <c r="J280" s="1"/>
      <c r="K280" s="1"/>
      <c r="L280" s="1"/>
      <c r="M280" s="1"/>
      <c r="N280" s="1"/>
      <c r="O280" s="1"/>
      <c r="P280" s="1"/>
      <c r="Q280" s="1"/>
      <c r="R280" s="1"/>
      <c r="S280" s="1"/>
      <c r="T280" s="1"/>
      <c r="U280" s="1"/>
      <c r="V280" s="1"/>
      <c r="W280" s="1"/>
      <c r="X280" s="1"/>
      <c r="Y280" s="1"/>
      <c r="Z280" s="1"/>
      <c r="AA280" s="1"/>
      <c r="AB280" s="1"/>
      <c r="AC280" s="1"/>
      <c r="AD280" s="155"/>
      <c r="AE280" s="155"/>
      <c r="AF280" s="155"/>
      <c r="AG280" s="155"/>
      <c r="AH280" s="155"/>
      <c r="AI280" s="155"/>
      <c r="AJ280" s="155"/>
      <c r="AK280" s="155"/>
      <c r="AL280" s="155"/>
      <c r="AM280" s="155"/>
      <c r="AN280" s="155"/>
      <c r="AO280" s="155"/>
      <c r="AP280" s="155"/>
      <c r="AQ280" s="155"/>
      <c r="AR280" s="155"/>
      <c r="AS280" s="155"/>
      <c r="AT280" s="155"/>
      <c r="AU280" s="155"/>
      <c r="AV280" s="155"/>
      <c r="AW280" s="155"/>
    </row>
    <row r="281" spans="1:49" ht="16.5" customHeight="1">
      <c r="A281" s="155"/>
      <c r="B281" s="155"/>
      <c r="C281" s="1"/>
      <c r="D281" s="1"/>
      <c r="E281" s="1"/>
      <c r="F281" s="156"/>
      <c r="G281" s="1"/>
      <c r="H281" s="1"/>
      <c r="I281" s="1"/>
      <c r="J281" s="1"/>
      <c r="K281" s="1"/>
      <c r="L281" s="1"/>
      <c r="M281" s="1"/>
      <c r="N281" s="1"/>
      <c r="O281" s="1"/>
      <c r="P281" s="1"/>
      <c r="Q281" s="1"/>
      <c r="R281" s="1"/>
      <c r="S281" s="1"/>
      <c r="T281" s="1"/>
      <c r="U281" s="1"/>
      <c r="V281" s="1"/>
      <c r="W281" s="1"/>
      <c r="X281" s="1"/>
      <c r="Y281" s="1"/>
      <c r="Z281" s="1"/>
      <c r="AA281" s="1"/>
      <c r="AB281" s="1"/>
      <c r="AC281" s="1"/>
      <c r="AD281" s="155"/>
      <c r="AE281" s="155"/>
      <c r="AF281" s="155"/>
      <c r="AG281" s="155"/>
      <c r="AH281" s="155"/>
      <c r="AI281" s="155"/>
      <c r="AJ281" s="155"/>
      <c r="AK281" s="155"/>
      <c r="AL281" s="155"/>
      <c r="AM281" s="155"/>
      <c r="AN281" s="155"/>
      <c r="AO281" s="155"/>
      <c r="AP281" s="155"/>
      <c r="AQ281" s="155"/>
      <c r="AR281" s="155"/>
      <c r="AS281" s="155"/>
      <c r="AT281" s="155"/>
      <c r="AU281" s="155"/>
      <c r="AV281" s="155"/>
      <c r="AW281" s="155"/>
    </row>
    <row r="282" spans="1:49" ht="16.5" customHeight="1">
      <c r="A282" s="155"/>
      <c r="B282" s="155"/>
      <c r="C282" s="1"/>
      <c r="D282" s="1"/>
      <c r="E282" s="1"/>
      <c r="F282" s="156"/>
      <c r="G282" s="1"/>
      <c r="H282" s="1"/>
      <c r="I282" s="1"/>
      <c r="J282" s="1"/>
      <c r="K282" s="1"/>
      <c r="L282" s="1"/>
      <c r="M282" s="1"/>
      <c r="N282" s="1"/>
      <c r="O282" s="1"/>
      <c r="P282" s="1"/>
      <c r="Q282" s="1"/>
      <c r="R282" s="1"/>
      <c r="S282" s="1"/>
      <c r="T282" s="1"/>
      <c r="U282" s="1"/>
      <c r="V282" s="1"/>
      <c r="W282" s="1"/>
      <c r="X282" s="1"/>
      <c r="Y282" s="1"/>
      <c r="Z282" s="1"/>
      <c r="AA282" s="1"/>
      <c r="AB282" s="1"/>
      <c r="AC282" s="1"/>
      <c r="AD282" s="155"/>
      <c r="AE282" s="155"/>
      <c r="AF282" s="155"/>
      <c r="AG282" s="155"/>
      <c r="AH282" s="155"/>
      <c r="AI282" s="155"/>
      <c r="AJ282" s="155"/>
      <c r="AK282" s="155"/>
      <c r="AL282" s="155"/>
      <c r="AM282" s="155"/>
      <c r="AN282" s="155"/>
      <c r="AO282" s="155"/>
      <c r="AP282" s="155"/>
      <c r="AQ282" s="155"/>
      <c r="AR282" s="155"/>
      <c r="AS282" s="155"/>
      <c r="AT282" s="155"/>
      <c r="AU282" s="155"/>
      <c r="AV282" s="155"/>
      <c r="AW282" s="155"/>
    </row>
    <row r="283" spans="1:49" ht="16.5" customHeight="1">
      <c r="A283" s="155"/>
      <c r="B283" s="155"/>
      <c r="C283" s="1"/>
      <c r="D283" s="1"/>
      <c r="E283" s="1"/>
      <c r="F283" s="156"/>
      <c r="G283" s="1"/>
      <c r="H283" s="1"/>
      <c r="I283" s="1"/>
      <c r="J283" s="1"/>
      <c r="K283" s="1"/>
      <c r="L283" s="1"/>
      <c r="M283" s="1"/>
      <c r="N283" s="1"/>
      <c r="O283" s="1"/>
      <c r="P283" s="1"/>
      <c r="Q283" s="1"/>
      <c r="R283" s="1"/>
      <c r="S283" s="1"/>
      <c r="T283" s="1"/>
      <c r="U283" s="1"/>
      <c r="V283" s="1"/>
      <c r="W283" s="1"/>
      <c r="X283" s="1"/>
      <c r="Y283" s="1"/>
      <c r="Z283" s="1"/>
      <c r="AA283" s="1"/>
      <c r="AB283" s="1"/>
      <c r="AC283" s="1"/>
      <c r="AD283" s="155"/>
      <c r="AE283" s="155"/>
      <c r="AF283" s="155"/>
      <c r="AG283" s="155"/>
      <c r="AH283" s="155"/>
      <c r="AI283" s="155"/>
      <c r="AJ283" s="155"/>
      <c r="AK283" s="155"/>
      <c r="AL283" s="155"/>
      <c r="AM283" s="155"/>
      <c r="AN283" s="155"/>
      <c r="AO283" s="155"/>
      <c r="AP283" s="155"/>
      <c r="AQ283" s="155"/>
      <c r="AR283" s="155"/>
      <c r="AS283" s="155"/>
      <c r="AT283" s="155"/>
      <c r="AU283" s="155"/>
      <c r="AV283" s="155"/>
      <c r="AW283" s="155"/>
    </row>
    <row r="284" spans="1:49" ht="16.5" customHeight="1">
      <c r="A284" s="155"/>
      <c r="B284" s="155"/>
      <c r="C284" s="1"/>
      <c r="D284" s="1"/>
      <c r="E284" s="1"/>
      <c r="F284" s="156"/>
      <c r="G284" s="1"/>
      <c r="H284" s="1"/>
      <c r="I284" s="1"/>
      <c r="J284" s="1"/>
      <c r="K284" s="1"/>
      <c r="L284" s="1"/>
      <c r="M284" s="1"/>
      <c r="N284" s="1"/>
      <c r="O284" s="1"/>
      <c r="P284" s="1"/>
      <c r="Q284" s="1"/>
      <c r="R284" s="1"/>
      <c r="S284" s="1"/>
      <c r="T284" s="1"/>
      <c r="U284" s="1"/>
      <c r="V284" s="1"/>
      <c r="W284" s="1"/>
      <c r="X284" s="1"/>
      <c r="Y284" s="1"/>
      <c r="Z284" s="1"/>
      <c r="AA284" s="1"/>
      <c r="AB284" s="1"/>
      <c r="AC284" s="1"/>
      <c r="AD284" s="155"/>
      <c r="AE284" s="155"/>
      <c r="AF284" s="155"/>
      <c r="AG284" s="155"/>
      <c r="AH284" s="155"/>
      <c r="AI284" s="155"/>
      <c r="AJ284" s="155"/>
      <c r="AK284" s="155"/>
      <c r="AL284" s="155"/>
      <c r="AM284" s="155"/>
      <c r="AN284" s="155"/>
      <c r="AO284" s="155"/>
      <c r="AP284" s="155"/>
      <c r="AQ284" s="155"/>
      <c r="AR284" s="155"/>
      <c r="AS284" s="155"/>
      <c r="AT284" s="155"/>
      <c r="AU284" s="155"/>
      <c r="AV284" s="155"/>
      <c r="AW284" s="155"/>
    </row>
    <row r="285" spans="1:49" ht="16.5" customHeight="1">
      <c r="A285" s="155"/>
      <c r="B285" s="155"/>
      <c r="C285" s="1"/>
      <c r="D285" s="1"/>
      <c r="E285" s="1"/>
      <c r="F285" s="156"/>
      <c r="G285" s="1"/>
      <c r="H285" s="1"/>
      <c r="I285" s="1"/>
      <c r="J285" s="1"/>
      <c r="K285" s="1"/>
      <c r="L285" s="1"/>
      <c r="M285" s="1"/>
      <c r="N285" s="1"/>
      <c r="O285" s="1"/>
      <c r="P285" s="1"/>
      <c r="Q285" s="1"/>
      <c r="R285" s="1"/>
      <c r="S285" s="1"/>
      <c r="T285" s="1"/>
      <c r="U285" s="1"/>
      <c r="V285" s="1"/>
      <c r="W285" s="1"/>
      <c r="X285" s="1"/>
      <c r="Y285" s="1"/>
      <c r="Z285" s="1"/>
      <c r="AA285" s="1"/>
      <c r="AB285" s="1"/>
      <c r="AC285" s="1"/>
      <c r="AD285" s="155"/>
      <c r="AE285" s="155"/>
      <c r="AF285" s="155"/>
      <c r="AG285" s="155"/>
      <c r="AH285" s="155"/>
      <c r="AI285" s="155"/>
      <c r="AJ285" s="155"/>
      <c r="AK285" s="155"/>
      <c r="AL285" s="155"/>
      <c r="AM285" s="155"/>
      <c r="AN285" s="155"/>
      <c r="AO285" s="155"/>
      <c r="AP285" s="155"/>
      <c r="AQ285" s="155"/>
      <c r="AR285" s="155"/>
      <c r="AS285" s="155"/>
      <c r="AT285" s="155"/>
      <c r="AU285" s="155"/>
      <c r="AV285" s="155"/>
      <c r="AW285" s="155"/>
    </row>
    <row r="286" spans="1:49" ht="16.5" customHeight="1">
      <c r="A286" s="155"/>
      <c r="B286" s="155"/>
      <c r="C286" s="1"/>
      <c r="D286" s="1"/>
      <c r="E286" s="1"/>
      <c r="F286" s="156"/>
      <c r="G286" s="1"/>
      <c r="H286" s="1"/>
      <c r="I286" s="1"/>
      <c r="J286" s="1"/>
      <c r="K286" s="1"/>
      <c r="L286" s="1"/>
      <c r="M286" s="1"/>
      <c r="N286" s="1"/>
      <c r="O286" s="1"/>
      <c r="P286" s="1"/>
      <c r="Q286" s="1"/>
      <c r="R286" s="1"/>
      <c r="S286" s="1"/>
      <c r="T286" s="1"/>
      <c r="U286" s="1"/>
      <c r="V286" s="1"/>
      <c r="W286" s="1"/>
      <c r="X286" s="1"/>
      <c r="Y286" s="1"/>
      <c r="Z286" s="1"/>
      <c r="AA286" s="1"/>
      <c r="AB286" s="1"/>
      <c r="AC286" s="1"/>
      <c r="AD286" s="155"/>
      <c r="AE286" s="155"/>
      <c r="AF286" s="155"/>
      <c r="AG286" s="155"/>
      <c r="AH286" s="155"/>
      <c r="AI286" s="155"/>
      <c r="AJ286" s="155"/>
      <c r="AK286" s="155"/>
      <c r="AL286" s="155"/>
      <c r="AM286" s="155"/>
      <c r="AN286" s="155"/>
      <c r="AO286" s="155"/>
      <c r="AP286" s="155"/>
      <c r="AQ286" s="155"/>
      <c r="AR286" s="155"/>
      <c r="AS286" s="155"/>
      <c r="AT286" s="155"/>
      <c r="AU286" s="155"/>
      <c r="AV286" s="155"/>
      <c r="AW286" s="155"/>
    </row>
    <row r="287" spans="1:49" ht="16.5" customHeight="1">
      <c r="A287" s="155"/>
      <c r="B287" s="155"/>
      <c r="C287" s="1"/>
      <c r="D287" s="1"/>
      <c r="E287" s="1"/>
      <c r="F287" s="156"/>
      <c r="G287" s="1"/>
      <c r="H287" s="1"/>
      <c r="I287" s="1"/>
      <c r="J287" s="1"/>
      <c r="K287" s="1"/>
      <c r="L287" s="1"/>
      <c r="M287" s="1"/>
      <c r="N287" s="1"/>
      <c r="O287" s="1"/>
      <c r="P287" s="1"/>
      <c r="Q287" s="1"/>
      <c r="R287" s="1"/>
      <c r="S287" s="1"/>
      <c r="T287" s="1"/>
      <c r="U287" s="1"/>
      <c r="V287" s="1"/>
      <c r="W287" s="1"/>
      <c r="X287" s="1"/>
      <c r="Y287" s="1"/>
      <c r="Z287" s="1"/>
      <c r="AA287" s="1"/>
      <c r="AB287" s="1"/>
      <c r="AC287" s="1"/>
      <c r="AD287" s="155"/>
      <c r="AE287" s="155"/>
      <c r="AF287" s="155"/>
      <c r="AG287" s="155"/>
      <c r="AH287" s="155"/>
      <c r="AI287" s="155"/>
      <c r="AJ287" s="155"/>
      <c r="AK287" s="155"/>
      <c r="AL287" s="155"/>
      <c r="AM287" s="155"/>
      <c r="AN287" s="155"/>
      <c r="AO287" s="155"/>
      <c r="AP287" s="155"/>
      <c r="AQ287" s="155"/>
      <c r="AR287" s="155"/>
      <c r="AS287" s="155"/>
      <c r="AT287" s="155"/>
      <c r="AU287" s="155"/>
      <c r="AV287" s="155"/>
      <c r="AW287" s="155"/>
    </row>
    <row r="288" spans="1:49" ht="16.5" customHeight="1">
      <c r="A288" s="155"/>
      <c r="B288" s="155"/>
      <c r="C288" s="1"/>
      <c r="D288" s="1"/>
      <c r="E288" s="1"/>
      <c r="F288" s="156"/>
      <c r="G288" s="1"/>
      <c r="H288" s="1"/>
      <c r="I288" s="1"/>
      <c r="J288" s="1"/>
      <c r="K288" s="1"/>
      <c r="L288" s="1"/>
      <c r="M288" s="1"/>
      <c r="N288" s="1"/>
      <c r="O288" s="1"/>
      <c r="P288" s="1"/>
      <c r="Q288" s="1"/>
      <c r="R288" s="1"/>
      <c r="S288" s="1"/>
      <c r="T288" s="1"/>
      <c r="U288" s="1"/>
      <c r="V288" s="1"/>
      <c r="W288" s="1"/>
      <c r="X288" s="1"/>
      <c r="Y288" s="1"/>
      <c r="Z288" s="1"/>
      <c r="AA288" s="1"/>
      <c r="AB288" s="1"/>
      <c r="AC288" s="1"/>
      <c r="AD288" s="155"/>
      <c r="AE288" s="155"/>
      <c r="AF288" s="155"/>
      <c r="AG288" s="155"/>
      <c r="AH288" s="155"/>
      <c r="AI288" s="155"/>
      <c r="AJ288" s="155"/>
      <c r="AK288" s="155"/>
      <c r="AL288" s="155"/>
      <c r="AM288" s="155"/>
      <c r="AN288" s="155"/>
      <c r="AO288" s="155"/>
      <c r="AP288" s="155"/>
      <c r="AQ288" s="155"/>
      <c r="AR288" s="155"/>
      <c r="AS288" s="155"/>
      <c r="AT288" s="155"/>
      <c r="AU288" s="155"/>
      <c r="AV288" s="155"/>
      <c r="AW288" s="155"/>
    </row>
    <row r="289" spans="1:49" ht="16.5" customHeight="1">
      <c r="A289" s="155"/>
      <c r="B289" s="155"/>
      <c r="C289" s="1"/>
      <c r="D289" s="1"/>
      <c r="E289" s="1"/>
      <c r="F289" s="156"/>
      <c r="G289" s="1"/>
      <c r="H289" s="1"/>
      <c r="I289" s="1"/>
      <c r="J289" s="1"/>
      <c r="K289" s="1"/>
      <c r="L289" s="1"/>
      <c r="M289" s="1"/>
      <c r="N289" s="1"/>
      <c r="O289" s="1"/>
      <c r="P289" s="1"/>
      <c r="Q289" s="1"/>
      <c r="R289" s="1"/>
      <c r="S289" s="1"/>
      <c r="T289" s="1"/>
      <c r="U289" s="1"/>
      <c r="V289" s="1"/>
      <c r="W289" s="1"/>
      <c r="X289" s="1"/>
      <c r="Y289" s="1"/>
      <c r="Z289" s="1"/>
      <c r="AA289" s="1"/>
      <c r="AB289" s="1"/>
      <c r="AC289" s="1"/>
      <c r="AD289" s="155"/>
      <c r="AE289" s="155"/>
      <c r="AF289" s="155"/>
      <c r="AG289" s="155"/>
      <c r="AH289" s="155"/>
      <c r="AI289" s="155"/>
      <c r="AJ289" s="155"/>
      <c r="AK289" s="155"/>
      <c r="AL289" s="155"/>
      <c r="AM289" s="155"/>
      <c r="AN289" s="155"/>
      <c r="AO289" s="155"/>
      <c r="AP289" s="155"/>
      <c r="AQ289" s="155"/>
      <c r="AR289" s="155"/>
      <c r="AS289" s="155"/>
      <c r="AT289" s="155"/>
      <c r="AU289" s="155"/>
      <c r="AV289" s="155"/>
      <c r="AW289" s="155"/>
    </row>
    <row r="290" spans="1:49" ht="16.5" customHeight="1">
      <c r="A290" s="155"/>
      <c r="B290" s="155"/>
      <c r="C290" s="1"/>
      <c r="D290" s="1"/>
      <c r="E290" s="1"/>
      <c r="F290" s="156"/>
      <c r="G290" s="1"/>
      <c r="H290" s="1"/>
      <c r="I290" s="1"/>
      <c r="J290" s="1"/>
      <c r="K290" s="1"/>
      <c r="L290" s="1"/>
      <c r="M290" s="1"/>
      <c r="N290" s="1"/>
      <c r="O290" s="1"/>
      <c r="P290" s="1"/>
      <c r="Q290" s="1"/>
      <c r="R290" s="1"/>
      <c r="S290" s="1"/>
      <c r="T290" s="1"/>
      <c r="U290" s="1"/>
      <c r="V290" s="1"/>
      <c r="W290" s="1"/>
      <c r="X290" s="1"/>
      <c r="Y290" s="1"/>
      <c r="Z290" s="1"/>
      <c r="AA290" s="1"/>
      <c r="AB290" s="1"/>
      <c r="AC290" s="1"/>
      <c r="AD290" s="155"/>
      <c r="AE290" s="155"/>
      <c r="AF290" s="155"/>
      <c r="AG290" s="155"/>
      <c r="AH290" s="155"/>
      <c r="AI290" s="155"/>
      <c r="AJ290" s="155"/>
      <c r="AK290" s="155"/>
      <c r="AL290" s="155"/>
      <c r="AM290" s="155"/>
      <c r="AN290" s="155"/>
      <c r="AO290" s="155"/>
      <c r="AP290" s="155"/>
      <c r="AQ290" s="155"/>
      <c r="AR290" s="155"/>
      <c r="AS290" s="155"/>
      <c r="AT290" s="155"/>
      <c r="AU290" s="155"/>
      <c r="AV290" s="155"/>
      <c r="AW290" s="155"/>
    </row>
    <row r="291" spans="1:49" ht="16.5" customHeight="1">
      <c r="A291" s="155"/>
      <c r="B291" s="155"/>
      <c r="C291" s="1"/>
      <c r="D291" s="1"/>
      <c r="E291" s="1"/>
      <c r="F291" s="156"/>
      <c r="G291" s="157"/>
      <c r="H291" s="184"/>
      <c r="I291" s="184"/>
      <c r="J291" s="184"/>
      <c r="K291" s="184"/>
      <c r="L291" s="184"/>
      <c r="M291" s="4"/>
      <c r="N291" s="184"/>
      <c r="O291" s="1"/>
      <c r="P291" s="5"/>
      <c r="Q291" s="4"/>
      <c r="R291" s="1"/>
      <c r="S291" s="1"/>
      <c r="T291" s="1"/>
      <c r="U291" s="6"/>
      <c r="V291" s="184"/>
      <c r="W291" s="184"/>
      <c r="X291" s="155"/>
      <c r="Y291" s="155"/>
      <c r="Z291" s="155"/>
      <c r="AA291" s="155"/>
      <c r="AB291" s="155"/>
      <c r="AC291" s="184"/>
      <c r="AD291" s="155"/>
      <c r="AE291" s="155"/>
      <c r="AF291" s="155"/>
      <c r="AG291" s="155"/>
      <c r="AH291" s="155"/>
      <c r="AI291" s="155"/>
      <c r="AJ291" s="155"/>
      <c r="AK291" s="155"/>
      <c r="AL291" s="155"/>
      <c r="AM291" s="155"/>
      <c r="AN291" s="155"/>
      <c r="AO291" s="155"/>
      <c r="AP291" s="155"/>
      <c r="AQ291" s="155"/>
      <c r="AR291" s="155"/>
      <c r="AS291" s="155"/>
      <c r="AT291" s="155"/>
      <c r="AU291" s="155"/>
      <c r="AV291" s="155"/>
      <c r="AW291" s="155"/>
    </row>
    <row r="292" spans="1:49" ht="16.5" customHeight="1">
      <c r="A292" s="155"/>
      <c r="B292" s="155"/>
      <c r="C292" s="1"/>
      <c r="D292" s="1"/>
      <c r="E292" s="1"/>
      <c r="F292" s="156"/>
      <c r="G292" s="157"/>
      <c r="H292" s="184"/>
      <c r="I292" s="184"/>
      <c r="J292" s="184"/>
      <c r="K292" s="184"/>
      <c r="L292" s="184"/>
      <c r="M292" s="4"/>
      <c r="N292" s="184"/>
      <c r="O292" s="1"/>
      <c r="P292" s="5"/>
      <c r="Q292" s="4"/>
      <c r="R292" s="1"/>
      <c r="S292" s="1"/>
      <c r="T292" s="1"/>
      <c r="U292" s="6"/>
      <c r="V292" s="184"/>
      <c r="W292" s="184"/>
      <c r="X292" s="155"/>
      <c r="Y292" s="155"/>
      <c r="Z292" s="155"/>
      <c r="AA292" s="155"/>
      <c r="AB292" s="155"/>
      <c r="AC292" s="184"/>
      <c r="AD292" s="155"/>
      <c r="AE292" s="155"/>
      <c r="AF292" s="155"/>
      <c r="AG292" s="155"/>
      <c r="AH292" s="155"/>
      <c r="AI292" s="155"/>
      <c r="AJ292" s="155"/>
      <c r="AK292" s="155"/>
      <c r="AL292" s="155"/>
      <c r="AM292" s="155"/>
      <c r="AN292" s="155"/>
      <c r="AO292" s="155"/>
      <c r="AP292" s="155"/>
      <c r="AQ292" s="155"/>
      <c r="AR292" s="155"/>
      <c r="AS292" s="155"/>
      <c r="AT292" s="155"/>
      <c r="AU292" s="155"/>
      <c r="AV292" s="155"/>
      <c r="AW292" s="155"/>
    </row>
    <row r="293" spans="1:49" ht="16.5" customHeight="1">
      <c r="A293" s="155"/>
      <c r="B293" s="155"/>
      <c r="C293" s="1"/>
      <c r="D293" s="1"/>
      <c r="E293" s="1"/>
      <c r="F293" s="156"/>
      <c r="G293" s="157"/>
      <c r="H293" s="184"/>
      <c r="I293" s="184"/>
      <c r="J293" s="184"/>
      <c r="K293" s="184"/>
      <c r="L293" s="184"/>
      <c r="M293" s="4"/>
      <c r="N293" s="184"/>
      <c r="O293" s="1"/>
      <c r="P293" s="5"/>
      <c r="Q293" s="4"/>
      <c r="R293" s="1"/>
      <c r="S293" s="1"/>
      <c r="T293" s="1"/>
      <c r="U293" s="6"/>
      <c r="V293" s="184"/>
      <c r="W293" s="184"/>
      <c r="X293" s="155"/>
      <c r="Y293" s="155"/>
      <c r="Z293" s="155"/>
      <c r="AA293" s="155"/>
      <c r="AB293" s="155"/>
      <c r="AC293" s="184"/>
      <c r="AD293" s="155"/>
      <c r="AE293" s="155"/>
      <c r="AF293" s="155"/>
      <c r="AG293" s="155"/>
      <c r="AH293" s="155"/>
      <c r="AI293" s="155"/>
      <c r="AJ293" s="155"/>
      <c r="AK293" s="155"/>
      <c r="AL293" s="155"/>
      <c r="AM293" s="155"/>
      <c r="AN293" s="155"/>
      <c r="AO293" s="155"/>
      <c r="AP293" s="155"/>
      <c r="AQ293" s="155"/>
      <c r="AR293" s="155"/>
      <c r="AS293" s="155"/>
      <c r="AT293" s="155"/>
      <c r="AU293" s="155"/>
      <c r="AV293" s="155"/>
      <c r="AW293" s="155"/>
    </row>
    <row r="294" spans="1:49" ht="16.5" customHeight="1">
      <c r="A294" s="155"/>
      <c r="B294" s="155"/>
      <c r="C294" s="1"/>
      <c r="D294" s="1"/>
      <c r="E294" s="1"/>
      <c r="F294" s="156"/>
      <c r="G294" s="157"/>
      <c r="H294" s="184"/>
      <c r="I294" s="184"/>
      <c r="J294" s="184"/>
      <c r="K294" s="184"/>
      <c r="L294" s="184"/>
      <c r="M294" s="4"/>
      <c r="N294" s="184"/>
      <c r="O294" s="1"/>
      <c r="P294" s="5"/>
      <c r="Q294" s="4"/>
      <c r="R294" s="1"/>
      <c r="S294" s="1"/>
      <c r="T294" s="1"/>
      <c r="U294" s="6"/>
      <c r="V294" s="184"/>
      <c r="W294" s="184"/>
      <c r="X294" s="155"/>
      <c r="Y294" s="155"/>
      <c r="Z294" s="155"/>
      <c r="AA294" s="155"/>
      <c r="AB294" s="155"/>
      <c r="AC294" s="184"/>
      <c r="AD294" s="155"/>
      <c r="AE294" s="155"/>
      <c r="AF294" s="155"/>
      <c r="AG294" s="155"/>
      <c r="AH294" s="155"/>
      <c r="AI294" s="155"/>
      <c r="AJ294" s="155"/>
      <c r="AK294" s="155"/>
      <c r="AL294" s="155"/>
      <c r="AM294" s="155"/>
      <c r="AN294" s="155"/>
      <c r="AO294" s="155"/>
      <c r="AP294" s="155"/>
      <c r="AQ294" s="155"/>
      <c r="AR294" s="155"/>
      <c r="AS294" s="155"/>
      <c r="AT294" s="155"/>
      <c r="AU294" s="155"/>
      <c r="AV294" s="155"/>
      <c r="AW294" s="155"/>
    </row>
    <row r="295" spans="1:49" ht="16.5" customHeight="1">
      <c r="A295" s="155"/>
      <c r="B295" s="155"/>
      <c r="C295" s="1"/>
      <c r="D295" s="1"/>
      <c r="E295" s="1"/>
      <c r="F295" s="156"/>
      <c r="G295" s="157"/>
      <c r="H295" s="184"/>
      <c r="I295" s="184"/>
      <c r="J295" s="184"/>
      <c r="K295" s="184"/>
      <c r="L295" s="184"/>
      <c r="M295" s="4"/>
      <c r="N295" s="184"/>
      <c r="O295" s="1"/>
      <c r="P295" s="5"/>
      <c r="Q295" s="4"/>
      <c r="R295" s="1"/>
      <c r="S295" s="1"/>
      <c r="T295" s="1"/>
      <c r="U295" s="6"/>
      <c r="V295" s="184"/>
      <c r="W295" s="184"/>
      <c r="X295" s="155"/>
      <c r="Y295" s="155"/>
      <c r="Z295" s="155"/>
      <c r="AA295" s="155"/>
      <c r="AB295" s="155"/>
      <c r="AC295" s="184"/>
      <c r="AD295" s="155"/>
      <c r="AE295" s="155"/>
      <c r="AF295" s="155"/>
      <c r="AG295" s="155"/>
      <c r="AH295" s="155"/>
      <c r="AI295" s="155"/>
      <c r="AJ295" s="155"/>
      <c r="AK295" s="155"/>
      <c r="AL295" s="155"/>
      <c r="AM295" s="155"/>
      <c r="AN295" s="155"/>
      <c r="AO295" s="155"/>
      <c r="AP295" s="155"/>
      <c r="AQ295" s="155"/>
      <c r="AR295" s="155"/>
      <c r="AS295" s="155"/>
      <c r="AT295" s="155"/>
      <c r="AU295" s="155"/>
      <c r="AV295" s="155"/>
      <c r="AW295" s="155"/>
    </row>
    <row r="296" spans="1:49" ht="16.5" customHeight="1">
      <c r="A296" s="155"/>
      <c r="B296" s="155"/>
      <c r="C296" s="1"/>
      <c r="D296" s="1"/>
      <c r="E296" s="1"/>
      <c r="F296" s="156"/>
      <c r="G296" s="157"/>
      <c r="H296" s="184"/>
      <c r="I296" s="184"/>
      <c r="J296" s="184"/>
      <c r="K296" s="184"/>
      <c r="L296" s="184"/>
      <c r="M296" s="4"/>
      <c r="N296" s="184"/>
      <c r="O296" s="1"/>
      <c r="P296" s="5"/>
      <c r="Q296" s="4"/>
      <c r="R296" s="1"/>
      <c r="S296" s="1"/>
      <c r="T296" s="1"/>
      <c r="U296" s="6"/>
      <c r="V296" s="184"/>
      <c r="W296" s="184"/>
      <c r="X296" s="155"/>
      <c r="Y296" s="155"/>
      <c r="Z296" s="155"/>
      <c r="AA296" s="155"/>
      <c r="AB296" s="155"/>
      <c r="AC296" s="184"/>
      <c r="AD296" s="155"/>
      <c r="AE296" s="155"/>
      <c r="AF296" s="155"/>
      <c r="AG296" s="155"/>
      <c r="AH296" s="155"/>
      <c r="AI296" s="155"/>
      <c r="AJ296" s="155"/>
      <c r="AK296" s="155"/>
      <c r="AL296" s="155"/>
      <c r="AM296" s="155"/>
      <c r="AN296" s="155"/>
      <c r="AO296" s="155"/>
      <c r="AP296" s="155"/>
      <c r="AQ296" s="155"/>
      <c r="AR296" s="155"/>
      <c r="AS296" s="155"/>
      <c r="AT296" s="155"/>
      <c r="AU296" s="155"/>
      <c r="AV296" s="155"/>
      <c r="AW296" s="155"/>
    </row>
    <row r="297" spans="1:49" ht="16.5" customHeight="1">
      <c r="A297" s="155"/>
      <c r="B297" s="155"/>
      <c r="C297" s="1"/>
      <c r="D297" s="1"/>
      <c r="E297" s="1"/>
      <c r="F297" s="156"/>
      <c r="G297" s="157"/>
      <c r="H297" s="184"/>
      <c r="I297" s="184"/>
      <c r="J297" s="184"/>
      <c r="K297" s="184"/>
      <c r="L297" s="184"/>
      <c r="M297" s="4"/>
      <c r="N297" s="184"/>
      <c r="O297" s="1"/>
      <c r="P297" s="5"/>
      <c r="Q297" s="4"/>
      <c r="R297" s="1"/>
      <c r="S297" s="1"/>
      <c r="T297" s="1"/>
      <c r="U297" s="6"/>
      <c r="V297" s="184"/>
      <c r="W297" s="184"/>
      <c r="X297" s="155"/>
      <c r="Y297" s="155"/>
      <c r="Z297" s="155"/>
      <c r="AA297" s="155"/>
      <c r="AB297" s="155"/>
      <c r="AC297" s="184"/>
      <c r="AD297" s="155"/>
      <c r="AE297" s="155"/>
      <c r="AF297" s="155"/>
      <c r="AG297" s="155"/>
      <c r="AH297" s="155"/>
      <c r="AI297" s="155"/>
      <c r="AJ297" s="155"/>
      <c r="AK297" s="155"/>
      <c r="AL297" s="155"/>
      <c r="AM297" s="155"/>
      <c r="AN297" s="155"/>
      <c r="AO297" s="155"/>
      <c r="AP297" s="155"/>
      <c r="AQ297" s="155"/>
      <c r="AR297" s="155"/>
      <c r="AS297" s="155"/>
      <c r="AT297" s="155"/>
      <c r="AU297" s="155"/>
      <c r="AV297" s="155"/>
      <c r="AW297" s="155"/>
    </row>
    <row r="298" spans="1:49" ht="16.5" customHeight="1">
      <c r="A298" s="155"/>
      <c r="B298" s="155"/>
      <c r="C298" s="1"/>
      <c r="D298" s="1"/>
      <c r="E298" s="1"/>
      <c r="F298" s="156"/>
      <c r="G298" s="157"/>
      <c r="H298" s="184"/>
      <c r="I298" s="184"/>
      <c r="J298" s="184"/>
      <c r="K298" s="184"/>
      <c r="L298" s="184"/>
      <c r="M298" s="4"/>
      <c r="N298" s="184"/>
      <c r="O298" s="1"/>
      <c r="P298" s="5"/>
      <c r="Q298" s="4"/>
      <c r="R298" s="1"/>
      <c r="S298" s="1"/>
      <c r="T298" s="1"/>
      <c r="U298" s="6"/>
      <c r="V298" s="184"/>
      <c r="W298" s="184"/>
      <c r="X298" s="155"/>
      <c r="Y298" s="155"/>
      <c r="Z298" s="155"/>
      <c r="AA298" s="155"/>
      <c r="AB298" s="155"/>
      <c r="AC298" s="184"/>
      <c r="AD298" s="155"/>
      <c r="AE298" s="155"/>
      <c r="AF298" s="155"/>
      <c r="AG298" s="155"/>
      <c r="AH298" s="155"/>
      <c r="AI298" s="155"/>
      <c r="AJ298" s="155"/>
      <c r="AK298" s="155"/>
      <c r="AL298" s="155"/>
      <c r="AM298" s="155"/>
      <c r="AN298" s="155"/>
      <c r="AO298" s="155"/>
      <c r="AP298" s="155"/>
      <c r="AQ298" s="155"/>
      <c r="AR298" s="155"/>
      <c r="AS298" s="155"/>
      <c r="AT298" s="155"/>
      <c r="AU298" s="155"/>
      <c r="AV298" s="155"/>
      <c r="AW298" s="155"/>
    </row>
    <row r="299" spans="1:49" ht="16.5" customHeight="1">
      <c r="A299" s="155"/>
      <c r="B299" s="155"/>
      <c r="C299" s="1"/>
      <c r="D299" s="1"/>
      <c r="E299" s="1"/>
      <c r="F299" s="156"/>
      <c r="G299" s="157"/>
      <c r="H299" s="184"/>
      <c r="I299" s="184"/>
      <c r="J299" s="184"/>
      <c r="K299" s="184"/>
      <c r="L299" s="184"/>
      <c r="M299" s="4"/>
      <c r="N299" s="184"/>
      <c r="O299" s="1"/>
      <c r="P299" s="5"/>
      <c r="Q299" s="4"/>
      <c r="R299" s="1"/>
      <c r="S299" s="1"/>
      <c r="T299" s="1"/>
      <c r="U299" s="6"/>
      <c r="V299" s="184"/>
      <c r="W299" s="184"/>
      <c r="X299" s="155"/>
      <c r="Y299" s="155"/>
      <c r="Z299" s="155"/>
      <c r="AA299" s="155"/>
      <c r="AB299" s="155"/>
      <c r="AC299" s="184"/>
      <c r="AD299" s="155"/>
      <c r="AE299" s="155"/>
      <c r="AF299" s="155"/>
      <c r="AG299" s="155"/>
      <c r="AH299" s="155"/>
      <c r="AI299" s="155"/>
      <c r="AJ299" s="155"/>
      <c r="AK299" s="155"/>
      <c r="AL299" s="155"/>
      <c r="AM299" s="155"/>
      <c r="AN299" s="155"/>
      <c r="AO299" s="155"/>
      <c r="AP299" s="155"/>
      <c r="AQ299" s="155"/>
      <c r="AR299" s="155"/>
      <c r="AS299" s="155"/>
      <c r="AT299" s="155"/>
      <c r="AU299" s="155"/>
      <c r="AV299" s="155"/>
      <c r="AW299" s="155"/>
    </row>
    <row r="300" spans="1:49" ht="16.5" customHeight="1">
      <c r="A300" s="155"/>
      <c r="B300" s="155"/>
      <c r="C300" s="1"/>
      <c r="D300" s="1"/>
      <c r="E300" s="1"/>
      <c r="F300" s="156"/>
      <c r="G300" s="157"/>
      <c r="H300" s="184"/>
      <c r="I300" s="184"/>
      <c r="J300" s="184"/>
      <c r="K300" s="184"/>
      <c r="L300" s="184"/>
      <c r="M300" s="4"/>
      <c r="N300" s="184"/>
      <c r="O300" s="1"/>
      <c r="P300" s="5"/>
      <c r="Q300" s="4"/>
      <c r="R300" s="1"/>
      <c r="S300" s="1"/>
      <c r="T300" s="1"/>
      <c r="U300" s="6"/>
      <c r="V300" s="184"/>
      <c r="W300" s="184"/>
      <c r="X300" s="155"/>
      <c r="Y300" s="155"/>
      <c r="Z300" s="155"/>
      <c r="AA300" s="155"/>
      <c r="AB300" s="155"/>
      <c r="AC300" s="184"/>
      <c r="AD300" s="155"/>
      <c r="AE300" s="155"/>
      <c r="AF300" s="155"/>
      <c r="AG300" s="155"/>
      <c r="AH300" s="155"/>
      <c r="AI300" s="155"/>
      <c r="AJ300" s="155"/>
      <c r="AK300" s="155"/>
      <c r="AL300" s="155"/>
      <c r="AM300" s="155"/>
      <c r="AN300" s="155"/>
      <c r="AO300" s="155"/>
      <c r="AP300" s="155"/>
      <c r="AQ300" s="155"/>
      <c r="AR300" s="155"/>
      <c r="AS300" s="155"/>
      <c r="AT300" s="155"/>
      <c r="AU300" s="155"/>
      <c r="AV300" s="155"/>
      <c r="AW300" s="155"/>
    </row>
    <row r="301" spans="1:49" ht="16.5" customHeight="1">
      <c r="A301" s="155"/>
      <c r="B301" s="155"/>
      <c r="C301" s="1"/>
      <c r="D301" s="1"/>
      <c r="E301" s="1"/>
      <c r="F301" s="156"/>
      <c r="G301" s="157"/>
      <c r="H301" s="184"/>
      <c r="I301" s="184"/>
      <c r="J301" s="184"/>
      <c r="K301" s="184"/>
      <c r="L301" s="184"/>
      <c r="M301" s="4"/>
      <c r="N301" s="184"/>
      <c r="O301" s="1"/>
      <c r="P301" s="5"/>
      <c r="Q301" s="4"/>
      <c r="R301" s="1"/>
      <c r="S301" s="1"/>
      <c r="T301" s="1"/>
      <c r="U301" s="6"/>
      <c r="V301" s="184"/>
      <c r="W301" s="184"/>
      <c r="X301" s="155"/>
      <c r="Y301" s="155"/>
      <c r="Z301" s="155"/>
      <c r="AA301" s="155"/>
      <c r="AB301" s="155"/>
      <c r="AC301" s="184"/>
      <c r="AD301" s="155"/>
      <c r="AE301" s="155"/>
      <c r="AF301" s="155"/>
      <c r="AG301" s="155"/>
      <c r="AH301" s="155"/>
      <c r="AI301" s="155"/>
      <c r="AJ301" s="155"/>
      <c r="AK301" s="155"/>
      <c r="AL301" s="155"/>
      <c r="AM301" s="155"/>
      <c r="AN301" s="155"/>
      <c r="AO301" s="155"/>
      <c r="AP301" s="155"/>
      <c r="AQ301" s="155"/>
      <c r="AR301" s="155"/>
      <c r="AS301" s="155"/>
      <c r="AT301" s="155"/>
      <c r="AU301" s="155"/>
      <c r="AV301" s="155"/>
      <c r="AW301" s="155"/>
    </row>
    <row r="302" spans="1:49" ht="16.5" customHeight="1">
      <c r="A302" s="155"/>
      <c r="B302" s="155"/>
      <c r="C302" s="1"/>
      <c r="D302" s="1"/>
      <c r="E302" s="1"/>
      <c r="F302" s="156"/>
      <c r="G302" s="157"/>
      <c r="H302" s="184"/>
      <c r="I302" s="184"/>
      <c r="J302" s="184"/>
      <c r="K302" s="184"/>
      <c r="L302" s="184"/>
      <c r="M302" s="4"/>
      <c r="N302" s="184"/>
      <c r="O302" s="1"/>
      <c r="P302" s="5"/>
      <c r="Q302" s="4"/>
      <c r="R302" s="1"/>
      <c r="S302" s="1"/>
      <c r="T302" s="1"/>
      <c r="U302" s="6"/>
      <c r="V302" s="184"/>
      <c r="W302" s="184"/>
      <c r="X302" s="155"/>
      <c r="Y302" s="155"/>
      <c r="Z302" s="155"/>
      <c r="AA302" s="155"/>
      <c r="AB302" s="155"/>
      <c r="AC302" s="184"/>
      <c r="AD302" s="155"/>
      <c r="AE302" s="155"/>
      <c r="AF302" s="155"/>
      <c r="AG302" s="155"/>
      <c r="AH302" s="155"/>
      <c r="AI302" s="155"/>
      <c r="AJ302" s="155"/>
      <c r="AK302" s="155"/>
      <c r="AL302" s="155"/>
      <c r="AM302" s="155"/>
      <c r="AN302" s="155"/>
      <c r="AO302" s="155"/>
      <c r="AP302" s="155"/>
      <c r="AQ302" s="155"/>
      <c r="AR302" s="155"/>
      <c r="AS302" s="155"/>
      <c r="AT302" s="155"/>
      <c r="AU302" s="155"/>
      <c r="AV302" s="155"/>
      <c r="AW302" s="155"/>
    </row>
    <row r="303" spans="1:49" ht="16.5" customHeight="1">
      <c r="A303" s="155"/>
      <c r="B303" s="155"/>
      <c r="C303" s="1"/>
      <c r="D303" s="1"/>
      <c r="E303" s="1"/>
      <c r="F303" s="156"/>
      <c r="G303" s="157"/>
      <c r="H303" s="184"/>
      <c r="I303" s="184"/>
      <c r="J303" s="184"/>
      <c r="K303" s="184"/>
      <c r="L303" s="184"/>
      <c r="M303" s="4"/>
      <c r="N303" s="184"/>
      <c r="O303" s="1"/>
      <c r="P303" s="5"/>
      <c r="Q303" s="4"/>
      <c r="R303" s="1"/>
      <c r="S303" s="1"/>
      <c r="T303" s="1"/>
      <c r="U303" s="6"/>
      <c r="V303" s="184"/>
      <c r="W303" s="184"/>
      <c r="X303" s="155"/>
      <c r="Y303" s="155"/>
      <c r="Z303" s="155"/>
      <c r="AA303" s="155"/>
      <c r="AB303" s="155"/>
      <c r="AC303" s="184"/>
      <c r="AD303" s="155"/>
      <c r="AE303" s="155"/>
      <c r="AF303" s="155"/>
      <c r="AG303" s="155"/>
      <c r="AH303" s="155"/>
      <c r="AI303" s="155"/>
      <c r="AJ303" s="155"/>
      <c r="AK303" s="155"/>
      <c r="AL303" s="155"/>
      <c r="AM303" s="155"/>
      <c r="AN303" s="155"/>
      <c r="AO303" s="155"/>
      <c r="AP303" s="155"/>
      <c r="AQ303" s="155"/>
      <c r="AR303" s="155"/>
      <c r="AS303" s="155"/>
      <c r="AT303" s="155"/>
      <c r="AU303" s="155"/>
      <c r="AV303" s="155"/>
      <c r="AW303" s="155"/>
    </row>
    <row r="304" spans="1:49" ht="16.5" customHeight="1">
      <c r="A304" s="155"/>
      <c r="B304" s="155"/>
      <c r="C304" s="1"/>
      <c r="D304" s="1"/>
      <c r="E304" s="1"/>
      <c r="F304" s="156"/>
      <c r="G304" s="157"/>
      <c r="H304" s="184"/>
      <c r="I304" s="184"/>
      <c r="J304" s="184"/>
      <c r="K304" s="184"/>
      <c r="L304" s="184"/>
      <c r="M304" s="4"/>
      <c r="N304" s="184"/>
      <c r="O304" s="1"/>
      <c r="P304" s="5"/>
      <c r="Q304" s="4"/>
      <c r="R304" s="1"/>
      <c r="S304" s="1"/>
      <c r="T304" s="1"/>
      <c r="U304" s="6"/>
      <c r="V304" s="184"/>
      <c r="W304" s="184"/>
      <c r="X304" s="155"/>
      <c r="Y304" s="155"/>
      <c r="Z304" s="155"/>
      <c r="AA304" s="155"/>
      <c r="AB304" s="155"/>
      <c r="AC304" s="184"/>
      <c r="AD304" s="155"/>
      <c r="AE304" s="155"/>
      <c r="AF304" s="155"/>
      <c r="AG304" s="155"/>
      <c r="AH304" s="155"/>
      <c r="AI304" s="155"/>
      <c r="AJ304" s="155"/>
      <c r="AK304" s="155"/>
      <c r="AL304" s="155"/>
      <c r="AM304" s="155"/>
      <c r="AN304" s="155"/>
      <c r="AO304" s="155"/>
      <c r="AP304" s="155"/>
      <c r="AQ304" s="155"/>
      <c r="AR304" s="155"/>
      <c r="AS304" s="155"/>
      <c r="AT304" s="155"/>
      <c r="AU304" s="155"/>
      <c r="AV304" s="155"/>
      <c r="AW304" s="155"/>
    </row>
    <row r="305" spans="1:49" ht="16.5" customHeight="1">
      <c r="A305" s="155"/>
      <c r="B305" s="155"/>
      <c r="C305" s="1"/>
      <c r="D305" s="1"/>
      <c r="E305" s="1"/>
      <c r="F305" s="156"/>
      <c r="G305" s="157"/>
      <c r="H305" s="184"/>
      <c r="I305" s="184"/>
      <c r="J305" s="184"/>
      <c r="K305" s="184"/>
      <c r="L305" s="184"/>
      <c r="M305" s="4"/>
      <c r="N305" s="184"/>
      <c r="O305" s="1"/>
      <c r="P305" s="5"/>
      <c r="Q305" s="4"/>
      <c r="R305" s="1"/>
      <c r="S305" s="1"/>
      <c r="T305" s="1"/>
      <c r="U305" s="6"/>
      <c r="V305" s="184"/>
      <c r="W305" s="184"/>
      <c r="X305" s="155"/>
      <c r="Y305" s="155"/>
      <c r="Z305" s="155"/>
      <c r="AA305" s="155"/>
      <c r="AB305" s="155"/>
      <c r="AC305" s="184"/>
      <c r="AD305" s="155"/>
      <c r="AE305" s="155"/>
      <c r="AF305" s="155"/>
      <c r="AG305" s="155"/>
      <c r="AH305" s="155"/>
      <c r="AI305" s="155"/>
      <c r="AJ305" s="155"/>
      <c r="AK305" s="155"/>
      <c r="AL305" s="155"/>
      <c r="AM305" s="155"/>
      <c r="AN305" s="155"/>
      <c r="AO305" s="155"/>
      <c r="AP305" s="155"/>
      <c r="AQ305" s="155"/>
      <c r="AR305" s="155"/>
      <c r="AS305" s="155"/>
      <c r="AT305" s="155"/>
      <c r="AU305" s="155"/>
      <c r="AV305" s="155"/>
      <c r="AW305" s="155"/>
    </row>
    <row r="306" spans="1:49" ht="16.5" customHeight="1">
      <c r="A306" s="155"/>
      <c r="B306" s="155"/>
      <c r="C306" s="1"/>
      <c r="D306" s="1"/>
      <c r="E306" s="1"/>
      <c r="F306" s="156"/>
      <c r="G306" s="157"/>
      <c r="H306" s="184"/>
      <c r="I306" s="184"/>
      <c r="J306" s="184"/>
      <c r="K306" s="184"/>
      <c r="L306" s="184"/>
      <c r="M306" s="4"/>
      <c r="N306" s="184"/>
      <c r="O306" s="1"/>
      <c r="P306" s="5"/>
      <c r="Q306" s="4"/>
      <c r="R306" s="1"/>
      <c r="S306" s="1"/>
      <c r="T306" s="1"/>
      <c r="U306" s="6"/>
      <c r="V306" s="184"/>
      <c r="W306" s="184"/>
      <c r="X306" s="155"/>
      <c r="Y306" s="155"/>
      <c r="Z306" s="155"/>
      <c r="AA306" s="155"/>
      <c r="AB306" s="155"/>
      <c r="AC306" s="184"/>
      <c r="AD306" s="155"/>
      <c r="AE306" s="155"/>
      <c r="AF306" s="155"/>
      <c r="AG306" s="155"/>
      <c r="AH306" s="155"/>
      <c r="AI306" s="155"/>
      <c r="AJ306" s="155"/>
      <c r="AK306" s="155"/>
      <c r="AL306" s="155"/>
      <c r="AM306" s="155"/>
      <c r="AN306" s="155"/>
      <c r="AO306" s="155"/>
      <c r="AP306" s="155"/>
      <c r="AQ306" s="155"/>
      <c r="AR306" s="155"/>
      <c r="AS306" s="155"/>
      <c r="AT306" s="155"/>
      <c r="AU306" s="155"/>
      <c r="AV306" s="155"/>
      <c r="AW306" s="155"/>
    </row>
    <row r="307" spans="1:49" ht="16.5" customHeight="1">
      <c r="A307" s="155"/>
      <c r="B307" s="155"/>
      <c r="C307" s="1"/>
      <c r="D307" s="1"/>
      <c r="E307" s="1"/>
      <c r="F307" s="156"/>
      <c r="G307" s="157"/>
      <c r="H307" s="184"/>
      <c r="I307" s="184"/>
      <c r="J307" s="184"/>
      <c r="K307" s="184"/>
      <c r="L307" s="184"/>
      <c r="M307" s="4"/>
      <c r="N307" s="184"/>
      <c r="O307" s="1"/>
      <c r="P307" s="5"/>
      <c r="Q307" s="4"/>
      <c r="R307" s="1"/>
      <c r="S307" s="1"/>
      <c r="T307" s="1"/>
      <c r="U307" s="6"/>
      <c r="V307" s="184"/>
      <c r="W307" s="184"/>
      <c r="X307" s="155"/>
      <c r="Y307" s="155"/>
      <c r="Z307" s="155"/>
      <c r="AA307" s="155"/>
      <c r="AB307" s="155"/>
      <c r="AC307" s="184"/>
      <c r="AD307" s="155"/>
      <c r="AE307" s="155"/>
      <c r="AF307" s="155"/>
      <c r="AG307" s="155"/>
      <c r="AH307" s="155"/>
      <c r="AI307" s="155"/>
      <c r="AJ307" s="155"/>
      <c r="AK307" s="155"/>
      <c r="AL307" s="155"/>
      <c r="AM307" s="155"/>
      <c r="AN307" s="155"/>
      <c r="AO307" s="155"/>
      <c r="AP307" s="155"/>
      <c r="AQ307" s="155"/>
      <c r="AR307" s="155"/>
      <c r="AS307" s="155"/>
      <c r="AT307" s="155"/>
      <c r="AU307" s="155"/>
      <c r="AV307" s="155"/>
      <c r="AW307" s="155"/>
    </row>
    <row r="308" spans="1:49" ht="16.5" customHeight="1">
      <c r="A308" s="155"/>
      <c r="B308" s="155"/>
      <c r="C308" s="1"/>
      <c r="D308" s="1"/>
      <c r="E308" s="1"/>
      <c r="F308" s="156"/>
      <c r="G308" s="157"/>
      <c r="H308" s="184"/>
      <c r="I308" s="184"/>
      <c r="J308" s="184"/>
      <c r="K308" s="184"/>
      <c r="L308" s="184"/>
      <c r="M308" s="4"/>
      <c r="N308" s="184"/>
      <c r="O308" s="1"/>
      <c r="P308" s="5"/>
      <c r="Q308" s="4"/>
      <c r="R308" s="1"/>
      <c r="S308" s="1"/>
      <c r="T308" s="1"/>
      <c r="U308" s="6"/>
      <c r="V308" s="184"/>
      <c r="W308" s="184"/>
      <c r="X308" s="155"/>
      <c r="Y308" s="155"/>
      <c r="Z308" s="155"/>
      <c r="AA308" s="155"/>
      <c r="AB308" s="155"/>
      <c r="AC308" s="184"/>
      <c r="AD308" s="155"/>
      <c r="AE308" s="155"/>
      <c r="AF308" s="155"/>
      <c r="AG308" s="155"/>
      <c r="AH308" s="155"/>
      <c r="AI308" s="155"/>
      <c r="AJ308" s="155"/>
      <c r="AK308" s="155"/>
      <c r="AL308" s="155"/>
      <c r="AM308" s="155"/>
      <c r="AN308" s="155"/>
      <c r="AO308" s="155"/>
      <c r="AP308" s="155"/>
      <c r="AQ308" s="155"/>
      <c r="AR308" s="155"/>
      <c r="AS308" s="155"/>
      <c r="AT308" s="155"/>
      <c r="AU308" s="155"/>
      <c r="AV308" s="155"/>
      <c r="AW308" s="155"/>
    </row>
    <row r="309" spans="1:49" ht="16.5" customHeight="1">
      <c r="A309" s="155"/>
      <c r="B309" s="155"/>
      <c r="C309" s="1"/>
      <c r="D309" s="1"/>
      <c r="E309" s="1"/>
      <c r="F309" s="156"/>
      <c r="G309" s="157"/>
      <c r="H309" s="184"/>
      <c r="I309" s="184"/>
      <c r="J309" s="184"/>
      <c r="K309" s="184"/>
      <c r="L309" s="184"/>
      <c r="M309" s="4"/>
      <c r="N309" s="184"/>
      <c r="O309" s="1"/>
      <c r="P309" s="5"/>
      <c r="Q309" s="4"/>
      <c r="R309" s="1"/>
      <c r="S309" s="1"/>
      <c r="T309" s="1"/>
      <c r="U309" s="6"/>
      <c r="V309" s="184"/>
      <c r="W309" s="184"/>
      <c r="X309" s="155"/>
      <c r="Y309" s="155"/>
      <c r="Z309" s="155"/>
      <c r="AA309" s="155"/>
      <c r="AB309" s="155"/>
      <c r="AC309" s="184"/>
      <c r="AD309" s="155"/>
      <c r="AE309" s="155"/>
      <c r="AF309" s="155"/>
      <c r="AG309" s="155"/>
      <c r="AH309" s="155"/>
      <c r="AI309" s="155"/>
      <c r="AJ309" s="155"/>
      <c r="AK309" s="155"/>
      <c r="AL309" s="155"/>
      <c r="AM309" s="155"/>
      <c r="AN309" s="155"/>
      <c r="AO309" s="155"/>
      <c r="AP309" s="155"/>
      <c r="AQ309" s="155"/>
      <c r="AR309" s="155"/>
      <c r="AS309" s="155"/>
      <c r="AT309" s="155"/>
      <c r="AU309" s="155"/>
      <c r="AV309" s="155"/>
      <c r="AW309" s="155"/>
    </row>
    <row r="310" spans="1:49" ht="16.5" customHeight="1">
      <c r="A310" s="155"/>
      <c r="B310" s="155"/>
      <c r="C310" s="1"/>
      <c r="D310" s="1"/>
      <c r="E310" s="1"/>
      <c r="F310" s="156"/>
      <c r="G310" s="157"/>
      <c r="H310" s="184"/>
      <c r="I310" s="184"/>
      <c r="J310" s="184"/>
      <c r="K310" s="184"/>
      <c r="L310" s="184"/>
      <c r="M310" s="4"/>
      <c r="N310" s="184"/>
      <c r="O310" s="1"/>
      <c r="P310" s="5"/>
      <c r="Q310" s="4"/>
      <c r="R310" s="1"/>
      <c r="S310" s="1"/>
      <c r="T310" s="1"/>
      <c r="U310" s="6"/>
      <c r="V310" s="184"/>
      <c r="W310" s="184"/>
      <c r="X310" s="155"/>
      <c r="Y310" s="155"/>
      <c r="Z310" s="155"/>
      <c r="AA310" s="155"/>
      <c r="AB310" s="155"/>
      <c r="AC310" s="184"/>
      <c r="AD310" s="155"/>
      <c r="AE310" s="155"/>
      <c r="AF310" s="155"/>
      <c r="AG310" s="155"/>
      <c r="AH310" s="155"/>
      <c r="AI310" s="155"/>
      <c r="AJ310" s="155"/>
      <c r="AK310" s="155"/>
      <c r="AL310" s="155"/>
      <c r="AM310" s="155"/>
      <c r="AN310" s="155"/>
      <c r="AO310" s="155"/>
      <c r="AP310" s="155"/>
      <c r="AQ310" s="155"/>
      <c r="AR310" s="155"/>
      <c r="AS310" s="155"/>
      <c r="AT310" s="155"/>
      <c r="AU310" s="155"/>
      <c r="AV310" s="155"/>
      <c r="AW310" s="155"/>
    </row>
    <row r="311" spans="1:49" ht="16.5" customHeight="1">
      <c r="A311" s="155"/>
      <c r="B311" s="155"/>
      <c r="C311" s="1"/>
      <c r="D311" s="1"/>
      <c r="E311" s="1"/>
      <c r="F311" s="156"/>
      <c r="G311" s="157"/>
      <c r="H311" s="184"/>
      <c r="I311" s="184"/>
      <c r="J311" s="184"/>
      <c r="K311" s="184"/>
      <c r="L311" s="184"/>
      <c r="M311" s="4"/>
      <c r="N311" s="184"/>
      <c r="O311" s="1"/>
      <c r="P311" s="5"/>
      <c r="Q311" s="4"/>
      <c r="R311" s="1"/>
      <c r="S311" s="1"/>
      <c r="T311" s="1"/>
      <c r="U311" s="6"/>
      <c r="V311" s="184"/>
      <c r="W311" s="184"/>
      <c r="X311" s="155"/>
      <c r="Y311" s="155"/>
      <c r="Z311" s="155"/>
      <c r="AA311" s="155"/>
      <c r="AB311" s="155"/>
      <c r="AC311" s="184"/>
      <c r="AD311" s="155"/>
      <c r="AE311" s="155"/>
      <c r="AF311" s="155"/>
      <c r="AG311" s="155"/>
      <c r="AH311" s="155"/>
      <c r="AI311" s="155"/>
      <c r="AJ311" s="155"/>
      <c r="AK311" s="155"/>
      <c r="AL311" s="155"/>
      <c r="AM311" s="155"/>
      <c r="AN311" s="155"/>
      <c r="AO311" s="155"/>
      <c r="AP311" s="155"/>
      <c r="AQ311" s="155"/>
      <c r="AR311" s="155"/>
      <c r="AS311" s="155"/>
      <c r="AT311" s="155"/>
      <c r="AU311" s="155"/>
      <c r="AV311" s="155"/>
      <c r="AW311" s="155"/>
    </row>
    <row r="312" spans="1:49" ht="16.5" customHeight="1">
      <c r="A312" s="155"/>
      <c r="B312" s="155"/>
      <c r="C312" s="1"/>
      <c r="D312" s="1"/>
      <c r="E312" s="1"/>
      <c r="F312" s="156"/>
      <c r="G312" s="157"/>
      <c r="H312" s="184"/>
      <c r="I312" s="184"/>
      <c r="J312" s="184"/>
      <c r="K312" s="184"/>
      <c r="L312" s="184"/>
      <c r="M312" s="4"/>
      <c r="N312" s="184"/>
      <c r="O312" s="1"/>
      <c r="P312" s="5"/>
      <c r="Q312" s="4"/>
      <c r="R312" s="1"/>
      <c r="S312" s="1"/>
      <c r="T312" s="1"/>
      <c r="U312" s="6"/>
      <c r="V312" s="184"/>
      <c r="W312" s="184"/>
      <c r="X312" s="155"/>
      <c r="Y312" s="155"/>
      <c r="Z312" s="155"/>
      <c r="AA312" s="155"/>
      <c r="AB312" s="155"/>
      <c r="AC312" s="184"/>
      <c r="AD312" s="155"/>
      <c r="AE312" s="155"/>
      <c r="AF312" s="155"/>
      <c r="AG312" s="155"/>
      <c r="AH312" s="155"/>
      <c r="AI312" s="155"/>
      <c r="AJ312" s="155"/>
      <c r="AK312" s="155"/>
      <c r="AL312" s="155"/>
      <c r="AM312" s="155"/>
      <c r="AN312" s="155"/>
      <c r="AO312" s="155"/>
      <c r="AP312" s="155"/>
      <c r="AQ312" s="155"/>
      <c r="AR312" s="155"/>
      <c r="AS312" s="155"/>
      <c r="AT312" s="155"/>
      <c r="AU312" s="155"/>
      <c r="AV312" s="155"/>
      <c r="AW312" s="155"/>
    </row>
    <row r="313" spans="1:49" ht="16.5" customHeight="1">
      <c r="A313" s="155"/>
      <c r="B313" s="155"/>
      <c r="C313" s="1"/>
      <c r="D313" s="1"/>
      <c r="E313" s="1"/>
      <c r="F313" s="156"/>
      <c r="G313" s="157"/>
      <c r="H313" s="184"/>
      <c r="I313" s="184"/>
      <c r="J313" s="184"/>
      <c r="K313" s="184"/>
      <c r="L313" s="184"/>
      <c r="M313" s="4"/>
      <c r="N313" s="184"/>
      <c r="O313" s="1"/>
      <c r="P313" s="5"/>
      <c r="Q313" s="4"/>
      <c r="R313" s="1"/>
      <c r="S313" s="1"/>
      <c r="T313" s="1"/>
      <c r="U313" s="6"/>
      <c r="V313" s="184"/>
      <c r="W313" s="184"/>
      <c r="X313" s="155"/>
      <c r="Y313" s="155"/>
      <c r="Z313" s="155"/>
      <c r="AA313" s="155"/>
      <c r="AB313" s="155"/>
      <c r="AC313" s="184"/>
      <c r="AD313" s="155"/>
      <c r="AE313" s="155"/>
      <c r="AF313" s="155"/>
      <c r="AG313" s="155"/>
      <c r="AH313" s="155"/>
      <c r="AI313" s="155"/>
      <c r="AJ313" s="155"/>
      <c r="AK313" s="155"/>
      <c r="AL313" s="155"/>
      <c r="AM313" s="155"/>
      <c r="AN313" s="155"/>
      <c r="AO313" s="155"/>
      <c r="AP313" s="155"/>
      <c r="AQ313" s="155"/>
      <c r="AR313" s="155"/>
      <c r="AS313" s="155"/>
      <c r="AT313" s="155"/>
      <c r="AU313" s="155"/>
      <c r="AV313" s="155"/>
      <c r="AW313" s="155"/>
    </row>
    <row r="314" spans="1:49" ht="16.5" customHeight="1">
      <c r="A314" s="155"/>
      <c r="B314" s="155"/>
      <c r="C314" s="1"/>
      <c r="D314" s="1"/>
      <c r="E314" s="1"/>
      <c r="F314" s="156"/>
      <c r="G314" s="157"/>
      <c r="H314" s="184"/>
      <c r="I314" s="184"/>
      <c r="J314" s="184"/>
      <c r="K314" s="184"/>
      <c r="L314" s="184"/>
      <c r="M314" s="4"/>
      <c r="N314" s="184"/>
      <c r="O314" s="1"/>
      <c r="P314" s="5"/>
      <c r="Q314" s="4"/>
      <c r="R314" s="1"/>
      <c r="S314" s="1"/>
      <c r="T314" s="1"/>
      <c r="U314" s="6"/>
      <c r="V314" s="184"/>
      <c r="W314" s="184"/>
      <c r="X314" s="155"/>
      <c r="Y314" s="155"/>
      <c r="Z314" s="155"/>
      <c r="AA314" s="155"/>
      <c r="AB314" s="155"/>
      <c r="AC314" s="184"/>
      <c r="AD314" s="155"/>
      <c r="AE314" s="155"/>
      <c r="AF314" s="155"/>
      <c r="AG314" s="155"/>
      <c r="AH314" s="155"/>
      <c r="AI314" s="155"/>
      <c r="AJ314" s="155"/>
      <c r="AK314" s="155"/>
      <c r="AL314" s="155"/>
      <c r="AM314" s="155"/>
      <c r="AN314" s="155"/>
      <c r="AO314" s="155"/>
      <c r="AP314" s="155"/>
      <c r="AQ314" s="155"/>
      <c r="AR314" s="155"/>
      <c r="AS314" s="155"/>
      <c r="AT314" s="155"/>
      <c r="AU314" s="155"/>
      <c r="AV314" s="155"/>
      <c r="AW314" s="155"/>
    </row>
    <row r="315" spans="1:49" ht="16.5" customHeight="1">
      <c r="A315" s="155"/>
      <c r="B315" s="155"/>
      <c r="C315" s="1"/>
      <c r="D315" s="1"/>
      <c r="E315" s="1"/>
      <c r="F315" s="156"/>
      <c r="G315" s="157"/>
      <c r="H315" s="184"/>
      <c r="I315" s="184"/>
      <c r="J315" s="184"/>
      <c r="K315" s="184"/>
      <c r="L315" s="184"/>
      <c r="M315" s="4"/>
      <c r="N315" s="184"/>
      <c r="O315" s="1"/>
      <c r="P315" s="5"/>
      <c r="Q315" s="4"/>
      <c r="R315" s="1"/>
      <c r="S315" s="1"/>
      <c r="T315" s="1"/>
      <c r="U315" s="6"/>
      <c r="V315" s="184"/>
      <c r="W315" s="184"/>
      <c r="X315" s="155"/>
      <c r="Y315" s="155"/>
      <c r="Z315" s="155"/>
      <c r="AA315" s="155"/>
      <c r="AB315" s="155"/>
      <c r="AC315" s="184"/>
      <c r="AD315" s="155"/>
      <c r="AE315" s="155"/>
      <c r="AF315" s="155"/>
      <c r="AG315" s="155"/>
      <c r="AH315" s="155"/>
      <c r="AI315" s="155"/>
      <c r="AJ315" s="155"/>
      <c r="AK315" s="155"/>
      <c r="AL315" s="155"/>
      <c r="AM315" s="155"/>
      <c r="AN315" s="155"/>
      <c r="AO315" s="155"/>
      <c r="AP315" s="155"/>
      <c r="AQ315" s="155"/>
      <c r="AR315" s="155"/>
      <c r="AS315" s="155"/>
      <c r="AT315" s="155"/>
      <c r="AU315" s="155"/>
      <c r="AV315" s="155"/>
      <c r="AW315" s="155"/>
    </row>
    <row r="316" spans="1:49" ht="16.5" customHeight="1">
      <c r="A316" s="155"/>
      <c r="B316" s="155"/>
      <c r="C316" s="1"/>
      <c r="D316" s="1"/>
      <c r="E316" s="1"/>
      <c r="F316" s="156"/>
      <c r="G316" s="157"/>
      <c r="H316" s="184"/>
      <c r="I316" s="184"/>
      <c r="J316" s="184"/>
      <c r="K316" s="184"/>
      <c r="L316" s="184"/>
      <c r="M316" s="4"/>
      <c r="N316" s="184"/>
      <c r="O316" s="1"/>
      <c r="P316" s="5"/>
      <c r="Q316" s="4"/>
      <c r="R316" s="1"/>
      <c r="S316" s="1"/>
      <c r="T316" s="1"/>
      <c r="U316" s="6"/>
      <c r="V316" s="184"/>
      <c r="W316" s="184"/>
      <c r="X316" s="155"/>
      <c r="Y316" s="155"/>
      <c r="Z316" s="155"/>
      <c r="AA316" s="155"/>
      <c r="AB316" s="155"/>
      <c r="AC316" s="184"/>
      <c r="AD316" s="155"/>
      <c r="AE316" s="155"/>
      <c r="AF316" s="155"/>
      <c r="AG316" s="155"/>
      <c r="AH316" s="155"/>
      <c r="AI316" s="155"/>
      <c r="AJ316" s="155"/>
      <c r="AK316" s="155"/>
      <c r="AL316" s="155"/>
      <c r="AM316" s="155"/>
      <c r="AN316" s="155"/>
      <c r="AO316" s="155"/>
      <c r="AP316" s="155"/>
      <c r="AQ316" s="155"/>
      <c r="AR316" s="155"/>
      <c r="AS316" s="155"/>
      <c r="AT316" s="155"/>
      <c r="AU316" s="155"/>
      <c r="AV316" s="155"/>
      <c r="AW316" s="155"/>
    </row>
    <row r="317" spans="1:49" ht="16.5" customHeight="1">
      <c r="A317" s="155"/>
      <c r="B317" s="155"/>
      <c r="C317" s="1"/>
      <c r="D317" s="1"/>
      <c r="E317" s="1"/>
      <c r="F317" s="156"/>
      <c r="G317" s="157"/>
      <c r="H317" s="184"/>
      <c r="I317" s="184"/>
      <c r="J317" s="184"/>
      <c r="K317" s="184"/>
      <c r="L317" s="184"/>
      <c r="M317" s="4"/>
      <c r="N317" s="184"/>
      <c r="O317" s="1"/>
      <c r="P317" s="5"/>
      <c r="Q317" s="4"/>
      <c r="R317" s="1"/>
      <c r="S317" s="1"/>
      <c r="T317" s="1"/>
      <c r="U317" s="6"/>
      <c r="V317" s="184"/>
      <c r="W317" s="184"/>
      <c r="X317" s="155"/>
      <c r="Y317" s="155"/>
      <c r="Z317" s="155"/>
      <c r="AA317" s="155"/>
      <c r="AB317" s="155"/>
      <c r="AC317" s="184"/>
      <c r="AD317" s="155"/>
      <c r="AE317" s="155"/>
      <c r="AF317" s="155"/>
      <c r="AG317" s="155"/>
      <c r="AH317" s="155"/>
      <c r="AI317" s="155"/>
      <c r="AJ317" s="155"/>
      <c r="AK317" s="155"/>
      <c r="AL317" s="155"/>
      <c r="AM317" s="155"/>
      <c r="AN317" s="155"/>
      <c r="AO317" s="155"/>
      <c r="AP317" s="155"/>
      <c r="AQ317" s="155"/>
      <c r="AR317" s="155"/>
      <c r="AS317" s="155"/>
      <c r="AT317" s="155"/>
      <c r="AU317" s="155"/>
      <c r="AV317" s="155"/>
      <c r="AW317" s="155"/>
    </row>
    <row r="318" spans="1:49" ht="16.5" customHeight="1">
      <c r="A318" s="155"/>
      <c r="B318" s="155"/>
      <c r="C318" s="1"/>
      <c r="D318" s="1"/>
      <c r="E318" s="1"/>
      <c r="F318" s="156"/>
      <c r="G318" s="157"/>
      <c r="H318" s="184"/>
      <c r="I318" s="184"/>
      <c r="J318" s="184"/>
      <c r="K318" s="184"/>
      <c r="L318" s="184"/>
      <c r="M318" s="4"/>
      <c r="N318" s="184"/>
      <c r="O318" s="1"/>
      <c r="P318" s="5"/>
      <c r="Q318" s="4"/>
      <c r="R318" s="1"/>
      <c r="S318" s="1"/>
      <c r="T318" s="1"/>
      <c r="U318" s="6"/>
      <c r="V318" s="184"/>
      <c r="W318" s="184"/>
      <c r="X318" s="155"/>
      <c r="Y318" s="155"/>
      <c r="Z318" s="155"/>
      <c r="AA318" s="155"/>
      <c r="AB318" s="155"/>
      <c r="AC318" s="184"/>
      <c r="AD318" s="155"/>
      <c r="AE318" s="155"/>
      <c r="AF318" s="155"/>
      <c r="AG318" s="155"/>
      <c r="AH318" s="155"/>
      <c r="AI318" s="155"/>
      <c r="AJ318" s="155"/>
      <c r="AK318" s="155"/>
      <c r="AL318" s="155"/>
      <c r="AM318" s="155"/>
      <c r="AN318" s="155"/>
      <c r="AO318" s="155"/>
      <c r="AP318" s="155"/>
      <c r="AQ318" s="155"/>
      <c r="AR318" s="155"/>
      <c r="AS318" s="155"/>
      <c r="AT318" s="155"/>
      <c r="AU318" s="155"/>
      <c r="AV318" s="155"/>
      <c r="AW318" s="155"/>
    </row>
    <row r="319" spans="1:49" ht="16.5" customHeight="1">
      <c r="A319" s="155"/>
      <c r="B319" s="155"/>
      <c r="C319" s="1"/>
      <c r="D319" s="1"/>
      <c r="E319" s="1"/>
      <c r="F319" s="156"/>
      <c r="G319" s="157"/>
      <c r="H319" s="184"/>
      <c r="I319" s="184"/>
      <c r="J319" s="184"/>
      <c r="K319" s="184"/>
      <c r="L319" s="184"/>
      <c r="M319" s="4"/>
      <c r="N319" s="184"/>
      <c r="O319" s="1"/>
      <c r="P319" s="5"/>
      <c r="Q319" s="4"/>
      <c r="R319" s="1"/>
      <c r="S319" s="1"/>
      <c r="T319" s="1"/>
      <c r="U319" s="6"/>
      <c r="V319" s="184"/>
      <c r="W319" s="184"/>
      <c r="X319" s="155"/>
      <c r="Y319" s="155"/>
      <c r="Z319" s="155"/>
      <c r="AA319" s="155"/>
      <c r="AB319" s="155"/>
      <c r="AC319" s="184"/>
      <c r="AD319" s="155"/>
      <c r="AE319" s="155"/>
      <c r="AF319" s="155"/>
      <c r="AG319" s="155"/>
      <c r="AH319" s="155"/>
      <c r="AI319" s="155"/>
      <c r="AJ319" s="155"/>
      <c r="AK319" s="155"/>
      <c r="AL319" s="155"/>
      <c r="AM319" s="155"/>
      <c r="AN319" s="155"/>
      <c r="AO319" s="155"/>
      <c r="AP319" s="155"/>
      <c r="AQ319" s="155"/>
      <c r="AR319" s="155"/>
      <c r="AS319" s="155"/>
      <c r="AT319" s="155"/>
      <c r="AU319" s="155"/>
      <c r="AV319" s="155"/>
      <c r="AW319" s="155"/>
    </row>
    <row r="320" spans="1:49" ht="16.5" customHeight="1">
      <c r="A320" s="155"/>
      <c r="B320" s="155"/>
      <c r="C320" s="1"/>
      <c r="D320" s="1"/>
      <c r="E320" s="1"/>
      <c r="F320" s="156"/>
      <c r="G320" s="157"/>
      <c r="H320" s="184"/>
      <c r="I320" s="184"/>
      <c r="J320" s="184"/>
      <c r="K320" s="184"/>
      <c r="L320" s="184"/>
      <c r="M320" s="4"/>
      <c r="N320" s="184"/>
      <c r="O320" s="1"/>
      <c r="P320" s="5"/>
      <c r="Q320" s="4"/>
      <c r="R320" s="1"/>
      <c r="S320" s="1"/>
      <c r="T320" s="1"/>
      <c r="U320" s="6"/>
      <c r="V320" s="184"/>
      <c r="W320" s="184"/>
      <c r="X320" s="155"/>
      <c r="Y320" s="155"/>
      <c r="Z320" s="155"/>
      <c r="AA320" s="155"/>
      <c r="AB320" s="155"/>
      <c r="AC320" s="184"/>
      <c r="AD320" s="155"/>
      <c r="AE320" s="155"/>
      <c r="AF320" s="155"/>
      <c r="AG320" s="155"/>
      <c r="AH320" s="155"/>
      <c r="AI320" s="155"/>
      <c r="AJ320" s="155"/>
      <c r="AK320" s="155"/>
      <c r="AL320" s="155"/>
      <c r="AM320" s="155"/>
      <c r="AN320" s="155"/>
      <c r="AO320" s="155"/>
      <c r="AP320" s="155"/>
      <c r="AQ320" s="155"/>
      <c r="AR320" s="155"/>
      <c r="AS320" s="155"/>
      <c r="AT320" s="155"/>
      <c r="AU320" s="155"/>
      <c r="AV320" s="155"/>
      <c r="AW320" s="155"/>
    </row>
    <row r="321" spans="1:49" ht="16.5" customHeight="1">
      <c r="A321" s="155"/>
      <c r="B321" s="155"/>
      <c r="C321" s="1"/>
      <c r="D321" s="1"/>
      <c r="E321" s="1"/>
      <c r="F321" s="156"/>
      <c r="G321" s="157"/>
      <c r="H321" s="184"/>
      <c r="I321" s="184"/>
      <c r="J321" s="184"/>
      <c r="K321" s="184"/>
      <c r="L321" s="184"/>
      <c r="M321" s="4"/>
      <c r="N321" s="184"/>
      <c r="O321" s="1"/>
      <c r="P321" s="5"/>
      <c r="Q321" s="4"/>
      <c r="R321" s="1"/>
      <c r="S321" s="1"/>
      <c r="T321" s="1"/>
      <c r="U321" s="6"/>
      <c r="V321" s="184"/>
      <c r="W321" s="184"/>
      <c r="X321" s="155"/>
      <c r="Y321" s="155"/>
      <c r="Z321" s="155"/>
      <c r="AA321" s="155"/>
      <c r="AB321" s="155"/>
      <c r="AC321" s="184"/>
      <c r="AD321" s="155"/>
      <c r="AE321" s="155"/>
      <c r="AF321" s="155"/>
      <c r="AG321" s="155"/>
      <c r="AH321" s="155"/>
      <c r="AI321" s="155"/>
      <c r="AJ321" s="155"/>
      <c r="AK321" s="155"/>
      <c r="AL321" s="155"/>
      <c r="AM321" s="155"/>
      <c r="AN321" s="155"/>
      <c r="AO321" s="155"/>
      <c r="AP321" s="155"/>
      <c r="AQ321" s="155"/>
      <c r="AR321" s="155"/>
      <c r="AS321" s="155"/>
      <c r="AT321" s="155"/>
      <c r="AU321" s="155"/>
      <c r="AV321" s="155"/>
      <c r="AW321" s="155"/>
    </row>
    <row r="322" spans="1:49" ht="16.5" customHeight="1">
      <c r="A322" s="155"/>
      <c r="B322" s="155"/>
      <c r="C322" s="1"/>
      <c r="D322" s="1"/>
      <c r="E322" s="1"/>
      <c r="F322" s="156"/>
      <c r="G322" s="157"/>
      <c r="H322" s="184"/>
      <c r="I322" s="184"/>
      <c r="J322" s="184"/>
      <c r="K322" s="184"/>
      <c r="L322" s="184"/>
      <c r="M322" s="4"/>
      <c r="N322" s="184"/>
      <c r="O322" s="1"/>
      <c r="P322" s="5"/>
      <c r="Q322" s="4"/>
      <c r="R322" s="1"/>
      <c r="S322" s="1"/>
      <c r="T322" s="1"/>
      <c r="U322" s="6"/>
      <c r="V322" s="184"/>
      <c r="W322" s="184"/>
      <c r="X322" s="155"/>
      <c r="Y322" s="155"/>
      <c r="Z322" s="155"/>
      <c r="AA322" s="155"/>
      <c r="AB322" s="155"/>
      <c r="AC322" s="184"/>
      <c r="AD322" s="155"/>
      <c r="AE322" s="155"/>
      <c r="AF322" s="155"/>
      <c r="AG322" s="155"/>
      <c r="AH322" s="155"/>
      <c r="AI322" s="155"/>
      <c r="AJ322" s="155"/>
      <c r="AK322" s="155"/>
      <c r="AL322" s="155"/>
      <c r="AM322" s="155"/>
      <c r="AN322" s="155"/>
      <c r="AO322" s="155"/>
      <c r="AP322" s="155"/>
      <c r="AQ322" s="155"/>
      <c r="AR322" s="155"/>
      <c r="AS322" s="155"/>
      <c r="AT322" s="155"/>
      <c r="AU322" s="155"/>
      <c r="AV322" s="155"/>
      <c r="AW322" s="155"/>
    </row>
    <row r="323" spans="1:49" ht="16.5" customHeight="1">
      <c r="A323" s="155"/>
      <c r="B323" s="155"/>
      <c r="C323" s="1"/>
      <c r="D323" s="1"/>
      <c r="E323" s="1"/>
      <c r="F323" s="156"/>
      <c r="G323" s="157"/>
      <c r="H323" s="184"/>
      <c r="I323" s="184"/>
      <c r="J323" s="184"/>
      <c r="K323" s="184"/>
      <c r="L323" s="184"/>
      <c r="M323" s="4"/>
      <c r="N323" s="184"/>
      <c r="O323" s="1"/>
      <c r="P323" s="5"/>
      <c r="Q323" s="4"/>
      <c r="R323" s="1"/>
      <c r="S323" s="1"/>
      <c r="T323" s="1"/>
      <c r="U323" s="6"/>
      <c r="V323" s="184"/>
      <c r="W323" s="184"/>
      <c r="X323" s="155"/>
      <c r="Y323" s="155"/>
      <c r="Z323" s="155"/>
      <c r="AA323" s="155"/>
      <c r="AB323" s="155"/>
      <c r="AC323" s="184"/>
      <c r="AD323" s="155"/>
      <c r="AE323" s="155"/>
      <c r="AF323" s="155"/>
      <c r="AG323" s="155"/>
      <c r="AH323" s="155"/>
      <c r="AI323" s="155"/>
      <c r="AJ323" s="155"/>
      <c r="AK323" s="155"/>
      <c r="AL323" s="155"/>
      <c r="AM323" s="155"/>
      <c r="AN323" s="155"/>
      <c r="AO323" s="155"/>
      <c r="AP323" s="155"/>
      <c r="AQ323" s="155"/>
      <c r="AR323" s="155"/>
      <c r="AS323" s="155"/>
      <c r="AT323" s="155"/>
      <c r="AU323" s="155"/>
      <c r="AV323" s="155"/>
      <c r="AW323" s="155"/>
    </row>
    <row r="324" spans="1:49" ht="16.5" customHeight="1">
      <c r="A324" s="155"/>
      <c r="B324" s="155"/>
      <c r="C324" s="1"/>
      <c r="D324" s="1"/>
      <c r="E324" s="1"/>
      <c r="F324" s="156"/>
      <c r="G324" s="157"/>
      <c r="H324" s="184"/>
      <c r="I324" s="184"/>
      <c r="J324" s="184"/>
      <c r="K324" s="184"/>
      <c r="L324" s="184"/>
      <c r="M324" s="4"/>
      <c r="N324" s="184"/>
      <c r="O324" s="1"/>
      <c r="P324" s="5"/>
      <c r="Q324" s="4"/>
      <c r="R324" s="1"/>
      <c r="S324" s="1"/>
      <c r="T324" s="1"/>
      <c r="U324" s="6"/>
      <c r="V324" s="184"/>
      <c r="W324" s="184"/>
      <c r="X324" s="155"/>
      <c r="Y324" s="155"/>
      <c r="Z324" s="155"/>
      <c r="AA324" s="155"/>
      <c r="AB324" s="155"/>
      <c r="AC324" s="184"/>
      <c r="AD324" s="155"/>
      <c r="AE324" s="155"/>
      <c r="AF324" s="155"/>
      <c r="AG324" s="155"/>
      <c r="AH324" s="155"/>
      <c r="AI324" s="155"/>
      <c r="AJ324" s="155"/>
      <c r="AK324" s="155"/>
      <c r="AL324" s="155"/>
      <c r="AM324" s="155"/>
      <c r="AN324" s="155"/>
      <c r="AO324" s="155"/>
      <c r="AP324" s="155"/>
      <c r="AQ324" s="155"/>
      <c r="AR324" s="155"/>
      <c r="AS324" s="155"/>
      <c r="AT324" s="155"/>
      <c r="AU324" s="155"/>
      <c r="AV324" s="155"/>
      <c r="AW324" s="155"/>
    </row>
    <row r="325" spans="1:49" ht="16.5" customHeight="1">
      <c r="A325" s="155"/>
      <c r="B325" s="155"/>
      <c r="C325" s="1"/>
      <c r="D325" s="1"/>
      <c r="E325" s="1"/>
      <c r="F325" s="156"/>
      <c r="G325" s="157"/>
      <c r="H325" s="184"/>
      <c r="I325" s="184"/>
      <c r="J325" s="184"/>
      <c r="K325" s="184"/>
      <c r="L325" s="184"/>
      <c r="M325" s="4"/>
      <c r="N325" s="184"/>
      <c r="O325" s="1"/>
      <c r="P325" s="5"/>
      <c r="Q325" s="4"/>
      <c r="R325" s="1"/>
      <c r="S325" s="1"/>
      <c r="T325" s="1"/>
      <c r="U325" s="6"/>
      <c r="V325" s="184"/>
      <c r="W325" s="184"/>
      <c r="X325" s="155"/>
      <c r="Y325" s="155"/>
      <c r="Z325" s="155"/>
      <c r="AA325" s="155"/>
      <c r="AB325" s="155"/>
      <c r="AC325" s="184"/>
      <c r="AD325" s="155"/>
      <c r="AE325" s="155"/>
      <c r="AF325" s="155"/>
      <c r="AG325" s="155"/>
      <c r="AH325" s="155"/>
      <c r="AI325" s="155"/>
      <c r="AJ325" s="155"/>
      <c r="AK325" s="155"/>
      <c r="AL325" s="155"/>
      <c r="AM325" s="155"/>
      <c r="AN325" s="155"/>
      <c r="AO325" s="155"/>
      <c r="AP325" s="155"/>
      <c r="AQ325" s="155"/>
      <c r="AR325" s="155"/>
      <c r="AS325" s="155"/>
      <c r="AT325" s="155"/>
      <c r="AU325" s="155"/>
      <c r="AV325" s="155"/>
      <c r="AW325" s="155"/>
    </row>
    <row r="326" spans="1:49" ht="16.5" customHeight="1">
      <c r="A326" s="155"/>
      <c r="B326" s="155"/>
      <c r="C326" s="1"/>
      <c r="D326" s="1"/>
      <c r="E326" s="1"/>
      <c r="F326" s="156"/>
      <c r="G326" s="157"/>
      <c r="H326" s="184"/>
      <c r="I326" s="184"/>
      <c r="J326" s="184"/>
      <c r="K326" s="184"/>
      <c r="L326" s="184"/>
      <c r="M326" s="4"/>
      <c r="N326" s="184"/>
      <c r="O326" s="1"/>
      <c r="P326" s="5"/>
      <c r="Q326" s="4"/>
      <c r="R326" s="1"/>
      <c r="S326" s="1"/>
      <c r="T326" s="1"/>
      <c r="U326" s="6"/>
      <c r="V326" s="184"/>
      <c r="W326" s="184"/>
      <c r="X326" s="155"/>
      <c r="Y326" s="155"/>
      <c r="Z326" s="155"/>
      <c r="AA326" s="155"/>
      <c r="AB326" s="155"/>
      <c r="AC326" s="184"/>
      <c r="AD326" s="155"/>
      <c r="AE326" s="155"/>
      <c r="AF326" s="155"/>
      <c r="AG326" s="155"/>
      <c r="AH326" s="155"/>
      <c r="AI326" s="155"/>
      <c r="AJ326" s="155"/>
      <c r="AK326" s="155"/>
      <c r="AL326" s="155"/>
      <c r="AM326" s="155"/>
      <c r="AN326" s="155"/>
      <c r="AO326" s="155"/>
      <c r="AP326" s="155"/>
      <c r="AQ326" s="155"/>
      <c r="AR326" s="155"/>
      <c r="AS326" s="155"/>
      <c r="AT326" s="155"/>
      <c r="AU326" s="155"/>
      <c r="AV326" s="155"/>
      <c r="AW326" s="155"/>
    </row>
    <row r="327" spans="1:49" ht="16.5" customHeight="1">
      <c r="A327" s="155"/>
      <c r="B327" s="155"/>
      <c r="C327" s="1"/>
      <c r="D327" s="1"/>
      <c r="E327" s="1"/>
      <c r="F327" s="156"/>
      <c r="G327" s="157"/>
      <c r="H327" s="184"/>
      <c r="I327" s="184"/>
      <c r="J327" s="184"/>
      <c r="K327" s="184"/>
      <c r="L327" s="184"/>
      <c r="M327" s="4"/>
      <c r="N327" s="184"/>
      <c r="O327" s="1"/>
      <c r="P327" s="5"/>
      <c r="Q327" s="4"/>
      <c r="R327" s="1"/>
      <c r="S327" s="1"/>
      <c r="T327" s="1"/>
      <c r="U327" s="6"/>
      <c r="V327" s="184"/>
      <c r="W327" s="184"/>
      <c r="X327" s="155"/>
      <c r="Y327" s="155"/>
      <c r="Z327" s="155"/>
      <c r="AA327" s="155"/>
      <c r="AB327" s="155"/>
      <c r="AC327" s="184"/>
      <c r="AD327" s="155"/>
      <c r="AE327" s="155"/>
      <c r="AF327" s="155"/>
      <c r="AG327" s="155"/>
      <c r="AH327" s="155"/>
      <c r="AI327" s="155"/>
      <c r="AJ327" s="155"/>
      <c r="AK327" s="155"/>
      <c r="AL327" s="155"/>
      <c r="AM327" s="155"/>
      <c r="AN327" s="155"/>
      <c r="AO327" s="155"/>
      <c r="AP327" s="155"/>
      <c r="AQ327" s="155"/>
      <c r="AR327" s="155"/>
      <c r="AS327" s="155"/>
      <c r="AT327" s="155"/>
      <c r="AU327" s="155"/>
      <c r="AV327" s="155"/>
      <c r="AW327" s="155"/>
    </row>
    <row r="328" spans="1:49" ht="16.5" customHeight="1">
      <c r="A328" s="155"/>
      <c r="B328" s="155"/>
      <c r="C328" s="1"/>
      <c r="D328" s="1"/>
      <c r="E328" s="1"/>
      <c r="F328" s="156"/>
      <c r="G328" s="157"/>
      <c r="H328" s="184"/>
      <c r="I328" s="184"/>
      <c r="J328" s="184"/>
      <c r="K328" s="184"/>
      <c r="L328" s="184"/>
      <c r="M328" s="4"/>
      <c r="N328" s="184"/>
      <c r="O328" s="1"/>
      <c r="P328" s="5"/>
      <c r="Q328" s="4"/>
      <c r="R328" s="1"/>
      <c r="S328" s="1"/>
      <c r="T328" s="1"/>
      <c r="U328" s="6"/>
      <c r="V328" s="184"/>
      <c r="W328" s="184"/>
      <c r="X328" s="155"/>
      <c r="Y328" s="155"/>
      <c r="Z328" s="155"/>
      <c r="AA328" s="155"/>
      <c r="AB328" s="155"/>
      <c r="AC328" s="184"/>
      <c r="AD328" s="155"/>
      <c r="AE328" s="155"/>
      <c r="AF328" s="155"/>
      <c r="AG328" s="155"/>
      <c r="AH328" s="155"/>
      <c r="AI328" s="155"/>
      <c r="AJ328" s="155"/>
      <c r="AK328" s="155"/>
      <c r="AL328" s="155"/>
      <c r="AM328" s="155"/>
      <c r="AN328" s="155"/>
      <c r="AO328" s="155"/>
      <c r="AP328" s="155"/>
      <c r="AQ328" s="155"/>
      <c r="AR328" s="155"/>
      <c r="AS328" s="155"/>
      <c r="AT328" s="155"/>
      <c r="AU328" s="155"/>
      <c r="AV328" s="155"/>
      <c r="AW328" s="155"/>
    </row>
    <row r="329" spans="1:49" ht="16.5" customHeight="1">
      <c r="A329" s="155"/>
      <c r="B329" s="155"/>
      <c r="C329" s="1"/>
      <c r="D329" s="1"/>
      <c r="E329" s="1"/>
      <c r="F329" s="156"/>
      <c r="G329" s="157"/>
      <c r="H329" s="184"/>
      <c r="I329" s="184"/>
      <c r="J329" s="184"/>
      <c r="K329" s="184"/>
      <c r="L329" s="184"/>
      <c r="M329" s="4"/>
      <c r="N329" s="184"/>
      <c r="O329" s="1"/>
      <c r="P329" s="5"/>
      <c r="Q329" s="4"/>
      <c r="R329" s="1"/>
      <c r="S329" s="1"/>
      <c r="T329" s="1"/>
      <c r="U329" s="6"/>
      <c r="V329" s="184"/>
      <c r="W329" s="184"/>
      <c r="X329" s="155"/>
      <c r="Y329" s="155"/>
      <c r="Z329" s="155"/>
      <c r="AA329" s="155"/>
      <c r="AB329" s="155"/>
      <c r="AC329" s="184"/>
      <c r="AD329" s="155"/>
      <c r="AE329" s="155"/>
      <c r="AF329" s="155"/>
      <c r="AG329" s="155"/>
      <c r="AH329" s="155"/>
      <c r="AI329" s="155"/>
      <c r="AJ329" s="155"/>
      <c r="AK329" s="155"/>
      <c r="AL329" s="155"/>
      <c r="AM329" s="155"/>
      <c r="AN329" s="155"/>
      <c r="AO329" s="155"/>
      <c r="AP329" s="155"/>
      <c r="AQ329" s="155"/>
      <c r="AR329" s="155"/>
      <c r="AS329" s="155"/>
      <c r="AT329" s="155"/>
      <c r="AU329" s="155"/>
      <c r="AV329" s="155"/>
      <c r="AW329" s="155"/>
    </row>
    <row r="330" spans="1:49" ht="16.5" customHeight="1">
      <c r="A330" s="155"/>
      <c r="B330" s="155"/>
      <c r="C330" s="1"/>
      <c r="D330" s="1"/>
      <c r="E330" s="1"/>
      <c r="F330" s="156"/>
      <c r="G330" s="157"/>
      <c r="H330" s="184"/>
      <c r="I330" s="184"/>
      <c r="J330" s="184"/>
      <c r="K330" s="184"/>
      <c r="L330" s="184"/>
      <c r="M330" s="4"/>
      <c r="N330" s="184"/>
      <c r="O330" s="1"/>
      <c r="P330" s="5"/>
      <c r="Q330" s="4"/>
      <c r="R330" s="1"/>
      <c r="S330" s="1"/>
      <c r="T330" s="1"/>
      <c r="U330" s="6"/>
      <c r="V330" s="184"/>
      <c r="W330" s="184"/>
      <c r="X330" s="155"/>
      <c r="Y330" s="155"/>
      <c r="Z330" s="155"/>
      <c r="AA330" s="155"/>
      <c r="AB330" s="155"/>
      <c r="AC330" s="184"/>
      <c r="AD330" s="155"/>
      <c r="AE330" s="155"/>
      <c r="AF330" s="155"/>
      <c r="AG330" s="155"/>
      <c r="AH330" s="155"/>
      <c r="AI330" s="155"/>
      <c r="AJ330" s="155"/>
      <c r="AK330" s="155"/>
      <c r="AL330" s="155"/>
      <c r="AM330" s="155"/>
      <c r="AN330" s="155"/>
      <c r="AO330" s="155"/>
      <c r="AP330" s="155"/>
      <c r="AQ330" s="155"/>
      <c r="AR330" s="155"/>
      <c r="AS330" s="155"/>
      <c r="AT330" s="155"/>
      <c r="AU330" s="155"/>
      <c r="AV330" s="155"/>
      <c r="AW330" s="155"/>
    </row>
    <row r="331" spans="1:49" ht="16.5" customHeight="1">
      <c r="A331" s="155"/>
      <c r="B331" s="155"/>
      <c r="C331" s="1"/>
      <c r="D331" s="1"/>
      <c r="E331" s="1"/>
      <c r="F331" s="156"/>
      <c r="G331" s="157"/>
      <c r="H331" s="184"/>
      <c r="I331" s="184"/>
      <c r="J331" s="184"/>
      <c r="K331" s="184"/>
      <c r="L331" s="184"/>
      <c r="M331" s="4"/>
      <c r="N331" s="184"/>
      <c r="O331" s="1"/>
      <c r="P331" s="5"/>
      <c r="Q331" s="4"/>
      <c r="R331" s="1"/>
      <c r="S331" s="1"/>
      <c r="T331" s="1"/>
      <c r="U331" s="6"/>
      <c r="V331" s="184"/>
      <c r="W331" s="184"/>
      <c r="X331" s="155"/>
      <c r="Y331" s="155"/>
      <c r="Z331" s="155"/>
      <c r="AA331" s="155"/>
      <c r="AB331" s="155"/>
      <c r="AC331" s="184"/>
      <c r="AD331" s="155"/>
      <c r="AE331" s="155"/>
      <c r="AF331" s="155"/>
      <c r="AG331" s="155"/>
      <c r="AH331" s="155"/>
      <c r="AI331" s="155"/>
      <c r="AJ331" s="155"/>
      <c r="AK331" s="155"/>
      <c r="AL331" s="155"/>
      <c r="AM331" s="155"/>
      <c r="AN331" s="155"/>
      <c r="AO331" s="155"/>
      <c r="AP331" s="155"/>
      <c r="AQ331" s="155"/>
      <c r="AR331" s="155"/>
      <c r="AS331" s="155"/>
      <c r="AT331" s="155"/>
      <c r="AU331" s="155"/>
      <c r="AV331" s="155"/>
      <c r="AW331" s="155"/>
    </row>
    <row r="332" spans="1:49" ht="16.5" customHeight="1">
      <c r="A332" s="155"/>
      <c r="B332" s="155"/>
      <c r="C332" s="1"/>
      <c r="D332" s="1"/>
      <c r="E332" s="1"/>
      <c r="F332" s="156"/>
      <c r="G332" s="157"/>
      <c r="H332" s="184"/>
      <c r="I332" s="184"/>
      <c r="J332" s="184"/>
      <c r="K332" s="184"/>
      <c r="L332" s="184"/>
      <c r="M332" s="4"/>
      <c r="N332" s="184"/>
      <c r="O332" s="1"/>
      <c r="P332" s="5"/>
      <c r="Q332" s="4"/>
      <c r="R332" s="1"/>
      <c r="S332" s="1"/>
      <c r="T332" s="1"/>
      <c r="U332" s="6"/>
      <c r="V332" s="184"/>
      <c r="W332" s="184"/>
      <c r="X332" s="155"/>
      <c r="Y332" s="155"/>
      <c r="Z332" s="155"/>
      <c r="AA332" s="155"/>
      <c r="AB332" s="155"/>
      <c r="AC332" s="184"/>
      <c r="AD332" s="155"/>
      <c r="AE332" s="155"/>
      <c r="AF332" s="155"/>
      <c r="AG332" s="155"/>
      <c r="AH332" s="155"/>
      <c r="AI332" s="155"/>
      <c r="AJ332" s="155"/>
      <c r="AK332" s="155"/>
      <c r="AL332" s="155"/>
      <c r="AM332" s="155"/>
      <c r="AN332" s="155"/>
      <c r="AO332" s="155"/>
      <c r="AP332" s="155"/>
      <c r="AQ332" s="155"/>
      <c r="AR332" s="155"/>
      <c r="AS332" s="155"/>
      <c r="AT332" s="155"/>
      <c r="AU332" s="155"/>
      <c r="AV332" s="155"/>
      <c r="AW332" s="155"/>
    </row>
    <row r="333" spans="1:49" ht="16.5" customHeight="1">
      <c r="A333" s="155"/>
      <c r="B333" s="155"/>
      <c r="C333" s="1"/>
      <c r="D333" s="1"/>
      <c r="E333" s="1"/>
      <c r="F333" s="156"/>
      <c r="G333" s="157"/>
      <c r="H333" s="184"/>
      <c r="I333" s="184"/>
      <c r="J333" s="184"/>
      <c r="K333" s="184"/>
      <c r="L333" s="184"/>
      <c r="M333" s="4"/>
      <c r="N333" s="184"/>
      <c r="O333" s="1"/>
      <c r="P333" s="5"/>
      <c r="Q333" s="4"/>
      <c r="R333" s="1"/>
      <c r="S333" s="1"/>
      <c r="T333" s="1"/>
      <c r="U333" s="6"/>
      <c r="V333" s="184"/>
      <c r="W333" s="184"/>
      <c r="X333" s="155"/>
      <c r="Y333" s="155"/>
      <c r="Z333" s="155"/>
      <c r="AA333" s="155"/>
      <c r="AB333" s="155"/>
      <c r="AC333" s="184"/>
      <c r="AD333" s="155"/>
      <c r="AE333" s="155"/>
      <c r="AF333" s="155"/>
      <c r="AG333" s="155"/>
      <c r="AH333" s="155"/>
      <c r="AI333" s="155"/>
      <c r="AJ333" s="155"/>
      <c r="AK333" s="155"/>
      <c r="AL333" s="155"/>
      <c r="AM333" s="155"/>
      <c r="AN333" s="155"/>
      <c r="AO333" s="155"/>
      <c r="AP333" s="155"/>
      <c r="AQ333" s="155"/>
      <c r="AR333" s="155"/>
      <c r="AS333" s="155"/>
      <c r="AT333" s="155"/>
      <c r="AU333" s="155"/>
      <c r="AV333" s="155"/>
      <c r="AW333" s="155"/>
    </row>
    <row r="334" spans="1:49" ht="16.5" customHeight="1">
      <c r="A334" s="155"/>
      <c r="B334" s="155"/>
      <c r="C334" s="1"/>
      <c r="D334" s="1"/>
      <c r="E334" s="1"/>
      <c r="F334" s="156"/>
      <c r="G334" s="157"/>
      <c r="H334" s="184"/>
      <c r="I334" s="184"/>
      <c r="J334" s="184"/>
      <c r="K334" s="184"/>
      <c r="L334" s="184"/>
      <c r="M334" s="4"/>
      <c r="N334" s="184"/>
      <c r="O334" s="1"/>
      <c r="P334" s="5"/>
      <c r="Q334" s="4"/>
      <c r="R334" s="1"/>
      <c r="S334" s="1"/>
      <c r="T334" s="1"/>
      <c r="U334" s="6"/>
      <c r="V334" s="184"/>
      <c r="W334" s="184"/>
      <c r="X334" s="155"/>
      <c r="Y334" s="155"/>
      <c r="Z334" s="155"/>
      <c r="AA334" s="155"/>
      <c r="AB334" s="155"/>
      <c r="AC334" s="184"/>
      <c r="AD334" s="155"/>
      <c r="AE334" s="155"/>
      <c r="AF334" s="155"/>
      <c r="AG334" s="155"/>
      <c r="AH334" s="155"/>
      <c r="AI334" s="155"/>
      <c r="AJ334" s="155"/>
      <c r="AK334" s="155"/>
      <c r="AL334" s="155"/>
      <c r="AM334" s="155"/>
      <c r="AN334" s="155"/>
      <c r="AO334" s="155"/>
      <c r="AP334" s="155"/>
      <c r="AQ334" s="155"/>
      <c r="AR334" s="155"/>
      <c r="AS334" s="155"/>
      <c r="AT334" s="155"/>
      <c r="AU334" s="155"/>
      <c r="AV334" s="155"/>
      <c r="AW334" s="155"/>
    </row>
    <row r="335" spans="1:49" ht="16.5" customHeight="1">
      <c r="A335" s="155"/>
      <c r="B335" s="155"/>
      <c r="C335" s="1"/>
      <c r="D335" s="1"/>
      <c r="E335" s="1"/>
      <c r="F335" s="156"/>
      <c r="G335" s="157"/>
      <c r="H335" s="184"/>
      <c r="I335" s="184"/>
      <c r="J335" s="184"/>
      <c r="K335" s="184"/>
      <c r="L335" s="184"/>
      <c r="M335" s="4"/>
      <c r="N335" s="184"/>
      <c r="O335" s="1"/>
      <c r="P335" s="5"/>
      <c r="Q335" s="4"/>
      <c r="R335" s="1"/>
      <c r="S335" s="1"/>
      <c r="T335" s="1"/>
      <c r="U335" s="6"/>
      <c r="V335" s="184"/>
      <c r="W335" s="184"/>
      <c r="X335" s="155"/>
      <c r="Y335" s="155"/>
      <c r="Z335" s="155"/>
      <c r="AA335" s="155"/>
      <c r="AB335" s="155"/>
      <c r="AC335" s="184"/>
      <c r="AD335" s="155"/>
      <c r="AE335" s="155"/>
      <c r="AF335" s="155"/>
      <c r="AG335" s="155"/>
      <c r="AH335" s="155"/>
      <c r="AI335" s="155"/>
      <c r="AJ335" s="155"/>
      <c r="AK335" s="155"/>
      <c r="AL335" s="155"/>
      <c r="AM335" s="155"/>
      <c r="AN335" s="155"/>
      <c r="AO335" s="155"/>
      <c r="AP335" s="155"/>
      <c r="AQ335" s="155"/>
      <c r="AR335" s="155"/>
      <c r="AS335" s="155"/>
      <c r="AT335" s="155"/>
      <c r="AU335" s="155"/>
      <c r="AV335" s="155"/>
      <c r="AW335" s="155"/>
    </row>
    <row r="336" spans="1:49" ht="16.5" customHeight="1">
      <c r="A336" s="155"/>
      <c r="B336" s="155"/>
      <c r="C336" s="1"/>
      <c r="D336" s="1"/>
      <c r="E336" s="1"/>
      <c r="F336" s="156"/>
      <c r="G336" s="157"/>
      <c r="H336" s="184"/>
      <c r="I336" s="184"/>
      <c r="J336" s="184"/>
      <c r="K336" s="184"/>
      <c r="L336" s="184"/>
      <c r="M336" s="4"/>
      <c r="N336" s="184"/>
      <c r="O336" s="1"/>
      <c r="P336" s="5"/>
      <c r="Q336" s="4"/>
      <c r="R336" s="1"/>
      <c r="S336" s="1"/>
      <c r="T336" s="1"/>
      <c r="U336" s="6"/>
      <c r="V336" s="184"/>
      <c r="W336" s="184"/>
      <c r="X336" s="155"/>
      <c r="Y336" s="155"/>
      <c r="Z336" s="155"/>
      <c r="AA336" s="155"/>
      <c r="AB336" s="155"/>
      <c r="AC336" s="184"/>
      <c r="AD336" s="155"/>
      <c r="AE336" s="155"/>
      <c r="AF336" s="155"/>
      <c r="AG336" s="155"/>
      <c r="AH336" s="155"/>
      <c r="AI336" s="155"/>
      <c r="AJ336" s="155"/>
      <c r="AK336" s="155"/>
      <c r="AL336" s="155"/>
      <c r="AM336" s="155"/>
      <c r="AN336" s="155"/>
      <c r="AO336" s="155"/>
      <c r="AP336" s="155"/>
      <c r="AQ336" s="155"/>
      <c r="AR336" s="155"/>
      <c r="AS336" s="155"/>
      <c r="AT336" s="155"/>
      <c r="AU336" s="155"/>
      <c r="AV336" s="155"/>
      <c r="AW336" s="155"/>
    </row>
    <row r="337" spans="1:49" ht="16.5" customHeight="1">
      <c r="A337" s="155"/>
      <c r="B337" s="155"/>
      <c r="C337" s="1"/>
      <c r="D337" s="1"/>
      <c r="E337" s="1"/>
      <c r="F337" s="156"/>
      <c r="G337" s="157"/>
      <c r="H337" s="184"/>
      <c r="I337" s="184"/>
      <c r="J337" s="184"/>
      <c r="K337" s="184"/>
      <c r="L337" s="184"/>
      <c r="M337" s="4"/>
      <c r="N337" s="184"/>
      <c r="O337" s="1"/>
      <c r="P337" s="5"/>
      <c r="Q337" s="4"/>
      <c r="R337" s="1"/>
      <c r="S337" s="1"/>
      <c r="T337" s="1"/>
      <c r="U337" s="6"/>
      <c r="V337" s="184"/>
      <c r="W337" s="184"/>
      <c r="X337" s="155"/>
      <c r="Y337" s="155"/>
      <c r="Z337" s="155"/>
      <c r="AA337" s="155"/>
      <c r="AB337" s="155"/>
      <c r="AC337" s="184"/>
      <c r="AD337" s="155"/>
      <c r="AE337" s="155"/>
      <c r="AF337" s="155"/>
      <c r="AG337" s="155"/>
      <c r="AH337" s="155"/>
      <c r="AI337" s="155"/>
      <c r="AJ337" s="155"/>
      <c r="AK337" s="155"/>
      <c r="AL337" s="155"/>
      <c r="AM337" s="155"/>
      <c r="AN337" s="155"/>
      <c r="AO337" s="155"/>
      <c r="AP337" s="155"/>
      <c r="AQ337" s="155"/>
      <c r="AR337" s="155"/>
      <c r="AS337" s="155"/>
      <c r="AT337" s="155"/>
      <c r="AU337" s="155"/>
      <c r="AV337" s="155"/>
      <c r="AW337" s="155"/>
    </row>
    <row r="338" spans="1:49" ht="16.5" customHeight="1">
      <c r="A338" s="155"/>
      <c r="B338" s="155"/>
      <c r="C338" s="1"/>
      <c r="D338" s="1"/>
      <c r="E338" s="1"/>
      <c r="F338" s="156"/>
      <c r="G338" s="157"/>
      <c r="H338" s="184"/>
      <c r="I338" s="184"/>
      <c r="J338" s="184"/>
      <c r="K338" s="184"/>
      <c r="L338" s="184"/>
      <c r="M338" s="4"/>
      <c r="N338" s="184"/>
      <c r="O338" s="1"/>
      <c r="P338" s="5"/>
      <c r="Q338" s="4"/>
      <c r="R338" s="1"/>
      <c r="S338" s="1"/>
      <c r="T338" s="1"/>
      <c r="U338" s="6"/>
      <c r="V338" s="184"/>
      <c r="W338" s="184"/>
      <c r="X338" s="155"/>
      <c r="Y338" s="155"/>
      <c r="Z338" s="155"/>
      <c r="AA338" s="155"/>
      <c r="AB338" s="155"/>
      <c r="AC338" s="184"/>
      <c r="AD338" s="155"/>
      <c r="AE338" s="155"/>
      <c r="AF338" s="155"/>
      <c r="AG338" s="155"/>
      <c r="AH338" s="155"/>
      <c r="AI338" s="155"/>
      <c r="AJ338" s="155"/>
      <c r="AK338" s="155"/>
      <c r="AL338" s="155"/>
      <c r="AM338" s="155"/>
      <c r="AN338" s="155"/>
      <c r="AO338" s="155"/>
      <c r="AP338" s="155"/>
      <c r="AQ338" s="155"/>
      <c r="AR338" s="155"/>
      <c r="AS338" s="155"/>
      <c r="AT338" s="155"/>
      <c r="AU338" s="155"/>
      <c r="AV338" s="155"/>
      <c r="AW338" s="155"/>
    </row>
    <row r="339" spans="1:49" ht="16.5" customHeight="1">
      <c r="A339" s="155"/>
      <c r="B339" s="155"/>
      <c r="C339" s="1"/>
      <c r="D339" s="1"/>
      <c r="E339" s="1"/>
      <c r="F339" s="156"/>
      <c r="G339" s="157"/>
      <c r="H339" s="184"/>
      <c r="I339" s="184"/>
      <c r="J339" s="184"/>
      <c r="K339" s="184"/>
      <c r="L339" s="184"/>
      <c r="M339" s="4"/>
      <c r="N339" s="184"/>
      <c r="O339" s="1"/>
      <c r="P339" s="5"/>
      <c r="Q339" s="4"/>
      <c r="R339" s="1"/>
      <c r="S339" s="1"/>
      <c r="T339" s="1"/>
      <c r="U339" s="6"/>
      <c r="V339" s="184"/>
      <c r="W339" s="184"/>
      <c r="X339" s="155"/>
      <c r="Y339" s="155"/>
      <c r="Z339" s="155"/>
      <c r="AA339" s="155"/>
      <c r="AB339" s="155"/>
      <c r="AC339" s="184"/>
      <c r="AD339" s="155"/>
      <c r="AE339" s="155"/>
      <c r="AF339" s="155"/>
      <c r="AG339" s="155"/>
      <c r="AH339" s="155"/>
      <c r="AI339" s="155"/>
      <c r="AJ339" s="155"/>
      <c r="AK339" s="155"/>
      <c r="AL339" s="155"/>
      <c r="AM339" s="155"/>
      <c r="AN339" s="155"/>
      <c r="AO339" s="155"/>
      <c r="AP339" s="155"/>
      <c r="AQ339" s="155"/>
      <c r="AR339" s="155"/>
      <c r="AS339" s="155"/>
      <c r="AT339" s="155"/>
      <c r="AU339" s="155"/>
      <c r="AV339" s="155"/>
      <c r="AW339" s="155"/>
    </row>
    <row r="340" spans="1:49" ht="16.5" customHeight="1">
      <c r="A340" s="155"/>
      <c r="B340" s="155"/>
      <c r="C340" s="1"/>
      <c r="D340" s="1"/>
      <c r="E340" s="1"/>
      <c r="F340" s="156"/>
      <c r="G340" s="157"/>
      <c r="H340" s="184"/>
      <c r="I340" s="184"/>
      <c r="J340" s="184"/>
      <c r="K340" s="184"/>
      <c r="L340" s="184"/>
      <c r="M340" s="4"/>
      <c r="N340" s="184"/>
      <c r="O340" s="1"/>
      <c r="P340" s="5"/>
      <c r="Q340" s="4"/>
      <c r="R340" s="1"/>
      <c r="S340" s="1"/>
      <c r="T340" s="1"/>
      <c r="U340" s="6"/>
      <c r="V340" s="184"/>
      <c r="W340" s="184"/>
      <c r="X340" s="155"/>
      <c r="Y340" s="155"/>
      <c r="Z340" s="155"/>
      <c r="AA340" s="155"/>
      <c r="AB340" s="155"/>
      <c r="AC340" s="184"/>
      <c r="AD340" s="155"/>
      <c r="AE340" s="155"/>
      <c r="AF340" s="155"/>
      <c r="AG340" s="155"/>
      <c r="AH340" s="155"/>
      <c r="AI340" s="155"/>
      <c r="AJ340" s="155"/>
      <c r="AK340" s="155"/>
      <c r="AL340" s="155"/>
      <c r="AM340" s="155"/>
      <c r="AN340" s="155"/>
      <c r="AO340" s="155"/>
      <c r="AP340" s="155"/>
      <c r="AQ340" s="155"/>
      <c r="AR340" s="155"/>
      <c r="AS340" s="155"/>
      <c r="AT340" s="155"/>
      <c r="AU340" s="155"/>
      <c r="AV340" s="155"/>
      <c r="AW340" s="155"/>
    </row>
    <row r="341" spans="1:49" ht="16.5" customHeight="1">
      <c r="A341" s="155"/>
      <c r="B341" s="155"/>
      <c r="C341" s="1"/>
      <c r="D341" s="1"/>
      <c r="E341" s="1"/>
      <c r="F341" s="156"/>
      <c r="G341" s="157"/>
      <c r="H341" s="184"/>
      <c r="I341" s="184"/>
      <c r="J341" s="184"/>
      <c r="K341" s="184"/>
      <c r="L341" s="184"/>
      <c r="M341" s="4"/>
      <c r="N341" s="184"/>
      <c r="O341" s="1"/>
      <c r="P341" s="5"/>
      <c r="Q341" s="4"/>
      <c r="R341" s="1"/>
      <c r="S341" s="1"/>
      <c r="T341" s="1"/>
      <c r="U341" s="6"/>
      <c r="V341" s="184"/>
      <c r="W341" s="184"/>
      <c r="X341" s="155"/>
      <c r="Y341" s="155"/>
      <c r="Z341" s="155"/>
      <c r="AA341" s="155"/>
      <c r="AB341" s="155"/>
      <c r="AC341" s="184"/>
      <c r="AD341" s="155"/>
      <c r="AE341" s="155"/>
      <c r="AF341" s="155"/>
      <c r="AG341" s="155"/>
      <c r="AH341" s="155"/>
      <c r="AI341" s="155"/>
      <c r="AJ341" s="155"/>
      <c r="AK341" s="155"/>
      <c r="AL341" s="155"/>
      <c r="AM341" s="155"/>
      <c r="AN341" s="155"/>
      <c r="AO341" s="155"/>
      <c r="AP341" s="155"/>
      <c r="AQ341" s="155"/>
      <c r="AR341" s="155"/>
      <c r="AS341" s="155"/>
      <c r="AT341" s="155"/>
      <c r="AU341" s="155"/>
      <c r="AV341" s="155"/>
      <c r="AW341" s="155"/>
    </row>
    <row r="342" spans="1:49" ht="16.5" customHeight="1">
      <c r="A342" s="155"/>
      <c r="B342" s="155"/>
      <c r="C342" s="1"/>
      <c r="D342" s="1"/>
      <c r="E342" s="1"/>
      <c r="F342" s="156"/>
      <c r="G342" s="157"/>
      <c r="H342" s="184"/>
      <c r="I342" s="184"/>
      <c r="J342" s="184"/>
      <c r="K342" s="184"/>
      <c r="L342" s="184"/>
      <c r="M342" s="4"/>
      <c r="N342" s="184"/>
      <c r="O342" s="1"/>
      <c r="P342" s="5"/>
      <c r="Q342" s="4"/>
      <c r="R342" s="1"/>
      <c r="S342" s="1"/>
      <c r="T342" s="1"/>
      <c r="U342" s="6"/>
      <c r="V342" s="184"/>
      <c r="W342" s="184"/>
      <c r="X342" s="155"/>
      <c r="Y342" s="155"/>
      <c r="Z342" s="155"/>
      <c r="AA342" s="155"/>
      <c r="AB342" s="155"/>
      <c r="AC342" s="184"/>
      <c r="AD342" s="155"/>
      <c r="AE342" s="155"/>
      <c r="AF342" s="155"/>
      <c r="AG342" s="155"/>
      <c r="AH342" s="155"/>
      <c r="AI342" s="155"/>
      <c r="AJ342" s="155"/>
      <c r="AK342" s="155"/>
      <c r="AL342" s="155"/>
      <c r="AM342" s="155"/>
      <c r="AN342" s="155"/>
      <c r="AO342" s="155"/>
      <c r="AP342" s="155"/>
      <c r="AQ342" s="155"/>
      <c r="AR342" s="155"/>
      <c r="AS342" s="155"/>
      <c r="AT342" s="155"/>
      <c r="AU342" s="155"/>
      <c r="AV342" s="155"/>
      <c r="AW342" s="155"/>
    </row>
    <row r="343" spans="1:49" ht="16.5" customHeight="1">
      <c r="A343" s="155"/>
      <c r="B343" s="155"/>
      <c r="C343" s="1"/>
      <c r="D343" s="1"/>
      <c r="E343" s="1"/>
      <c r="F343" s="156"/>
      <c r="G343" s="157"/>
      <c r="H343" s="184"/>
      <c r="I343" s="184"/>
      <c r="J343" s="184"/>
      <c r="K343" s="184"/>
      <c r="L343" s="184"/>
      <c r="M343" s="4"/>
      <c r="N343" s="184"/>
      <c r="O343" s="1"/>
      <c r="P343" s="5"/>
      <c r="Q343" s="4"/>
      <c r="R343" s="1"/>
      <c r="S343" s="1"/>
      <c r="T343" s="1"/>
      <c r="U343" s="6"/>
      <c r="V343" s="184"/>
      <c r="W343" s="184"/>
      <c r="X343" s="155"/>
      <c r="Y343" s="155"/>
      <c r="Z343" s="155"/>
      <c r="AA343" s="155"/>
      <c r="AB343" s="155"/>
      <c r="AC343" s="184"/>
      <c r="AD343" s="155"/>
      <c r="AE343" s="155"/>
      <c r="AF343" s="155"/>
      <c r="AG343" s="155"/>
      <c r="AH343" s="155"/>
      <c r="AI343" s="155"/>
      <c r="AJ343" s="155"/>
      <c r="AK343" s="155"/>
      <c r="AL343" s="155"/>
      <c r="AM343" s="155"/>
      <c r="AN343" s="155"/>
      <c r="AO343" s="155"/>
      <c r="AP343" s="155"/>
      <c r="AQ343" s="155"/>
      <c r="AR343" s="155"/>
      <c r="AS343" s="155"/>
      <c r="AT343" s="155"/>
      <c r="AU343" s="155"/>
      <c r="AV343" s="155"/>
      <c r="AW343" s="155"/>
    </row>
    <row r="344" spans="1:49" ht="16.5" customHeight="1">
      <c r="A344" s="155"/>
      <c r="B344" s="155"/>
      <c r="C344" s="1"/>
      <c r="D344" s="1"/>
      <c r="E344" s="1"/>
      <c r="F344" s="156"/>
      <c r="G344" s="157"/>
      <c r="H344" s="184"/>
      <c r="I344" s="184"/>
      <c r="J344" s="184"/>
      <c r="K344" s="184"/>
      <c r="L344" s="184"/>
      <c r="M344" s="4"/>
      <c r="N344" s="184"/>
      <c r="O344" s="1"/>
      <c r="P344" s="5"/>
      <c r="Q344" s="4"/>
      <c r="R344" s="1"/>
      <c r="S344" s="1"/>
      <c r="T344" s="1"/>
      <c r="U344" s="6"/>
      <c r="V344" s="184"/>
      <c r="W344" s="184"/>
      <c r="X344" s="155"/>
      <c r="Y344" s="155"/>
      <c r="Z344" s="155"/>
      <c r="AA344" s="155"/>
      <c r="AB344" s="155"/>
      <c r="AC344" s="184"/>
      <c r="AD344" s="155"/>
      <c r="AE344" s="155"/>
      <c r="AF344" s="155"/>
      <c r="AG344" s="155"/>
      <c r="AH344" s="155"/>
      <c r="AI344" s="155"/>
      <c r="AJ344" s="155"/>
      <c r="AK344" s="155"/>
      <c r="AL344" s="155"/>
      <c r="AM344" s="155"/>
      <c r="AN344" s="155"/>
      <c r="AO344" s="155"/>
      <c r="AP344" s="155"/>
      <c r="AQ344" s="155"/>
      <c r="AR344" s="155"/>
      <c r="AS344" s="155"/>
      <c r="AT344" s="155"/>
      <c r="AU344" s="155"/>
      <c r="AV344" s="155"/>
      <c r="AW344" s="155"/>
    </row>
    <row r="345" spans="1:49" ht="16.5" customHeight="1">
      <c r="A345" s="155"/>
      <c r="B345" s="155"/>
      <c r="C345" s="1"/>
      <c r="D345" s="1"/>
      <c r="E345" s="1"/>
      <c r="F345" s="156"/>
      <c r="G345" s="157"/>
      <c r="H345" s="184"/>
      <c r="I345" s="184"/>
      <c r="J345" s="184"/>
      <c r="K345" s="184"/>
      <c r="L345" s="184"/>
      <c r="M345" s="4"/>
      <c r="N345" s="184"/>
      <c r="O345" s="1"/>
      <c r="P345" s="5"/>
      <c r="Q345" s="4"/>
      <c r="R345" s="1"/>
      <c r="S345" s="1"/>
      <c r="T345" s="1"/>
      <c r="U345" s="6"/>
      <c r="V345" s="184"/>
      <c r="W345" s="184"/>
      <c r="X345" s="155"/>
      <c r="Y345" s="155"/>
      <c r="Z345" s="155"/>
      <c r="AA345" s="155"/>
      <c r="AB345" s="155"/>
      <c r="AC345" s="184"/>
      <c r="AD345" s="155"/>
      <c r="AE345" s="155"/>
      <c r="AF345" s="155"/>
      <c r="AG345" s="155"/>
      <c r="AH345" s="155"/>
      <c r="AI345" s="155"/>
      <c r="AJ345" s="155"/>
      <c r="AK345" s="155"/>
      <c r="AL345" s="155"/>
      <c r="AM345" s="155"/>
      <c r="AN345" s="155"/>
      <c r="AO345" s="155"/>
      <c r="AP345" s="155"/>
      <c r="AQ345" s="155"/>
      <c r="AR345" s="155"/>
      <c r="AS345" s="155"/>
      <c r="AT345" s="155"/>
      <c r="AU345" s="155"/>
      <c r="AV345" s="155"/>
      <c r="AW345" s="155"/>
    </row>
    <row r="346" spans="1:49" ht="16.5" customHeight="1">
      <c r="A346" s="155"/>
      <c r="B346" s="155"/>
      <c r="C346" s="1"/>
      <c r="D346" s="1"/>
      <c r="E346" s="1"/>
      <c r="F346" s="156"/>
      <c r="G346" s="157"/>
      <c r="H346" s="184"/>
      <c r="I346" s="184"/>
      <c r="J346" s="184"/>
      <c r="K346" s="184"/>
      <c r="L346" s="184"/>
      <c r="M346" s="4"/>
      <c r="N346" s="184"/>
      <c r="O346" s="1"/>
      <c r="P346" s="5"/>
      <c r="Q346" s="4"/>
      <c r="R346" s="1"/>
      <c r="S346" s="1"/>
      <c r="T346" s="1"/>
      <c r="U346" s="6"/>
      <c r="V346" s="184"/>
      <c r="W346" s="184"/>
      <c r="X346" s="155"/>
      <c r="Y346" s="155"/>
      <c r="Z346" s="155"/>
      <c r="AA346" s="155"/>
      <c r="AB346" s="155"/>
      <c r="AC346" s="184"/>
      <c r="AD346" s="155"/>
      <c r="AE346" s="155"/>
      <c r="AF346" s="155"/>
      <c r="AG346" s="155"/>
      <c r="AH346" s="155"/>
      <c r="AI346" s="155"/>
      <c r="AJ346" s="155"/>
      <c r="AK346" s="155"/>
      <c r="AL346" s="155"/>
      <c r="AM346" s="155"/>
      <c r="AN346" s="155"/>
      <c r="AO346" s="155"/>
      <c r="AP346" s="155"/>
      <c r="AQ346" s="155"/>
      <c r="AR346" s="155"/>
      <c r="AS346" s="155"/>
      <c r="AT346" s="155"/>
      <c r="AU346" s="155"/>
      <c r="AV346" s="155"/>
      <c r="AW346" s="155"/>
    </row>
    <row r="347" spans="1:49" ht="16.5" customHeight="1">
      <c r="A347" s="155"/>
      <c r="B347" s="155"/>
      <c r="C347" s="1"/>
      <c r="D347" s="1"/>
      <c r="E347" s="1"/>
      <c r="F347" s="156"/>
      <c r="G347" s="157"/>
      <c r="H347" s="184"/>
      <c r="I347" s="184"/>
      <c r="J347" s="184"/>
      <c r="K347" s="184"/>
      <c r="L347" s="184"/>
      <c r="M347" s="4"/>
      <c r="N347" s="184"/>
      <c r="O347" s="1"/>
      <c r="P347" s="5"/>
      <c r="Q347" s="4"/>
      <c r="R347" s="1"/>
      <c r="S347" s="1"/>
      <c r="T347" s="1"/>
      <c r="U347" s="6"/>
      <c r="V347" s="184"/>
      <c r="W347" s="184"/>
      <c r="X347" s="155"/>
      <c r="Y347" s="155"/>
      <c r="Z347" s="155"/>
      <c r="AA347" s="155"/>
      <c r="AB347" s="155"/>
      <c r="AC347" s="184"/>
      <c r="AD347" s="155"/>
      <c r="AE347" s="155"/>
      <c r="AF347" s="155"/>
      <c r="AG347" s="155"/>
      <c r="AH347" s="155"/>
      <c r="AI347" s="155"/>
      <c r="AJ347" s="155"/>
      <c r="AK347" s="155"/>
      <c r="AL347" s="155"/>
      <c r="AM347" s="155"/>
      <c r="AN347" s="155"/>
      <c r="AO347" s="155"/>
      <c r="AP347" s="155"/>
      <c r="AQ347" s="155"/>
      <c r="AR347" s="155"/>
      <c r="AS347" s="155"/>
      <c r="AT347" s="155"/>
      <c r="AU347" s="155"/>
      <c r="AV347" s="155"/>
      <c r="AW347" s="155"/>
    </row>
    <row r="348" spans="1:49" ht="16.5" customHeight="1">
      <c r="A348" s="155"/>
      <c r="B348" s="155"/>
      <c r="C348" s="1"/>
      <c r="D348" s="1"/>
      <c r="E348" s="1"/>
      <c r="F348" s="156"/>
      <c r="G348" s="157"/>
      <c r="H348" s="184"/>
      <c r="I348" s="184"/>
      <c r="J348" s="184"/>
      <c r="K348" s="184"/>
      <c r="L348" s="184"/>
      <c r="M348" s="4"/>
      <c r="N348" s="184"/>
      <c r="O348" s="1"/>
      <c r="P348" s="5"/>
      <c r="Q348" s="4"/>
      <c r="R348" s="1"/>
      <c r="S348" s="1"/>
      <c r="T348" s="1"/>
      <c r="U348" s="6"/>
      <c r="V348" s="184"/>
      <c r="W348" s="184"/>
      <c r="X348" s="155"/>
      <c r="Y348" s="155"/>
      <c r="Z348" s="155"/>
      <c r="AA348" s="155"/>
      <c r="AB348" s="155"/>
      <c r="AC348" s="184"/>
      <c r="AD348" s="155"/>
      <c r="AE348" s="155"/>
      <c r="AF348" s="155"/>
      <c r="AG348" s="155"/>
      <c r="AH348" s="155"/>
      <c r="AI348" s="155"/>
      <c r="AJ348" s="155"/>
      <c r="AK348" s="155"/>
      <c r="AL348" s="155"/>
      <c r="AM348" s="155"/>
      <c r="AN348" s="155"/>
      <c r="AO348" s="155"/>
      <c r="AP348" s="155"/>
      <c r="AQ348" s="155"/>
      <c r="AR348" s="155"/>
      <c r="AS348" s="155"/>
      <c r="AT348" s="155"/>
      <c r="AU348" s="155"/>
      <c r="AV348" s="155"/>
      <c r="AW348" s="155"/>
    </row>
    <row r="349" spans="1:49" ht="16.5" customHeight="1">
      <c r="A349" s="155"/>
      <c r="B349" s="155"/>
      <c r="C349" s="1"/>
      <c r="D349" s="1"/>
      <c r="E349" s="1"/>
      <c r="F349" s="156"/>
      <c r="G349" s="157"/>
      <c r="H349" s="184"/>
      <c r="I349" s="184"/>
      <c r="J349" s="184"/>
      <c r="K349" s="184"/>
      <c r="L349" s="184"/>
      <c r="M349" s="4"/>
      <c r="N349" s="184"/>
      <c r="O349" s="1"/>
      <c r="P349" s="5"/>
      <c r="Q349" s="4"/>
      <c r="R349" s="1"/>
      <c r="S349" s="1"/>
      <c r="T349" s="1"/>
      <c r="U349" s="6"/>
      <c r="V349" s="184"/>
      <c r="W349" s="184"/>
      <c r="X349" s="155"/>
      <c r="Y349" s="155"/>
      <c r="Z349" s="155"/>
      <c r="AA349" s="155"/>
      <c r="AB349" s="155"/>
      <c r="AC349" s="184"/>
      <c r="AD349" s="155"/>
      <c r="AE349" s="155"/>
      <c r="AF349" s="155"/>
      <c r="AG349" s="155"/>
      <c r="AH349" s="155"/>
      <c r="AI349" s="155"/>
      <c r="AJ349" s="155"/>
      <c r="AK349" s="155"/>
      <c r="AL349" s="155"/>
      <c r="AM349" s="155"/>
      <c r="AN349" s="155"/>
      <c r="AO349" s="155"/>
      <c r="AP349" s="155"/>
      <c r="AQ349" s="155"/>
      <c r="AR349" s="155"/>
      <c r="AS349" s="155"/>
      <c r="AT349" s="155"/>
      <c r="AU349" s="155"/>
      <c r="AV349" s="155"/>
      <c r="AW349" s="155"/>
    </row>
    <row r="350" spans="1:49" ht="16.5" customHeight="1">
      <c r="A350" s="155"/>
      <c r="B350" s="155"/>
      <c r="C350" s="1"/>
      <c r="D350" s="1"/>
      <c r="E350" s="1"/>
      <c r="F350" s="156"/>
      <c r="G350" s="157"/>
      <c r="H350" s="184"/>
      <c r="I350" s="184"/>
      <c r="J350" s="184"/>
      <c r="K350" s="184"/>
      <c r="L350" s="184"/>
      <c r="M350" s="4"/>
      <c r="N350" s="184"/>
      <c r="O350" s="1"/>
      <c r="P350" s="5"/>
      <c r="Q350" s="4"/>
      <c r="R350" s="1"/>
      <c r="S350" s="1"/>
      <c r="T350" s="1"/>
      <c r="U350" s="6"/>
      <c r="V350" s="184"/>
      <c r="W350" s="184"/>
      <c r="X350" s="155"/>
      <c r="Y350" s="155"/>
      <c r="Z350" s="155"/>
      <c r="AA350" s="155"/>
      <c r="AB350" s="155"/>
      <c r="AC350" s="184"/>
      <c r="AD350" s="155"/>
      <c r="AE350" s="155"/>
      <c r="AF350" s="155"/>
      <c r="AG350" s="155"/>
      <c r="AH350" s="155"/>
      <c r="AI350" s="155"/>
      <c r="AJ350" s="155"/>
      <c r="AK350" s="155"/>
      <c r="AL350" s="155"/>
      <c r="AM350" s="155"/>
      <c r="AN350" s="155"/>
      <c r="AO350" s="155"/>
      <c r="AP350" s="155"/>
      <c r="AQ350" s="155"/>
      <c r="AR350" s="155"/>
      <c r="AS350" s="155"/>
      <c r="AT350" s="155"/>
      <c r="AU350" s="155"/>
      <c r="AV350" s="155"/>
      <c r="AW350" s="155"/>
    </row>
    <row r="351" spans="1:49" ht="16.5" customHeight="1">
      <c r="A351" s="155"/>
      <c r="B351" s="155"/>
      <c r="C351" s="1"/>
      <c r="D351" s="1"/>
      <c r="E351" s="1"/>
      <c r="F351" s="156"/>
      <c r="G351" s="157"/>
      <c r="H351" s="184"/>
      <c r="I351" s="184"/>
      <c r="J351" s="184"/>
      <c r="K351" s="184"/>
      <c r="L351" s="184"/>
      <c r="M351" s="4"/>
      <c r="N351" s="184"/>
      <c r="O351" s="1"/>
      <c r="P351" s="5"/>
      <c r="Q351" s="4"/>
      <c r="R351" s="1"/>
      <c r="S351" s="1"/>
      <c r="T351" s="1"/>
      <c r="U351" s="6"/>
      <c r="V351" s="184"/>
      <c r="W351" s="184"/>
      <c r="X351" s="155"/>
      <c r="Y351" s="155"/>
      <c r="Z351" s="155"/>
      <c r="AA351" s="155"/>
      <c r="AB351" s="155"/>
      <c r="AC351" s="184"/>
      <c r="AD351" s="155"/>
      <c r="AE351" s="155"/>
      <c r="AF351" s="155"/>
      <c r="AG351" s="155"/>
      <c r="AH351" s="155"/>
      <c r="AI351" s="155"/>
      <c r="AJ351" s="155"/>
      <c r="AK351" s="155"/>
      <c r="AL351" s="155"/>
      <c r="AM351" s="155"/>
      <c r="AN351" s="155"/>
      <c r="AO351" s="155"/>
      <c r="AP351" s="155"/>
      <c r="AQ351" s="155"/>
      <c r="AR351" s="155"/>
      <c r="AS351" s="155"/>
      <c r="AT351" s="155"/>
      <c r="AU351" s="155"/>
      <c r="AV351" s="155"/>
      <c r="AW351" s="155"/>
    </row>
    <row r="352" spans="1:49" ht="16.5" customHeight="1">
      <c r="A352" s="155"/>
      <c r="B352" s="155"/>
      <c r="C352" s="1"/>
      <c r="D352" s="1"/>
      <c r="E352" s="1"/>
      <c r="F352" s="156"/>
      <c r="G352" s="157"/>
      <c r="H352" s="184"/>
      <c r="I352" s="184"/>
      <c r="J352" s="184"/>
      <c r="K352" s="184"/>
      <c r="L352" s="184"/>
      <c r="M352" s="4"/>
      <c r="N352" s="184"/>
      <c r="O352" s="1"/>
      <c r="P352" s="5"/>
      <c r="Q352" s="4"/>
      <c r="R352" s="1"/>
      <c r="S352" s="1"/>
      <c r="T352" s="1"/>
      <c r="U352" s="6"/>
      <c r="V352" s="184"/>
      <c r="W352" s="184"/>
      <c r="X352" s="155"/>
      <c r="Y352" s="155"/>
      <c r="Z352" s="155"/>
      <c r="AA352" s="155"/>
      <c r="AB352" s="155"/>
      <c r="AC352" s="184"/>
      <c r="AD352" s="155"/>
      <c r="AE352" s="155"/>
      <c r="AF352" s="155"/>
      <c r="AG352" s="155"/>
      <c r="AH352" s="155"/>
      <c r="AI352" s="155"/>
      <c r="AJ352" s="155"/>
      <c r="AK352" s="155"/>
      <c r="AL352" s="155"/>
      <c r="AM352" s="155"/>
      <c r="AN352" s="155"/>
      <c r="AO352" s="155"/>
      <c r="AP352" s="155"/>
      <c r="AQ352" s="155"/>
      <c r="AR352" s="155"/>
      <c r="AS352" s="155"/>
      <c r="AT352" s="155"/>
      <c r="AU352" s="155"/>
      <c r="AV352" s="155"/>
      <c r="AW352" s="155"/>
    </row>
    <row r="353" spans="1:49" ht="16.5" customHeight="1">
      <c r="A353" s="155"/>
      <c r="B353" s="155"/>
      <c r="C353" s="1"/>
      <c r="D353" s="1"/>
      <c r="E353" s="1"/>
      <c r="F353" s="156"/>
      <c r="G353" s="157"/>
      <c r="H353" s="184"/>
      <c r="I353" s="184"/>
      <c r="J353" s="184"/>
      <c r="K353" s="184"/>
      <c r="L353" s="184"/>
      <c r="M353" s="4"/>
      <c r="N353" s="184"/>
      <c r="O353" s="1"/>
      <c r="P353" s="5"/>
      <c r="Q353" s="4"/>
      <c r="R353" s="1"/>
      <c r="S353" s="1"/>
      <c r="T353" s="1"/>
      <c r="U353" s="6"/>
      <c r="V353" s="184"/>
      <c r="W353" s="184"/>
      <c r="X353" s="155"/>
      <c r="Y353" s="155"/>
      <c r="Z353" s="155"/>
      <c r="AA353" s="155"/>
      <c r="AB353" s="155"/>
      <c r="AC353" s="184"/>
      <c r="AD353" s="155"/>
      <c r="AE353" s="155"/>
      <c r="AF353" s="155"/>
      <c r="AG353" s="155"/>
      <c r="AH353" s="155"/>
      <c r="AI353" s="155"/>
      <c r="AJ353" s="155"/>
      <c r="AK353" s="155"/>
      <c r="AL353" s="155"/>
      <c r="AM353" s="155"/>
      <c r="AN353" s="155"/>
      <c r="AO353" s="155"/>
      <c r="AP353" s="155"/>
      <c r="AQ353" s="155"/>
      <c r="AR353" s="155"/>
      <c r="AS353" s="155"/>
      <c r="AT353" s="155"/>
      <c r="AU353" s="155"/>
      <c r="AV353" s="155"/>
      <c r="AW353" s="155"/>
    </row>
    <row r="354" spans="1:49" ht="16.5" customHeight="1">
      <c r="A354" s="155"/>
      <c r="B354" s="155"/>
      <c r="C354" s="1"/>
      <c r="D354" s="1"/>
      <c r="E354" s="1"/>
      <c r="F354" s="156"/>
      <c r="G354" s="157"/>
      <c r="H354" s="184"/>
      <c r="I354" s="184"/>
      <c r="J354" s="184"/>
      <c r="K354" s="184"/>
      <c r="L354" s="184"/>
      <c r="M354" s="4"/>
      <c r="N354" s="184"/>
      <c r="O354" s="1"/>
      <c r="P354" s="5"/>
      <c r="Q354" s="4"/>
      <c r="R354" s="1"/>
      <c r="S354" s="1"/>
      <c r="T354" s="1"/>
      <c r="U354" s="6"/>
      <c r="V354" s="184"/>
      <c r="W354" s="184"/>
      <c r="X354" s="155"/>
      <c r="Y354" s="155"/>
      <c r="Z354" s="155"/>
      <c r="AA354" s="155"/>
      <c r="AB354" s="155"/>
      <c r="AC354" s="184"/>
      <c r="AD354" s="155"/>
      <c r="AE354" s="155"/>
      <c r="AF354" s="155"/>
      <c r="AG354" s="155"/>
      <c r="AH354" s="155"/>
      <c r="AI354" s="155"/>
      <c r="AJ354" s="155"/>
      <c r="AK354" s="155"/>
      <c r="AL354" s="155"/>
      <c r="AM354" s="155"/>
      <c r="AN354" s="155"/>
      <c r="AO354" s="155"/>
      <c r="AP354" s="155"/>
      <c r="AQ354" s="155"/>
      <c r="AR354" s="155"/>
      <c r="AS354" s="155"/>
      <c r="AT354" s="155"/>
      <c r="AU354" s="155"/>
      <c r="AV354" s="155"/>
      <c r="AW354" s="155"/>
    </row>
    <row r="355" spans="1:49" ht="16.5" customHeight="1">
      <c r="A355" s="155"/>
      <c r="B355" s="155"/>
      <c r="C355" s="1"/>
      <c r="D355" s="1"/>
      <c r="E355" s="1"/>
      <c r="F355" s="156"/>
      <c r="G355" s="157"/>
      <c r="H355" s="184"/>
      <c r="I355" s="184"/>
      <c r="J355" s="184"/>
      <c r="K355" s="184"/>
      <c r="L355" s="184"/>
      <c r="M355" s="4"/>
      <c r="N355" s="184"/>
      <c r="O355" s="1"/>
      <c r="P355" s="5"/>
      <c r="Q355" s="4"/>
      <c r="R355" s="1"/>
      <c r="S355" s="1"/>
      <c r="T355" s="1"/>
      <c r="U355" s="6"/>
      <c r="V355" s="184"/>
      <c r="W355" s="184"/>
      <c r="X355" s="155"/>
      <c r="Y355" s="155"/>
      <c r="Z355" s="155"/>
      <c r="AA355" s="155"/>
      <c r="AB355" s="155"/>
      <c r="AC355" s="184"/>
      <c r="AD355" s="155"/>
      <c r="AE355" s="155"/>
      <c r="AF355" s="155"/>
      <c r="AG355" s="155"/>
      <c r="AH355" s="155"/>
      <c r="AI355" s="155"/>
      <c r="AJ355" s="155"/>
      <c r="AK355" s="155"/>
      <c r="AL355" s="155"/>
      <c r="AM355" s="155"/>
      <c r="AN355" s="155"/>
      <c r="AO355" s="155"/>
      <c r="AP355" s="155"/>
      <c r="AQ355" s="155"/>
      <c r="AR355" s="155"/>
      <c r="AS355" s="155"/>
      <c r="AT355" s="155"/>
      <c r="AU355" s="155"/>
      <c r="AV355" s="155"/>
      <c r="AW355" s="155"/>
    </row>
    <row r="356" spans="1:49" ht="16.5" customHeight="1">
      <c r="A356" s="155"/>
      <c r="B356" s="155"/>
      <c r="C356" s="1"/>
      <c r="D356" s="1"/>
      <c r="E356" s="1"/>
      <c r="F356" s="156"/>
      <c r="G356" s="157"/>
      <c r="H356" s="184"/>
      <c r="I356" s="184"/>
      <c r="J356" s="184"/>
      <c r="K356" s="184"/>
      <c r="L356" s="184"/>
      <c r="M356" s="4"/>
      <c r="N356" s="184"/>
      <c r="O356" s="1"/>
      <c r="P356" s="5"/>
      <c r="Q356" s="4"/>
      <c r="R356" s="1"/>
      <c r="S356" s="1"/>
      <c r="T356" s="1"/>
      <c r="U356" s="6"/>
      <c r="V356" s="184"/>
      <c r="W356" s="184"/>
      <c r="X356" s="155"/>
      <c r="Y356" s="155"/>
      <c r="Z356" s="155"/>
      <c r="AA356" s="155"/>
      <c r="AB356" s="155"/>
      <c r="AC356" s="184"/>
      <c r="AD356" s="155"/>
      <c r="AE356" s="155"/>
      <c r="AF356" s="155"/>
      <c r="AG356" s="155"/>
      <c r="AH356" s="155"/>
      <c r="AI356" s="155"/>
      <c r="AJ356" s="155"/>
      <c r="AK356" s="155"/>
      <c r="AL356" s="155"/>
      <c r="AM356" s="155"/>
      <c r="AN356" s="155"/>
      <c r="AO356" s="155"/>
      <c r="AP356" s="155"/>
      <c r="AQ356" s="155"/>
      <c r="AR356" s="155"/>
      <c r="AS356" s="155"/>
      <c r="AT356" s="155"/>
      <c r="AU356" s="155"/>
      <c r="AV356" s="155"/>
      <c r="AW356" s="155"/>
    </row>
    <row r="357" spans="1:49" ht="16.5" customHeight="1">
      <c r="A357" s="155"/>
      <c r="B357" s="155"/>
      <c r="C357" s="1"/>
      <c r="D357" s="1"/>
      <c r="E357" s="1"/>
      <c r="F357" s="156"/>
      <c r="G357" s="157"/>
      <c r="H357" s="184"/>
      <c r="I357" s="184"/>
      <c r="J357" s="184"/>
      <c r="K357" s="184"/>
      <c r="L357" s="184"/>
      <c r="M357" s="4"/>
      <c r="N357" s="184"/>
      <c r="O357" s="1"/>
      <c r="P357" s="5"/>
      <c r="Q357" s="4"/>
      <c r="R357" s="1"/>
      <c r="S357" s="1"/>
      <c r="T357" s="1"/>
      <c r="U357" s="6"/>
      <c r="V357" s="184"/>
      <c r="W357" s="184"/>
      <c r="X357" s="155"/>
      <c r="Y357" s="155"/>
      <c r="Z357" s="155"/>
      <c r="AA357" s="155"/>
      <c r="AB357" s="155"/>
      <c r="AC357" s="184"/>
      <c r="AD357" s="155"/>
      <c r="AE357" s="155"/>
      <c r="AF357" s="155"/>
      <c r="AG357" s="155"/>
      <c r="AH357" s="155"/>
      <c r="AI357" s="155"/>
      <c r="AJ357" s="155"/>
      <c r="AK357" s="155"/>
      <c r="AL357" s="155"/>
      <c r="AM357" s="155"/>
      <c r="AN357" s="155"/>
      <c r="AO357" s="155"/>
      <c r="AP357" s="155"/>
      <c r="AQ357" s="155"/>
      <c r="AR357" s="155"/>
      <c r="AS357" s="155"/>
      <c r="AT357" s="155"/>
      <c r="AU357" s="155"/>
      <c r="AV357" s="155"/>
      <c r="AW357" s="155"/>
    </row>
    <row r="358" spans="1:49" ht="16.5" customHeight="1">
      <c r="A358" s="155"/>
      <c r="B358" s="155"/>
      <c r="C358" s="1"/>
      <c r="D358" s="1"/>
      <c r="E358" s="1"/>
      <c r="F358" s="156"/>
      <c r="G358" s="157"/>
      <c r="H358" s="184"/>
      <c r="I358" s="184"/>
      <c r="J358" s="184"/>
      <c r="K358" s="184"/>
      <c r="L358" s="184"/>
      <c r="M358" s="4"/>
      <c r="N358" s="184"/>
      <c r="O358" s="1"/>
      <c r="P358" s="5"/>
      <c r="Q358" s="4"/>
      <c r="R358" s="1"/>
      <c r="S358" s="1"/>
      <c r="T358" s="1"/>
      <c r="U358" s="6"/>
      <c r="V358" s="184"/>
      <c r="W358" s="184"/>
      <c r="X358" s="155"/>
      <c r="Y358" s="155"/>
      <c r="Z358" s="155"/>
      <c r="AA358" s="155"/>
      <c r="AB358" s="155"/>
      <c r="AC358" s="184"/>
      <c r="AD358" s="155"/>
      <c r="AE358" s="155"/>
      <c r="AF358" s="155"/>
      <c r="AG358" s="155"/>
      <c r="AH358" s="155"/>
      <c r="AI358" s="155"/>
      <c r="AJ358" s="155"/>
      <c r="AK358" s="155"/>
      <c r="AL358" s="155"/>
      <c r="AM358" s="155"/>
      <c r="AN358" s="155"/>
      <c r="AO358" s="155"/>
      <c r="AP358" s="155"/>
      <c r="AQ358" s="155"/>
      <c r="AR358" s="155"/>
      <c r="AS358" s="155"/>
      <c r="AT358" s="155"/>
      <c r="AU358" s="155"/>
      <c r="AV358" s="155"/>
      <c r="AW358" s="155"/>
    </row>
    <row r="359" spans="1:49" ht="16.5" customHeight="1">
      <c r="A359" s="155"/>
      <c r="B359" s="155"/>
      <c r="C359" s="1"/>
      <c r="D359" s="1"/>
      <c r="E359" s="1"/>
      <c r="F359" s="156"/>
      <c r="G359" s="157"/>
      <c r="H359" s="184"/>
      <c r="I359" s="184"/>
      <c r="J359" s="184"/>
      <c r="K359" s="184"/>
      <c r="L359" s="184"/>
      <c r="M359" s="4"/>
      <c r="N359" s="184"/>
      <c r="O359" s="1"/>
      <c r="P359" s="5"/>
      <c r="Q359" s="4"/>
      <c r="R359" s="1"/>
      <c r="S359" s="1"/>
      <c r="T359" s="1"/>
      <c r="U359" s="6"/>
      <c r="V359" s="184"/>
      <c r="W359" s="184"/>
      <c r="X359" s="155"/>
      <c r="Y359" s="155"/>
      <c r="Z359" s="155"/>
      <c r="AA359" s="155"/>
      <c r="AB359" s="155"/>
      <c r="AC359" s="184"/>
      <c r="AD359" s="155"/>
      <c r="AE359" s="155"/>
      <c r="AF359" s="155"/>
      <c r="AG359" s="155"/>
      <c r="AH359" s="155"/>
      <c r="AI359" s="155"/>
      <c r="AJ359" s="155"/>
      <c r="AK359" s="155"/>
      <c r="AL359" s="155"/>
      <c r="AM359" s="155"/>
      <c r="AN359" s="155"/>
      <c r="AO359" s="155"/>
      <c r="AP359" s="155"/>
      <c r="AQ359" s="155"/>
      <c r="AR359" s="155"/>
      <c r="AS359" s="155"/>
      <c r="AT359" s="155"/>
      <c r="AU359" s="155"/>
      <c r="AV359" s="155"/>
      <c r="AW359" s="155"/>
    </row>
    <row r="360" spans="1:49" ht="16.5" customHeight="1">
      <c r="A360" s="155"/>
      <c r="B360" s="155"/>
      <c r="C360" s="1"/>
      <c r="D360" s="1"/>
      <c r="E360" s="1"/>
      <c r="F360" s="156"/>
      <c r="G360" s="157"/>
      <c r="H360" s="184"/>
      <c r="I360" s="184"/>
      <c r="J360" s="184"/>
      <c r="K360" s="184"/>
      <c r="L360" s="184"/>
      <c r="M360" s="4"/>
      <c r="N360" s="184"/>
      <c r="O360" s="1"/>
      <c r="P360" s="5"/>
      <c r="Q360" s="4"/>
      <c r="R360" s="1"/>
      <c r="S360" s="1"/>
      <c r="T360" s="1"/>
      <c r="U360" s="6"/>
      <c r="V360" s="184"/>
      <c r="W360" s="184"/>
      <c r="X360" s="155"/>
      <c r="Y360" s="155"/>
      <c r="Z360" s="155"/>
      <c r="AA360" s="155"/>
      <c r="AB360" s="155"/>
      <c r="AC360" s="184"/>
      <c r="AD360" s="155"/>
      <c r="AE360" s="155"/>
      <c r="AF360" s="155"/>
      <c r="AG360" s="155"/>
      <c r="AH360" s="155"/>
      <c r="AI360" s="155"/>
      <c r="AJ360" s="155"/>
      <c r="AK360" s="155"/>
      <c r="AL360" s="155"/>
      <c r="AM360" s="155"/>
      <c r="AN360" s="155"/>
      <c r="AO360" s="155"/>
      <c r="AP360" s="155"/>
      <c r="AQ360" s="155"/>
      <c r="AR360" s="155"/>
      <c r="AS360" s="155"/>
      <c r="AT360" s="155"/>
      <c r="AU360" s="155"/>
      <c r="AV360" s="155"/>
      <c r="AW360" s="155"/>
    </row>
    <row r="361" spans="1:49" ht="16.5" customHeight="1">
      <c r="A361" s="155"/>
      <c r="B361" s="155"/>
      <c r="C361" s="1"/>
      <c r="D361" s="1"/>
      <c r="E361" s="1"/>
      <c r="F361" s="156"/>
      <c r="G361" s="157"/>
      <c r="H361" s="184"/>
      <c r="I361" s="184"/>
      <c r="J361" s="184"/>
      <c r="K361" s="184"/>
      <c r="L361" s="184"/>
      <c r="M361" s="4"/>
      <c r="N361" s="184"/>
      <c r="O361" s="1"/>
      <c r="P361" s="5"/>
      <c r="Q361" s="4"/>
      <c r="R361" s="1"/>
      <c r="S361" s="1"/>
      <c r="T361" s="1"/>
      <c r="U361" s="6"/>
      <c r="V361" s="184"/>
      <c r="W361" s="184"/>
      <c r="X361" s="155"/>
      <c r="Y361" s="155"/>
      <c r="Z361" s="155"/>
      <c r="AA361" s="155"/>
      <c r="AB361" s="155"/>
      <c r="AC361" s="184"/>
      <c r="AD361" s="155"/>
      <c r="AE361" s="155"/>
      <c r="AF361" s="155"/>
      <c r="AG361" s="155"/>
      <c r="AH361" s="155"/>
      <c r="AI361" s="155"/>
      <c r="AJ361" s="155"/>
      <c r="AK361" s="155"/>
      <c r="AL361" s="155"/>
      <c r="AM361" s="155"/>
      <c r="AN361" s="155"/>
      <c r="AO361" s="155"/>
      <c r="AP361" s="155"/>
      <c r="AQ361" s="155"/>
      <c r="AR361" s="155"/>
      <c r="AS361" s="155"/>
      <c r="AT361" s="155"/>
      <c r="AU361" s="155"/>
      <c r="AV361" s="155"/>
      <c r="AW361" s="155"/>
    </row>
    <row r="362" spans="1:49" ht="16.5" customHeight="1">
      <c r="A362" s="155"/>
      <c r="B362" s="155"/>
      <c r="C362" s="1"/>
      <c r="D362" s="1"/>
      <c r="E362" s="1"/>
      <c r="F362" s="156"/>
      <c r="G362" s="157"/>
      <c r="H362" s="184"/>
      <c r="I362" s="184"/>
      <c r="J362" s="184"/>
      <c r="K362" s="184"/>
      <c r="L362" s="184"/>
      <c r="M362" s="4"/>
      <c r="N362" s="184"/>
      <c r="O362" s="1"/>
      <c r="P362" s="5"/>
      <c r="Q362" s="4"/>
      <c r="R362" s="1"/>
      <c r="S362" s="1"/>
      <c r="T362" s="1"/>
      <c r="U362" s="6"/>
      <c r="V362" s="184"/>
      <c r="W362" s="184"/>
      <c r="X362" s="155"/>
      <c r="Y362" s="155"/>
      <c r="Z362" s="155"/>
      <c r="AA362" s="155"/>
      <c r="AB362" s="155"/>
      <c r="AC362" s="184"/>
      <c r="AD362" s="155"/>
      <c r="AE362" s="155"/>
      <c r="AF362" s="155"/>
      <c r="AG362" s="155"/>
      <c r="AH362" s="155"/>
      <c r="AI362" s="155"/>
      <c r="AJ362" s="155"/>
      <c r="AK362" s="155"/>
      <c r="AL362" s="155"/>
      <c r="AM362" s="155"/>
      <c r="AN362" s="155"/>
      <c r="AO362" s="155"/>
      <c r="AP362" s="155"/>
      <c r="AQ362" s="155"/>
      <c r="AR362" s="155"/>
      <c r="AS362" s="155"/>
      <c r="AT362" s="155"/>
      <c r="AU362" s="155"/>
      <c r="AV362" s="155"/>
      <c r="AW362" s="155"/>
    </row>
    <row r="363" spans="1:49" ht="16.5" customHeight="1">
      <c r="A363" s="155"/>
      <c r="B363" s="155"/>
      <c r="C363" s="1"/>
      <c r="D363" s="1"/>
      <c r="E363" s="1"/>
      <c r="F363" s="156"/>
      <c r="G363" s="157"/>
      <c r="H363" s="184"/>
      <c r="I363" s="184"/>
      <c r="J363" s="184"/>
      <c r="K363" s="184"/>
      <c r="L363" s="184"/>
      <c r="M363" s="4"/>
      <c r="N363" s="184"/>
      <c r="O363" s="1"/>
      <c r="P363" s="5"/>
      <c r="Q363" s="4"/>
      <c r="R363" s="1"/>
      <c r="S363" s="1"/>
      <c r="T363" s="1"/>
      <c r="U363" s="6"/>
      <c r="V363" s="184"/>
      <c r="W363" s="184"/>
      <c r="X363" s="155"/>
      <c r="Y363" s="155"/>
      <c r="Z363" s="155"/>
      <c r="AA363" s="155"/>
      <c r="AB363" s="155"/>
      <c r="AC363" s="184"/>
      <c r="AD363" s="155"/>
      <c r="AE363" s="155"/>
      <c r="AF363" s="155"/>
      <c r="AG363" s="155"/>
      <c r="AH363" s="155"/>
      <c r="AI363" s="155"/>
      <c r="AJ363" s="155"/>
      <c r="AK363" s="155"/>
      <c r="AL363" s="155"/>
      <c r="AM363" s="155"/>
      <c r="AN363" s="155"/>
      <c r="AO363" s="155"/>
      <c r="AP363" s="155"/>
      <c r="AQ363" s="155"/>
      <c r="AR363" s="155"/>
      <c r="AS363" s="155"/>
      <c r="AT363" s="155"/>
      <c r="AU363" s="155"/>
      <c r="AV363" s="155"/>
      <c r="AW363" s="155"/>
    </row>
    <row r="364" spans="1:49" ht="16.5" customHeight="1">
      <c r="A364" s="155"/>
      <c r="B364" s="155"/>
      <c r="C364" s="1"/>
      <c r="D364" s="1"/>
      <c r="E364" s="1"/>
      <c r="F364" s="156"/>
      <c r="G364" s="157"/>
      <c r="H364" s="184"/>
      <c r="I364" s="184"/>
      <c r="J364" s="184"/>
      <c r="K364" s="184"/>
      <c r="L364" s="184"/>
      <c r="M364" s="4"/>
      <c r="N364" s="184"/>
      <c r="O364" s="1"/>
      <c r="P364" s="5"/>
      <c r="Q364" s="4"/>
      <c r="R364" s="1"/>
      <c r="S364" s="1"/>
      <c r="T364" s="1"/>
      <c r="U364" s="6"/>
      <c r="V364" s="184"/>
      <c r="W364" s="184"/>
      <c r="X364" s="155"/>
      <c r="Y364" s="155"/>
      <c r="Z364" s="155"/>
      <c r="AA364" s="155"/>
      <c r="AB364" s="155"/>
      <c r="AC364" s="184"/>
      <c r="AD364" s="155"/>
      <c r="AE364" s="155"/>
      <c r="AF364" s="155"/>
      <c r="AG364" s="155"/>
      <c r="AH364" s="155"/>
      <c r="AI364" s="155"/>
      <c r="AJ364" s="155"/>
      <c r="AK364" s="155"/>
      <c r="AL364" s="155"/>
      <c r="AM364" s="155"/>
      <c r="AN364" s="155"/>
      <c r="AO364" s="155"/>
      <c r="AP364" s="155"/>
      <c r="AQ364" s="155"/>
      <c r="AR364" s="155"/>
      <c r="AS364" s="155"/>
      <c r="AT364" s="155"/>
      <c r="AU364" s="155"/>
      <c r="AV364" s="155"/>
      <c r="AW364" s="155"/>
    </row>
    <row r="365" spans="1:49" ht="16.5" customHeight="1">
      <c r="A365" s="155"/>
      <c r="B365" s="155"/>
      <c r="C365" s="1"/>
      <c r="D365" s="1"/>
      <c r="E365" s="1"/>
      <c r="F365" s="156"/>
      <c r="G365" s="157"/>
      <c r="H365" s="184"/>
      <c r="I365" s="184"/>
      <c r="J365" s="184"/>
      <c r="K365" s="184"/>
      <c r="L365" s="184"/>
      <c r="M365" s="4"/>
      <c r="N365" s="184"/>
      <c r="O365" s="1"/>
      <c r="P365" s="5"/>
      <c r="Q365" s="4"/>
      <c r="R365" s="1"/>
      <c r="S365" s="1"/>
      <c r="T365" s="1"/>
      <c r="U365" s="6"/>
      <c r="V365" s="184"/>
      <c r="W365" s="184"/>
      <c r="X365" s="155"/>
      <c r="Y365" s="155"/>
      <c r="Z365" s="155"/>
      <c r="AA365" s="155"/>
      <c r="AB365" s="155"/>
      <c r="AC365" s="184"/>
      <c r="AD365" s="155"/>
      <c r="AE365" s="155"/>
      <c r="AF365" s="155"/>
      <c r="AG365" s="155"/>
      <c r="AH365" s="155"/>
      <c r="AI365" s="155"/>
      <c r="AJ365" s="155"/>
      <c r="AK365" s="155"/>
      <c r="AL365" s="155"/>
      <c r="AM365" s="155"/>
      <c r="AN365" s="155"/>
      <c r="AO365" s="155"/>
      <c r="AP365" s="155"/>
      <c r="AQ365" s="155"/>
      <c r="AR365" s="155"/>
      <c r="AS365" s="155"/>
      <c r="AT365" s="155"/>
      <c r="AU365" s="155"/>
      <c r="AV365" s="155"/>
      <c r="AW365" s="155"/>
    </row>
    <row r="366" spans="1:49" ht="16.5" customHeight="1">
      <c r="A366" s="155"/>
      <c r="B366" s="155"/>
      <c r="C366" s="1"/>
      <c r="D366" s="1"/>
      <c r="E366" s="1"/>
      <c r="F366" s="156"/>
      <c r="G366" s="157"/>
      <c r="H366" s="184"/>
      <c r="I366" s="184"/>
      <c r="J366" s="184"/>
      <c r="K366" s="184"/>
      <c r="L366" s="184"/>
      <c r="M366" s="4"/>
      <c r="N366" s="184"/>
      <c r="O366" s="1"/>
      <c r="P366" s="5"/>
      <c r="Q366" s="4"/>
      <c r="R366" s="1"/>
      <c r="S366" s="1"/>
      <c r="T366" s="1"/>
      <c r="U366" s="6"/>
      <c r="V366" s="184"/>
      <c r="W366" s="184"/>
      <c r="X366" s="155"/>
      <c r="Y366" s="155"/>
      <c r="Z366" s="155"/>
      <c r="AA366" s="155"/>
      <c r="AB366" s="155"/>
      <c r="AC366" s="184"/>
      <c r="AD366" s="155"/>
      <c r="AE366" s="155"/>
      <c r="AF366" s="155"/>
      <c r="AG366" s="155"/>
      <c r="AH366" s="155"/>
      <c r="AI366" s="155"/>
      <c r="AJ366" s="155"/>
      <c r="AK366" s="155"/>
      <c r="AL366" s="155"/>
      <c r="AM366" s="155"/>
      <c r="AN366" s="155"/>
      <c r="AO366" s="155"/>
      <c r="AP366" s="155"/>
      <c r="AQ366" s="155"/>
      <c r="AR366" s="155"/>
      <c r="AS366" s="155"/>
      <c r="AT366" s="155"/>
      <c r="AU366" s="155"/>
      <c r="AV366" s="155"/>
      <c r="AW366" s="155"/>
    </row>
    <row r="367" spans="1:49" ht="16.5" customHeight="1">
      <c r="A367" s="155"/>
      <c r="B367" s="155"/>
      <c r="C367" s="1"/>
      <c r="D367" s="1"/>
      <c r="E367" s="1"/>
      <c r="F367" s="156"/>
      <c r="G367" s="157"/>
      <c r="H367" s="184"/>
      <c r="I367" s="184"/>
      <c r="J367" s="184"/>
      <c r="K367" s="184"/>
      <c r="L367" s="184"/>
      <c r="M367" s="4"/>
      <c r="N367" s="184"/>
      <c r="O367" s="1"/>
      <c r="P367" s="5"/>
      <c r="Q367" s="4"/>
      <c r="R367" s="1"/>
      <c r="S367" s="1"/>
      <c r="T367" s="1"/>
      <c r="U367" s="6"/>
      <c r="V367" s="184"/>
      <c r="W367" s="184"/>
      <c r="X367" s="155"/>
      <c r="Y367" s="155"/>
      <c r="Z367" s="155"/>
      <c r="AA367" s="155"/>
      <c r="AB367" s="155"/>
      <c r="AC367" s="184"/>
      <c r="AD367" s="155"/>
      <c r="AE367" s="155"/>
      <c r="AF367" s="155"/>
      <c r="AG367" s="155"/>
      <c r="AH367" s="155"/>
      <c r="AI367" s="155"/>
      <c r="AJ367" s="155"/>
      <c r="AK367" s="155"/>
      <c r="AL367" s="155"/>
      <c r="AM367" s="155"/>
      <c r="AN367" s="155"/>
      <c r="AO367" s="155"/>
      <c r="AP367" s="155"/>
      <c r="AQ367" s="155"/>
      <c r="AR367" s="155"/>
      <c r="AS367" s="155"/>
      <c r="AT367" s="155"/>
      <c r="AU367" s="155"/>
      <c r="AV367" s="155"/>
      <c r="AW367" s="155"/>
    </row>
    <row r="368" spans="1:49" ht="16.5" customHeight="1">
      <c r="A368" s="155"/>
      <c r="B368" s="155"/>
      <c r="C368" s="1"/>
      <c r="D368" s="1"/>
      <c r="E368" s="1"/>
      <c r="F368" s="156"/>
      <c r="G368" s="157"/>
      <c r="H368" s="184"/>
      <c r="I368" s="184"/>
      <c r="J368" s="184"/>
      <c r="K368" s="184"/>
      <c r="L368" s="184"/>
      <c r="M368" s="4"/>
      <c r="N368" s="184"/>
      <c r="O368" s="1"/>
      <c r="P368" s="5"/>
      <c r="Q368" s="4"/>
      <c r="R368" s="1"/>
      <c r="S368" s="1"/>
      <c r="T368" s="1"/>
      <c r="U368" s="6"/>
      <c r="V368" s="184"/>
      <c r="W368" s="184"/>
      <c r="X368" s="155"/>
      <c r="Y368" s="155"/>
      <c r="Z368" s="155"/>
      <c r="AA368" s="155"/>
      <c r="AB368" s="155"/>
      <c r="AC368" s="184"/>
      <c r="AD368" s="155"/>
      <c r="AE368" s="155"/>
      <c r="AF368" s="155"/>
      <c r="AG368" s="155"/>
      <c r="AH368" s="155"/>
      <c r="AI368" s="155"/>
      <c r="AJ368" s="155"/>
      <c r="AK368" s="155"/>
      <c r="AL368" s="155"/>
      <c r="AM368" s="155"/>
      <c r="AN368" s="155"/>
      <c r="AO368" s="155"/>
      <c r="AP368" s="155"/>
      <c r="AQ368" s="155"/>
      <c r="AR368" s="155"/>
      <c r="AS368" s="155"/>
      <c r="AT368" s="155"/>
      <c r="AU368" s="155"/>
      <c r="AV368" s="155"/>
      <c r="AW368" s="155"/>
    </row>
    <row r="369" spans="1:49" ht="16.5" customHeight="1">
      <c r="A369" s="155"/>
      <c r="B369" s="155"/>
      <c r="C369" s="1"/>
      <c r="D369" s="1"/>
      <c r="E369" s="1"/>
      <c r="F369" s="156"/>
      <c r="G369" s="157"/>
      <c r="H369" s="184"/>
      <c r="I369" s="184"/>
      <c r="J369" s="184"/>
      <c r="K369" s="184"/>
      <c r="L369" s="184"/>
      <c r="M369" s="4"/>
      <c r="N369" s="184"/>
      <c r="O369" s="1"/>
      <c r="P369" s="5"/>
      <c r="Q369" s="4"/>
      <c r="R369" s="1"/>
      <c r="S369" s="1"/>
      <c r="T369" s="1"/>
      <c r="U369" s="6"/>
      <c r="V369" s="184"/>
      <c r="W369" s="184"/>
      <c r="X369" s="155"/>
      <c r="Y369" s="155"/>
      <c r="Z369" s="155"/>
      <c r="AA369" s="155"/>
      <c r="AB369" s="155"/>
      <c r="AC369" s="184"/>
      <c r="AD369" s="155"/>
      <c r="AE369" s="155"/>
      <c r="AF369" s="155"/>
      <c r="AG369" s="155"/>
      <c r="AH369" s="155"/>
      <c r="AI369" s="155"/>
      <c r="AJ369" s="155"/>
      <c r="AK369" s="155"/>
      <c r="AL369" s="155"/>
      <c r="AM369" s="155"/>
      <c r="AN369" s="155"/>
      <c r="AO369" s="155"/>
      <c r="AP369" s="155"/>
      <c r="AQ369" s="155"/>
      <c r="AR369" s="155"/>
      <c r="AS369" s="155"/>
      <c r="AT369" s="155"/>
      <c r="AU369" s="155"/>
      <c r="AV369" s="155"/>
      <c r="AW369" s="155"/>
    </row>
    <row r="370" spans="1:49" ht="16.5" customHeight="1">
      <c r="A370" s="155"/>
      <c r="B370" s="155"/>
      <c r="C370" s="1"/>
      <c r="D370" s="1"/>
      <c r="E370" s="1"/>
      <c r="F370" s="156"/>
      <c r="G370" s="157"/>
      <c r="H370" s="184"/>
      <c r="I370" s="184"/>
      <c r="J370" s="184"/>
      <c r="K370" s="184"/>
      <c r="L370" s="184"/>
      <c r="M370" s="4"/>
      <c r="N370" s="184"/>
      <c r="O370" s="1"/>
      <c r="P370" s="5"/>
      <c r="Q370" s="4"/>
      <c r="R370" s="1"/>
      <c r="S370" s="1"/>
      <c r="T370" s="1"/>
      <c r="U370" s="6"/>
      <c r="V370" s="184"/>
      <c r="W370" s="184"/>
      <c r="X370" s="155"/>
      <c r="Y370" s="155"/>
      <c r="Z370" s="155"/>
      <c r="AA370" s="155"/>
      <c r="AB370" s="155"/>
      <c r="AC370" s="184"/>
      <c r="AD370" s="155"/>
      <c r="AE370" s="155"/>
      <c r="AF370" s="155"/>
      <c r="AG370" s="155"/>
      <c r="AH370" s="155"/>
      <c r="AI370" s="155"/>
      <c r="AJ370" s="155"/>
      <c r="AK370" s="155"/>
      <c r="AL370" s="155"/>
      <c r="AM370" s="155"/>
      <c r="AN370" s="155"/>
      <c r="AO370" s="155"/>
      <c r="AP370" s="155"/>
      <c r="AQ370" s="155"/>
      <c r="AR370" s="155"/>
      <c r="AS370" s="155"/>
      <c r="AT370" s="155"/>
      <c r="AU370" s="155"/>
      <c r="AV370" s="155"/>
      <c r="AW370" s="155"/>
    </row>
    <row r="371" spans="1:49" ht="16.5" customHeight="1">
      <c r="A371" s="155"/>
      <c r="B371" s="155"/>
      <c r="C371" s="1"/>
      <c r="D371" s="1"/>
      <c r="E371" s="1"/>
      <c r="F371" s="156"/>
      <c r="G371" s="157"/>
      <c r="H371" s="184"/>
      <c r="I371" s="184"/>
      <c r="J371" s="184"/>
      <c r="K371" s="184"/>
      <c r="L371" s="184"/>
      <c r="M371" s="4"/>
      <c r="N371" s="184"/>
      <c r="O371" s="1"/>
      <c r="P371" s="5"/>
      <c r="Q371" s="4"/>
      <c r="R371" s="1"/>
      <c r="S371" s="1"/>
      <c r="T371" s="1"/>
      <c r="U371" s="6"/>
      <c r="V371" s="184"/>
      <c r="W371" s="184"/>
      <c r="X371" s="155"/>
      <c r="Y371" s="155"/>
      <c r="Z371" s="155"/>
      <c r="AA371" s="155"/>
      <c r="AB371" s="155"/>
      <c r="AC371" s="184"/>
      <c r="AD371" s="155"/>
      <c r="AE371" s="155"/>
      <c r="AF371" s="155"/>
      <c r="AG371" s="155"/>
      <c r="AH371" s="155"/>
      <c r="AI371" s="155"/>
      <c r="AJ371" s="155"/>
      <c r="AK371" s="155"/>
      <c r="AL371" s="155"/>
      <c r="AM371" s="155"/>
      <c r="AN371" s="155"/>
      <c r="AO371" s="155"/>
      <c r="AP371" s="155"/>
      <c r="AQ371" s="155"/>
      <c r="AR371" s="155"/>
      <c r="AS371" s="155"/>
      <c r="AT371" s="155"/>
      <c r="AU371" s="155"/>
      <c r="AV371" s="155"/>
      <c r="AW371" s="155"/>
    </row>
    <row r="372" spans="1:49" ht="16.5" customHeight="1">
      <c r="A372" s="155"/>
      <c r="B372" s="155"/>
      <c r="C372" s="1"/>
      <c r="D372" s="1"/>
      <c r="E372" s="1"/>
      <c r="F372" s="156"/>
      <c r="G372" s="157"/>
      <c r="H372" s="184"/>
      <c r="I372" s="184"/>
      <c r="J372" s="184"/>
      <c r="K372" s="184"/>
      <c r="L372" s="184"/>
      <c r="M372" s="4"/>
      <c r="N372" s="184"/>
      <c r="O372" s="1"/>
      <c r="P372" s="5"/>
      <c r="Q372" s="4"/>
      <c r="R372" s="1"/>
      <c r="S372" s="1"/>
      <c r="T372" s="1"/>
      <c r="U372" s="6"/>
      <c r="V372" s="184"/>
      <c r="W372" s="184"/>
      <c r="X372" s="155"/>
      <c r="Y372" s="155"/>
      <c r="Z372" s="155"/>
      <c r="AA372" s="155"/>
      <c r="AB372" s="155"/>
      <c r="AC372" s="184"/>
      <c r="AD372" s="155"/>
      <c r="AE372" s="155"/>
      <c r="AF372" s="155"/>
      <c r="AG372" s="155"/>
      <c r="AH372" s="155"/>
      <c r="AI372" s="155"/>
      <c r="AJ372" s="155"/>
      <c r="AK372" s="155"/>
      <c r="AL372" s="155"/>
      <c r="AM372" s="155"/>
      <c r="AN372" s="155"/>
      <c r="AO372" s="155"/>
      <c r="AP372" s="155"/>
      <c r="AQ372" s="155"/>
      <c r="AR372" s="155"/>
      <c r="AS372" s="155"/>
      <c r="AT372" s="155"/>
      <c r="AU372" s="155"/>
      <c r="AV372" s="155"/>
      <c r="AW372" s="155"/>
    </row>
    <row r="373" spans="1:49" ht="16.5" customHeight="1">
      <c r="A373" s="155"/>
      <c r="B373" s="155"/>
      <c r="C373" s="1"/>
      <c r="D373" s="1"/>
      <c r="E373" s="1"/>
      <c r="F373" s="156"/>
      <c r="G373" s="157"/>
      <c r="H373" s="184"/>
      <c r="I373" s="184"/>
      <c r="J373" s="184"/>
      <c r="K373" s="184"/>
      <c r="L373" s="184"/>
      <c r="M373" s="4"/>
      <c r="N373" s="184"/>
      <c r="O373" s="1"/>
      <c r="P373" s="5"/>
      <c r="Q373" s="4"/>
      <c r="R373" s="1"/>
      <c r="S373" s="1"/>
      <c r="T373" s="1"/>
      <c r="U373" s="6"/>
      <c r="V373" s="184"/>
      <c r="W373" s="184"/>
      <c r="X373" s="155"/>
      <c r="Y373" s="155"/>
      <c r="Z373" s="155"/>
      <c r="AA373" s="155"/>
      <c r="AB373" s="155"/>
      <c r="AC373" s="184"/>
      <c r="AD373" s="155"/>
      <c r="AE373" s="155"/>
      <c r="AF373" s="155"/>
      <c r="AG373" s="155"/>
      <c r="AH373" s="155"/>
      <c r="AI373" s="155"/>
      <c r="AJ373" s="155"/>
      <c r="AK373" s="155"/>
      <c r="AL373" s="155"/>
      <c r="AM373" s="155"/>
      <c r="AN373" s="155"/>
      <c r="AO373" s="155"/>
      <c r="AP373" s="155"/>
      <c r="AQ373" s="155"/>
      <c r="AR373" s="155"/>
      <c r="AS373" s="155"/>
      <c r="AT373" s="155"/>
      <c r="AU373" s="155"/>
      <c r="AV373" s="155"/>
      <c r="AW373" s="155"/>
    </row>
    <row r="374" spans="1:49" ht="16.5" customHeight="1">
      <c r="A374" s="155"/>
      <c r="B374" s="155"/>
      <c r="C374" s="1"/>
      <c r="D374" s="1"/>
      <c r="E374" s="1"/>
      <c r="F374" s="156"/>
      <c r="G374" s="157"/>
      <c r="H374" s="184"/>
      <c r="I374" s="184"/>
      <c r="J374" s="184"/>
      <c r="K374" s="184"/>
      <c r="L374" s="184"/>
      <c r="M374" s="4"/>
      <c r="N374" s="184"/>
      <c r="O374" s="1"/>
      <c r="P374" s="5"/>
      <c r="Q374" s="4"/>
      <c r="R374" s="1"/>
      <c r="S374" s="1"/>
      <c r="T374" s="1"/>
      <c r="U374" s="6"/>
      <c r="V374" s="184"/>
      <c r="W374" s="184"/>
      <c r="X374" s="155"/>
      <c r="Y374" s="155"/>
      <c r="Z374" s="155"/>
      <c r="AA374" s="155"/>
      <c r="AB374" s="155"/>
      <c r="AC374" s="184"/>
      <c r="AD374" s="155"/>
      <c r="AE374" s="155"/>
      <c r="AF374" s="155"/>
      <c r="AG374" s="155"/>
      <c r="AH374" s="155"/>
      <c r="AI374" s="155"/>
      <c r="AJ374" s="155"/>
      <c r="AK374" s="155"/>
      <c r="AL374" s="155"/>
      <c r="AM374" s="155"/>
      <c r="AN374" s="155"/>
      <c r="AO374" s="155"/>
      <c r="AP374" s="155"/>
      <c r="AQ374" s="155"/>
      <c r="AR374" s="155"/>
      <c r="AS374" s="155"/>
      <c r="AT374" s="155"/>
      <c r="AU374" s="155"/>
      <c r="AV374" s="155"/>
      <c r="AW374" s="155"/>
    </row>
    <row r="375" spans="1:49" ht="16.5" customHeight="1">
      <c r="A375" s="155"/>
      <c r="B375" s="155"/>
      <c r="C375" s="1"/>
      <c r="D375" s="1"/>
      <c r="E375" s="1"/>
      <c r="F375" s="156"/>
      <c r="G375" s="157"/>
      <c r="H375" s="184"/>
      <c r="I375" s="184"/>
      <c r="J375" s="184"/>
      <c r="K375" s="184"/>
      <c r="L375" s="184"/>
      <c r="M375" s="4"/>
      <c r="N375" s="184"/>
      <c r="O375" s="1"/>
      <c r="P375" s="5"/>
      <c r="Q375" s="4"/>
      <c r="R375" s="1"/>
      <c r="S375" s="1"/>
      <c r="T375" s="1"/>
      <c r="U375" s="6"/>
      <c r="V375" s="184"/>
      <c r="W375" s="184"/>
      <c r="X375" s="155"/>
      <c r="Y375" s="155"/>
      <c r="Z375" s="155"/>
      <c r="AA375" s="155"/>
      <c r="AB375" s="155"/>
      <c r="AC375" s="184"/>
      <c r="AD375" s="155"/>
      <c r="AE375" s="155"/>
      <c r="AF375" s="155"/>
      <c r="AG375" s="155"/>
      <c r="AH375" s="155"/>
      <c r="AI375" s="155"/>
      <c r="AJ375" s="155"/>
      <c r="AK375" s="155"/>
      <c r="AL375" s="155"/>
      <c r="AM375" s="155"/>
      <c r="AN375" s="155"/>
      <c r="AO375" s="155"/>
      <c r="AP375" s="155"/>
      <c r="AQ375" s="155"/>
      <c r="AR375" s="155"/>
      <c r="AS375" s="155"/>
      <c r="AT375" s="155"/>
      <c r="AU375" s="155"/>
      <c r="AV375" s="155"/>
      <c r="AW375" s="155"/>
    </row>
    <row r="376" spans="1:49" ht="16.5" customHeight="1">
      <c r="A376" s="155"/>
      <c r="B376" s="155"/>
      <c r="C376" s="1"/>
      <c r="D376" s="1"/>
      <c r="E376" s="1"/>
      <c r="F376" s="156"/>
      <c r="G376" s="157"/>
      <c r="H376" s="184"/>
      <c r="I376" s="184"/>
      <c r="J376" s="184"/>
      <c r="K376" s="184"/>
      <c r="L376" s="184"/>
      <c r="M376" s="4"/>
      <c r="N376" s="184"/>
      <c r="O376" s="1"/>
      <c r="P376" s="5"/>
      <c r="Q376" s="4"/>
      <c r="R376" s="1"/>
      <c r="S376" s="1"/>
      <c r="T376" s="1"/>
      <c r="U376" s="6"/>
      <c r="V376" s="184"/>
      <c r="W376" s="184"/>
      <c r="X376" s="155"/>
      <c r="Y376" s="155"/>
      <c r="Z376" s="155"/>
      <c r="AA376" s="155"/>
      <c r="AB376" s="155"/>
      <c r="AC376" s="184"/>
      <c r="AD376" s="155"/>
      <c r="AE376" s="155"/>
      <c r="AF376" s="155"/>
      <c r="AG376" s="155"/>
      <c r="AH376" s="155"/>
      <c r="AI376" s="155"/>
      <c r="AJ376" s="155"/>
      <c r="AK376" s="155"/>
      <c r="AL376" s="155"/>
      <c r="AM376" s="155"/>
      <c r="AN376" s="155"/>
      <c r="AO376" s="155"/>
      <c r="AP376" s="155"/>
      <c r="AQ376" s="155"/>
      <c r="AR376" s="155"/>
      <c r="AS376" s="155"/>
      <c r="AT376" s="155"/>
      <c r="AU376" s="155"/>
      <c r="AV376" s="155"/>
      <c r="AW376" s="155"/>
    </row>
    <row r="377" spans="1:49" ht="16.5" customHeight="1">
      <c r="A377" s="155"/>
      <c r="B377" s="155"/>
      <c r="C377" s="1"/>
      <c r="D377" s="1"/>
      <c r="E377" s="1"/>
      <c r="F377" s="156"/>
      <c r="G377" s="157"/>
      <c r="H377" s="184"/>
      <c r="I377" s="184"/>
      <c r="J377" s="184"/>
      <c r="K377" s="184"/>
      <c r="L377" s="184"/>
      <c r="M377" s="4"/>
      <c r="N377" s="184"/>
      <c r="O377" s="1"/>
      <c r="P377" s="5"/>
      <c r="Q377" s="4"/>
      <c r="R377" s="1"/>
      <c r="S377" s="1"/>
      <c r="T377" s="1"/>
      <c r="U377" s="6"/>
      <c r="V377" s="184"/>
      <c r="W377" s="184"/>
      <c r="X377" s="155"/>
      <c r="Y377" s="155"/>
      <c r="Z377" s="155"/>
      <c r="AA377" s="155"/>
      <c r="AB377" s="155"/>
      <c r="AC377" s="184"/>
      <c r="AD377" s="155"/>
      <c r="AE377" s="155"/>
      <c r="AF377" s="155"/>
      <c r="AG377" s="155"/>
      <c r="AH377" s="155"/>
      <c r="AI377" s="155"/>
      <c r="AJ377" s="155"/>
      <c r="AK377" s="155"/>
      <c r="AL377" s="155"/>
      <c r="AM377" s="155"/>
      <c r="AN377" s="155"/>
      <c r="AO377" s="155"/>
      <c r="AP377" s="155"/>
      <c r="AQ377" s="155"/>
      <c r="AR377" s="155"/>
      <c r="AS377" s="155"/>
      <c r="AT377" s="155"/>
      <c r="AU377" s="155"/>
      <c r="AV377" s="155"/>
      <c r="AW377" s="155"/>
    </row>
    <row r="378" spans="1:49" ht="16.5" customHeight="1">
      <c r="A378" s="155"/>
      <c r="B378" s="155"/>
      <c r="C378" s="1"/>
      <c r="D378" s="1"/>
      <c r="E378" s="1"/>
      <c r="F378" s="156"/>
      <c r="G378" s="157"/>
      <c r="H378" s="184"/>
      <c r="I378" s="184"/>
      <c r="J378" s="184"/>
      <c r="K378" s="184"/>
      <c r="L378" s="184"/>
      <c r="M378" s="4"/>
      <c r="N378" s="184"/>
      <c r="O378" s="1"/>
      <c r="P378" s="5"/>
      <c r="Q378" s="4"/>
      <c r="R378" s="1"/>
      <c r="S378" s="1"/>
      <c r="T378" s="1"/>
      <c r="U378" s="6"/>
      <c r="V378" s="184"/>
      <c r="W378" s="184"/>
      <c r="X378" s="155"/>
      <c r="Y378" s="155"/>
      <c r="Z378" s="155"/>
      <c r="AA378" s="155"/>
      <c r="AB378" s="155"/>
      <c r="AC378" s="184"/>
      <c r="AD378" s="155"/>
      <c r="AE378" s="155"/>
      <c r="AF378" s="155"/>
      <c r="AG378" s="155"/>
      <c r="AH378" s="155"/>
      <c r="AI378" s="155"/>
      <c r="AJ378" s="155"/>
      <c r="AK378" s="155"/>
      <c r="AL378" s="155"/>
      <c r="AM378" s="155"/>
      <c r="AN378" s="155"/>
      <c r="AO378" s="155"/>
      <c r="AP378" s="155"/>
      <c r="AQ378" s="155"/>
      <c r="AR378" s="155"/>
      <c r="AS378" s="155"/>
      <c r="AT378" s="155"/>
      <c r="AU378" s="155"/>
      <c r="AV378" s="155"/>
      <c r="AW378" s="155"/>
    </row>
    <row r="379" spans="1:49" ht="16.5" customHeight="1">
      <c r="A379" s="155"/>
      <c r="B379" s="155"/>
      <c r="C379" s="1"/>
      <c r="D379" s="1"/>
      <c r="E379" s="1"/>
      <c r="F379" s="156"/>
      <c r="G379" s="157"/>
      <c r="H379" s="184"/>
      <c r="I379" s="184"/>
      <c r="J379" s="184"/>
      <c r="K379" s="184"/>
      <c r="L379" s="184"/>
      <c r="M379" s="4"/>
      <c r="N379" s="184"/>
      <c r="O379" s="1"/>
      <c r="P379" s="5"/>
      <c r="Q379" s="4"/>
      <c r="R379" s="1"/>
      <c r="S379" s="1"/>
      <c r="T379" s="1"/>
      <c r="U379" s="6"/>
      <c r="V379" s="184"/>
      <c r="W379" s="184"/>
      <c r="X379" s="155"/>
      <c r="Y379" s="155"/>
      <c r="Z379" s="155"/>
      <c r="AA379" s="155"/>
      <c r="AB379" s="155"/>
      <c r="AC379" s="184"/>
      <c r="AD379" s="155"/>
      <c r="AE379" s="155"/>
      <c r="AF379" s="155"/>
      <c r="AG379" s="155"/>
      <c r="AH379" s="155"/>
      <c r="AI379" s="155"/>
      <c r="AJ379" s="155"/>
      <c r="AK379" s="155"/>
      <c r="AL379" s="155"/>
      <c r="AM379" s="155"/>
      <c r="AN379" s="155"/>
      <c r="AO379" s="155"/>
      <c r="AP379" s="155"/>
      <c r="AQ379" s="155"/>
      <c r="AR379" s="155"/>
      <c r="AS379" s="155"/>
      <c r="AT379" s="155"/>
      <c r="AU379" s="155"/>
      <c r="AV379" s="155"/>
      <c r="AW379" s="155"/>
    </row>
    <row r="380" spans="1:49" ht="16.5" customHeight="1">
      <c r="A380" s="155"/>
      <c r="B380" s="155"/>
      <c r="C380" s="1"/>
      <c r="D380" s="1"/>
      <c r="E380" s="1"/>
      <c r="F380" s="156"/>
      <c r="G380" s="157"/>
      <c r="H380" s="184"/>
      <c r="I380" s="184"/>
      <c r="J380" s="184"/>
      <c r="K380" s="184"/>
      <c r="L380" s="184"/>
      <c r="M380" s="4"/>
      <c r="N380" s="184"/>
      <c r="O380" s="1"/>
      <c r="P380" s="5"/>
      <c r="Q380" s="4"/>
      <c r="R380" s="1"/>
      <c r="S380" s="1"/>
      <c r="T380" s="1"/>
      <c r="U380" s="6"/>
      <c r="V380" s="184"/>
      <c r="W380" s="184"/>
      <c r="X380" s="155"/>
      <c r="Y380" s="155"/>
      <c r="Z380" s="155"/>
      <c r="AA380" s="155"/>
      <c r="AB380" s="155"/>
      <c r="AC380" s="184"/>
      <c r="AD380" s="155"/>
      <c r="AE380" s="155"/>
      <c r="AF380" s="155"/>
      <c r="AG380" s="155"/>
      <c r="AH380" s="155"/>
      <c r="AI380" s="155"/>
      <c r="AJ380" s="155"/>
      <c r="AK380" s="155"/>
      <c r="AL380" s="155"/>
      <c r="AM380" s="155"/>
      <c r="AN380" s="155"/>
      <c r="AO380" s="155"/>
      <c r="AP380" s="155"/>
      <c r="AQ380" s="155"/>
      <c r="AR380" s="155"/>
      <c r="AS380" s="155"/>
      <c r="AT380" s="155"/>
      <c r="AU380" s="155"/>
      <c r="AV380" s="155"/>
      <c r="AW380" s="155"/>
    </row>
    <row r="381" spans="1:49" ht="16.5" customHeight="1">
      <c r="A381" s="155"/>
      <c r="B381" s="155"/>
      <c r="C381" s="1"/>
      <c r="D381" s="1"/>
      <c r="E381" s="1"/>
      <c r="F381" s="156"/>
      <c r="G381" s="157"/>
      <c r="H381" s="184"/>
      <c r="I381" s="184"/>
      <c r="J381" s="184"/>
      <c r="K381" s="184"/>
      <c r="L381" s="184"/>
      <c r="M381" s="4"/>
      <c r="N381" s="184"/>
      <c r="O381" s="1"/>
      <c r="P381" s="5"/>
      <c r="Q381" s="4"/>
      <c r="R381" s="1"/>
      <c r="S381" s="1"/>
      <c r="T381" s="1"/>
      <c r="U381" s="6"/>
      <c r="V381" s="184"/>
      <c r="W381" s="184"/>
      <c r="X381" s="155"/>
      <c r="Y381" s="155"/>
      <c r="Z381" s="155"/>
      <c r="AA381" s="155"/>
      <c r="AB381" s="155"/>
      <c r="AC381" s="184"/>
      <c r="AD381" s="155"/>
      <c r="AE381" s="155"/>
      <c r="AF381" s="155"/>
      <c r="AG381" s="155"/>
      <c r="AH381" s="155"/>
      <c r="AI381" s="155"/>
      <c r="AJ381" s="155"/>
      <c r="AK381" s="155"/>
      <c r="AL381" s="155"/>
      <c r="AM381" s="155"/>
      <c r="AN381" s="155"/>
      <c r="AO381" s="155"/>
      <c r="AP381" s="155"/>
      <c r="AQ381" s="155"/>
      <c r="AR381" s="155"/>
      <c r="AS381" s="155"/>
      <c r="AT381" s="155"/>
      <c r="AU381" s="155"/>
      <c r="AV381" s="155"/>
      <c r="AW381" s="155"/>
    </row>
    <row r="382" spans="1:49" ht="16.5" customHeight="1">
      <c r="A382" s="155"/>
      <c r="B382" s="155"/>
      <c r="C382" s="1"/>
      <c r="D382" s="1"/>
      <c r="E382" s="1"/>
      <c r="F382" s="156"/>
      <c r="G382" s="157"/>
      <c r="H382" s="184"/>
      <c r="I382" s="184"/>
      <c r="J382" s="184"/>
      <c r="K382" s="184"/>
      <c r="L382" s="184"/>
      <c r="M382" s="4"/>
      <c r="N382" s="184"/>
      <c r="O382" s="1"/>
      <c r="P382" s="5"/>
      <c r="Q382" s="4"/>
      <c r="R382" s="1"/>
      <c r="S382" s="1"/>
      <c r="T382" s="1"/>
      <c r="U382" s="6"/>
      <c r="V382" s="184"/>
      <c r="W382" s="184"/>
      <c r="X382" s="155"/>
      <c r="Y382" s="155"/>
      <c r="Z382" s="155"/>
      <c r="AA382" s="155"/>
      <c r="AB382" s="155"/>
      <c r="AC382" s="184"/>
      <c r="AD382" s="155"/>
      <c r="AE382" s="155"/>
      <c r="AF382" s="155"/>
      <c r="AG382" s="155"/>
      <c r="AH382" s="155"/>
      <c r="AI382" s="155"/>
      <c r="AJ382" s="155"/>
      <c r="AK382" s="155"/>
      <c r="AL382" s="155"/>
      <c r="AM382" s="155"/>
      <c r="AN382" s="155"/>
      <c r="AO382" s="155"/>
      <c r="AP382" s="155"/>
      <c r="AQ382" s="155"/>
      <c r="AR382" s="155"/>
      <c r="AS382" s="155"/>
      <c r="AT382" s="155"/>
      <c r="AU382" s="155"/>
      <c r="AV382" s="155"/>
      <c r="AW382" s="155"/>
    </row>
    <row r="383" spans="1:49" ht="16.5" customHeight="1">
      <c r="A383" s="155"/>
      <c r="B383" s="155"/>
      <c r="C383" s="1"/>
      <c r="D383" s="1"/>
      <c r="E383" s="1"/>
      <c r="F383" s="156"/>
      <c r="G383" s="157"/>
      <c r="H383" s="184"/>
      <c r="I383" s="184"/>
      <c r="J383" s="184"/>
      <c r="K383" s="184"/>
      <c r="L383" s="184"/>
      <c r="M383" s="4"/>
      <c r="N383" s="184"/>
      <c r="O383" s="1"/>
      <c r="P383" s="5"/>
      <c r="Q383" s="4"/>
      <c r="R383" s="1"/>
      <c r="S383" s="1"/>
      <c r="T383" s="1"/>
      <c r="U383" s="6"/>
      <c r="V383" s="184"/>
      <c r="W383" s="184"/>
      <c r="X383" s="155"/>
      <c r="Y383" s="155"/>
      <c r="Z383" s="155"/>
      <c r="AA383" s="155"/>
      <c r="AB383" s="155"/>
      <c r="AC383" s="184"/>
      <c r="AD383" s="155"/>
      <c r="AE383" s="155"/>
      <c r="AF383" s="155"/>
      <c r="AG383" s="155"/>
      <c r="AH383" s="155"/>
      <c r="AI383" s="155"/>
      <c r="AJ383" s="155"/>
      <c r="AK383" s="155"/>
      <c r="AL383" s="155"/>
      <c r="AM383" s="155"/>
      <c r="AN383" s="155"/>
      <c r="AO383" s="155"/>
      <c r="AP383" s="155"/>
      <c r="AQ383" s="155"/>
      <c r="AR383" s="155"/>
      <c r="AS383" s="155"/>
      <c r="AT383" s="155"/>
      <c r="AU383" s="155"/>
      <c r="AV383" s="155"/>
      <c r="AW383" s="155"/>
    </row>
    <row r="384" spans="1:49" ht="16.5" customHeight="1">
      <c r="A384" s="155"/>
      <c r="B384" s="155"/>
      <c r="C384" s="1"/>
      <c r="D384" s="1"/>
      <c r="E384" s="1"/>
      <c r="F384" s="156"/>
      <c r="G384" s="157"/>
      <c r="H384" s="184"/>
      <c r="I384" s="184"/>
      <c r="J384" s="184"/>
      <c r="K384" s="184"/>
      <c r="L384" s="184"/>
      <c r="M384" s="4"/>
      <c r="N384" s="184"/>
      <c r="O384" s="1"/>
      <c r="P384" s="5"/>
      <c r="Q384" s="4"/>
      <c r="R384" s="1"/>
      <c r="S384" s="1"/>
      <c r="T384" s="1"/>
      <c r="U384" s="6"/>
      <c r="V384" s="184"/>
      <c r="W384" s="184"/>
      <c r="X384" s="155"/>
      <c r="Y384" s="155"/>
      <c r="Z384" s="155"/>
      <c r="AA384" s="155"/>
      <c r="AB384" s="155"/>
      <c r="AC384" s="184"/>
      <c r="AD384" s="155"/>
      <c r="AE384" s="155"/>
      <c r="AF384" s="155"/>
      <c r="AG384" s="155"/>
      <c r="AH384" s="155"/>
      <c r="AI384" s="155"/>
      <c r="AJ384" s="155"/>
      <c r="AK384" s="155"/>
      <c r="AL384" s="155"/>
      <c r="AM384" s="155"/>
      <c r="AN384" s="155"/>
      <c r="AO384" s="155"/>
      <c r="AP384" s="155"/>
      <c r="AQ384" s="155"/>
      <c r="AR384" s="155"/>
      <c r="AS384" s="155"/>
      <c r="AT384" s="155"/>
      <c r="AU384" s="155"/>
      <c r="AV384" s="155"/>
      <c r="AW384" s="155"/>
    </row>
    <row r="385" spans="1:49" ht="16.5" customHeight="1">
      <c r="A385" s="155"/>
      <c r="B385" s="155"/>
      <c r="C385" s="1"/>
      <c r="D385" s="1"/>
      <c r="E385" s="1"/>
      <c r="F385" s="156"/>
      <c r="G385" s="157"/>
      <c r="H385" s="184"/>
      <c r="I385" s="184"/>
      <c r="J385" s="184"/>
      <c r="K385" s="184"/>
      <c r="L385" s="184"/>
      <c r="M385" s="4"/>
      <c r="N385" s="184"/>
      <c r="O385" s="1"/>
      <c r="P385" s="5"/>
      <c r="Q385" s="4"/>
      <c r="R385" s="1"/>
      <c r="S385" s="1"/>
      <c r="T385" s="1"/>
      <c r="U385" s="6"/>
      <c r="V385" s="184"/>
      <c r="W385" s="184"/>
      <c r="X385" s="155"/>
      <c r="Y385" s="155"/>
      <c r="Z385" s="155"/>
      <c r="AA385" s="155"/>
      <c r="AB385" s="155"/>
      <c r="AC385" s="184"/>
      <c r="AD385" s="155"/>
      <c r="AE385" s="155"/>
      <c r="AF385" s="155"/>
      <c r="AG385" s="155"/>
      <c r="AH385" s="155"/>
      <c r="AI385" s="155"/>
      <c r="AJ385" s="155"/>
      <c r="AK385" s="155"/>
      <c r="AL385" s="155"/>
      <c r="AM385" s="155"/>
      <c r="AN385" s="155"/>
      <c r="AO385" s="155"/>
      <c r="AP385" s="155"/>
      <c r="AQ385" s="155"/>
      <c r="AR385" s="155"/>
      <c r="AS385" s="155"/>
      <c r="AT385" s="155"/>
      <c r="AU385" s="155"/>
      <c r="AV385" s="155"/>
      <c r="AW385" s="155"/>
    </row>
    <row r="386" spans="1:49" ht="16.5" customHeight="1">
      <c r="A386" s="155"/>
      <c r="B386" s="155"/>
      <c r="C386" s="1"/>
      <c r="D386" s="1"/>
      <c r="E386" s="1"/>
      <c r="F386" s="156"/>
      <c r="G386" s="157"/>
      <c r="H386" s="184"/>
      <c r="I386" s="184"/>
      <c r="J386" s="184"/>
      <c r="K386" s="184"/>
      <c r="L386" s="184"/>
      <c r="M386" s="4"/>
      <c r="N386" s="184"/>
      <c r="O386" s="1"/>
      <c r="P386" s="5"/>
      <c r="Q386" s="4"/>
      <c r="R386" s="1"/>
      <c r="S386" s="1"/>
      <c r="T386" s="1"/>
      <c r="U386" s="6"/>
      <c r="V386" s="184"/>
      <c r="W386" s="184"/>
      <c r="X386" s="155"/>
      <c r="Y386" s="155"/>
      <c r="Z386" s="155"/>
      <c r="AA386" s="155"/>
      <c r="AB386" s="155"/>
      <c r="AC386" s="184"/>
      <c r="AD386" s="155"/>
      <c r="AE386" s="155"/>
      <c r="AF386" s="155"/>
      <c r="AG386" s="155"/>
      <c r="AH386" s="155"/>
      <c r="AI386" s="155"/>
      <c r="AJ386" s="155"/>
      <c r="AK386" s="155"/>
      <c r="AL386" s="155"/>
      <c r="AM386" s="155"/>
      <c r="AN386" s="155"/>
      <c r="AO386" s="155"/>
      <c r="AP386" s="155"/>
      <c r="AQ386" s="155"/>
      <c r="AR386" s="155"/>
      <c r="AS386" s="155"/>
      <c r="AT386" s="155"/>
      <c r="AU386" s="155"/>
      <c r="AV386" s="155"/>
      <c r="AW386" s="155"/>
    </row>
    <row r="387" spans="1:49" ht="16.5" customHeight="1">
      <c r="A387" s="155"/>
      <c r="B387" s="155"/>
      <c r="C387" s="1"/>
      <c r="D387" s="1"/>
      <c r="E387" s="1"/>
      <c r="F387" s="156"/>
      <c r="G387" s="157"/>
      <c r="H387" s="184"/>
      <c r="I387" s="184"/>
      <c r="J387" s="184"/>
      <c r="K387" s="184"/>
      <c r="L387" s="184"/>
      <c r="M387" s="4"/>
      <c r="N387" s="184"/>
      <c r="O387" s="1"/>
      <c r="P387" s="5"/>
      <c r="Q387" s="4"/>
      <c r="R387" s="1"/>
      <c r="S387" s="1"/>
      <c r="T387" s="1"/>
      <c r="U387" s="6"/>
      <c r="V387" s="184"/>
      <c r="W387" s="184"/>
      <c r="X387" s="155"/>
      <c r="Y387" s="155"/>
      <c r="Z387" s="155"/>
      <c r="AA387" s="155"/>
      <c r="AB387" s="155"/>
      <c r="AC387" s="184"/>
      <c r="AD387" s="155"/>
      <c r="AE387" s="155"/>
      <c r="AF387" s="155"/>
      <c r="AG387" s="155"/>
      <c r="AH387" s="155"/>
      <c r="AI387" s="155"/>
      <c r="AJ387" s="155"/>
      <c r="AK387" s="155"/>
      <c r="AL387" s="155"/>
      <c r="AM387" s="155"/>
      <c r="AN387" s="155"/>
      <c r="AO387" s="155"/>
      <c r="AP387" s="155"/>
      <c r="AQ387" s="155"/>
      <c r="AR387" s="155"/>
      <c r="AS387" s="155"/>
      <c r="AT387" s="155"/>
      <c r="AU387" s="155"/>
      <c r="AV387" s="155"/>
      <c r="AW387" s="155"/>
    </row>
    <row r="388" spans="1:49" ht="16.5" customHeight="1">
      <c r="A388" s="155"/>
      <c r="B388" s="155"/>
      <c r="C388" s="1"/>
      <c r="D388" s="1"/>
      <c r="E388" s="1"/>
      <c r="F388" s="156"/>
      <c r="G388" s="157"/>
      <c r="H388" s="184"/>
      <c r="I388" s="184"/>
      <c r="J388" s="184"/>
      <c r="K388" s="184"/>
      <c r="L388" s="184"/>
      <c r="M388" s="4"/>
      <c r="N388" s="184"/>
      <c r="O388" s="1"/>
      <c r="P388" s="5"/>
      <c r="Q388" s="4"/>
      <c r="R388" s="1"/>
      <c r="S388" s="1"/>
      <c r="T388" s="1"/>
      <c r="U388" s="6"/>
      <c r="V388" s="184"/>
      <c r="W388" s="184"/>
      <c r="X388" s="155"/>
      <c r="Y388" s="155"/>
      <c r="Z388" s="155"/>
      <c r="AA388" s="155"/>
      <c r="AB388" s="155"/>
      <c r="AC388" s="184"/>
      <c r="AD388" s="155"/>
      <c r="AE388" s="155"/>
      <c r="AF388" s="155"/>
      <c r="AG388" s="155"/>
      <c r="AH388" s="155"/>
      <c r="AI388" s="155"/>
      <c r="AJ388" s="155"/>
      <c r="AK388" s="155"/>
      <c r="AL388" s="155"/>
      <c r="AM388" s="155"/>
      <c r="AN388" s="155"/>
      <c r="AO388" s="155"/>
      <c r="AP388" s="155"/>
      <c r="AQ388" s="155"/>
      <c r="AR388" s="155"/>
      <c r="AS388" s="155"/>
      <c r="AT388" s="155"/>
      <c r="AU388" s="155"/>
      <c r="AV388" s="155"/>
      <c r="AW388" s="155"/>
    </row>
    <row r="389" spans="1:49" ht="16.5" customHeight="1">
      <c r="A389" s="155"/>
      <c r="B389" s="155"/>
      <c r="C389" s="1"/>
      <c r="D389" s="1"/>
      <c r="E389" s="1"/>
      <c r="F389" s="156"/>
      <c r="G389" s="157"/>
      <c r="H389" s="184"/>
      <c r="I389" s="184"/>
      <c r="J389" s="184"/>
      <c r="K389" s="184"/>
      <c r="L389" s="184"/>
      <c r="M389" s="4"/>
      <c r="N389" s="184"/>
      <c r="O389" s="1"/>
      <c r="P389" s="5"/>
      <c r="Q389" s="4"/>
      <c r="R389" s="1"/>
      <c r="S389" s="1"/>
      <c r="T389" s="1"/>
      <c r="U389" s="6"/>
      <c r="V389" s="184"/>
      <c r="W389" s="184"/>
      <c r="X389" s="155"/>
      <c r="Y389" s="155"/>
      <c r="Z389" s="155"/>
      <c r="AA389" s="155"/>
      <c r="AB389" s="155"/>
      <c r="AC389" s="184"/>
      <c r="AD389" s="155"/>
      <c r="AE389" s="155"/>
      <c r="AF389" s="155"/>
      <c r="AG389" s="155"/>
      <c r="AH389" s="155"/>
      <c r="AI389" s="155"/>
      <c r="AJ389" s="155"/>
      <c r="AK389" s="155"/>
      <c r="AL389" s="155"/>
      <c r="AM389" s="155"/>
      <c r="AN389" s="155"/>
      <c r="AO389" s="155"/>
      <c r="AP389" s="155"/>
      <c r="AQ389" s="155"/>
      <c r="AR389" s="155"/>
      <c r="AS389" s="155"/>
      <c r="AT389" s="155"/>
      <c r="AU389" s="155"/>
      <c r="AV389" s="155"/>
      <c r="AW389" s="155"/>
    </row>
    <row r="390" spans="1:49" ht="16.5" customHeight="1">
      <c r="A390" s="155"/>
      <c r="B390" s="155"/>
      <c r="C390" s="1"/>
      <c r="D390" s="1"/>
      <c r="E390" s="1"/>
      <c r="F390" s="156"/>
      <c r="G390" s="157"/>
      <c r="H390" s="184"/>
      <c r="I390" s="184"/>
      <c r="J390" s="184"/>
      <c r="K390" s="184"/>
      <c r="L390" s="184"/>
      <c r="M390" s="4"/>
      <c r="N390" s="184"/>
      <c r="O390" s="1"/>
      <c r="P390" s="5"/>
      <c r="Q390" s="4"/>
      <c r="R390" s="1"/>
      <c r="S390" s="1"/>
      <c r="T390" s="1"/>
      <c r="U390" s="6"/>
      <c r="V390" s="184"/>
      <c r="W390" s="184"/>
      <c r="X390" s="155"/>
      <c r="Y390" s="155"/>
      <c r="Z390" s="155"/>
      <c r="AA390" s="155"/>
      <c r="AB390" s="155"/>
      <c r="AC390" s="184"/>
      <c r="AD390" s="155"/>
      <c r="AE390" s="155"/>
      <c r="AF390" s="155"/>
      <c r="AG390" s="155"/>
      <c r="AH390" s="155"/>
      <c r="AI390" s="155"/>
      <c r="AJ390" s="155"/>
      <c r="AK390" s="155"/>
      <c r="AL390" s="155"/>
      <c r="AM390" s="155"/>
      <c r="AN390" s="155"/>
      <c r="AO390" s="155"/>
      <c r="AP390" s="155"/>
      <c r="AQ390" s="155"/>
      <c r="AR390" s="155"/>
      <c r="AS390" s="155"/>
      <c r="AT390" s="155"/>
      <c r="AU390" s="155"/>
      <c r="AV390" s="155"/>
      <c r="AW390" s="155"/>
    </row>
    <row r="391" spans="1:49" ht="16.5" customHeight="1">
      <c r="A391" s="155"/>
      <c r="B391" s="155"/>
      <c r="C391" s="1"/>
      <c r="D391" s="1"/>
      <c r="E391" s="1"/>
      <c r="F391" s="156"/>
      <c r="G391" s="157"/>
      <c r="H391" s="184"/>
      <c r="I391" s="184"/>
      <c r="J391" s="184"/>
      <c r="K391" s="184"/>
      <c r="L391" s="184"/>
      <c r="M391" s="4"/>
      <c r="N391" s="184"/>
      <c r="O391" s="1"/>
      <c r="P391" s="5"/>
      <c r="Q391" s="4"/>
      <c r="R391" s="1"/>
      <c r="S391" s="1"/>
      <c r="T391" s="1"/>
      <c r="U391" s="6"/>
      <c r="V391" s="184"/>
      <c r="W391" s="184"/>
      <c r="X391" s="155"/>
      <c r="Y391" s="155"/>
      <c r="Z391" s="155"/>
      <c r="AA391" s="155"/>
      <c r="AB391" s="155"/>
      <c r="AC391" s="184"/>
      <c r="AD391" s="155"/>
      <c r="AE391" s="155"/>
      <c r="AF391" s="155"/>
      <c r="AG391" s="155"/>
      <c r="AH391" s="155"/>
      <c r="AI391" s="155"/>
      <c r="AJ391" s="155"/>
      <c r="AK391" s="155"/>
      <c r="AL391" s="155"/>
      <c r="AM391" s="155"/>
      <c r="AN391" s="155"/>
      <c r="AO391" s="155"/>
      <c r="AP391" s="155"/>
      <c r="AQ391" s="155"/>
      <c r="AR391" s="155"/>
      <c r="AS391" s="155"/>
      <c r="AT391" s="155"/>
      <c r="AU391" s="155"/>
      <c r="AV391" s="155"/>
      <c r="AW391" s="155"/>
    </row>
    <row r="392" spans="1:49" ht="16.5" customHeight="1">
      <c r="A392" s="155"/>
      <c r="B392" s="155"/>
      <c r="C392" s="1"/>
      <c r="D392" s="1"/>
      <c r="E392" s="1"/>
      <c r="F392" s="156"/>
      <c r="G392" s="157"/>
      <c r="H392" s="184"/>
      <c r="I392" s="184"/>
      <c r="J392" s="184"/>
      <c r="K392" s="184"/>
      <c r="L392" s="184"/>
      <c r="M392" s="4"/>
      <c r="N392" s="184"/>
      <c r="O392" s="1"/>
      <c r="P392" s="5"/>
      <c r="Q392" s="4"/>
      <c r="R392" s="1"/>
      <c r="S392" s="1"/>
      <c r="T392" s="1"/>
      <c r="U392" s="6"/>
      <c r="V392" s="184"/>
      <c r="W392" s="184"/>
      <c r="X392" s="155"/>
      <c r="Y392" s="155"/>
      <c r="Z392" s="155"/>
      <c r="AA392" s="155"/>
      <c r="AB392" s="155"/>
      <c r="AC392" s="184"/>
      <c r="AD392" s="155"/>
      <c r="AE392" s="155"/>
      <c r="AF392" s="155"/>
      <c r="AG392" s="155"/>
      <c r="AH392" s="155"/>
      <c r="AI392" s="155"/>
      <c r="AJ392" s="155"/>
      <c r="AK392" s="155"/>
      <c r="AL392" s="155"/>
      <c r="AM392" s="155"/>
      <c r="AN392" s="155"/>
      <c r="AO392" s="155"/>
      <c r="AP392" s="155"/>
      <c r="AQ392" s="155"/>
      <c r="AR392" s="155"/>
      <c r="AS392" s="155"/>
      <c r="AT392" s="155"/>
      <c r="AU392" s="155"/>
      <c r="AV392" s="155"/>
      <c r="AW392" s="155"/>
    </row>
    <row r="393" spans="1:49" ht="16.5" customHeight="1">
      <c r="A393" s="155"/>
      <c r="B393" s="155"/>
      <c r="C393" s="1"/>
      <c r="D393" s="1"/>
      <c r="E393" s="1"/>
      <c r="F393" s="156"/>
      <c r="G393" s="157"/>
      <c r="H393" s="184"/>
      <c r="I393" s="184"/>
      <c r="J393" s="184"/>
      <c r="K393" s="184"/>
      <c r="L393" s="184"/>
      <c r="M393" s="4"/>
      <c r="N393" s="184"/>
      <c r="O393" s="1"/>
      <c r="P393" s="5"/>
      <c r="Q393" s="4"/>
      <c r="R393" s="1"/>
      <c r="S393" s="1"/>
      <c r="T393" s="1"/>
      <c r="U393" s="6"/>
      <c r="V393" s="184"/>
      <c r="W393" s="184"/>
      <c r="X393" s="155"/>
      <c r="Y393" s="155"/>
      <c r="Z393" s="155"/>
      <c r="AA393" s="155"/>
      <c r="AB393" s="155"/>
      <c r="AC393" s="184"/>
      <c r="AD393" s="155"/>
      <c r="AE393" s="155"/>
      <c r="AF393" s="155"/>
      <c r="AG393" s="155"/>
      <c r="AH393" s="155"/>
      <c r="AI393" s="155"/>
      <c r="AJ393" s="155"/>
      <c r="AK393" s="155"/>
      <c r="AL393" s="155"/>
      <c r="AM393" s="155"/>
      <c r="AN393" s="155"/>
      <c r="AO393" s="155"/>
      <c r="AP393" s="155"/>
      <c r="AQ393" s="155"/>
      <c r="AR393" s="155"/>
      <c r="AS393" s="155"/>
      <c r="AT393" s="155"/>
      <c r="AU393" s="155"/>
      <c r="AV393" s="155"/>
      <c r="AW393" s="155"/>
    </row>
    <row r="394" spans="1:49" ht="16.5" customHeight="1">
      <c r="A394" s="155"/>
      <c r="B394" s="155"/>
      <c r="C394" s="1"/>
      <c r="D394" s="1"/>
      <c r="E394" s="1"/>
      <c r="F394" s="156"/>
      <c r="G394" s="157"/>
      <c r="H394" s="184"/>
      <c r="I394" s="184"/>
      <c r="J394" s="184"/>
      <c r="K394" s="184"/>
      <c r="L394" s="184"/>
      <c r="M394" s="4"/>
      <c r="N394" s="184"/>
      <c r="O394" s="1"/>
      <c r="P394" s="5"/>
      <c r="Q394" s="4"/>
      <c r="R394" s="1"/>
      <c r="S394" s="1"/>
      <c r="T394" s="1"/>
      <c r="U394" s="6"/>
      <c r="V394" s="184"/>
      <c r="W394" s="184"/>
      <c r="X394" s="155"/>
      <c r="Y394" s="155"/>
      <c r="Z394" s="155"/>
      <c r="AA394" s="155"/>
      <c r="AB394" s="155"/>
      <c r="AC394" s="184"/>
      <c r="AD394" s="155"/>
      <c r="AE394" s="155"/>
      <c r="AF394" s="155"/>
      <c r="AG394" s="155"/>
      <c r="AH394" s="155"/>
      <c r="AI394" s="155"/>
      <c r="AJ394" s="155"/>
      <c r="AK394" s="155"/>
      <c r="AL394" s="155"/>
      <c r="AM394" s="155"/>
      <c r="AN394" s="155"/>
      <c r="AO394" s="155"/>
      <c r="AP394" s="155"/>
      <c r="AQ394" s="155"/>
      <c r="AR394" s="155"/>
      <c r="AS394" s="155"/>
      <c r="AT394" s="155"/>
      <c r="AU394" s="155"/>
      <c r="AV394" s="155"/>
      <c r="AW394" s="155"/>
    </row>
    <row r="395" spans="1:49" ht="16.5" customHeight="1">
      <c r="A395" s="155"/>
      <c r="B395" s="155"/>
      <c r="C395" s="1"/>
      <c r="D395" s="1"/>
      <c r="E395" s="1"/>
      <c r="F395" s="156"/>
      <c r="G395" s="157"/>
      <c r="H395" s="184"/>
      <c r="I395" s="184"/>
      <c r="J395" s="184"/>
      <c r="K395" s="184"/>
      <c r="L395" s="184"/>
      <c r="M395" s="4"/>
      <c r="N395" s="184"/>
      <c r="O395" s="1"/>
      <c r="P395" s="5"/>
      <c r="Q395" s="4"/>
      <c r="R395" s="1"/>
      <c r="S395" s="1"/>
      <c r="T395" s="1"/>
      <c r="U395" s="6"/>
      <c r="V395" s="184"/>
      <c r="W395" s="184"/>
      <c r="X395" s="155"/>
      <c r="Y395" s="155"/>
      <c r="Z395" s="155"/>
      <c r="AA395" s="155"/>
      <c r="AB395" s="155"/>
      <c r="AC395" s="184"/>
      <c r="AD395" s="155"/>
      <c r="AE395" s="155"/>
      <c r="AF395" s="155"/>
      <c r="AG395" s="155"/>
      <c r="AH395" s="155"/>
      <c r="AI395" s="155"/>
      <c r="AJ395" s="155"/>
      <c r="AK395" s="155"/>
      <c r="AL395" s="155"/>
      <c r="AM395" s="155"/>
      <c r="AN395" s="155"/>
      <c r="AO395" s="155"/>
      <c r="AP395" s="155"/>
      <c r="AQ395" s="155"/>
      <c r="AR395" s="155"/>
      <c r="AS395" s="155"/>
      <c r="AT395" s="155"/>
      <c r="AU395" s="155"/>
      <c r="AV395" s="155"/>
      <c r="AW395" s="155"/>
    </row>
    <row r="396" spans="1:49" ht="16.5" customHeight="1">
      <c r="A396" s="155"/>
      <c r="B396" s="155"/>
      <c r="C396" s="1"/>
      <c r="D396" s="1"/>
      <c r="E396" s="1"/>
      <c r="F396" s="156"/>
      <c r="G396" s="157"/>
      <c r="H396" s="184"/>
      <c r="I396" s="184"/>
      <c r="J396" s="184"/>
      <c r="K396" s="184"/>
      <c r="L396" s="184"/>
      <c r="M396" s="4"/>
      <c r="N396" s="184"/>
      <c r="O396" s="1"/>
      <c r="P396" s="5"/>
      <c r="Q396" s="4"/>
      <c r="R396" s="1"/>
      <c r="S396" s="1"/>
      <c r="T396" s="1"/>
      <c r="U396" s="6"/>
      <c r="V396" s="184"/>
      <c r="W396" s="184"/>
      <c r="X396" s="155"/>
      <c r="Y396" s="155"/>
      <c r="Z396" s="155"/>
      <c r="AA396" s="155"/>
      <c r="AB396" s="155"/>
      <c r="AC396" s="184"/>
      <c r="AD396" s="155"/>
      <c r="AE396" s="155"/>
      <c r="AF396" s="155"/>
      <c r="AG396" s="155"/>
      <c r="AH396" s="155"/>
      <c r="AI396" s="155"/>
      <c r="AJ396" s="155"/>
      <c r="AK396" s="155"/>
      <c r="AL396" s="155"/>
      <c r="AM396" s="155"/>
      <c r="AN396" s="155"/>
      <c r="AO396" s="155"/>
      <c r="AP396" s="155"/>
      <c r="AQ396" s="155"/>
      <c r="AR396" s="155"/>
      <c r="AS396" s="155"/>
      <c r="AT396" s="155"/>
      <c r="AU396" s="155"/>
      <c r="AV396" s="155"/>
      <c r="AW396" s="155"/>
    </row>
    <row r="397" spans="1:49" ht="16.5" customHeight="1">
      <c r="A397" s="155"/>
      <c r="B397" s="155"/>
      <c r="C397" s="1"/>
      <c r="D397" s="1"/>
      <c r="E397" s="1"/>
      <c r="F397" s="156"/>
      <c r="G397" s="157"/>
      <c r="H397" s="184"/>
      <c r="I397" s="184"/>
      <c r="J397" s="184"/>
      <c r="K397" s="184"/>
      <c r="L397" s="184"/>
      <c r="M397" s="4"/>
      <c r="N397" s="184"/>
      <c r="O397" s="1"/>
      <c r="P397" s="5"/>
      <c r="Q397" s="4"/>
      <c r="R397" s="1"/>
      <c r="S397" s="1"/>
      <c r="T397" s="1"/>
      <c r="U397" s="6"/>
      <c r="V397" s="184"/>
      <c r="W397" s="184"/>
      <c r="X397" s="155"/>
      <c r="Y397" s="155"/>
      <c r="Z397" s="155"/>
      <c r="AA397" s="155"/>
      <c r="AB397" s="155"/>
      <c r="AC397" s="184"/>
      <c r="AD397" s="155"/>
      <c r="AE397" s="155"/>
      <c r="AF397" s="155"/>
      <c r="AG397" s="155"/>
      <c r="AH397" s="155"/>
      <c r="AI397" s="155"/>
      <c r="AJ397" s="155"/>
      <c r="AK397" s="155"/>
      <c r="AL397" s="155"/>
      <c r="AM397" s="155"/>
      <c r="AN397" s="155"/>
      <c r="AO397" s="155"/>
      <c r="AP397" s="155"/>
      <c r="AQ397" s="155"/>
      <c r="AR397" s="155"/>
      <c r="AS397" s="155"/>
      <c r="AT397" s="155"/>
      <c r="AU397" s="155"/>
      <c r="AV397" s="155"/>
      <c r="AW397" s="155"/>
    </row>
    <row r="398" spans="1:49" ht="16.5" customHeight="1">
      <c r="A398" s="155"/>
      <c r="B398" s="155"/>
      <c r="C398" s="1"/>
      <c r="D398" s="1"/>
      <c r="E398" s="1"/>
      <c r="F398" s="156"/>
      <c r="G398" s="157"/>
      <c r="H398" s="184"/>
      <c r="I398" s="184"/>
      <c r="J398" s="184"/>
      <c r="K398" s="184"/>
      <c r="L398" s="184"/>
      <c r="M398" s="4"/>
      <c r="N398" s="184"/>
      <c r="O398" s="1"/>
      <c r="P398" s="5"/>
      <c r="Q398" s="4"/>
      <c r="R398" s="1"/>
      <c r="S398" s="1"/>
      <c r="T398" s="1"/>
      <c r="U398" s="6"/>
      <c r="V398" s="184"/>
      <c r="W398" s="184"/>
      <c r="X398" s="155"/>
      <c r="Y398" s="155"/>
      <c r="Z398" s="155"/>
      <c r="AA398" s="155"/>
      <c r="AB398" s="155"/>
      <c r="AC398" s="184"/>
      <c r="AD398" s="155"/>
      <c r="AE398" s="155"/>
      <c r="AF398" s="155"/>
      <c r="AG398" s="155"/>
      <c r="AH398" s="155"/>
      <c r="AI398" s="155"/>
      <c r="AJ398" s="155"/>
      <c r="AK398" s="155"/>
      <c r="AL398" s="155"/>
      <c r="AM398" s="155"/>
      <c r="AN398" s="155"/>
      <c r="AO398" s="155"/>
      <c r="AP398" s="155"/>
      <c r="AQ398" s="155"/>
      <c r="AR398" s="155"/>
      <c r="AS398" s="155"/>
      <c r="AT398" s="155"/>
      <c r="AU398" s="155"/>
      <c r="AV398" s="155"/>
      <c r="AW398" s="155"/>
    </row>
    <row r="399" spans="1:49" ht="16.5" customHeight="1">
      <c r="A399" s="155"/>
      <c r="B399" s="155"/>
      <c r="C399" s="1"/>
      <c r="D399" s="1"/>
      <c r="E399" s="1"/>
      <c r="F399" s="156"/>
      <c r="G399" s="157"/>
      <c r="H399" s="184"/>
      <c r="I399" s="184"/>
      <c r="J399" s="184"/>
      <c r="K399" s="184"/>
      <c r="L399" s="184"/>
      <c r="M399" s="4"/>
      <c r="N399" s="184"/>
      <c r="O399" s="1"/>
      <c r="P399" s="5"/>
      <c r="Q399" s="4"/>
      <c r="R399" s="1"/>
      <c r="S399" s="1"/>
      <c r="T399" s="1"/>
      <c r="U399" s="6"/>
      <c r="V399" s="184"/>
      <c r="W399" s="184"/>
      <c r="X399" s="155"/>
      <c r="Y399" s="155"/>
      <c r="Z399" s="155"/>
      <c r="AA399" s="155"/>
      <c r="AB399" s="155"/>
      <c r="AC399" s="184"/>
      <c r="AD399" s="155"/>
      <c r="AE399" s="155"/>
      <c r="AF399" s="155"/>
      <c r="AG399" s="155"/>
      <c r="AH399" s="155"/>
      <c r="AI399" s="155"/>
      <c r="AJ399" s="155"/>
      <c r="AK399" s="155"/>
      <c r="AL399" s="155"/>
      <c r="AM399" s="155"/>
      <c r="AN399" s="155"/>
      <c r="AO399" s="155"/>
      <c r="AP399" s="155"/>
      <c r="AQ399" s="155"/>
      <c r="AR399" s="155"/>
      <c r="AS399" s="155"/>
      <c r="AT399" s="155"/>
      <c r="AU399" s="155"/>
      <c r="AV399" s="155"/>
      <c r="AW399" s="155"/>
    </row>
    <row r="400" spans="1:49" ht="16.5" customHeight="1">
      <c r="A400" s="155"/>
      <c r="B400" s="155"/>
      <c r="C400" s="1"/>
      <c r="D400" s="1"/>
      <c r="E400" s="1"/>
      <c r="F400" s="156"/>
      <c r="G400" s="157"/>
      <c r="H400" s="184"/>
      <c r="I400" s="184"/>
      <c r="J400" s="184"/>
      <c r="K400" s="184"/>
      <c r="L400" s="184"/>
      <c r="M400" s="4"/>
      <c r="N400" s="184"/>
      <c r="O400" s="1"/>
      <c r="P400" s="5"/>
      <c r="Q400" s="4"/>
      <c r="R400" s="1"/>
      <c r="S400" s="1"/>
      <c r="T400" s="1"/>
      <c r="U400" s="6"/>
      <c r="V400" s="184"/>
      <c r="W400" s="184"/>
      <c r="X400" s="155"/>
      <c r="Y400" s="155"/>
      <c r="Z400" s="155"/>
      <c r="AA400" s="155"/>
      <c r="AB400" s="155"/>
      <c r="AC400" s="184"/>
      <c r="AD400" s="155"/>
      <c r="AE400" s="155"/>
      <c r="AF400" s="155"/>
      <c r="AG400" s="155"/>
      <c r="AH400" s="155"/>
      <c r="AI400" s="155"/>
      <c r="AJ400" s="155"/>
      <c r="AK400" s="155"/>
      <c r="AL400" s="155"/>
      <c r="AM400" s="155"/>
      <c r="AN400" s="155"/>
      <c r="AO400" s="155"/>
      <c r="AP400" s="155"/>
      <c r="AQ400" s="155"/>
      <c r="AR400" s="155"/>
      <c r="AS400" s="155"/>
      <c r="AT400" s="155"/>
      <c r="AU400" s="155"/>
      <c r="AV400" s="155"/>
      <c r="AW400" s="155"/>
    </row>
    <row r="401" spans="1:49" ht="16.5" customHeight="1">
      <c r="A401" s="155"/>
      <c r="B401" s="155"/>
      <c r="C401" s="1"/>
      <c r="D401" s="1"/>
      <c r="E401" s="1"/>
      <c r="F401" s="156"/>
      <c r="G401" s="157"/>
      <c r="H401" s="184"/>
      <c r="I401" s="184"/>
      <c r="J401" s="184"/>
      <c r="K401" s="184"/>
      <c r="L401" s="184"/>
      <c r="M401" s="4"/>
      <c r="N401" s="184"/>
      <c r="O401" s="1"/>
      <c r="P401" s="5"/>
      <c r="Q401" s="4"/>
      <c r="R401" s="1"/>
      <c r="S401" s="1"/>
      <c r="T401" s="1"/>
      <c r="U401" s="6"/>
      <c r="V401" s="184"/>
      <c r="W401" s="184"/>
      <c r="X401" s="155"/>
      <c r="Y401" s="155"/>
      <c r="Z401" s="155"/>
      <c r="AA401" s="155"/>
      <c r="AB401" s="155"/>
      <c r="AC401" s="184"/>
      <c r="AD401" s="155"/>
      <c r="AE401" s="155"/>
      <c r="AF401" s="155"/>
      <c r="AG401" s="155"/>
      <c r="AH401" s="155"/>
      <c r="AI401" s="155"/>
      <c r="AJ401" s="155"/>
      <c r="AK401" s="155"/>
      <c r="AL401" s="155"/>
      <c r="AM401" s="155"/>
      <c r="AN401" s="155"/>
      <c r="AO401" s="155"/>
      <c r="AP401" s="155"/>
      <c r="AQ401" s="155"/>
      <c r="AR401" s="155"/>
      <c r="AS401" s="155"/>
      <c r="AT401" s="155"/>
      <c r="AU401" s="155"/>
      <c r="AV401" s="155"/>
      <c r="AW401" s="155"/>
    </row>
    <row r="402" spans="1:49" ht="16.5" customHeight="1">
      <c r="A402" s="155"/>
      <c r="B402" s="155"/>
      <c r="C402" s="1"/>
      <c r="D402" s="1"/>
      <c r="E402" s="1"/>
      <c r="F402" s="156"/>
      <c r="G402" s="157"/>
      <c r="H402" s="184"/>
      <c r="I402" s="184"/>
      <c r="J402" s="184"/>
      <c r="K402" s="184"/>
      <c r="L402" s="184"/>
      <c r="M402" s="4"/>
      <c r="N402" s="184"/>
      <c r="O402" s="1"/>
      <c r="P402" s="5"/>
      <c r="Q402" s="4"/>
      <c r="R402" s="1"/>
      <c r="S402" s="1"/>
      <c r="T402" s="1"/>
      <c r="U402" s="6"/>
      <c r="V402" s="184"/>
      <c r="W402" s="184"/>
      <c r="X402" s="155"/>
      <c r="Y402" s="155"/>
      <c r="Z402" s="155"/>
      <c r="AA402" s="155"/>
      <c r="AB402" s="155"/>
      <c r="AC402" s="184"/>
      <c r="AD402" s="155"/>
      <c r="AE402" s="155"/>
      <c r="AF402" s="155"/>
      <c r="AG402" s="155"/>
      <c r="AH402" s="155"/>
      <c r="AI402" s="155"/>
      <c r="AJ402" s="155"/>
      <c r="AK402" s="155"/>
      <c r="AL402" s="155"/>
      <c r="AM402" s="155"/>
      <c r="AN402" s="155"/>
      <c r="AO402" s="155"/>
      <c r="AP402" s="155"/>
      <c r="AQ402" s="155"/>
      <c r="AR402" s="155"/>
      <c r="AS402" s="155"/>
      <c r="AT402" s="155"/>
      <c r="AU402" s="155"/>
      <c r="AV402" s="155"/>
      <c r="AW402" s="155"/>
    </row>
    <row r="403" spans="1:49" ht="16.5" customHeight="1">
      <c r="A403" s="155"/>
      <c r="B403" s="155"/>
      <c r="C403" s="1"/>
      <c r="D403" s="1"/>
      <c r="E403" s="1"/>
      <c r="F403" s="156"/>
      <c r="G403" s="157"/>
      <c r="H403" s="184"/>
      <c r="I403" s="184"/>
      <c r="J403" s="184"/>
      <c r="K403" s="184"/>
      <c r="L403" s="184"/>
      <c r="M403" s="4"/>
      <c r="N403" s="184"/>
      <c r="O403" s="1"/>
      <c r="P403" s="5"/>
      <c r="Q403" s="4"/>
      <c r="R403" s="1"/>
      <c r="S403" s="1"/>
      <c r="T403" s="1"/>
      <c r="U403" s="6"/>
      <c r="V403" s="184"/>
      <c r="W403" s="184"/>
      <c r="X403" s="155"/>
      <c r="Y403" s="155"/>
      <c r="Z403" s="155"/>
      <c r="AA403" s="155"/>
      <c r="AB403" s="155"/>
      <c r="AC403" s="184"/>
      <c r="AD403" s="155"/>
      <c r="AE403" s="155"/>
      <c r="AF403" s="155"/>
      <c r="AG403" s="155"/>
      <c r="AH403" s="155"/>
      <c r="AI403" s="155"/>
      <c r="AJ403" s="155"/>
      <c r="AK403" s="155"/>
      <c r="AL403" s="155"/>
      <c r="AM403" s="155"/>
      <c r="AN403" s="155"/>
      <c r="AO403" s="155"/>
      <c r="AP403" s="155"/>
      <c r="AQ403" s="155"/>
      <c r="AR403" s="155"/>
      <c r="AS403" s="155"/>
      <c r="AT403" s="155"/>
      <c r="AU403" s="155"/>
      <c r="AV403" s="155"/>
      <c r="AW403" s="155"/>
    </row>
    <row r="404" spans="1:49" ht="16.5" customHeight="1">
      <c r="A404" s="155"/>
      <c r="B404" s="155"/>
      <c r="C404" s="1"/>
      <c r="D404" s="1"/>
      <c r="E404" s="1"/>
      <c r="F404" s="156"/>
      <c r="G404" s="157"/>
      <c r="H404" s="184"/>
      <c r="I404" s="184"/>
      <c r="J404" s="184"/>
      <c r="K404" s="184"/>
      <c r="L404" s="184"/>
      <c r="M404" s="4"/>
      <c r="N404" s="184"/>
      <c r="O404" s="1"/>
      <c r="P404" s="5"/>
      <c r="Q404" s="4"/>
      <c r="R404" s="1"/>
      <c r="S404" s="1"/>
      <c r="T404" s="1"/>
      <c r="U404" s="6"/>
      <c r="V404" s="184"/>
      <c r="W404" s="184"/>
      <c r="X404" s="155"/>
      <c r="Y404" s="155"/>
      <c r="Z404" s="155"/>
      <c r="AA404" s="155"/>
      <c r="AB404" s="155"/>
      <c r="AC404" s="184"/>
      <c r="AD404" s="155"/>
      <c r="AE404" s="155"/>
      <c r="AF404" s="155"/>
      <c r="AG404" s="155"/>
      <c r="AH404" s="155"/>
      <c r="AI404" s="155"/>
      <c r="AJ404" s="155"/>
      <c r="AK404" s="155"/>
      <c r="AL404" s="155"/>
      <c r="AM404" s="155"/>
      <c r="AN404" s="155"/>
      <c r="AO404" s="155"/>
      <c r="AP404" s="155"/>
      <c r="AQ404" s="155"/>
      <c r="AR404" s="155"/>
      <c r="AS404" s="155"/>
      <c r="AT404" s="155"/>
      <c r="AU404" s="155"/>
      <c r="AV404" s="155"/>
      <c r="AW404" s="155"/>
    </row>
    <row r="405" spans="1:49" ht="16.5" customHeight="1">
      <c r="A405" s="155"/>
      <c r="B405" s="155"/>
      <c r="C405" s="1"/>
      <c r="D405" s="1"/>
      <c r="E405" s="1"/>
      <c r="F405" s="156"/>
      <c r="G405" s="157"/>
      <c r="H405" s="184"/>
      <c r="I405" s="184"/>
      <c r="J405" s="184"/>
      <c r="K405" s="184"/>
      <c r="L405" s="184"/>
      <c r="M405" s="4"/>
      <c r="N405" s="184"/>
      <c r="O405" s="1"/>
      <c r="P405" s="5"/>
      <c r="Q405" s="4"/>
      <c r="R405" s="1"/>
      <c r="S405" s="1"/>
      <c r="T405" s="1"/>
      <c r="U405" s="6"/>
      <c r="V405" s="184"/>
      <c r="W405" s="184"/>
      <c r="X405" s="155"/>
      <c r="Y405" s="155"/>
      <c r="Z405" s="155"/>
      <c r="AA405" s="155"/>
      <c r="AB405" s="155"/>
      <c r="AC405" s="184"/>
      <c r="AD405" s="155"/>
      <c r="AE405" s="155"/>
      <c r="AF405" s="155"/>
      <c r="AG405" s="155"/>
      <c r="AH405" s="155"/>
      <c r="AI405" s="155"/>
      <c r="AJ405" s="155"/>
      <c r="AK405" s="155"/>
      <c r="AL405" s="155"/>
      <c r="AM405" s="155"/>
      <c r="AN405" s="155"/>
      <c r="AO405" s="155"/>
      <c r="AP405" s="155"/>
      <c r="AQ405" s="155"/>
      <c r="AR405" s="155"/>
      <c r="AS405" s="155"/>
      <c r="AT405" s="155"/>
      <c r="AU405" s="155"/>
      <c r="AV405" s="155"/>
      <c r="AW405" s="155"/>
    </row>
    <row r="406" spans="1:49" ht="16.5" customHeight="1">
      <c r="A406" s="155"/>
      <c r="B406" s="155"/>
      <c r="C406" s="1"/>
      <c r="D406" s="1"/>
      <c r="E406" s="1"/>
      <c r="F406" s="156"/>
      <c r="G406" s="157"/>
      <c r="H406" s="184"/>
      <c r="I406" s="184"/>
      <c r="J406" s="184"/>
      <c r="K406" s="184"/>
      <c r="L406" s="184"/>
      <c r="M406" s="4"/>
      <c r="N406" s="184"/>
      <c r="O406" s="1"/>
      <c r="P406" s="5"/>
      <c r="Q406" s="4"/>
      <c r="R406" s="1"/>
      <c r="S406" s="1"/>
      <c r="T406" s="1"/>
      <c r="U406" s="6"/>
      <c r="V406" s="184"/>
      <c r="W406" s="184"/>
      <c r="X406" s="155"/>
      <c r="Y406" s="155"/>
      <c r="Z406" s="155"/>
      <c r="AA406" s="155"/>
      <c r="AB406" s="155"/>
      <c r="AC406" s="184"/>
      <c r="AD406" s="155"/>
      <c r="AE406" s="155"/>
      <c r="AF406" s="155"/>
      <c r="AG406" s="155"/>
      <c r="AH406" s="155"/>
      <c r="AI406" s="155"/>
      <c r="AJ406" s="155"/>
      <c r="AK406" s="155"/>
      <c r="AL406" s="155"/>
      <c r="AM406" s="155"/>
      <c r="AN406" s="155"/>
      <c r="AO406" s="155"/>
      <c r="AP406" s="155"/>
      <c r="AQ406" s="155"/>
      <c r="AR406" s="155"/>
      <c r="AS406" s="155"/>
      <c r="AT406" s="155"/>
      <c r="AU406" s="155"/>
      <c r="AV406" s="155"/>
      <c r="AW406" s="155"/>
    </row>
    <row r="407" spans="1:49" ht="16.5" customHeight="1">
      <c r="A407" s="155"/>
      <c r="B407" s="155"/>
      <c r="C407" s="1"/>
      <c r="D407" s="1"/>
      <c r="E407" s="1"/>
      <c r="F407" s="156"/>
      <c r="G407" s="157"/>
      <c r="H407" s="184"/>
      <c r="I407" s="184"/>
      <c r="J407" s="184"/>
      <c r="K407" s="184"/>
      <c r="L407" s="184"/>
      <c r="M407" s="4"/>
      <c r="N407" s="184"/>
      <c r="O407" s="1"/>
      <c r="P407" s="5"/>
      <c r="Q407" s="4"/>
      <c r="R407" s="1"/>
      <c r="S407" s="1"/>
      <c r="T407" s="1"/>
      <c r="U407" s="6"/>
      <c r="V407" s="184"/>
      <c r="W407" s="184"/>
      <c r="X407" s="155"/>
      <c r="Y407" s="155"/>
      <c r="Z407" s="155"/>
      <c r="AA407" s="155"/>
      <c r="AB407" s="155"/>
      <c r="AC407" s="184"/>
      <c r="AD407" s="155"/>
      <c r="AE407" s="155"/>
      <c r="AF407" s="155"/>
      <c r="AG407" s="155"/>
      <c r="AH407" s="155"/>
      <c r="AI407" s="155"/>
      <c r="AJ407" s="155"/>
      <c r="AK407" s="155"/>
      <c r="AL407" s="155"/>
      <c r="AM407" s="155"/>
      <c r="AN407" s="155"/>
      <c r="AO407" s="155"/>
      <c r="AP407" s="155"/>
      <c r="AQ407" s="155"/>
      <c r="AR407" s="155"/>
      <c r="AS407" s="155"/>
      <c r="AT407" s="155"/>
      <c r="AU407" s="155"/>
      <c r="AV407" s="155"/>
      <c r="AW407" s="155"/>
    </row>
    <row r="408" spans="1:49" ht="16.5" customHeight="1">
      <c r="A408" s="155"/>
      <c r="B408" s="155"/>
      <c r="C408" s="1"/>
      <c r="D408" s="1"/>
      <c r="E408" s="1"/>
      <c r="F408" s="156"/>
      <c r="G408" s="157"/>
      <c r="H408" s="184"/>
      <c r="I408" s="184"/>
      <c r="J408" s="184"/>
      <c r="K408" s="184"/>
      <c r="L408" s="184"/>
      <c r="M408" s="4"/>
      <c r="N408" s="184"/>
      <c r="O408" s="1"/>
      <c r="P408" s="5"/>
      <c r="Q408" s="4"/>
      <c r="R408" s="1"/>
      <c r="S408" s="1"/>
      <c r="T408" s="1"/>
      <c r="U408" s="6"/>
      <c r="V408" s="184"/>
      <c r="W408" s="184"/>
      <c r="X408" s="155"/>
      <c r="Y408" s="155"/>
      <c r="Z408" s="155"/>
      <c r="AA408" s="155"/>
      <c r="AB408" s="155"/>
      <c r="AC408" s="184"/>
      <c r="AD408" s="155"/>
      <c r="AE408" s="155"/>
      <c r="AF408" s="155"/>
      <c r="AG408" s="155"/>
      <c r="AH408" s="155"/>
      <c r="AI408" s="155"/>
      <c r="AJ408" s="155"/>
      <c r="AK408" s="155"/>
      <c r="AL408" s="155"/>
      <c r="AM408" s="155"/>
      <c r="AN408" s="155"/>
      <c r="AO408" s="155"/>
      <c r="AP408" s="155"/>
      <c r="AQ408" s="155"/>
      <c r="AR408" s="155"/>
      <c r="AS408" s="155"/>
      <c r="AT408" s="155"/>
      <c r="AU408" s="155"/>
      <c r="AV408" s="155"/>
      <c r="AW408" s="155"/>
    </row>
    <row r="409" spans="1:49" ht="16.5" customHeight="1">
      <c r="A409" s="155"/>
      <c r="B409" s="155"/>
      <c r="C409" s="1"/>
      <c r="D409" s="1"/>
      <c r="E409" s="1"/>
      <c r="F409" s="156"/>
      <c r="G409" s="157"/>
      <c r="H409" s="184"/>
      <c r="I409" s="184"/>
      <c r="J409" s="184"/>
      <c r="K409" s="184"/>
      <c r="L409" s="184"/>
      <c r="M409" s="4"/>
      <c r="N409" s="184"/>
      <c r="O409" s="1"/>
      <c r="P409" s="5"/>
      <c r="Q409" s="4"/>
      <c r="R409" s="1"/>
      <c r="S409" s="1"/>
      <c r="T409" s="1"/>
      <c r="U409" s="6"/>
      <c r="V409" s="184"/>
      <c r="W409" s="184"/>
      <c r="X409" s="155"/>
      <c r="Y409" s="155"/>
      <c r="Z409" s="155"/>
      <c r="AA409" s="155"/>
      <c r="AB409" s="155"/>
      <c r="AC409" s="184"/>
      <c r="AD409" s="155"/>
      <c r="AE409" s="155"/>
      <c r="AF409" s="155"/>
      <c r="AG409" s="155"/>
      <c r="AH409" s="155"/>
      <c r="AI409" s="155"/>
      <c r="AJ409" s="155"/>
      <c r="AK409" s="155"/>
      <c r="AL409" s="155"/>
      <c r="AM409" s="155"/>
      <c r="AN409" s="155"/>
      <c r="AO409" s="155"/>
      <c r="AP409" s="155"/>
      <c r="AQ409" s="155"/>
      <c r="AR409" s="155"/>
      <c r="AS409" s="155"/>
      <c r="AT409" s="155"/>
      <c r="AU409" s="155"/>
      <c r="AV409" s="155"/>
      <c r="AW409" s="155"/>
    </row>
    <row r="410" spans="1:49" ht="16.5" customHeight="1">
      <c r="A410" s="155"/>
      <c r="B410" s="155"/>
      <c r="C410" s="1"/>
      <c r="D410" s="1"/>
      <c r="E410" s="1"/>
      <c r="F410" s="156"/>
      <c r="G410" s="157"/>
      <c r="H410" s="184"/>
      <c r="I410" s="184"/>
      <c r="J410" s="184"/>
      <c r="K410" s="184"/>
      <c r="L410" s="184"/>
      <c r="M410" s="4"/>
      <c r="N410" s="184"/>
      <c r="O410" s="1"/>
      <c r="P410" s="5"/>
      <c r="Q410" s="4"/>
      <c r="R410" s="1"/>
      <c r="S410" s="1"/>
      <c r="T410" s="1"/>
      <c r="U410" s="6"/>
      <c r="V410" s="184"/>
      <c r="W410" s="184"/>
      <c r="X410" s="155"/>
      <c r="Y410" s="155"/>
      <c r="Z410" s="155"/>
      <c r="AA410" s="155"/>
      <c r="AB410" s="155"/>
      <c r="AC410" s="184"/>
      <c r="AD410" s="155"/>
      <c r="AE410" s="155"/>
      <c r="AF410" s="155"/>
      <c r="AG410" s="155"/>
      <c r="AH410" s="155"/>
      <c r="AI410" s="155"/>
      <c r="AJ410" s="155"/>
      <c r="AK410" s="155"/>
      <c r="AL410" s="155"/>
      <c r="AM410" s="155"/>
      <c r="AN410" s="155"/>
      <c r="AO410" s="155"/>
      <c r="AP410" s="155"/>
      <c r="AQ410" s="155"/>
      <c r="AR410" s="155"/>
      <c r="AS410" s="155"/>
      <c r="AT410" s="155"/>
      <c r="AU410" s="155"/>
      <c r="AV410" s="155"/>
      <c r="AW410" s="155"/>
    </row>
    <row r="411" spans="1:49" ht="16.5" customHeight="1">
      <c r="A411" s="155"/>
      <c r="B411" s="155"/>
      <c r="C411" s="1"/>
      <c r="D411" s="1"/>
      <c r="E411" s="1"/>
      <c r="F411" s="156"/>
      <c r="G411" s="157"/>
      <c r="H411" s="184"/>
      <c r="I411" s="184"/>
      <c r="J411" s="184"/>
      <c r="K411" s="184"/>
      <c r="L411" s="184"/>
      <c r="M411" s="4"/>
      <c r="N411" s="184"/>
      <c r="O411" s="1"/>
      <c r="P411" s="5"/>
      <c r="Q411" s="4"/>
      <c r="R411" s="1"/>
      <c r="S411" s="1"/>
      <c r="T411" s="1"/>
      <c r="U411" s="6"/>
      <c r="V411" s="184"/>
      <c r="W411" s="184"/>
      <c r="X411" s="155"/>
      <c r="Y411" s="155"/>
      <c r="Z411" s="155"/>
      <c r="AA411" s="155"/>
      <c r="AB411" s="155"/>
      <c r="AC411" s="184"/>
      <c r="AD411" s="155"/>
      <c r="AE411" s="155"/>
      <c r="AF411" s="155"/>
      <c r="AG411" s="155"/>
      <c r="AH411" s="155"/>
      <c r="AI411" s="155"/>
      <c r="AJ411" s="155"/>
      <c r="AK411" s="155"/>
      <c r="AL411" s="155"/>
      <c r="AM411" s="155"/>
      <c r="AN411" s="155"/>
      <c r="AO411" s="155"/>
      <c r="AP411" s="155"/>
      <c r="AQ411" s="155"/>
      <c r="AR411" s="155"/>
      <c r="AS411" s="155"/>
      <c r="AT411" s="155"/>
      <c r="AU411" s="155"/>
      <c r="AV411" s="155"/>
      <c r="AW411" s="155"/>
    </row>
    <row r="412" spans="1:49" ht="16.5" customHeight="1">
      <c r="A412" s="155"/>
      <c r="B412" s="155"/>
      <c r="C412" s="1"/>
      <c r="D412" s="1"/>
      <c r="E412" s="1"/>
      <c r="F412" s="156"/>
      <c r="G412" s="157"/>
      <c r="H412" s="184"/>
      <c r="I412" s="184"/>
      <c r="J412" s="184"/>
      <c r="K412" s="184"/>
      <c r="L412" s="184"/>
      <c r="M412" s="4"/>
      <c r="N412" s="184"/>
      <c r="O412" s="1"/>
      <c r="P412" s="5"/>
      <c r="Q412" s="4"/>
      <c r="R412" s="1"/>
      <c r="S412" s="1"/>
      <c r="T412" s="1"/>
      <c r="U412" s="6"/>
      <c r="V412" s="184"/>
      <c r="W412" s="184"/>
      <c r="X412" s="155"/>
      <c r="Y412" s="155"/>
      <c r="Z412" s="155"/>
      <c r="AA412" s="155"/>
      <c r="AB412" s="155"/>
      <c r="AC412" s="184"/>
      <c r="AD412" s="155"/>
      <c r="AE412" s="155"/>
      <c r="AF412" s="155"/>
      <c r="AG412" s="155"/>
      <c r="AH412" s="155"/>
      <c r="AI412" s="155"/>
      <c r="AJ412" s="155"/>
      <c r="AK412" s="155"/>
      <c r="AL412" s="155"/>
      <c r="AM412" s="155"/>
      <c r="AN412" s="155"/>
      <c r="AO412" s="155"/>
      <c r="AP412" s="155"/>
      <c r="AQ412" s="155"/>
      <c r="AR412" s="155"/>
      <c r="AS412" s="155"/>
      <c r="AT412" s="155"/>
      <c r="AU412" s="155"/>
      <c r="AV412" s="155"/>
      <c r="AW412" s="155"/>
    </row>
    <row r="413" spans="1:49" ht="16.5" customHeight="1">
      <c r="A413" s="155"/>
      <c r="B413" s="155"/>
      <c r="C413" s="1"/>
      <c r="D413" s="1"/>
      <c r="E413" s="1"/>
      <c r="F413" s="156"/>
      <c r="G413" s="157"/>
      <c r="H413" s="184"/>
      <c r="I413" s="184"/>
      <c r="J413" s="184"/>
      <c r="K413" s="184"/>
      <c r="L413" s="184"/>
      <c r="M413" s="4"/>
      <c r="N413" s="184"/>
      <c r="O413" s="1"/>
      <c r="P413" s="5"/>
      <c r="Q413" s="4"/>
      <c r="R413" s="1"/>
      <c r="S413" s="1"/>
      <c r="T413" s="1"/>
      <c r="U413" s="6"/>
      <c r="V413" s="184"/>
      <c r="W413" s="184"/>
      <c r="X413" s="155"/>
      <c r="Y413" s="155"/>
      <c r="Z413" s="155"/>
      <c r="AA413" s="155"/>
      <c r="AB413" s="155"/>
      <c r="AC413" s="184"/>
      <c r="AD413" s="155"/>
      <c r="AE413" s="155"/>
      <c r="AF413" s="155"/>
      <c r="AG413" s="155"/>
      <c r="AH413" s="155"/>
      <c r="AI413" s="155"/>
      <c r="AJ413" s="155"/>
      <c r="AK413" s="155"/>
      <c r="AL413" s="155"/>
      <c r="AM413" s="155"/>
      <c r="AN413" s="155"/>
      <c r="AO413" s="155"/>
      <c r="AP413" s="155"/>
      <c r="AQ413" s="155"/>
      <c r="AR413" s="155"/>
      <c r="AS413" s="155"/>
      <c r="AT413" s="155"/>
      <c r="AU413" s="155"/>
      <c r="AV413" s="155"/>
      <c r="AW413" s="155"/>
    </row>
    <row r="414" spans="1:49" ht="16.5" customHeight="1">
      <c r="A414" s="155"/>
      <c r="B414" s="155"/>
      <c r="C414" s="1"/>
      <c r="D414" s="1"/>
      <c r="E414" s="1"/>
      <c r="F414" s="156"/>
      <c r="G414" s="157"/>
      <c r="H414" s="184"/>
      <c r="I414" s="184"/>
      <c r="J414" s="184"/>
      <c r="K414" s="184"/>
      <c r="L414" s="184"/>
      <c r="M414" s="4"/>
      <c r="N414" s="184"/>
      <c r="O414" s="1"/>
      <c r="P414" s="5"/>
      <c r="Q414" s="4"/>
      <c r="R414" s="1"/>
      <c r="S414" s="1"/>
      <c r="T414" s="1"/>
      <c r="U414" s="6"/>
      <c r="V414" s="184"/>
      <c r="W414" s="184"/>
      <c r="X414" s="155"/>
      <c r="Y414" s="155"/>
      <c r="Z414" s="155"/>
      <c r="AA414" s="155"/>
      <c r="AB414" s="155"/>
      <c r="AC414" s="184"/>
      <c r="AD414" s="155"/>
      <c r="AE414" s="155"/>
      <c r="AF414" s="155"/>
      <c r="AG414" s="155"/>
      <c r="AH414" s="155"/>
      <c r="AI414" s="155"/>
      <c r="AJ414" s="155"/>
      <c r="AK414" s="155"/>
      <c r="AL414" s="155"/>
      <c r="AM414" s="155"/>
      <c r="AN414" s="155"/>
      <c r="AO414" s="155"/>
      <c r="AP414" s="155"/>
      <c r="AQ414" s="155"/>
      <c r="AR414" s="155"/>
      <c r="AS414" s="155"/>
      <c r="AT414" s="155"/>
      <c r="AU414" s="155"/>
      <c r="AV414" s="155"/>
      <c r="AW414" s="155"/>
    </row>
    <row r="415" spans="1:49" ht="16.5" customHeight="1">
      <c r="A415" s="155"/>
      <c r="B415" s="155"/>
      <c r="C415" s="1"/>
      <c r="D415" s="1"/>
      <c r="E415" s="1"/>
      <c r="F415" s="156"/>
      <c r="G415" s="157"/>
      <c r="H415" s="184"/>
      <c r="I415" s="184"/>
      <c r="J415" s="184"/>
      <c r="K415" s="184"/>
      <c r="L415" s="184"/>
      <c r="M415" s="4"/>
      <c r="N415" s="184"/>
      <c r="O415" s="1"/>
      <c r="P415" s="5"/>
      <c r="Q415" s="4"/>
      <c r="R415" s="1"/>
      <c r="S415" s="1"/>
      <c r="T415" s="1"/>
      <c r="U415" s="6"/>
      <c r="V415" s="184"/>
      <c r="W415" s="184"/>
      <c r="X415" s="155"/>
      <c r="Y415" s="155"/>
      <c r="Z415" s="155"/>
      <c r="AA415" s="155"/>
      <c r="AB415" s="155"/>
      <c r="AC415" s="184"/>
      <c r="AD415" s="155"/>
      <c r="AE415" s="155"/>
      <c r="AF415" s="155"/>
      <c r="AG415" s="155"/>
      <c r="AH415" s="155"/>
      <c r="AI415" s="155"/>
      <c r="AJ415" s="155"/>
      <c r="AK415" s="155"/>
      <c r="AL415" s="155"/>
      <c r="AM415" s="155"/>
      <c r="AN415" s="155"/>
      <c r="AO415" s="155"/>
      <c r="AP415" s="155"/>
      <c r="AQ415" s="155"/>
      <c r="AR415" s="155"/>
      <c r="AS415" s="155"/>
      <c r="AT415" s="155"/>
      <c r="AU415" s="155"/>
      <c r="AV415" s="155"/>
      <c r="AW415" s="155"/>
    </row>
    <row r="416" spans="1:49" ht="16.5" customHeight="1">
      <c r="A416" s="155"/>
      <c r="B416" s="155"/>
      <c r="C416" s="1"/>
      <c r="D416" s="1"/>
      <c r="E416" s="1"/>
      <c r="F416" s="156"/>
      <c r="G416" s="157"/>
      <c r="H416" s="184"/>
      <c r="I416" s="184"/>
      <c r="J416" s="184"/>
      <c r="K416" s="184"/>
      <c r="L416" s="184"/>
      <c r="M416" s="4"/>
      <c r="N416" s="184"/>
      <c r="O416" s="1"/>
      <c r="P416" s="5"/>
      <c r="Q416" s="4"/>
      <c r="R416" s="1"/>
      <c r="S416" s="1"/>
      <c r="T416" s="1"/>
      <c r="U416" s="6"/>
      <c r="V416" s="184"/>
      <c r="W416" s="184"/>
      <c r="X416" s="155"/>
      <c r="Y416" s="155"/>
      <c r="Z416" s="155"/>
      <c r="AA416" s="155"/>
      <c r="AB416" s="155"/>
      <c r="AC416" s="184"/>
      <c r="AD416" s="155"/>
      <c r="AE416" s="155"/>
      <c r="AF416" s="155"/>
      <c r="AG416" s="155"/>
      <c r="AH416" s="155"/>
      <c r="AI416" s="155"/>
      <c r="AJ416" s="155"/>
      <c r="AK416" s="155"/>
      <c r="AL416" s="155"/>
      <c r="AM416" s="155"/>
      <c r="AN416" s="155"/>
      <c r="AO416" s="155"/>
      <c r="AP416" s="155"/>
      <c r="AQ416" s="155"/>
      <c r="AR416" s="155"/>
      <c r="AS416" s="155"/>
      <c r="AT416" s="155"/>
      <c r="AU416" s="155"/>
      <c r="AV416" s="155"/>
      <c r="AW416" s="155"/>
    </row>
    <row r="417" spans="1:49" ht="16.5" customHeight="1">
      <c r="A417" s="155"/>
      <c r="B417" s="155"/>
      <c r="C417" s="1"/>
      <c r="D417" s="1"/>
      <c r="E417" s="1"/>
      <c r="F417" s="156"/>
      <c r="G417" s="157"/>
      <c r="H417" s="184"/>
      <c r="I417" s="184"/>
      <c r="J417" s="184"/>
      <c r="K417" s="184"/>
      <c r="L417" s="184"/>
      <c r="M417" s="4"/>
      <c r="N417" s="184"/>
      <c r="O417" s="1"/>
      <c r="P417" s="5"/>
      <c r="Q417" s="4"/>
      <c r="R417" s="1"/>
      <c r="S417" s="1"/>
      <c r="T417" s="1"/>
      <c r="U417" s="6"/>
      <c r="V417" s="184"/>
      <c r="W417" s="184"/>
      <c r="X417" s="155"/>
      <c r="Y417" s="155"/>
      <c r="Z417" s="155"/>
      <c r="AA417" s="155"/>
      <c r="AB417" s="155"/>
      <c r="AC417" s="184"/>
      <c r="AD417" s="155"/>
      <c r="AE417" s="155"/>
      <c r="AF417" s="155"/>
      <c r="AG417" s="155"/>
      <c r="AH417" s="155"/>
      <c r="AI417" s="155"/>
      <c r="AJ417" s="155"/>
      <c r="AK417" s="155"/>
      <c r="AL417" s="155"/>
      <c r="AM417" s="155"/>
      <c r="AN417" s="155"/>
      <c r="AO417" s="155"/>
      <c r="AP417" s="155"/>
      <c r="AQ417" s="155"/>
      <c r="AR417" s="155"/>
      <c r="AS417" s="155"/>
      <c r="AT417" s="155"/>
      <c r="AU417" s="155"/>
      <c r="AV417" s="155"/>
      <c r="AW417" s="155"/>
    </row>
    <row r="418" spans="1:49" ht="16.5" customHeight="1">
      <c r="A418" s="155"/>
      <c r="B418" s="155"/>
      <c r="C418" s="1"/>
      <c r="D418" s="1"/>
      <c r="E418" s="1"/>
      <c r="F418" s="156"/>
      <c r="G418" s="157"/>
      <c r="H418" s="184"/>
      <c r="I418" s="184"/>
      <c r="J418" s="184"/>
      <c r="K418" s="184"/>
      <c r="L418" s="184"/>
      <c r="M418" s="4"/>
      <c r="N418" s="184"/>
      <c r="O418" s="1"/>
      <c r="P418" s="5"/>
      <c r="Q418" s="4"/>
      <c r="R418" s="1"/>
      <c r="S418" s="1"/>
      <c r="T418" s="1"/>
      <c r="U418" s="6"/>
      <c r="V418" s="184"/>
      <c r="W418" s="184"/>
      <c r="X418" s="155"/>
      <c r="Y418" s="155"/>
      <c r="Z418" s="155"/>
      <c r="AA418" s="155"/>
      <c r="AB418" s="155"/>
      <c r="AC418" s="184"/>
      <c r="AD418" s="155"/>
      <c r="AE418" s="155"/>
      <c r="AF418" s="155"/>
      <c r="AG418" s="155"/>
      <c r="AH418" s="155"/>
      <c r="AI418" s="155"/>
      <c r="AJ418" s="155"/>
      <c r="AK418" s="155"/>
      <c r="AL418" s="155"/>
      <c r="AM418" s="155"/>
      <c r="AN418" s="155"/>
      <c r="AO418" s="155"/>
      <c r="AP418" s="155"/>
      <c r="AQ418" s="155"/>
      <c r="AR418" s="155"/>
      <c r="AS418" s="155"/>
      <c r="AT418" s="155"/>
      <c r="AU418" s="155"/>
      <c r="AV418" s="155"/>
      <c r="AW418" s="155"/>
    </row>
    <row r="419" spans="1:49" ht="16.5" customHeight="1">
      <c r="A419" s="155"/>
      <c r="B419" s="155"/>
      <c r="C419" s="1"/>
      <c r="D419" s="1"/>
      <c r="E419" s="1"/>
      <c r="F419" s="156"/>
      <c r="G419" s="157"/>
      <c r="H419" s="184"/>
      <c r="I419" s="184"/>
      <c r="J419" s="184"/>
      <c r="K419" s="184"/>
      <c r="L419" s="184"/>
      <c r="M419" s="4"/>
      <c r="N419" s="184"/>
      <c r="O419" s="1"/>
      <c r="P419" s="5"/>
      <c r="Q419" s="4"/>
      <c r="R419" s="1"/>
      <c r="S419" s="1"/>
      <c r="T419" s="1"/>
      <c r="U419" s="6"/>
      <c r="V419" s="184"/>
      <c r="W419" s="184"/>
      <c r="X419" s="155"/>
      <c r="Y419" s="155"/>
      <c r="Z419" s="155"/>
      <c r="AA419" s="155"/>
      <c r="AB419" s="155"/>
      <c r="AC419" s="184"/>
      <c r="AD419" s="155"/>
      <c r="AE419" s="155"/>
      <c r="AF419" s="155"/>
      <c r="AG419" s="155"/>
      <c r="AH419" s="155"/>
      <c r="AI419" s="155"/>
      <c r="AJ419" s="155"/>
      <c r="AK419" s="155"/>
      <c r="AL419" s="155"/>
      <c r="AM419" s="155"/>
      <c r="AN419" s="155"/>
      <c r="AO419" s="155"/>
      <c r="AP419" s="155"/>
      <c r="AQ419" s="155"/>
      <c r="AR419" s="155"/>
      <c r="AS419" s="155"/>
      <c r="AT419" s="155"/>
      <c r="AU419" s="155"/>
      <c r="AV419" s="155"/>
      <c r="AW419" s="155"/>
    </row>
    <row r="420" spans="1:49" ht="16.5" customHeight="1">
      <c r="A420" s="155"/>
      <c r="B420" s="155"/>
      <c r="C420" s="1"/>
      <c r="D420" s="1"/>
      <c r="E420" s="1"/>
      <c r="F420" s="156"/>
      <c r="G420" s="157"/>
      <c r="H420" s="184"/>
      <c r="I420" s="184"/>
      <c r="J420" s="184"/>
      <c r="K420" s="184"/>
      <c r="L420" s="184"/>
      <c r="M420" s="4"/>
      <c r="N420" s="184"/>
      <c r="O420" s="1"/>
      <c r="P420" s="5"/>
      <c r="Q420" s="4"/>
      <c r="R420" s="1"/>
      <c r="S420" s="1"/>
      <c r="T420" s="1"/>
      <c r="U420" s="6"/>
      <c r="V420" s="184"/>
      <c r="W420" s="184"/>
      <c r="X420" s="155"/>
      <c r="Y420" s="155"/>
      <c r="Z420" s="155"/>
      <c r="AA420" s="155"/>
      <c r="AB420" s="155"/>
      <c r="AC420" s="184"/>
      <c r="AD420" s="155"/>
      <c r="AE420" s="155"/>
      <c r="AF420" s="155"/>
      <c r="AG420" s="155"/>
      <c r="AH420" s="155"/>
      <c r="AI420" s="155"/>
      <c r="AJ420" s="155"/>
      <c r="AK420" s="155"/>
      <c r="AL420" s="155"/>
      <c r="AM420" s="155"/>
      <c r="AN420" s="155"/>
      <c r="AO420" s="155"/>
      <c r="AP420" s="155"/>
      <c r="AQ420" s="155"/>
      <c r="AR420" s="155"/>
      <c r="AS420" s="155"/>
      <c r="AT420" s="155"/>
      <c r="AU420" s="155"/>
      <c r="AV420" s="155"/>
      <c r="AW420" s="155"/>
    </row>
    <row r="421" spans="1:49" ht="16.5" customHeight="1">
      <c r="A421" s="155"/>
      <c r="B421" s="155"/>
      <c r="C421" s="1"/>
      <c r="D421" s="1"/>
      <c r="E421" s="1"/>
      <c r="F421" s="156"/>
      <c r="G421" s="157"/>
      <c r="H421" s="184"/>
      <c r="I421" s="184"/>
      <c r="J421" s="184"/>
      <c r="K421" s="184"/>
      <c r="L421" s="184"/>
      <c r="M421" s="4"/>
      <c r="N421" s="184"/>
      <c r="O421" s="1"/>
      <c r="P421" s="5"/>
      <c r="Q421" s="4"/>
      <c r="R421" s="1"/>
      <c r="S421" s="1"/>
      <c r="T421" s="1"/>
      <c r="U421" s="6"/>
      <c r="V421" s="184"/>
      <c r="W421" s="184"/>
      <c r="X421" s="155"/>
      <c r="Y421" s="155"/>
      <c r="Z421" s="155"/>
      <c r="AA421" s="155"/>
      <c r="AB421" s="155"/>
      <c r="AC421" s="184"/>
      <c r="AD421" s="155"/>
      <c r="AE421" s="155"/>
      <c r="AF421" s="155"/>
      <c r="AG421" s="155"/>
      <c r="AH421" s="155"/>
      <c r="AI421" s="155"/>
      <c r="AJ421" s="155"/>
      <c r="AK421" s="155"/>
      <c r="AL421" s="155"/>
      <c r="AM421" s="155"/>
      <c r="AN421" s="155"/>
      <c r="AO421" s="155"/>
      <c r="AP421" s="155"/>
      <c r="AQ421" s="155"/>
      <c r="AR421" s="155"/>
      <c r="AS421" s="155"/>
      <c r="AT421" s="155"/>
      <c r="AU421" s="155"/>
      <c r="AV421" s="155"/>
      <c r="AW421" s="155"/>
    </row>
    <row r="422" spans="1:49" ht="16.5" customHeight="1">
      <c r="A422" s="155"/>
      <c r="B422" s="155"/>
      <c r="C422" s="1"/>
      <c r="D422" s="1"/>
      <c r="E422" s="1"/>
      <c r="F422" s="156"/>
      <c r="G422" s="157"/>
      <c r="H422" s="184"/>
      <c r="I422" s="184"/>
      <c r="J422" s="184"/>
      <c r="K422" s="184"/>
      <c r="L422" s="184"/>
      <c r="M422" s="4"/>
      <c r="N422" s="184"/>
      <c r="O422" s="1"/>
      <c r="P422" s="5"/>
      <c r="Q422" s="4"/>
      <c r="R422" s="1"/>
      <c r="S422" s="1"/>
      <c r="T422" s="1"/>
      <c r="U422" s="6"/>
      <c r="V422" s="184"/>
      <c r="W422" s="184"/>
      <c r="X422" s="155"/>
      <c r="Y422" s="155"/>
      <c r="Z422" s="155"/>
      <c r="AA422" s="155"/>
      <c r="AB422" s="155"/>
      <c r="AC422" s="184"/>
      <c r="AD422" s="155"/>
      <c r="AE422" s="155"/>
      <c r="AF422" s="155"/>
      <c r="AG422" s="155"/>
      <c r="AH422" s="155"/>
      <c r="AI422" s="155"/>
      <c r="AJ422" s="155"/>
      <c r="AK422" s="155"/>
      <c r="AL422" s="155"/>
      <c r="AM422" s="155"/>
      <c r="AN422" s="155"/>
      <c r="AO422" s="155"/>
      <c r="AP422" s="155"/>
      <c r="AQ422" s="155"/>
      <c r="AR422" s="155"/>
      <c r="AS422" s="155"/>
      <c r="AT422" s="155"/>
      <c r="AU422" s="155"/>
      <c r="AV422" s="155"/>
      <c r="AW422" s="155"/>
    </row>
    <row r="423" spans="1:49" ht="16.5" customHeight="1">
      <c r="A423" s="155"/>
      <c r="B423" s="155"/>
      <c r="C423" s="1"/>
      <c r="D423" s="1"/>
      <c r="E423" s="1"/>
      <c r="F423" s="156"/>
      <c r="G423" s="157"/>
      <c r="H423" s="184"/>
      <c r="I423" s="184"/>
      <c r="J423" s="184"/>
      <c r="K423" s="184"/>
      <c r="L423" s="184"/>
      <c r="M423" s="4"/>
      <c r="N423" s="184"/>
      <c r="O423" s="1"/>
      <c r="P423" s="5"/>
      <c r="Q423" s="4"/>
      <c r="R423" s="1"/>
      <c r="S423" s="1"/>
      <c r="T423" s="1"/>
      <c r="U423" s="6"/>
      <c r="V423" s="184"/>
      <c r="W423" s="184"/>
      <c r="X423" s="155"/>
      <c r="Y423" s="155"/>
      <c r="Z423" s="155"/>
      <c r="AA423" s="155"/>
      <c r="AB423" s="155"/>
      <c r="AC423" s="184"/>
      <c r="AD423" s="155"/>
      <c r="AE423" s="155"/>
      <c r="AF423" s="155"/>
      <c r="AG423" s="155"/>
      <c r="AH423" s="155"/>
      <c r="AI423" s="155"/>
      <c r="AJ423" s="155"/>
      <c r="AK423" s="155"/>
      <c r="AL423" s="155"/>
      <c r="AM423" s="155"/>
      <c r="AN423" s="155"/>
      <c r="AO423" s="155"/>
      <c r="AP423" s="155"/>
      <c r="AQ423" s="155"/>
      <c r="AR423" s="155"/>
      <c r="AS423" s="155"/>
      <c r="AT423" s="155"/>
      <c r="AU423" s="155"/>
      <c r="AV423" s="155"/>
      <c r="AW423" s="155"/>
    </row>
    <row r="424" spans="1:49" ht="16.5" customHeight="1">
      <c r="A424" s="155"/>
      <c r="B424" s="155"/>
      <c r="C424" s="1"/>
      <c r="D424" s="1"/>
      <c r="E424" s="1"/>
      <c r="F424" s="156"/>
      <c r="G424" s="157"/>
      <c r="H424" s="184"/>
      <c r="I424" s="184"/>
      <c r="J424" s="184"/>
      <c r="K424" s="184"/>
      <c r="L424" s="184"/>
      <c r="M424" s="4"/>
      <c r="N424" s="184"/>
      <c r="O424" s="1"/>
      <c r="P424" s="5"/>
      <c r="Q424" s="4"/>
      <c r="R424" s="1"/>
      <c r="S424" s="1"/>
      <c r="T424" s="1"/>
      <c r="U424" s="6"/>
      <c r="V424" s="184"/>
      <c r="W424" s="184"/>
      <c r="X424" s="155"/>
      <c r="Y424" s="155"/>
      <c r="Z424" s="155"/>
      <c r="AA424" s="155"/>
      <c r="AB424" s="155"/>
      <c r="AC424" s="184"/>
      <c r="AD424" s="155"/>
      <c r="AE424" s="155"/>
      <c r="AF424" s="155"/>
      <c r="AG424" s="155"/>
      <c r="AH424" s="155"/>
      <c r="AI424" s="155"/>
      <c r="AJ424" s="155"/>
      <c r="AK424" s="155"/>
      <c r="AL424" s="155"/>
      <c r="AM424" s="155"/>
      <c r="AN424" s="155"/>
      <c r="AO424" s="155"/>
      <c r="AP424" s="155"/>
      <c r="AQ424" s="155"/>
      <c r="AR424" s="155"/>
      <c r="AS424" s="155"/>
      <c r="AT424" s="155"/>
      <c r="AU424" s="155"/>
      <c r="AV424" s="155"/>
      <c r="AW424" s="155"/>
    </row>
    <row r="425" spans="1:49" ht="16.5" customHeight="1">
      <c r="A425" s="155"/>
      <c r="B425" s="155"/>
      <c r="C425" s="1"/>
      <c r="D425" s="1"/>
      <c r="E425" s="1"/>
      <c r="F425" s="156"/>
      <c r="G425" s="157"/>
      <c r="H425" s="184"/>
      <c r="I425" s="184"/>
      <c r="J425" s="184"/>
      <c r="K425" s="184"/>
      <c r="L425" s="184"/>
      <c r="M425" s="4"/>
      <c r="N425" s="184"/>
      <c r="O425" s="1"/>
      <c r="P425" s="5"/>
      <c r="Q425" s="4"/>
      <c r="R425" s="1"/>
      <c r="S425" s="1"/>
      <c r="T425" s="1"/>
      <c r="U425" s="6"/>
      <c r="V425" s="184"/>
      <c r="W425" s="184"/>
      <c r="X425" s="155"/>
      <c r="Y425" s="155"/>
      <c r="Z425" s="155"/>
      <c r="AA425" s="155"/>
      <c r="AB425" s="155"/>
      <c r="AC425" s="184"/>
      <c r="AD425" s="155"/>
      <c r="AE425" s="155"/>
      <c r="AF425" s="155"/>
      <c r="AG425" s="155"/>
      <c r="AH425" s="155"/>
      <c r="AI425" s="155"/>
      <c r="AJ425" s="155"/>
      <c r="AK425" s="155"/>
      <c r="AL425" s="155"/>
      <c r="AM425" s="155"/>
      <c r="AN425" s="155"/>
      <c r="AO425" s="155"/>
      <c r="AP425" s="155"/>
      <c r="AQ425" s="155"/>
      <c r="AR425" s="155"/>
      <c r="AS425" s="155"/>
      <c r="AT425" s="155"/>
      <c r="AU425" s="155"/>
      <c r="AV425" s="155"/>
      <c r="AW425" s="155"/>
    </row>
    <row r="426" spans="1:49" ht="16.5" customHeight="1">
      <c r="A426" s="155"/>
      <c r="B426" s="155"/>
      <c r="C426" s="1"/>
      <c r="D426" s="1"/>
      <c r="E426" s="1"/>
      <c r="F426" s="156"/>
      <c r="G426" s="157"/>
      <c r="H426" s="184"/>
      <c r="I426" s="184"/>
      <c r="J426" s="184"/>
      <c r="K426" s="184"/>
      <c r="L426" s="184"/>
      <c r="M426" s="4"/>
      <c r="N426" s="184"/>
      <c r="O426" s="1"/>
      <c r="P426" s="5"/>
      <c r="Q426" s="4"/>
      <c r="R426" s="1"/>
      <c r="S426" s="1"/>
      <c r="T426" s="1"/>
      <c r="U426" s="6"/>
      <c r="V426" s="184"/>
      <c r="W426" s="184"/>
      <c r="X426" s="155"/>
      <c r="Y426" s="155"/>
      <c r="Z426" s="155"/>
      <c r="AA426" s="155"/>
      <c r="AB426" s="155"/>
      <c r="AC426" s="184"/>
      <c r="AD426" s="155"/>
      <c r="AE426" s="155"/>
      <c r="AF426" s="155"/>
      <c r="AG426" s="155"/>
      <c r="AH426" s="155"/>
      <c r="AI426" s="155"/>
      <c r="AJ426" s="155"/>
      <c r="AK426" s="155"/>
      <c r="AL426" s="155"/>
      <c r="AM426" s="155"/>
      <c r="AN426" s="155"/>
      <c r="AO426" s="155"/>
      <c r="AP426" s="155"/>
      <c r="AQ426" s="155"/>
      <c r="AR426" s="155"/>
      <c r="AS426" s="155"/>
      <c r="AT426" s="155"/>
      <c r="AU426" s="155"/>
      <c r="AV426" s="155"/>
      <c r="AW426" s="155"/>
    </row>
    <row r="427" spans="1:49" ht="16.5" customHeight="1">
      <c r="A427" s="155"/>
      <c r="B427" s="155"/>
      <c r="C427" s="1"/>
      <c r="D427" s="1"/>
      <c r="E427" s="1"/>
      <c r="F427" s="156"/>
      <c r="G427" s="157"/>
      <c r="H427" s="184"/>
      <c r="I427" s="184"/>
      <c r="J427" s="184"/>
      <c r="K427" s="184"/>
      <c r="L427" s="184"/>
      <c r="M427" s="4"/>
      <c r="N427" s="184"/>
      <c r="O427" s="1"/>
      <c r="P427" s="5"/>
      <c r="Q427" s="4"/>
      <c r="R427" s="1"/>
      <c r="S427" s="1"/>
      <c r="T427" s="1"/>
      <c r="U427" s="6"/>
      <c r="V427" s="184"/>
      <c r="W427" s="184"/>
      <c r="X427" s="155"/>
      <c r="Y427" s="155"/>
      <c r="Z427" s="155"/>
      <c r="AA427" s="155"/>
      <c r="AB427" s="155"/>
      <c r="AC427" s="184"/>
      <c r="AD427" s="155"/>
      <c r="AE427" s="155"/>
      <c r="AF427" s="155"/>
      <c r="AG427" s="155"/>
      <c r="AH427" s="155"/>
      <c r="AI427" s="155"/>
      <c r="AJ427" s="155"/>
      <c r="AK427" s="155"/>
      <c r="AL427" s="155"/>
      <c r="AM427" s="155"/>
      <c r="AN427" s="155"/>
      <c r="AO427" s="155"/>
      <c r="AP427" s="155"/>
      <c r="AQ427" s="155"/>
      <c r="AR427" s="155"/>
      <c r="AS427" s="155"/>
      <c r="AT427" s="155"/>
      <c r="AU427" s="155"/>
      <c r="AV427" s="155"/>
      <c r="AW427" s="155"/>
    </row>
    <row r="428" spans="1:49" ht="16.5" customHeight="1">
      <c r="A428" s="155"/>
      <c r="B428" s="155"/>
      <c r="C428" s="1"/>
      <c r="D428" s="1"/>
      <c r="E428" s="1"/>
      <c r="F428" s="156"/>
      <c r="G428" s="157"/>
      <c r="H428" s="184"/>
      <c r="I428" s="184"/>
      <c r="J428" s="184"/>
      <c r="K428" s="184"/>
      <c r="L428" s="184"/>
      <c r="M428" s="4"/>
      <c r="N428" s="184"/>
      <c r="O428" s="1"/>
      <c r="P428" s="5"/>
      <c r="Q428" s="4"/>
      <c r="R428" s="1"/>
      <c r="S428" s="1"/>
      <c r="T428" s="1"/>
      <c r="U428" s="6"/>
      <c r="V428" s="184"/>
      <c r="W428" s="184"/>
      <c r="X428" s="155"/>
      <c r="Y428" s="155"/>
      <c r="Z428" s="155"/>
      <c r="AA428" s="155"/>
      <c r="AB428" s="155"/>
      <c r="AC428" s="184"/>
      <c r="AD428" s="155"/>
      <c r="AE428" s="155"/>
      <c r="AF428" s="155"/>
      <c r="AG428" s="155"/>
      <c r="AH428" s="155"/>
      <c r="AI428" s="155"/>
      <c r="AJ428" s="155"/>
      <c r="AK428" s="155"/>
      <c r="AL428" s="155"/>
      <c r="AM428" s="155"/>
      <c r="AN428" s="155"/>
      <c r="AO428" s="155"/>
      <c r="AP428" s="155"/>
      <c r="AQ428" s="155"/>
      <c r="AR428" s="155"/>
      <c r="AS428" s="155"/>
      <c r="AT428" s="155"/>
      <c r="AU428" s="155"/>
      <c r="AV428" s="155"/>
      <c r="AW428" s="155"/>
    </row>
    <row r="429" spans="1:49" ht="16.5" customHeight="1">
      <c r="A429" s="155"/>
      <c r="B429" s="155"/>
      <c r="C429" s="1"/>
      <c r="D429" s="1"/>
      <c r="E429" s="1"/>
      <c r="F429" s="156"/>
      <c r="G429" s="157"/>
      <c r="H429" s="184"/>
      <c r="I429" s="184"/>
      <c r="J429" s="184"/>
      <c r="K429" s="184"/>
      <c r="L429" s="184"/>
      <c r="M429" s="4"/>
      <c r="N429" s="184"/>
      <c r="O429" s="1"/>
      <c r="P429" s="5"/>
      <c r="Q429" s="4"/>
      <c r="R429" s="1"/>
      <c r="S429" s="1"/>
      <c r="T429" s="1"/>
      <c r="U429" s="6"/>
      <c r="V429" s="184"/>
      <c r="W429" s="184"/>
      <c r="X429" s="155"/>
      <c r="Y429" s="155"/>
      <c r="Z429" s="155"/>
      <c r="AA429" s="155"/>
      <c r="AB429" s="155"/>
      <c r="AC429" s="184"/>
      <c r="AD429" s="155"/>
      <c r="AE429" s="155"/>
      <c r="AF429" s="155"/>
      <c r="AG429" s="155"/>
      <c r="AH429" s="155"/>
      <c r="AI429" s="155"/>
      <c r="AJ429" s="155"/>
      <c r="AK429" s="155"/>
      <c r="AL429" s="155"/>
      <c r="AM429" s="155"/>
      <c r="AN429" s="155"/>
      <c r="AO429" s="155"/>
      <c r="AP429" s="155"/>
      <c r="AQ429" s="155"/>
      <c r="AR429" s="155"/>
      <c r="AS429" s="155"/>
      <c r="AT429" s="155"/>
      <c r="AU429" s="155"/>
      <c r="AV429" s="155"/>
      <c r="AW429" s="155"/>
    </row>
    <row r="430" spans="1:49" ht="16.5" customHeight="1">
      <c r="A430" s="155"/>
      <c r="B430" s="155"/>
      <c r="C430" s="1"/>
      <c r="D430" s="1"/>
      <c r="E430" s="1"/>
      <c r="F430" s="156"/>
      <c r="G430" s="157"/>
      <c r="H430" s="184"/>
      <c r="I430" s="184"/>
      <c r="J430" s="184"/>
      <c r="K430" s="184"/>
      <c r="L430" s="184"/>
      <c r="M430" s="4"/>
      <c r="N430" s="184"/>
      <c r="O430" s="1"/>
      <c r="P430" s="5"/>
      <c r="Q430" s="4"/>
      <c r="R430" s="1"/>
      <c r="S430" s="1"/>
      <c r="T430" s="1"/>
      <c r="U430" s="6"/>
      <c r="V430" s="184"/>
      <c r="W430" s="184"/>
      <c r="X430" s="155"/>
      <c r="Y430" s="155"/>
      <c r="Z430" s="155"/>
      <c r="AA430" s="155"/>
      <c r="AB430" s="155"/>
      <c r="AC430" s="184"/>
      <c r="AD430" s="155"/>
      <c r="AE430" s="155"/>
      <c r="AF430" s="155"/>
      <c r="AG430" s="155"/>
      <c r="AH430" s="155"/>
      <c r="AI430" s="155"/>
      <c r="AJ430" s="155"/>
      <c r="AK430" s="155"/>
      <c r="AL430" s="155"/>
      <c r="AM430" s="155"/>
      <c r="AN430" s="155"/>
      <c r="AO430" s="155"/>
      <c r="AP430" s="155"/>
      <c r="AQ430" s="155"/>
      <c r="AR430" s="155"/>
      <c r="AS430" s="155"/>
      <c r="AT430" s="155"/>
      <c r="AU430" s="155"/>
      <c r="AV430" s="155"/>
      <c r="AW430" s="155"/>
    </row>
    <row r="431" spans="1:49" ht="16.5" customHeight="1">
      <c r="A431" s="155"/>
      <c r="B431" s="155"/>
      <c r="C431" s="1"/>
      <c r="D431" s="1"/>
      <c r="E431" s="1"/>
      <c r="F431" s="156"/>
      <c r="G431" s="157"/>
      <c r="H431" s="184"/>
      <c r="I431" s="184"/>
      <c r="J431" s="184"/>
      <c r="K431" s="184"/>
      <c r="L431" s="184"/>
      <c r="M431" s="4"/>
      <c r="N431" s="184"/>
      <c r="O431" s="1"/>
      <c r="P431" s="5"/>
      <c r="Q431" s="4"/>
      <c r="R431" s="1"/>
      <c r="S431" s="1"/>
      <c r="T431" s="1"/>
      <c r="U431" s="6"/>
      <c r="V431" s="184"/>
      <c r="W431" s="184"/>
      <c r="X431" s="155"/>
      <c r="Y431" s="155"/>
      <c r="Z431" s="155"/>
      <c r="AA431" s="155"/>
      <c r="AB431" s="155"/>
      <c r="AC431" s="184"/>
      <c r="AD431" s="155"/>
      <c r="AE431" s="155"/>
      <c r="AF431" s="155"/>
      <c r="AG431" s="155"/>
      <c r="AH431" s="155"/>
      <c r="AI431" s="155"/>
      <c r="AJ431" s="155"/>
      <c r="AK431" s="155"/>
      <c r="AL431" s="155"/>
      <c r="AM431" s="155"/>
      <c r="AN431" s="155"/>
      <c r="AO431" s="155"/>
      <c r="AP431" s="155"/>
      <c r="AQ431" s="155"/>
      <c r="AR431" s="155"/>
      <c r="AS431" s="155"/>
      <c r="AT431" s="155"/>
      <c r="AU431" s="155"/>
      <c r="AV431" s="155"/>
      <c r="AW431" s="155"/>
    </row>
    <row r="432" spans="1:49" ht="16.5" customHeight="1">
      <c r="A432" s="155"/>
      <c r="B432" s="155"/>
      <c r="C432" s="1"/>
      <c r="D432" s="1"/>
      <c r="E432" s="1"/>
      <c r="F432" s="156"/>
      <c r="G432" s="157"/>
      <c r="H432" s="184"/>
      <c r="I432" s="184"/>
      <c r="J432" s="184"/>
      <c r="K432" s="184"/>
      <c r="L432" s="184"/>
      <c r="M432" s="4"/>
      <c r="N432" s="184"/>
      <c r="O432" s="1"/>
      <c r="P432" s="5"/>
      <c r="Q432" s="4"/>
      <c r="R432" s="1"/>
      <c r="S432" s="1"/>
      <c r="T432" s="1"/>
      <c r="U432" s="6"/>
      <c r="V432" s="184"/>
      <c r="W432" s="184"/>
      <c r="X432" s="155"/>
      <c r="Y432" s="155"/>
      <c r="Z432" s="155"/>
      <c r="AA432" s="155"/>
      <c r="AB432" s="155"/>
      <c r="AC432" s="184"/>
      <c r="AD432" s="155"/>
      <c r="AE432" s="155"/>
      <c r="AF432" s="155"/>
      <c r="AG432" s="155"/>
      <c r="AH432" s="155"/>
      <c r="AI432" s="155"/>
      <c r="AJ432" s="155"/>
      <c r="AK432" s="155"/>
      <c r="AL432" s="155"/>
      <c r="AM432" s="155"/>
      <c r="AN432" s="155"/>
      <c r="AO432" s="155"/>
      <c r="AP432" s="155"/>
      <c r="AQ432" s="155"/>
      <c r="AR432" s="155"/>
      <c r="AS432" s="155"/>
      <c r="AT432" s="155"/>
      <c r="AU432" s="155"/>
      <c r="AV432" s="155"/>
      <c r="AW432" s="155"/>
    </row>
    <row r="433" spans="1:49" ht="16.5" customHeight="1">
      <c r="A433" s="155"/>
      <c r="B433" s="155"/>
      <c r="C433" s="1"/>
      <c r="D433" s="1"/>
      <c r="E433" s="1"/>
      <c r="F433" s="156"/>
      <c r="G433" s="157"/>
      <c r="H433" s="184"/>
      <c r="I433" s="184"/>
      <c r="J433" s="184"/>
      <c r="K433" s="184"/>
      <c r="L433" s="184"/>
      <c r="M433" s="4"/>
      <c r="N433" s="184"/>
      <c r="O433" s="1"/>
      <c r="P433" s="5"/>
      <c r="Q433" s="4"/>
      <c r="R433" s="1"/>
      <c r="S433" s="1"/>
      <c r="T433" s="1"/>
      <c r="U433" s="6"/>
      <c r="V433" s="184"/>
      <c r="W433" s="184"/>
      <c r="X433" s="155"/>
      <c r="Y433" s="155"/>
      <c r="Z433" s="155"/>
      <c r="AA433" s="155"/>
      <c r="AB433" s="155"/>
      <c r="AC433" s="184"/>
      <c r="AD433" s="155"/>
      <c r="AE433" s="155"/>
      <c r="AF433" s="155"/>
      <c r="AG433" s="155"/>
      <c r="AH433" s="155"/>
      <c r="AI433" s="155"/>
      <c r="AJ433" s="155"/>
      <c r="AK433" s="155"/>
      <c r="AL433" s="155"/>
      <c r="AM433" s="155"/>
      <c r="AN433" s="155"/>
      <c r="AO433" s="155"/>
      <c r="AP433" s="155"/>
      <c r="AQ433" s="155"/>
      <c r="AR433" s="155"/>
      <c r="AS433" s="155"/>
      <c r="AT433" s="155"/>
      <c r="AU433" s="155"/>
      <c r="AV433" s="155"/>
      <c r="AW433" s="155"/>
    </row>
    <row r="434" spans="1:49" ht="16.5" customHeight="1">
      <c r="A434" s="155"/>
      <c r="B434" s="155"/>
      <c r="C434" s="1"/>
      <c r="D434" s="1"/>
      <c r="E434" s="1"/>
      <c r="F434" s="156"/>
      <c r="G434" s="157"/>
      <c r="H434" s="184"/>
      <c r="I434" s="184"/>
      <c r="J434" s="184"/>
      <c r="K434" s="184"/>
      <c r="L434" s="184"/>
      <c r="M434" s="4"/>
      <c r="N434" s="184"/>
      <c r="O434" s="1"/>
      <c r="P434" s="5"/>
      <c r="Q434" s="4"/>
      <c r="R434" s="1"/>
      <c r="S434" s="1"/>
      <c r="T434" s="1"/>
      <c r="U434" s="6"/>
      <c r="V434" s="184"/>
      <c r="W434" s="184"/>
      <c r="X434" s="155"/>
      <c r="Y434" s="155"/>
      <c r="Z434" s="155"/>
      <c r="AA434" s="155"/>
      <c r="AB434" s="155"/>
      <c r="AC434" s="184"/>
      <c r="AD434" s="155"/>
      <c r="AE434" s="155"/>
      <c r="AF434" s="155"/>
      <c r="AG434" s="155"/>
      <c r="AH434" s="155"/>
      <c r="AI434" s="155"/>
      <c r="AJ434" s="155"/>
      <c r="AK434" s="155"/>
      <c r="AL434" s="155"/>
      <c r="AM434" s="155"/>
      <c r="AN434" s="155"/>
      <c r="AO434" s="155"/>
      <c r="AP434" s="155"/>
      <c r="AQ434" s="155"/>
      <c r="AR434" s="155"/>
      <c r="AS434" s="155"/>
      <c r="AT434" s="155"/>
      <c r="AU434" s="155"/>
      <c r="AV434" s="155"/>
      <c r="AW434" s="155"/>
    </row>
    <row r="435" spans="1:49" ht="16.5" customHeight="1">
      <c r="A435" s="155"/>
      <c r="B435" s="155"/>
      <c r="C435" s="1"/>
      <c r="D435" s="1"/>
      <c r="E435" s="1"/>
      <c r="F435" s="156"/>
      <c r="G435" s="157"/>
      <c r="H435" s="184"/>
      <c r="I435" s="184"/>
      <c r="J435" s="184"/>
      <c r="K435" s="184"/>
      <c r="L435" s="184"/>
      <c r="M435" s="4"/>
      <c r="N435" s="184"/>
      <c r="O435" s="1"/>
      <c r="P435" s="5"/>
      <c r="Q435" s="4"/>
      <c r="R435" s="1"/>
      <c r="S435" s="1"/>
      <c r="T435" s="1"/>
      <c r="U435" s="6"/>
      <c r="V435" s="184"/>
      <c r="W435" s="184"/>
      <c r="X435" s="155"/>
      <c r="Y435" s="155"/>
      <c r="Z435" s="155"/>
      <c r="AA435" s="155"/>
      <c r="AB435" s="155"/>
      <c r="AC435" s="184"/>
      <c r="AD435" s="155"/>
      <c r="AE435" s="155"/>
      <c r="AF435" s="155"/>
      <c r="AG435" s="155"/>
      <c r="AH435" s="155"/>
      <c r="AI435" s="155"/>
      <c r="AJ435" s="155"/>
      <c r="AK435" s="155"/>
      <c r="AL435" s="155"/>
      <c r="AM435" s="155"/>
      <c r="AN435" s="155"/>
      <c r="AO435" s="155"/>
      <c r="AP435" s="155"/>
      <c r="AQ435" s="155"/>
      <c r="AR435" s="155"/>
      <c r="AS435" s="155"/>
      <c r="AT435" s="155"/>
      <c r="AU435" s="155"/>
      <c r="AV435" s="155"/>
      <c r="AW435" s="155"/>
    </row>
    <row r="436" spans="1:49" ht="16.5" customHeight="1">
      <c r="A436" s="155"/>
      <c r="B436" s="155"/>
      <c r="C436" s="1"/>
      <c r="D436" s="1"/>
      <c r="E436" s="1"/>
      <c r="F436" s="156"/>
      <c r="G436" s="157"/>
      <c r="H436" s="184"/>
      <c r="I436" s="184"/>
      <c r="J436" s="184"/>
      <c r="K436" s="184"/>
      <c r="L436" s="184"/>
      <c r="M436" s="4"/>
      <c r="N436" s="184"/>
      <c r="O436" s="1"/>
      <c r="P436" s="5"/>
      <c r="Q436" s="4"/>
      <c r="R436" s="1"/>
      <c r="S436" s="1"/>
      <c r="T436" s="1"/>
      <c r="U436" s="6"/>
      <c r="V436" s="184"/>
      <c r="W436" s="184"/>
      <c r="X436" s="155"/>
      <c r="Y436" s="155"/>
      <c r="Z436" s="155"/>
      <c r="AA436" s="155"/>
      <c r="AB436" s="155"/>
      <c r="AC436" s="184"/>
      <c r="AD436" s="155"/>
      <c r="AE436" s="155"/>
      <c r="AF436" s="155"/>
      <c r="AG436" s="155"/>
      <c r="AH436" s="155"/>
      <c r="AI436" s="155"/>
      <c r="AJ436" s="155"/>
      <c r="AK436" s="155"/>
      <c r="AL436" s="155"/>
      <c r="AM436" s="155"/>
      <c r="AN436" s="155"/>
      <c r="AO436" s="155"/>
      <c r="AP436" s="155"/>
      <c r="AQ436" s="155"/>
      <c r="AR436" s="155"/>
      <c r="AS436" s="155"/>
      <c r="AT436" s="155"/>
      <c r="AU436" s="155"/>
      <c r="AV436" s="155"/>
      <c r="AW436" s="155"/>
    </row>
    <row r="437" spans="1:49" ht="16.5" customHeight="1">
      <c r="A437" s="155"/>
      <c r="B437" s="155"/>
      <c r="C437" s="1"/>
      <c r="D437" s="1"/>
      <c r="E437" s="1"/>
      <c r="F437" s="156"/>
      <c r="G437" s="157"/>
      <c r="H437" s="184"/>
      <c r="I437" s="184"/>
      <c r="J437" s="184"/>
      <c r="K437" s="184"/>
      <c r="L437" s="184"/>
      <c r="M437" s="4"/>
      <c r="N437" s="184"/>
      <c r="O437" s="1"/>
      <c r="P437" s="5"/>
      <c r="Q437" s="4"/>
      <c r="R437" s="1"/>
      <c r="S437" s="1"/>
      <c r="T437" s="1"/>
      <c r="U437" s="6"/>
      <c r="V437" s="184"/>
      <c r="W437" s="184"/>
      <c r="X437" s="155"/>
      <c r="Y437" s="155"/>
      <c r="Z437" s="155"/>
      <c r="AA437" s="155"/>
      <c r="AB437" s="155"/>
      <c r="AC437" s="184"/>
      <c r="AD437" s="155"/>
      <c r="AE437" s="155"/>
      <c r="AF437" s="155"/>
      <c r="AG437" s="155"/>
      <c r="AH437" s="155"/>
      <c r="AI437" s="155"/>
      <c r="AJ437" s="155"/>
      <c r="AK437" s="155"/>
      <c r="AL437" s="155"/>
      <c r="AM437" s="155"/>
      <c r="AN437" s="155"/>
      <c r="AO437" s="155"/>
      <c r="AP437" s="155"/>
      <c r="AQ437" s="155"/>
      <c r="AR437" s="155"/>
      <c r="AS437" s="155"/>
      <c r="AT437" s="155"/>
      <c r="AU437" s="155"/>
      <c r="AV437" s="155"/>
      <c r="AW437" s="155"/>
    </row>
    <row r="438" spans="1:49" ht="16.5" customHeight="1">
      <c r="A438" s="155"/>
      <c r="B438" s="155"/>
      <c r="C438" s="1"/>
      <c r="D438" s="1"/>
      <c r="E438" s="1"/>
      <c r="F438" s="156"/>
      <c r="G438" s="157"/>
      <c r="H438" s="184"/>
      <c r="I438" s="184"/>
      <c r="J438" s="184"/>
      <c r="K438" s="184"/>
      <c r="L438" s="184"/>
      <c r="M438" s="4"/>
      <c r="N438" s="184"/>
      <c r="O438" s="1"/>
      <c r="P438" s="5"/>
      <c r="Q438" s="4"/>
      <c r="R438" s="1"/>
      <c r="S438" s="1"/>
      <c r="T438" s="1"/>
      <c r="U438" s="6"/>
      <c r="V438" s="184"/>
      <c r="W438" s="184"/>
      <c r="X438" s="155"/>
      <c r="Y438" s="155"/>
      <c r="Z438" s="155"/>
      <c r="AA438" s="155"/>
      <c r="AB438" s="155"/>
      <c r="AC438" s="184"/>
      <c r="AD438" s="155"/>
      <c r="AE438" s="155"/>
      <c r="AF438" s="155"/>
      <c r="AG438" s="155"/>
      <c r="AH438" s="155"/>
      <c r="AI438" s="155"/>
      <c r="AJ438" s="155"/>
      <c r="AK438" s="155"/>
      <c r="AL438" s="155"/>
      <c r="AM438" s="155"/>
      <c r="AN438" s="155"/>
      <c r="AO438" s="155"/>
      <c r="AP438" s="155"/>
      <c r="AQ438" s="155"/>
      <c r="AR438" s="155"/>
      <c r="AS438" s="155"/>
      <c r="AT438" s="155"/>
      <c r="AU438" s="155"/>
      <c r="AV438" s="155"/>
      <c r="AW438" s="155"/>
    </row>
    <row r="439" spans="1:49" ht="16.5" customHeight="1">
      <c r="A439" s="155"/>
      <c r="B439" s="155"/>
      <c r="C439" s="1"/>
      <c r="D439" s="1"/>
      <c r="E439" s="1"/>
      <c r="F439" s="156"/>
      <c r="G439" s="157"/>
      <c r="H439" s="184"/>
      <c r="I439" s="184"/>
      <c r="J439" s="184"/>
      <c r="K439" s="184"/>
      <c r="L439" s="184"/>
      <c r="M439" s="4"/>
      <c r="N439" s="184"/>
      <c r="O439" s="1"/>
      <c r="P439" s="5"/>
      <c r="Q439" s="4"/>
      <c r="R439" s="1"/>
      <c r="S439" s="1"/>
      <c r="T439" s="1"/>
      <c r="U439" s="6"/>
      <c r="V439" s="184"/>
      <c r="W439" s="184"/>
      <c r="X439" s="155"/>
      <c r="Y439" s="155"/>
      <c r="Z439" s="155"/>
      <c r="AA439" s="155"/>
      <c r="AB439" s="155"/>
      <c r="AC439" s="184"/>
      <c r="AD439" s="155"/>
      <c r="AE439" s="155"/>
      <c r="AF439" s="155"/>
      <c r="AG439" s="155"/>
      <c r="AH439" s="155"/>
      <c r="AI439" s="155"/>
      <c r="AJ439" s="155"/>
      <c r="AK439" s="155"/>
      <c r="AL439" s="155"/>
      <c r="AM439" s="155"/>
      <c r="AN439" s="155"/>
      <c r="AO439" s="155"/>
      <c r="AP439" s="155"/>
      <c r="AQ439" s="155"/>
      <c r="AR439" s="155"/>
      <c r="AS439" s="155"/>
      <c r="AT439" s="155"/>
      <c r="AU439" s="155"/>
      <c r="AV439" s="155"/>
      <c r="AW439" s="155"/>
    </row>
    <row r="440" spans="1:49" ht="16.5" customHeight="1">
      <c r="A440" s="155"/>
      <c r="B440" s="155"/>
      <c r="C440" s="1"/>
      <c r="D440" s="1"/>
      <c r="E440" s="1"/>
      <c r="F440" s="156"/>
      <c r="G440" s="157"/>
      <c r="H440" s="184"/>
      <c r="I440" s="184"/>
      <c r="J440" s="184"/>
      <c r="K440" s="184"/>
      <c r="L440" s="184"/>
      <c r="M440" s="4"/>
      <c r="N440" s="184"/>
      <c r="O440" s="1"/>
      <c r="P440" s="5"/>
      <c r="Q440" s="4"/>
      <c r="R440" s="1"/>
      <c r="S440" s="1"/>
      <c r="T440" s="1"/>
      <c r="U440" s="6"/>
      <c r="V440" s="184"/>
      <c r="W440" s="184"/>
      <c r="X440" s="155"/>
      <c r="Y440" s="155"/>
      <c r="Z440" s="155"/>
      <c r="AA440" s="155"/>
      <c r="AB440" s="155"/>
      <c r="AC440" s="184"/>
      <c r="AD440" s="155"/>
      <c r="AE440" s="155"/>
      <c r="AF440" s="155"/>
      <c r="AG440" s="155"/>
      <c r="AH440" s="155"/>
      <c r="AI440" s="155"/>
      <c r="AJ440" s="155"/>
      <c r="AK440" s="155"/>
      <c r="AL440" s="155"/>
      <c r="AM440" s="155"/>
      <c r="AN440" s="155"/>
      <c r="AO440" s="155"/>
      <c r="AP440" s="155"/>
      <c r="AQ440" s="155"/>
      <c r="AR440" s="155"/>
      <c r="AS440" s="155"/>
      <c r="AT440" s="155"/>
      <c r="AU440" s="155"/>
      <c r="AV440" s="155"/>
      <c r="AW440" s="155"/>
    </row>
    <row r="441" spans="1:49" ht="16.5" customHeight="1">
      <c r="A441" s="155"/>
      <c r="B441" s="155"/>
      <c r="C441" s="1"/>
      <c r="D441" s="1"/>
      <c r="E441" s="1"/>
      <c r="F441" s="156"/>
      <c r="G441" s="157"/>
      <c r="H441" s="184"/>
      <c r="I441" s="184"/>
      <c r="J441" s="184"/>
      <c r="K441" s="184"/>
      <c r="L441" s="184"/>
      <c r="M441" s="4"/>
      <c r="N441" s="184"/>
      <c r="O441" s="1"/>
      <c r="P441" s="5"/>
      <c r="Q441" s="4"/>
      <c r="R441" s="1"/>
      <c r="S441" s="1"/>
      <c r="T441" s="1"/>
      <c r="U441" s="6"/>
      <c r="V441" s="184"/>
      <c r="W441" s="184"/>
      <c r="X441" s="155"/>
      <c r="Y441" s="155"/>
      <c r="Z441" s="155"/>
      <c r="AA441" s="155"/>
      <c r="AB441" s="155"/>
      <c r="AC441" s="184"/>
      <c r="AD441" s="155"/>
      <c r="AE441" s="155"/>
      <c r="AF441" s="155"/>
      <c r="AG441" s="155"/>
      <c r="AH441" s="155"/>
      <c r="AI441" s="155"/>
      <c r="AJ441" s="155"/>
      <c r="AK441" s="155"/>
      <c r="AL441" s="155"/>
      <c r="AM441" s="155"/>
      <c r="AN441" s="155"/>
      <c r="AO441" s="155"/>
      <c r="AP441" s="155"/>
      <c r="AQ441" s="155"/>
      <c r="AR441" s="155"/>
      <c r="AS441" s="155"/>
      <c r="AT441" s="155"/>
      <c r="AU441" s="155"/>
      <c r="AV441" s="155"/>
      <c r="AW441" s="155"/>
    </row>
    <row r="442" spans="1:49" ht="16.5" customHeight="1">
      <c r="A442" s="155"/>
      <c r="B442" s="155"/>
      <c r="C442" s="1"/>
      <c r="D442" s="1"/>
      <c r="E442" s="1"/>
      <c r="F442" s="156"/>
      <c r="G442" s="157"/>
      <c r="H442" s="184"/>
      <c r="I442" s="184"/>
      <c r="J442" s="184"/>
      <c r="K442" s="184"/>
      <c r="L442" s="184"/>
      <c r="M442" s="4"/>
      <c r="N442" s="184"/>
      <c r="O442" s="1"/>
      <c r="P442" s="5"/>
      <c r="Q442" s="4"/>
      <c r="R442" s="1"/>
      <c r="S442" s="1"/>
      <c r="T442" s="1"/>
      <c r="U442" s="6"/>
      <c r="V442" s="184"/>
      <c r="W442" s="184"/>
      <c r="X442" s="155"/>
      <c r="Y442" s="155"/>
      <c r="Z442" s="155"/>
      <c r="AA442" s="155"/>
      <c r="AB442" s="155"/>
      <c r="AC442" s="184"/>
      <c r="AD442" s="155"/>
      <c r="AE442" s="155"/>
      <c r="AF442" s="155"/>
      <c r="AG442" s="155"/>
      <c r="AH442" s="155"/>
      <c r="AI442" s="155"/>
      <c r="AJ442" s="155"/>
      <c r="AK442" s="155"/>
      <c r="AL442" s="155"/>
      <c r="AM442" s="155"/>
      <c r="AN442" s="155"/>
      <c r="AO442" s="155"/>
      <c r="AP442" s="155"/>
      <c r="AQ442" s="155"/>
      <c r="AR442" s="155"/>
      <c r="AS442" s="155"/>
      <c r="AT442" s="155"/>
      <c r="AU442" s="155"/>
      <c r="AV442" s="155"/>
      <c r="AW442" s="155"/>
    </row>
    <row r="443" spans="1:49" ht="16.5" customHeight="1">
      <c r="A443" s="155"/>
      <c r="B443" s="155"/>
      <c r="C443" s="1"/>
      <c r="D443" s="1"/>
      <c r="E443" s="1"/>
      <c r="F443" s="156"/>
      <c r="G443" s="157"/>
      <c r="H443" s="184"/>
      <c r="I443" s="184"/>
      <c r="J443" s="184"/>
      <c r="K443" s="184"/>
      <c r="L443" s="184"/>
      <c r="M443" s="4"/>
      <c r="N443" s="184"/>
      <c r="O443" s="1"/>
      <c r="P443" s="5"/>
      <c r="Q443" s="4"/>
      <c r="R443" s="1"/>
      <c r="S443" s="1"/>
      <c r="T443" s="1"/>
      <c r="U443" s="6"/>
      <c r="V443" s="184"/>
      <c r="W443" s="184"/>
      <c r="X443" s="155"/>
      <c r="Y443" s="155"/>
      <c r="Z443" s="155"/>
      <c r="AA443" s="155"/>
      <c r="AB443" s="155"/>
      <c r="AC443" s="184"/>
      <c r="AD443" s="155"/>
      <c r="AE443" s="155"/>
      <c r="AF443" s="155"/>
      <c r="AG443" s="155"/>
      <c r="AH443" s="155"/>
      <c r="AI443" s="155"/>
      <c r="AJ443" s="155"/>
      <c r="AK443" s="155"/>
      <c r="AL443" s="155"/>
      <c r="AM443" s="155"/>
      <c r="AN443" s="155"/>
      <c r="AO443" s="155"/>
      <c r="AP443" s="155"/>
      <c r="AQ443" s="155"/>
      <c r="AR443" s="155"/>
      <c r="AS443" s="155"/>
      <c r="AT443" s="155"/>
      <c r="AU443" s="155"/>
      <c r="AV443" s="155"/>
      <c r="AW443" s="155"/>
    </row>
    <row r="444" spans="1:49" ht="16.5" customHeight="1">
      <c r="A444" s="155"/>
      <c r="B444" s="155"/>
      <c r="C444" s="1"/>
      <c r="D444" s="1"/>
      <c r="E444" s="1"/>
      <c r="F444" s="156"/>
      <c r="G444" s="157"/>
      <c r="H444" s="184"/>
      <c r="I444" s="184"/>
      <c r="J444" s="184"/>
      <c r="K444" s="184"/>
      <c r="L444" s="184"/>
      <c r="M444" s="4"/>
      <c r="N444" s="184"/>
      <c r="O444" s="1"/>
      <c r="P444" s="5"/>
      <c r="Q444" s="4"/>
      <c r="R444" s="1"/>
      <c r="S444" s="1"/>
      <c r="T444" s="1"/>
      <c r="U444" s="6"/>
      <c r="V444" s="184"/>
      <c r="W444" s="184"/>
      <c r="X444" s="155"/>
      <c r="Y444" s="155"/>
      <c r="Z444" s="155"/>
      <c r="AA444" s="155"/>
      <c r="AB444" s="155"/>
      <c r="AC444" s="184"/>
      <c r="AD444" s="155"/>
      <c r="AE444" s="155"/>
      <c r="AF444" s="155"/>
      <c r="AG444" s="155"/>
      <c r="AH444" s="155"/>
      <c r="AI444" s="155"/>
      <c r="AJ444" s="155"/>
      <c r="AK444" s="155"/>
      <c r="AL444" s="155"/>
      <c r="AM444" s="155"/>
      <c r="AN444" s="155"/>
      <c r="AO444" s="155"/>
      <c r="AP444" s="155"/>
      <c r="AQ444" s="155"/>
      <c r="AR444" s="155"/>
      <c r="AS444" s="155"/>
      <c r="AT444" s="155"/>
      <c r="AU444" s="155"/>
      <c r="AV444" s="155"/>
      <c r="AW444" s="155"/>
    </row>
    <row r="445" spans="1:49" ht="16.5" customHeight="1">
      <c r="A445" s="155"/>
      <c r="B445" s="155"/>
      <c r="C445" s="1"/>
      <c r="D445" s="1"/>
      <c r="E445" s="1"/>
      <c r="F445" s="156"/>
      <c r="G445" s="157"/>
      <c r="H445" s="184"/>
      <c r="I445" s="184"/>
      <c r="J445" s="184"/>
      <c r="K445" s="184"/>
      <c r="L445" s="184"/>
      <c r="M445" s="4"/>
      <c r="N445" s="184"/>
      <c r="O445" s="1"/>
      <c r="P445" s="5"/>
      <c r="Q445" s="4"/>
      <c r="R445" s="1"/>
      <c r="S445" s="1"/>
      <c r="T445" s="1"/>
      <c r="U445" s="6"/>
      <c r="V445" s="184"/>
      <c r="W445" s="184"/>
      <c r="X445" s="155"/>
      <c r="Y445" s="155"/>
      <c r="Z445" s="155"/>
      <c r="AA445" s="155"/>
      <c r="AB445" s="155"/>
      <c r="AC445" s="184"/>
      <c r="AD445" s="155"/>
      <c r="AE445" s="155"/>
      <c r="AF445" s="155"/>
      <c r="AG445" s="155"/>
      <c r="AH445" s="155"/>
      <c r="AI445" s="155"/>
      <c r="AJ445" s="155"/>
      <c r="AK445" s="155"/>
      <c r="AL445" s="155"/>
      <c r="AM445" s="155"/>
      <c r="AN445" s="155"/>
      <c r="AO445" s="155"/>
      <c r="AP445" s="155"/>
      <c r="AQ445" s="155"/>
      <c r="AR445" s="155"/>
      <c r="AS445" s="155"/>
      <c r="AT445" s="155"/>
      <c r="AU445" s="155"/>
      <c r="AV445" s="155"/>
      <c r="AW445" s="155"/>
    </row>
    <row r="446" spans="1:49" ht="16.5" customHeight="1">
      <c r="A446" s="155"/>
      <c r="B446" s="155"/>
      <c r="C446" s="1"/>
      <c r="D446" s="1"/>
      <c r="E446" s="1"/>
      <c r="F446" s="156"/>
      <c r="G446" s="157"/>
      <c r="H446" s="184"/>
      <c r="I446" s="184"/>
      <c r="J446" s="184"/>
      <c r="K446" s="184"/>
      <c r="L446" s="184"/>
      <c r="M446" s="4"/>
      <c r="N446" s="184"/>
      <c r="O446" s="1"/>
      <c r="P446" s="5"/>
      <c r="Q446" s="4"/>
      <c r="R446" s="1"/>
      <c r="S446" s="1"/>
      <c r="T446" s="1"/>
      <c r="U446" s="6"/>
      <c r="V446" s="184"/>
      <c r="W446" s="184"/>
      <c r="X446" s="155"/>
      <c r="Y446" s="155"/>
      <c r="Z446" s="155"/>
      <c r="AA446" s="155"/>
      <c r="AB446" s="155"/>
      <c r="AC446" s="184"/>
      <c r="AD446" s="155"/>
      <c r="AE446" s="155"/>
      <c r="AF446" s="155"/>
      <c r="AG446" s="155"/>
      <c r="AH446" s="155"/>
      <c r="AI446" s="155"/>
      <c r="AJ446" s="155"/>
      <c r="AK446" s="155"/>
      <c r="AL446" s="155"/>
      <c r="AM446" s="155"/>
      <c r="AN446" s="155"/>
      <c r="AO446" s="155"/>
      <c r="AP446" s="155"/>
      <c r="AQ446" s="155"/>
      <c r="AR446" s="155"/>
      <c r="AS446" s="155"/>
      <c r="AT446" s="155"/>
      <c r="AU446" s="155"/>
      <c r="AV446" s="155"/>
      <c r="AW446" s="155"/>
    </row>
    <row r="447" spans="1:49" ht="16.5" customHeight="1">
      <c r="A447" s="155"/>
      <c r="B447" s="155"/>
      <c r="C447" s="1"/>
      <c r="D447" s="1"/>
      <c r="E447" s="1"/>
      <c r="F447" s="156"/>
      <c r="G447" s="157"/>
      <c r="H447" s="184"/>
      <c r="I447" s="184"/>
      <c r="J447" s="184"/>
      <c r="K447" s="184"/>
      <c r="L447" s="184"/>
      <c r="M447" s="4"/>
      <c r="N447" s="184"/>
      <c r="O447" s="1"/>
      <c r="P447" s="5"/>
      <c r="Q447" s="4"/>
      <c r="R447" s="1"/>
      <c r="S447" s="1"/>
      <c r="T447" s="1"/>
      <c r="U447" s="6"/>
      <c r="V447" s="184"/>
      <c r="W447" s="184"/>
      <c r="X447" s="155"/>
      <c r="Y447" s="155"/>
      <c r="Z447" s="155"/>
      <c r="AA447" s="155"/>
      <c r="AB447" s="155"/>
      <c r="AC447" s="184"/>
      <c r="AD447" s="155"/>
      <c r="AE447" s="155"/>
      <c r="AF447" s="155"/>
      <c r="AG447" s="155"/>
      <c r="AH447" s="155"/>
      <c r="AI447" s="155"/>
      <c r="AJ447" s="155"/>
      <c r="AK447" s="155"/>
      <c r="AL447" s="155"/>
      <c r="AM447" s="155"/>
      <c r="AN447" s="155"/>
      <c r="AO447" s="155"/>
      <c r="AP447" s="155"/>
      <c r="AQ447" s="155"/>
      <c r="AR447" s="155"/>
      <c r="AS447" s="155"/>
      <c r="AT447" s="155"/>
      <c r="AU447" s="155"/>
      <c r="AV447" s="155"/>
      <c r="AW447" s="155"/>
    </row>
    <row r="448" spans="1:49" ht="16.5" customHeight="1">
      <c r="A448" s="155"/>
      <c r="B448" s="155"/>
      <c r="C448" s="1"/>
      <c r="D448" s="1"/>
      <c r="E448" s="1"/>
      <c r="F448" s="156"/>
      <c r="G448" s="157"/>
      <c r="H448" s="184"/>
      <c r="I448" s="184"/>
      <c r="J448" s="184"/>
      <c r="K448" s="184"/>
      <c r="L448" s="184"/>
      <c r="M448" s="4"/>
      <c r="N448" s="184"/>
      <c r="O448" s="1"/>
      <c r="P448" s="5"/>
      <c r="Q448" s="4"/>
      <c r="R448" s="1"/>
      <c r="S448" s="1"/>
      <c r="T448" s="1"/>
      <c r="U448" s="6"/>
      <c r="V448" s="184"/>
      <c r="W448" s="184"/>
      <c r="X448" s="155"/>
      <c r="Y448" s="155"/>
      <c r="Z448" s="155"/>
      <c r="AA448" s="155"/>
      <c r="AB448" s="155"/>
      <c r="AC448" s="184"/>
      <c r="AD448" s="155"/>
      <c r="AE448" s="155"/>
      <c r="AF448" s="155"/>
      <c r="AG448" s="155"/>
      <c r="AH448" s="155"/>
      <c r="AI448" s="155"/>
      <c r="AJ448" s="155"/>
      <c r="AK448" s="155"/>
      <c r="AL448" s="155"/>
      <c r="AM448" s="155"/>
      <c r="AN448" s="155"/>
      <c r="AO448" s="155"/>
      <c r="AP448" s="155"/>
      <c r="AQ448" s="155"/>
      <c r="AR448" s="155"/>
      <c r="AS448" s="155"/>
      <c r="AT448" s="155"/>
      <c r="AU448" s="155"/>
      <c r="AV448" s="155"/>
      <c r="AW448" s="155"/>
    </row>
    <row r="449" spans="1:49" ht="16.5" customHeight="1">
      <c r="A449" s="155"/>
      <c r="B449" s="155"/>
      <c r="C449" s="1"/>
      <c r="D449" s="1"/>
      <c r="E449" s="1"/>
      <c r="F449" s="156"/>
      <c r="G449" s="157"/>
      <c r="H449" s="184"/>
      <c r="I449" s="184"/>
      <c r="J449" s="184"/>
      <c r="K449" s="184"/>
      <c r="L449" s="184"/>
      <c r="M449" s="4"/>
      <c r="N449" s="184"/>
      <c r="O449" s="1"/>
      <c r="P449" s="5"/>
      <c r="Q449" s="4"/>
      <c r="R449" s="1"/>
      <c r="S449" s="1"/>
      <c r="T449" s="1"/>
      <c r="U449" s="6"/>
      <c r="V449" s="184"/>
      <c r="W449" s="184"/>
      <c r="X449" s="155"/>
      <c r="Y449" s="155"/>
      <c r="Z449" s="155"/>
      <c r="AA449" s="155"/>
      <c r="AB449" s="155"/>
      <c r="AC449" s="184"/>
      <c r="AD449" s="155"/>
      <c r="AE449" s="155"/>
      <c r="AF449" s="155"/>
      <c r="AG449" s="155"/>
      <c r="AH449" s="155"/>
      <c r="AI449" s="155"/>
      <c r="AJ449" s="155"/>
      <c r="AK449" s="155"/>
      <c r="AL449" s="155"/>
      <c r="AM449" s="155"/>
      <c r="AN449" s="155"/>
      <c r="AO449" s="155"/>
      <c r="AP449" s="155"/>
      <c r="AQ449" s="155"/>
      <c r="AR449" s="155"/>
      <c r="AS449" s="155"/>
      <c r="AT449" s="155"/>
      <c r="AU449" s="155"/>
      <c r="AV449" s="155"/>
      <c r="AW449" s="155"/>
    </row>
    <row r="450" spans="1:49" ht="16.5" customHeight="1">
      <c r="A450" s="155"/>
      <c r="B450" s="155"/>
      <c r="C450" s="1"/>
      <c r="D450" s="1"/>
      <c r="E450" s="1"/>
      <c r="F450" s="156"/>
      <c r="G450" s="157"/>
      <c r="H450" s="184"/>
      <c r="I450" s="184"/>
      <c r="J450" s="184"/>
      <c r="K450" s="184"/>
      <c r="L450" s="184"/>
      <c r="M450" s="4"/>
      <c r="N450" s="184"/>
      <c r="O450" s="1"/>
      <c r="P450" s="5"/>
      <c r="Q450" s="4"/>
      <c r="R450" s="1"/>
      <c r="S450" s="1"/>
      <c r="T450" s="1"/>
      <c r="U450" s="6"/>
      <c r="V450" s="184"/>
      <c r="W450" s="184"/>
      <c r="X450" s="155"/>
      <c r="Y450" s="155"/>
      <c r="Z450" s="155"/>
      <c r="AA450" s="155"/>
      <c r="AB450" s="155"/>
      <c r="AC450" s="184"/>
      <c r="AD450" s="155"/>
      <c r="AE450" s="155"/>
      <c r="AF450" s="155"/>
      <c r="AG450" s="155"/>
      <c r="AH450" s="155"/>
      <c r="AI450" s="155"/>
      <c r="AJ450" s="155"/>
      <c r="AK450" s="155"/>
      <c r="AL450" s="155"/>
      <c r="AM450" s="155"/>
      <c r="AN450" s="155"/>
      <c r="AO450" s="155"/>
      <c r="AP450" s="155"/>
      <c r="AQ450" s="155"/>
      <c r="AR450" s="155"/>
      <c r="AS450" s="155"/>
      <c r="AT450" s="155"/>
      <c r="AU450" s="155"/>
      <c r="AV450" s="155"/>
      <c r="AW450" s="155"/>
    </row>
    <row r="451" spans="1:49" ht="16.5" customHeight="1">
      <c r="A451" s="155"/>
      <c r="B451" s="155"/>
      <c r="C451" s="1"/>
      <c r="D451" s="1"/>
      <c r="E451" s="1"/>
      <c r="F451" s="156"/>
      <c r="G451" s="157"/>
      <c r="H451" s="184"/>
      <c r="I451" s="184"/>
      <c r="J451" s="184"/>
      <c r="K451" s="184"/>
      <c r="L451" s="184"/>
      <c r="M451" s="4"/>
      <c r="N451" s="184"/>
      <c r="O451" s="1"/>
      <c r="P451" s="5"/>
      <c r="Q451" s="4"/>
      <c r="R451" s="1"/>
      <c r="S451" s="1"/>
      <c r="T451" s="1"/>
      <c r="U451" s="6"/>
      <c r="V451" s="184"/>
      <c r="W451" s="184"/>
      <c r="X451" s="155"/>
      <c r="Y451" s="155"/>
      <c r="Z451" s="155"/>
      <c r="AA451" s="155"/>
      <c r="AB451" s="155"/>
      <c r="AC451" s="184"/>
      <c r="AD451" s="155"/>
      <c r="AE451" s="155"/>
      <c r="AF451" s="155"/>
      <c r="AG451" s="155"/>
      <c r="AH451" s="155"/>
      <c r="AI451" s="155"/>
      <c r="AJ451" s="155"/>
      <c r="AK451" s="155"/>
      <c r="AL451" s="155"/>
      <c r="AM451" s="155"/>
      <c r="AN451" s="155"/>
      <c r="AO451" s="155"/>
      <c r="AP451" s="155"/>
      <c r="AQ451" s="155"/>
      <c r="AR451" s="155"/>
      <c r="AS451" s="155"/>
      <c r="AT451" s="155"/>
      <c r="AU451" s="155"/>
      <c r="AV451" s="155"/>
      <c r="AW451" s="155"/>
    </row>
    <row r="452" spans="1:49" ht="16.5" customHeight="1">
      <c r="A452" s="155"/>
      <c r="B452" s="155"/>
      <c r="C452" s="1"/>
      <c r="D452" s="1"/>
      <c r="E452" s="1"/>
      <c r="F452" s="156"/>
      <c r="G452" s="157"/>
      <c r="H452" s="184"/>
      <c r="I452" s="184"/>
      <c r="J452" s="184"/>
      <c r="K452" s="184"/>
      <c r="L452" s="184"/>
      <c r="M452" s="4"/>
      <c r="N452" s="184"/>
      <c r="O452" s="1"/>
      <c r="P452" s="5"/>
      <c r="Q452" s="4"/>
      <c r="R452" s="1"/>
      <c r="S452" s="1"/>
      <c r="T452" s="1"/>
      <c r="U452" s="6"/>
      <c r="V452" s="184"/>
      <c r="W452" s="184"/>
      <c r="X452" s="155"/>
      <c r="Y452" s="155"/>
      <c r="Z452" s="155"/>
      <c r="AA452" s="155"/>
      <c r="AB452" s="155"/>
      <c r="AC452" s="184"/>
      <c r="AD452" s="155"/>
      <c r="AE452" s="155"/>
      <c r="AF452" s="155"/>
      <c r="AG452" s="155"/>
      <c r="AH452" s="155"/>
      <c r="AI452" s="155"/>
      <c r="AJ452" s="155"/>
      <c r="AK452" s="155"/>
      <c r="AL452" s="155"/>
      <c r="AM452" s="155"/>
      <c r="AN452" s="155"/>
      <c r="AO452" s="155"/>
      <c r="AP452" s="155"/>
      <c r="AQ452" s="155"/>
      <c r="AR452" s="155"/>
      <c r="AS452" s="155"/>
      <c r="AT452" s="155"/>
      <c r="AU452" s="155"/>
      <c r="AV452" s="155"/>
      <c r="AW452" s="155"/>
    </row>
    <row r="453" spans="1:49" ht="16.5" customHeight="1">
      <c r="A453" s="155"/>
      <c r="B453" s="155"/>
      <c r="C453" s="1"/>
      <c r="D453" s="1"/>
      <c r="E453" s="1"/>
      <c r="F453" s="156"/>
      <c r="G453" s="157"/>
      <c r="H453" s="184"/>
      <c r="I453" s="184"/>
      <c r="J453" s="184"/>
      <c r="K453" s="184"/>
      <c r="L453" s="184"/>
      <c r="M453" s="4"/>
      <c r="N453" s="184"/>
      <c r="O453" s="1"/>
      <c r="P453" s="5"/>
      <c r="Q453" s="4"/>
      <c r="R453" s="1"/>
      <c r="S453" s="1"/>
      <c r="T453" s="1"/>
      <c r="U453" s="6"/>
      <c r="V453" s="184"/>
      <c r="W453" s="184"/>
      <c r="X453" s="155"/>
      <c r="Y453" s="155"/>
      <c r="Z453" s="155"/>
      <c r="AA453" s="155"/>
      <c r="AB453" s="155"/>
      <c r="AC453" s="184"/>
      <c r="AD453" s="155"/>
      <c r="AE453" s="155"/>
      <c r="AF453" s="155"/>
      <c r="AG453" s="155"/>
      <c r="AH453" s="155"/>
      <c r="AI453" s="155"/>
      <c r="AJ453" s="155"/>
      <c r="AK453" s="155"/>
      <c r="AL453" s="155"/>
      <c r="AM453" s="155"/>
      <c r="AN453" s="155"/>
      <c r="AO453" s="155"/>
      <c r="AP453" s="155"/>
      <c r="AQ453" s="155"/>
      <c r="AR453" s="155"/>
      <c r="AS453" s="155"/>
      <c r="AT453" s="155"/>
      <c r="AU453" s="155"/>
      <c r="AV453" s="155"/>
      <c r="AW453" s="155"/>
    </row>
    <row r="454" spans="1:49" ht="16.5" customHeight="1">
      <c r="A454" s="155"/>
      <c r="B454" s="155"/>
      <c r="C454" s="1"/>
      <c r="D454" s="1"/>
      <c r="E454" s="1"/>
      <c r="F454" s="156"/>
      <c r="G454" s="157"/>
      <c r="H454" s="184"/>
      <c r="I454" s="184"/>
      <c r="J454" s="184"/>
      <c r="K454" s="184"/>
      <c r="L454" s="184"/>
      <c r="M454" s="4"/>
      <c r="N454" s="184"/>
      <c r="O454" s="1"/>
      <c r="P454" s="5"/>
      <c r="Q454" s="4"/>
      <c r="R454" s="1"/>
      <c r="S454" s="1"/>
      <c r="T454" s="1"/>
      <c r="U454" s="6"/>
      <c r="V454" s="184"/>
      <c r="W454" s="184"/>
      <c r="X454" s="155"/>
      <c r="Y454" s="155"/>
      <c r="Z454" s="155"/>
      <c r="AA454" s="155"/>
      <c r="AB454" s="155"/>
      <c r="AC454" s="184"/>
      <c r="AD454" s="155"/>
      <c r="AE454" s="155"/>
      <c r="AF454" s="155"/>
      <c r="AG454" s="155"/>
      <c r="AH454" s="155"/>
      <c r="AI454" s="155"/>
      <c r="AJ454" s="155"/>
      <c r="AK454" s="155"/>
      <c r="AL454" s="155"/>
      <c r="AM454" s="155"/>
      <c r="AN454" s="155"/>
      <c r="AO454" s="155"/>
      <c r="AP454" s="155"/>
      <c r="AQ454" s="155"/>
      <c r="AR454" s="155"/>
      <c r="AS454" s="155"/>
      <c r="AT454" s="155"/>
      <c r="AU454" s="155"/>
      <c r="AV454" s="155"/>
      <c r="AW454" s="155"/>
    </row>
    <row r="455" spans="1:49" ht="16.5" customHeight="1">
      <c r="A455" s="155"/>
      <c r="B455" s="155"/>
      <c r="C455" s="1"/>
      <c r="D455" s="1"/>
      <c r="E455" s="1"/>
      <c r="F455" s="156"/>
      <c r="G455" s="157"/>
      <c r="H455" s="184"/>
      <c r="I455" s="184"/>
      <c r="J455" s="184"/>
      <c r="K455" s="184"/>
      <c r="L455" s="184"/>
      <c r="M455" s="4"/>
      <c r="N455" s="184"/>
      <c r="O455" s="1"/>
      <c r="P455" s="5"/>
      <c r="Q455" s="4"/>
      <c r="R455" s="1"/>
      <c r="S455" s="1"/>
      <c r="T455" s="1"/>
      <c r="U455" s="6"/>
      <c r="V455" s="184"/>
      <c r="W455" s="184"/>
      <c r="X455" s="155"/>
      <c r="Y455" s="155"/>
      <c r="Z455" s="155"/>
      <c r="AA455" s="155"/>
      <c r="AB455" s="155"/>
      <c r="AC455" s="184"/>
      <c r="AD455" s="155"/>
      <c r="AE455" s="155"/>
      <c r="AF455" s="155"/>
      <c r="AG455" s="155"/>
      <c r="AH455" s="155"/>
      <c r="AI455" s="155"/>
      <c r="AJ455" s="155"/>
      <c r="AK455" s="155"/>
      <c r="AL455" s="155"/>
      <c r="AM455" s="155"/>
      <c r="AN455" s="155"/>
      <c r="AO455" s="155"/>
      <c r="AP455" s="155"/>
      <c r="AQ455" s="155"/>
      <c r="AR455" s="155"/>
      <c r="AS455" s="155"/>
      <c r="AT455" s="155"/>
      <c r="AU455" s="155"/>
      <c r="AV455" s="155"/>
      <c r="AW455" s="155"/>
    </row>
    <row r="456" spans="1:49" ht="16.5" customHeight="1">
      <c r="A456" s="155"/>
      <c r="B456" s="155"/>
      <c r="C456" s="1"/>
      <c r="D456" s="1"/>
      <c r="E456" s="1"/>
      <c r="F456" s="156"/>
      <c r="G456" s="157"/>
      <c r="H456" s="184"/>
      <c r="I456" s="184"/>
      <c r="J456" s="184"/>
      <c r="K456" s="184"/>
      <c r="L456" s="184"/>
      <c r="M456" s="4"/>
      <c r="N456" s="184"/>
      <c r="O456" s="1"/>
      <c r="P456" s="5"/>
      <c r="Q456" s="4"/>
      <c r="R456" s="1"/>
      <c r="S456" s="1"/>
      <c r="T456" s="1"/>
      <c r="U456" s="6"/>
      <c r="V456" s="184"/>
      <c r="W456" s="184"/>
      <c r="X456" s="155"/>
      <c r="Y456" s="155"/>
      <c r="Z456" s="155"/>
      <c r="AA456" s="155"/>
      <c r="AB456" s="155"/>
      <c r="AC456" s="184"/>
      <c r="AD456" s="155"/>
      <c r="AE456" s="155"/>
      <c r="AF456" s="155"/>
      <c r="AG456" s="155"/>
      <c r="AH456" s="155"/>
      <c r="AI456" s="155"/>
      <c r="AJ456" s="155"/>
      <c r="AK456" s="155"/>
      <c r="AL456" s="155"/>
      <c r="AM456" s="155"/>
      <c r="AN456" s="155"/>
      <c r="AO456" s="155"/>
      <c r="AP456" s="155"/>
      <c r="AQ456" s="155"/>
      <c r="AR456" s="155"/>
      <c r="AS456" s="155"/>
      <c r="AT456" s="155"/>
      <c r="AU456" s="155"/>
      <c r="AV456" s="155"/>
      <c r="AW456" s="155"/>
    </row>
    <row r="457" spans="1:49" ht="16.5" customHeight="1">
      <c r="A457" s="155"/>
      <c r="B457" s="155"/>
      <c r="C457" s="1"/>
      <c r="D457" s="1"/>
      <c r="E457" s="1"/>
      <c r="F457" s="156"/>
      <c r="G457" s="157"/>
      <c r="H457" s="184"/>
      <c r="I457" s="184"/>
      <c r="J457" s="184"/>
      <c r="K457" s="184"/>
      <c r="L457" s="184"/>
      <c r="M457" s="4"/>
      <c r="N457" s="184"/>
      <c r="O457" s="1"/>
      <c r="P457" s="5"/>
      <c r="Q457" s="4"/>
      <c r="R457" s="1"/>
      <c r="S457" s="1"/>
      <c r="T457" s="1"/>
      <c r="U457" s="6"/>
      <c r="V457" s="184"/>
      <c r="W457" s="184"/>
      <c r="X457" s="155"/>
      <c r="Y457" s="155"/>
      <c r="Z457" s="155"/>
      <c r="AA457" s="155"/>
      <c r="AB457" s="155"/>
      <c r="AC457" s="184"/>
      <c r="AD457" s="155"/>
      <c r="AE457" s="155"/>
      <c r="AF457" s="155"/>
      <c r="AG457" s="155"/>
      <c r="AH457" s="155"/>
      <c r="AI457" s="155"/>
      <c r="AJ457" s="155"/>
      <c r="AK457" s="155"/>
      <c r="AL457" s="155"/>
      <c r="AM457" s="155"/>
      <c r="AN457" s="155"/>
      <c r="AO457" s="155"/>
      <c r="AP457" s="155"/>
      <c r="AQ457" s="155"/>
      <c r="AR457" s="155"/>
      <c r="AS457" s="155"/>
      <c r="AT457" s="155"/>
      <c r="AU457" s="155"/>
      <c r="AV457" s="155"/>
      <c r="AW457" s="155"/>
    </row>
    <row r="458" spans="1:49" ht="16.5" customHeight="1">
      <c r="A458" s="155"/>
      <c r="B458" s="155"/>
      <c r="C458" s="1"/>
      <c r="D458" s="1"/>
      <c r="E458" s="1"/>
      <c r="F458" s="156"/>
      <c r="G458" s="157"/>
      <c r="H458" s="184"/>
      <c r="I458" s="184"/>
      <c r="J458" s="184"/>
      <c r="K458" s="184"/>
      <c r="L458" s="184"/>
      <c r="M458" s="4"/>
      <c r="N458" s="184"/>
      <c r="O458" s="1"/>
      <c r="P458" s="5"/>
      <c r="Q458" s="4"/>
      <c r="R458" s="1"/>
      <c r="S458" s="1"/>
      <c r="T458" s="1"/>
      <c r="U458" s="6"/>
      <c r="V458" s="184"/>
      <c r="W458" s="184"/>
      <c r="X458" s="155"/>
      <c r="Y458" s="155"/>
      <c r="Z458" s="155"/>
      <c r="AA458" s="155"/>
      <c r="AB458" s="155"/>
      <c r="AC458" s="184"/>
      <c r="AD458" s="155"/>
      <c r="AE458" s="155"/>
      <c r="AF458" s="155"/>
      <c r="AG458" s="155"/>
      <c r="AH458" s="155"/>
      <c r="AI458" s="155"/>
      <c r="AJ458" s="155"/>
      <c r="AK458" s="155"/>
      <c r="AL458" s="155"/>
      <c r="AM458" s="155"/>
      <c r="AN458" s="155"/>
      <c r="AO458" s="155"/>
      <c r="AP458" s="155"/>
      <c r="AQ458" s="155"/>
      <c r="AR458" s="155"/>
      <c r="AS458" s="155"/>
      <c r="AT458" s="155"/>
      <c r="AU458" s="155"/>
      <c r="AV458" s="155"/>
      <c r="AW458" s="155"/>
    </row>
    <row r="459" spans="1:49" ht="16.5" customHeight="1">
      <c r="A459" s="155"/>
      <c r="B459" s="155"/>
      <c r="C459" s="1"/>
      <c r="D459" s="1"/>
      <c r="E459" s="1"/>
      <c r="F459" s="156"/>
      <c r="G459" s="157"/>
      <c r="H459" s="184"/>
      <c r="I459" s="184"/>
      <c r="J459" s="184"/>
      <c r="K459" s="184"/>
      <c r="L459" s="184"/>
      <c r="M459" s="4"/>
      <c r="N459" s="184"/>
      <c r="O459" s="1"/>
      <c r="P459" s="5"/>
      <c r="Q459" s="4"/>
      <c r="R459" s="1"/>
      <c r="S459" s="1"/>
      <c r="T459" s="1"/>
      <c r="U459" s="6"/>
      <c r="V459" s="184"/>
      <c r="W459" s="184"/>
      <c r="X459" s="155"/>
      <c r="Y459" s="155"/>
      <c r="Z459" s="155"/>
      <c r="AA459" s="155"/>
      <c r="AB459" s="155"/>
      <c r="AC459" s="184"/>
      <c r="AD459" s="155"/>
      <c r="AE459" s="155"/>
      <c r="AF459" s="155"/>
      <c r="AG459" s="155"/>
      <c r="AH459" s="155"/>
      <c r="AI459" s="155"/>
      <c r="AJ459" s="155"/>
      <c r="AK459" s="155"/>
      <c r="AL459" s="155"/>
      <c r="AM459" s="155"/>
      <c r="AN459" s="155"/>
      <c r="AO459" s="155"/>
      <c r="AP459" s="155"/>
      <c r="AQ459" s="155"/>
      <c r="AR459" s="155"/>
      <c r="AS459" s="155"/>
      <c r="AT459" s="155"/>
      <c r="AU459" s="155"/>
      <c r="AV459" s="155"/>
      <c r="AW459" s="155"/>
    </row>
    <row r="460" spans="1:49" ht="16.5" customHeight="1">
      <c r="A460" s="155"/>
      <c r="B460" s="155"/>
      <c r="C460" s="1"/>
      <c r="D460" s="1"/>
      <c r="E460" s="1"/>
      <c r="F460" s="156"/>
      <c r="G460" s="157"/>
      <c r="H460" s="184"/>
      <c r="I460" s="184"/>
      <c r="J460" s="184"/>
      <c r="K460" s="184"/>
      <c r="L460" s="184"/>
      <c r="M460" s="4"/>
      <c r="N460" s="184"/>
      <c r="O460" s="1"/>
      <c r="P460" s="5"/>
      <c r="Q460" s="4"/>
      <c r="R460" s="1"/>
      <c r="S460" s="1"/>
      <c r="T460" s="1"/>
      <c r="U460" s="6"/>
      <c r="V460" s="184"/>
      <c r="W460" s="184"/>
      <c r="X460" s="155"/>
      <c r="Y460" s="155"/>
      <c r="Z460" s="155"/>
      <c r="AA460" s="155"/>
      <c r="AB460" s="155"/>
      <c r="AC460" s="184"/>
      <c r="AD460" s="155"/>
      <c r="AE460" s="155"/>
      <c r="AF460" s="155"/>
      <c r="AG460" s="155"/>
      <c r="AH460" s="155"/>
      <c r="AI460" s="155"/>
      <c r="AJ460" s="155"/>
      <c r="AK460" s="155"/>
      <c r="AL460" s="155"/>
      <c r="AM460" s="155"/>
      <c r="AN460" s="155"/>
      <c r="AO460" s="155"/>
      <c r="AP460" s="155"/>
      <c r="AQ460" s="155"/>
      <c r="AR460" s="155"/>
      <c r="AS460" s="155"/>
      <c r="AT460" s="155"/>
      <c r="AU460" s="155"/>
      <c r="AV460" s="155"/>
      <c r="AW460" s="155"/>
    </row>
    <row r="461" spans="1:49" ht="16.5" customHeight="1">
      <c r="A461" s="155"/>
      <c r="B461" s="155"/>
      <c r="C461" s="1"/>
      <c r="D461" s="1"/>
      <c r="E461" s="1"/>
      <c r="F461" s="156"/>
      <c r="G461" s="157"/>
      <c r="H461" s="184"/>
      <c r="I461" s="184"/>
      <c r="J461" s="184"/>
      <c r="K461" s="184"/>
      <c r="L461" s="184"/>
      <c r="M461" s="4"/>
      <c r="N461" s="184"/>
      <c r="O461" s="1"/>
      <c r="P461" s="5"/>
      <c r="Q461" s="4"/>
      <c r="R461" s="1"/>
      <c r="S461" s="1"/>
      <c r="T461" s="1"/>
      <c r="U461" s="6"/>
      <c r="V461" s="184"/>
      <c r="W461" s="184"/>
      <c r="X461" s="155"/>
      <c r="Y461" s="155"/>
      <c r="Z461" s="155"/>
      <c r="AA461" s="155"/>
      <c r="AB461" s="155"/>
      <c r="AC461" s="184"/>
      <c r="AD461" s="155"/>
      <c r="AE461" s="155"/>
      <c r="AF461" s="155"/>
      <c r="AG461" s="155"/>
      <c r="AH461" s="155"/>
      <c r="AI461" s="155"/>
      <c r="AJ461" s="155"/>
      <c r="AK461" s="155"/>
      <c r="AL461" s="155"/>
      <c r="AM461" s="155"/>
      <c r="AN461" s="155"/>
      <c r="AO461" s="155"/>
      <c r="AP461" s="155"/>
      <c r="AQ461" s="155"/>
      <c r="AR461" s="155"/>
      <c r="AS461" s="155"/>
      <c r="AT461" s="155"/>
      <c r="AU461" s="155"/>
      <c r="AV461" s="155"/>
      <c r="AW461" s="155"/>
    </row>
    <row r="462" spans="1:49" ht="16.5" customHeight="1">
      <c r="A462" s="155"/>
      <c r="B462" s="155"/>
      <c r="C462" s="1"/>
      <c r="D462" s="1"/>
      <c r="E462" s="1"/>
      <c r="F462" s="156"/>
      <c r="G462" s="157"/>
      <c r="H462" s="184"/>
      <c r="I462" s="184"/>
      <c r="J462" s="184"/>
      <c r="K462" s="184"/>
      <c r="L462" s="184"/>
      <c r="M462" s="4"/>
      <c r="N462" s="184"/>
      <c r="O462" s="1"/>
      <c r="P462" s="5"/>
      <c r="Q462" s="4"/>
      <c r="R462" s="1"/>
      <c r="S462" s="1"/>
      <c r="T462" s="1"/>
      <c r="U462" s="6"/>
      <c r="V462" s="184"/>
      <c r="W462" s="184"/>
      <c r="X462" s="155"/>
      <c r="Y462" s="155"/>
      <c r="Z462" s="155"/>
      <c r="AA462" s="155"/>
      <c r="AB462" s="155"/>
      <c r="AC462" s="184"/>
      <c r="AD462" s="155"/>
      <c r="AE462" s="155"/>
      <c r="AF462" s="155"/>
      <c r="AG462" s="155"/>
      <c r="AH462" s="155"/>
      <c r="AI462" s="155"/>
      <c r="AJ462" s="155"/>
      <c r="AK462" s="155"/>
      <c r="AL462" s="155"/>
      <c r="AM462" s="155"/>
      <c r="AN462" s="155"/>
      <c r="AO462" s="155"/>
      <c r="AP462" s="155"/>
      <c r="AQ462" s="155"/>
      <c r="AR462" s="155"/>
      <c r="AS462" s="155"/>
      <c r="AT462" s="155"/>
      <c r="AU462" s="155"/>
      <c r="AV462" s="155"/>
      <c r="AW462" s="155"/>
    </row>
    <row r="463" spans="1:49" ht="16.5" customHeight="1">
      <c r="A463" s="155"/>
      <c r="B463" s="155"/>
      <c r="C463" s="1"/>
      <c r="D463" s="1"/>
      <c r="E463" s="1"/>
      <c r="F463" s="156"/>
      <c r="G463" s="157"/>
      <c r="H463" s="184"/>
      <c r="I463" s="184"/>
      <c r="J463" s="184"/>
      <c r="K463" s="184"/>
      <c r="L463" s="184"/>
      <c r="M463" s="4"/>
      <c r="N463" s="184"/>
      <c r="O463" s="1"/>
      <c r="P463" s="5"/>
      <c r="Q463" s="4"/>
      <c r="R463" s="1"/>
      <c r="S463" s="1"/>
      <c r="T463" s="1"/>
      <c r="U463" s="6"/>
      <c r="V463" s="184"/>
      <c r="W463" s="184"/>
      <c r="X463" s="155"/>
      <c r="Y463" s="155"/>
      <c r="Z463" s="155"/>
      <c r="AA463" s="155"/>
      <c r="AB463" s="155"/>
      <c r="AC463" s="184"/>
      <c r="AD463" s="155"/>
      <c r="AE463" s="155"/>
      <c r="AF463" s="155"/>
      <c r="AG463" s="155"/>
      <c r="AH463" s="155"/>
      <c r="AI463" s="155"/>
      <c r="AJ463" s="155"/>
      <c r="AK463" s="155"/>
      <c r="AL463" s="155"/>
      <c r="AM463" s="155"/>
      <c r="AN463" s="155"/>
      <c r="AO463" s="155"/>
      <c r="AP463" s="155"/>
      <c r="AQ463" s="155"/>
      <c r="AR463" s="155"/>
      <c r="AS463" s="155"/>
      <c r="AT463" s="155"/>
      <c r="AU463" s="155"/>
      <c r="AV463" s="155"/>
      <c r="AW463" s="155"/>
    </row>
    <row r="464" spans="1:49" ht="16.5" customHeight="1">
      <c r="A464" s="155"/>
      <c r="B464" s="155"/>
      <c r="C464" s="1"/>
      <c r="D464" s="1"/>
      <c r="E464" s="1"/>
      <c r="F464" s="156"/>
      <c r="G464" s="157"/>
      <c r="H464" s="184"/>
      <c r="I464" s="184"/>
      <c r="J464" s="184"/>
      <c r="K464" s="184"/>
      <c r="L464" s="184"/>
      <c r="M464" s="4"/>
      <c r="N464" s="184"/>
      <c r="O464" s="1"/>
      <c r="P464" s="5"/>
      <c r="Q464" s="4"/>
      <c r="R464" s="1"/>
      <c r="S464" s="1"/>
      <c r="T464" s="1"/>
      <c r="U464" s="6"/>
      <c r="V464" s="184"/>
      <c r="W464" s="184"/>
      <c r="X464" s="155"/>
      <c r="Y464" s="155"/>
      <c r="Z464" s="155"/>
      <c r="AA464" s="155"/>
      <c r="AB464" s="155"/>
      <c r="AC464" s="184"/>
      <c r="AD464" s="155"/>
      <c r="AE464" s="155"/>
      <c r="AF464" s="155"/>
      <c r="AG464" s="155"/>
      <c r="AH464" s="155"/>
      <c r="AI464" s="155"/>
      <c r="AJ464" s="155"/>
      <c r="AK464" s="155"/>
      <c r="AL464" s="155"/>
      <c r="AM464" s="155"/>
      <c r="AN464" s="155"/>
      <c r="AO464" s="155"/>
      <c r="AP464" s="155"/>
      <c r="AQ464" s="155"/>
      <c r="AR464" s="155"/>
      <c r="AS464" s="155"/>
      <c r="AT464" s="155"/>
      <c r="AU464" s="155"/>
      <c r="AV464" s="155"/>
      <c r="AW464" s="155"/>
    </row>
    <row r="465" spans="1:49" ht="16.5" customHeight="1">
      <c r="A465" s="155"/>
      <c r="B465" s="155"/>
      <c r="C465" s="1"/>
      <c r="D465" s="1"/>
      <c r="E465" s="1"/>
      <c r="F465" s="156"/>
      <c r="G465" s="157"/>
      <c r="H465" s="184"/>
      <c r="I465" s="184"/>
      <c r="J465" s="184"/>
      <c r="K465" s="184"/>
      <c r="L465" s="184"/>
      <c r="M465" s="4"/>
      <c r="N465" s="184"/>
      <c r="O465" s="1"/>
      <c r="P465" s="5"/>
      <c r="Q465" s="4"/>
      <c r="R465" s="1"/>
      <c r="S465" s="1"/>
      <c r="T465" s="1"/>
      <c r="U465" s="6"/>
      <c r="V465" s="184"/>
      <c r="W465" s="184"/>
      <c r="X465" s="155"/>
      <c r="Y465" s="155"/>
      <c r="Z465" s="155"/>
      <c r="AA465" s="155"/>
      <c r="AB465" s="155"/>
      <c r="AC465" s="184"/>
      <c r="AD465" s="155"/>
      <c r="AE465" s="155"/>
      <c r="AF465" s="155"/>
      <c r="AG465" s="155"/>
      <c r="AH465" s="155"/>
      <c r="AI465" s="155"/>
      <c r="AJ465" s="155"/>
      <c r="AK465" s="155"/>
      <c r="AL465" s="155"/>
      <c r="AM465" s="155"/>
      <c r="AN465" s="155"/>
      <c r="AO465" s="155"/>
      <c r="AP465" s="155"/>
      <c r="AQ465" s="155"/>
      <c r="AR465" s="155"/>
      <c r="AS465" s="155"/>
      <c r="AT465" s="155"/>
      <c r="AU465" s="155"/>
      <c r="AV465" s="155"/>
      <c r="AW465" s="155"/>
    </row>
    <row r="466" spans="1:49" ht="16.5" customHeight="1">
      <c r="A466" s="155"/>
      <c r="B466" s="155"/>
      <c r="C466" s="1"/>
      <c r="D466" s="1"/>
      <c r="E466" s="1"/>
      <c r="F466" s="156"/>
      <c r="G466" s="157"/>
      <c r="H466" s="184"/>
      <c r="I466" s="184"/>
      <c r="J466" s="184"/>
      <c r="K466" s="184"/>
      <c r="L466" s="184"/>
      <c r="M466" s="4"/>
      <c r="N466" s="184"/>
      <c r="O466" s="1"/>
      <c r="P466" s="5"/>
      <c r="Q466" s="4"/>
      <c r="R466" s="1"/>
      <c r="S466" s="1"/>
      <c r="T466" s="1"/>
      <c r="U466" s="6"/>
      <c r="V466" s="184"/>
      <c r="W466" s="184"/>
      <c r="X466" s="155"/>
      <c r="Y466" s="155"/>
      <c r="Z466" s="155"/>
      <c r="AA466" s="155"/>
      <c r="AB466" s="155"/>
      <c r="AC466" s="184"/>
      <c r="AD466" s="155"/>
      <c r="AE466" s="155"/>
      <c r="AF466" s="155"/>
      <c r="AG466" s="155"/>
      <c r="AH466" s="155"/>
      <c r="AI466" s="155"/>
      <c r="AJ466" s="155"/>
      <c r="AK466" s="155"/>
      <c r="AL466" s="155"/>
      <c r="AM466" s="155"/>
      <c r="AN466" s="155"/>
      <c r="AO466" s="155"/>
      <c r="AP466" s="155"/>
      <c r="AQ466" s="155"/>
      <c r="AR466" s="155"/>
      <c r="AS466" s="155"/>
      <c r="AT466" s="155"/>
      <c r="AU466" s="155"/>
      <c r="AV466" s="155"/>
      <c r="AW466" s="155"/>
    </row>
    <row r="467" spans="1:49" ht="16.5" customHeight="1">
      <c r="A467" s="155"/>
      <c r="B467" s="155"/>
      <c r="C467" s="1"/>
      <c r="D467" s="1"/>
      <c r="E467" s="1"/>
      <c r="F467" s="156"/>
      <c r="G467" s="157"/>
      <c r="H467" s="184"/>
      <c r="I467" s="184"/>
      <c r="J467" s="184"/>
      <c r="K467" s="184"/>
      <c r="L467" s="184"/>
      <c r="M467" s="4"/>
      <c r="N467" s="184"/>
      <c r="O467" s="1"/>
      <c r="P467" s="5"/>
      <c r="Q467" s="4"/>
      <c r="R467" s="1"/>
      <c r="S467" s="1"/>
      <c r="T467" s="1"/>
      <c r="U467" s="6"/>
      <c r="V467" s="184"/>
      <c r="W467" s="184"/>
      <c r="X467" s="155"/>
      <c r="Y467" s="155"/>
      <c r="Z467" s="155"/>
      <c r="AA467" s="155"/>
      <c r="AB467" s="155"/>
      <c r="AC467" s="184"/>
      <c r="AD467" s="155"/>
      <c r="AE467" s="155"/>
      <c r="AF467" s="155"/>
      <c r="AG467" s="155"/>
      <c r="AH467" s="155"/>
      <c r="AI467" s="155"/>
      <c r="AJ467" s="155"/>
      <c r="AK467" s="155"/>
      <c r="AL467" s="155"/>
      <c r="AM467" s="155"/>
      <c r="AN467" s="155"/>
      <c r="AO467" s="155"/>
      <c r="AP467" s="155"/>
      <c r="AQ467" s="155"/>
      <c r="AR467" s="155"/>
      <c r="AS467" s="155"/>
      <c r="AT467" s="155"/>
      <c r="AU467" s="155"/>
      <c r="AV467" s="155"/>
      <c r="AW467" s="155"/>
    </row>
    <row r="468" spans="1:49" ht="16.5" customHeight="1">
      <c r="A468" s="155"/>
      <c r="B468" s="155"/>
      <c r="C468" s="1"/>
      <c r="D468" s="1"/>
      <c r="E468" s="1"/>
      <c r="F468" s="156"/>
      <c r="G468" s="157"/>
      <c r="H468" s="184"/>
      <c r="I468" s="184"/>
      <c r="J468" s="184"/>
      <c r="K468" s="184"/>
      <c r="L468" s="184"/>
      <c r="M468" s="4"/>
      <c r="N468" s="184"/>
      <c r="O468" s="1"/>
      <c r="P468" s="5"/>
      <c r="Q468" s="4"/>
      <c r="R468" s="1"/>
      <c r="S468" s="1"/>
      <c r="T468" s="1"/>
      <c r="U468" s="6"/>
      <c r="V468" s="184"/>
      <c r="W468" s="184"/>
      <c r="X468" s="155"/>
      <c r="Y468" s="155"/>
      <c r="Z468" s="155"/>
      <c r="AA468" s="155"/>
      <c r="AB468" s="155"/>
      <c r="AC468" s="184"/>
      <c r="AD468" s="155"/>
      <c r="AE468" s="155"/>
      <c r="AF468" s="155"/>
      <c r="AG468" s="155"/>
      <c r="AH468" s="155"/>
      <c r="AI468" s="155"/>
      <c r="AJ468" s="155"/>
      <c r="AK468" s="155"/>
      <c r="AL468" s="155"/>
      <c r="AM468" s="155"/>
      <c r="AN468" s="155"/>
      <c r="AO468" s="155"/>
      <c r="AP468" s="155"/>
      <c r="AQ468" s="155"/>
      <c r="AR468" s="155"/>
      <c r="AS468" s="155"/>
      <c r="AT468" s="155"/>
      <c r="AU468" s="155"/>
      <c r="AV468" s="155"/>
      <c r="AW468" s="155"/>
    </row>
    <row r="469" spans="1:49" ht="16.5" customHeight="1">
      <c r="A469" s="155"/>
      <c r="B469" s="155"/>
      <c r="C469" s="1"/>
      <c r="D469" s="1"/>
      <c r="E469" s="1"/>
      <c r="F469" s="156"/>
      <c r="G469" s="157"/>
      <c r="H469" s="184"/>
      <c r="I469" s="184"/>
      <c r="J469" s="184"/>
      <c r="K469" s="184"/>
      <c r="L469" s="184"/>
      <c r="M469" s="4"/>
      <c r="N469" s="184"/>
      <c r="O469" s="1"/>
      <c r="P469" s="5"/>
      <c r="Q469" s="4"/>
      <c r="R469" s="1"/>
      <c r="S469" s="1"/>
      <c r="T469" s="1"/>
      <c r="U469" s="6"/>
      <c r="V469" s="184"/>
      <c r="W469" s="184"/>
      <c r="X469" s="155"/>
      <c r="Y469" s="155"/>
      <c r="Z469" s="155"/>
      <c r="AA469" s="155"/>
      <c r="AB469" s="155"/>
      <c r="AC469" s="184"/>
      <c r="AD469" s="155"/>
      <c r="AE469" s="155"/>
      <c r="AF469" s="155"/>
      <c r="AG469" s="155"/>
      <c r="AH469" s="155"/>
      <c r="AI469" s="155"/>
      <c r="AJ469" s="155"/>
      <c r="AK469" s="155"/>
      <c r="AL469" s="155"/>
      <c r="AM469" s="155"/>
      <c r="AN469" s="155"/>
      <c r="AO469" s="155"/>
      <c r="AP469" s="155"/>
      <c r="AQ469" s="155"/>
      <c r="AR469" s="155"/>
      <c r="AS469" s="155"/>
      <c r="AT469" s="155"/>
      <c r="AU469" s="155"/>
      <c r="AV469" s="155"/>
      <c r="AW469" s="155"/>
    </row>
    <row r="470" spans="1:49" ht="16.5" customHeight="1">
      <c r="A470" s="155"/>
      <c r="B470" s="155"/>
      <c r="C470" s="1"/>
      <c r="D470" s="1"/>
      <c r="E470" s="1"/>
      <c r="F470" s="156"/>
      <c r="G470" s="157"/>
      <c r="H470" s="184"/>
      <c r="I470" s="184"/>
      <c r="J470" s="184"/>
      <c r="K470" s="184"/>
      <c r="L470" s="184"/>
      <c r="M470" s="4"/>
      <c r="N470" s="184"/>
      <c r="O470" s="1"/>
      <c r="P470" s="5"/>
      <c r="Q470" s="4"/>
      <c r="R470" s="1"/>
      <c r="S470" s="1"/>
      <c r="T470" s="1"/>
      <c r="U470" s="6"/>
      <c r="V470" s="184"/>
      <c r="W470" s="184"/>
      <c r="X470" s="155"/>
      <c r="Y470" s="155"/>
      <c r="Z470" s="155"/>
      <c r="AA470" s="155"/>
      <c r="AB470" s="155"/>
      <c r="AC470" s="184"/>
      <c r="AD470" s="155"/>
      <c r="AE470" s="155"/>
      <c r="AF470" s="155"/>
      <c r="AG470" s="155"/>
      <c r="AH470" s="155"/>
      <c r="AI470" s="155"/>
      <c r="AJ470" s="155"/>
      <c r="AK470" s="155"/>
      <c r="AL470" s="155"/>
      <c r="AM470" s="155"/>
      <c r="AN470" s="155"/>
      <c r="AO470" s="155"/>
      <c r="AP470" s="155"/>
      <c r="AQ470" s="155"/>
      <c r="AR470" s="155"/>
      <c r="AS470" s="155"/>
      <c r="AT470" s="155"/>
      <c r="AU470" s="155"/>
      <c r="AV470" s="155"/>
      <c r="AW470" s="155"/>
    </row>
    <row r="471" spans="1:49" ht="16.5" customHeight="1">
      <c r="A471" s="155"/>
      <c r="B471" s="155"/>
      <c r="C471" s="1"/>
      <c r="D471" s="1"/>
      <c r="E471" s="1"/>
      <c r="F471" s="156"/>
      <c r="G471" s="157"/>
      <c r="H471" s="184"/>
      <c r="I471" s="184"/>
      <c r="J471" s="184"/>
      <c r="K471" s="184"/>
      <c r="L471" s="184"/>
      <c r="M471" s="4"/>
      <c r="N471" s="184"/>
      <c r="O471" s="1"/>
      <c r="P471" s="5"/>
      <c r="Q471" s="4"/>
      <c r="R471" s="1"/>
      <c r="S471" s="1"/>
      <c r="T471" s="1"/>
      <c r="U471" s="6"/>
      <c r="V471" s="184"/>
      <c r="W471" s="184"/>
      <c r="X471" s="155"/>
      <c r="Y471" s="155"/>
      <c r="Z471" s="155"/>
      <c r="AA471" s="155"/>
      <c r="AB471" s="155"/>
      <c r="AC471" s="184"/>
      <c r="AD471" s="155"/>
      <c r="AE471" s="155"/>
      <c r="AF471" s="155"/>
      <c r="AG471" s="155"/>
      <c r="AH471" s="155"/>
      <c r="AI471" s="155"/>
      <c r="AJ471" s="155"/>
      <c r="AK471" s="155"/>
      <c r="AL471" s="155"/>
      <c r="AM471" s="155"/>
      <c r="AN471" s="155"/>
      <c r="AO471" s="155"/>
      <c r="AP471" s="155"/>
      <c r="AQ471" s="155"/>
      <c r="AR471" s="155"/>
      <c r="AS471" s="155"/>
      <c r="AT471" s="155"/>
      <c r="AU471" s="155"/>
      <c r="AV471" s="155"/>
      <c r="AW471" s="155"/>
    </row>
    <row r="472" spans="1:49" ht="16.5" customHeight="1">
      <c r="A472" s="155"/>
      <c r="B472" s="155"/>
      <c r="C472" s="1"/>
      <c r="D472" s="1"/>
      <c r="E472" s="1"/>
      <c r="F472" s="156"/>
      <c r="G472" s="157"/>
      <c r="H472" s="184"/>
      <c r="I472" s="184"/>
      <c r="J472" s="184"/>
      <c r="K472" s="184"/>
      <c r="L472" s="184"/>
      <c r="M472" s="4"/>
      <c r="N472" s="184"/>
      <c r="O472" s="1"/>
      <c r="P472" s="5"/>
      <c r="Q472" s="4"/>
      <c r="R472" s="1"/>
      <c r="S472" s="1"/>
      <c r="T472" s="1"/>
      <c r="U472" s="6"/>
      <c r="V472" s="184"/>
      <c r="W472" s="184"/>
      <c r="X472" s="155"/>
      <c r="Y472" s="155"/>
      <c r="Z472" s="155"/>
      <c r="AA472" s="155"/>
      <c r="AB472" s="155"/>
      <c r="AC472" s="184"/>
      <c r="AD472" s="155"/>
      <c r="AE472" s="155"/>
      <c r="AF472" s="155"/>
      <c r="AG472" s="155"/>
      <c r="AH472" s="155"/>
      <c r="AI472" s="155"/>
      <c r="AJ472" s="155"/>
      <c r="AK472" s="155"/>
      <c r="AL472" s="155"/>
      <c r="AM472" s="155"/>
      <c r="AN472" s="155"/>
      <c r="AO472" s="155"/>
      <c r="AP472" s="155"/>
      <c r="AQ472" s="155"/>
      <c r="AR472" s="155"/>
      <c r="AS472" s="155"/>
      <c r="AT472" s="155"/>
      <c r="AU472" s="155"/>
      <c r="AV472" s="155"/>
      <c r="AW472" s="155"/>
    </row>
    <row r="473" spans="1:49" ht="16.5" customHeight="1">
      <c r="A473" s="155"/>
      <c r="B473" s="155"/>
      <c r="C473" s="1"/>
      <c r="D473" s="1"/>
      <c r="E473" s="1"/>
      <c r="F473" s="156"/>
      <c r="G473" s="157"/>
      <c r="H473" s="184"/>
      <c r="I473" s="184"/>
      <c r="J473" s="184"/>
      <c r="K473" s="184"/>
      <c r="L473" s="184"/>
      <c r="M473" s="4"/>
      <c r="N473" s="184"/>
      <c r="O473" s="1"/>
      <c r="P473" s="5"/>
      <c r="Q473" s="4"/>
      <c r="R473" s="1"/>
      <c r="S473" s="1"/>
      <c r="T473" s="1"/>
      <c r="U473" s="6"/>
      <c r="V473" s="184"/>
      <c r="W473" s="184"/>
      <c r="X473" s="155"/>
      <c r="Y473" s="155"/>
      <c r="Z473" s="155"/>
      <c r="AA473" s="155"/>
      <c r="AB473" s="155"/>
      <c r="AC473" s="184"/>
      <c r="AD473" s="155"/>
      <c r="AE473" s="155"/>
      <c r="AF473" s="155"/>
      <c r="AG473" s="155"/>
      <c r="AH473" s="155"/>
      <c r="AI473" s="155"/>
      <c r="AJ473" s="155"/>
      <c r="AK473" s="155"/>
      <c r="AL473" s="155"/>
      <c r="AM473" s="155"/>
      <c r="AN473" s="155"/>
      <c r="AO473" s="155"/>
      <c r="AP473" s="155"/>
      <c r="AQ473" s="155"/>
      <c r="AR473" s="155"/>
      <c r="AS473" s="155"/>
      <c r="AT473" s="155"/>
      <c r="AU473" s="155"/>
      <c r="AV473" s="155"/>
      <c r="AW473" s="155"/>
    </row>
    <row r="474" spans="1:49" ht="16.5" customHeight="1">
      <c r="A474" s="155"/>
      <c r="B474" s="155"/>
      <c r="C474" s="1"/>
      <c r="D474" s="1"/>
      <c r="E474" s="1"/>
      <c r="F474" s="156"/>
      <c r="G474" s="157"/>
      <c r="H474" s="184"/>
      <c r="I474" s="184"/>
      <c r="J474" s="184"/>
      <c r="K474" s="184"/>
      <c r="L474" s="184"/>
      <c r="M474" s="4"/>
      <c r="N474" s="184"/>
      <c r="O474" s="1"/>
      <c r="P474" s="5"/>
      <c r="Q474" s="4"/>
      <c r="R474" s="1"/>
      <c r="S474" s="1"/>
      <c r="T474" s="1"/>
      <c r="U474" s="6"/>
      <c r="V474" s="184"/>
      <c r="W474" s="184"/>
      <c r="X474" s="155"/>
      <c r="Y474" s="155"/>
      <c r="Z474" s="155"/>
      <c r="AA474" s="155"/>
      <c r="AB474" s="155"/>
      <c r="AC474" s="184"/>
      <c r="AD474" s="155"/>
      <c r="AE474" s="155"/>
      <c r="AF474" s="155"/>
      <c r="AG474" s="155"/>
      <c r="AH474" s="155"/>
      <c r="AI474" s="155"/>
      <c r="AJ474" s="155"/>
      <c r="AK474" s="155"/>
      <c r="AL474" s="155"/>
      <c r="AM474" s="155"/>
      <c r="AN474" s="155"/>
      <c r="AO474" s="155"/>
      <c r="AP474" s="155"/>
      <c r="AQ474" s="155"/>
      <c r="AR474" s="155"/>
      <c r="AS474" s="155"/>
      <c r="AT474" s="155"/>
      <c r="AU474" s="155"/>
      <c r="AV474" s="155"/>
      <c r="AW474" s="155"/>
    </row>
    <row r="475" spans="1:49" ht="16.5" customHeight="1">
      <c r="A475" s="155"/>
      <c r="B475" s="155"/>
      <c r="C475" s="1"/>
      <c r="D475" s="1"/>
      <c r="E475" s="1"/>
      <c r="F475" s="156"/>
      <c r="G475" s="157"/>
      <c r="H475" s="184"/>
      <c r="I475" s="184"/>
      <c r="J475" s="184"/>
      <c r="K475" s="184"/>
      <c r="L475" s="184"/>
      <c r="M475" s="4"/>
      <c r="N475" s="184"/>
      <c r="O475" s="1"/>
      <c r="P475" s="5"/>
      <c r="Q475" s="4"/>
      <c r="R475" s="1"/>
      <c r="S475" s="1"/>
      <c r="T475" s="1"/>
      <c r="U475" s="6"/>
      <c r="V475" s="184"/>
      <c r="W475" s="184"/>
      <c r="X475" s="155"/>
      <c r="Y475" s="155"/>
      <c r="Z475" s="155"/>
      <c r="AA475" s="155"/>
      <c r="AB475" s="155"/>
      <c r="AC475" s="184"/>
      <c r="AD475" s="155"/>
      <c r="AE475" s="155"/>
      <c r="AF475" s="155"/>
      <c r="AG475" s="155"/>
      <c r="AH475" s="155"/>
      <c r="AI475" s="155"/>
      <c r="AJ475" s="155"/>
      <c r="AK475" s="155"/>
      <c r="AL475" s="155"/>
      <c r="AM475" s="155"/>
      <c r="AN475" s="155"/>
      <c r="AO475" s="155"/>
      <c r="AP475" s="155"/>
      <c r="AQ475" s="155"/>
      <c r="AR475" s="155"/>
      <c r="AS475" s="155"/>
      <c r="AT475" s="155"/>
      <c r="AU475" s="155"/>
      <c r="AV475" s="155"/>
      <c r="AW475" s="155"/>
    </row>
    <row r="476" spans="1:49" ht="16.5" customHeight="1">
      <c r="A476" s="155"/>
      <c r="B476" s="155"/>
      <c r="C476" s="1"/>
      <c r="D476" s="1"/>
      <c r="E476" s="1"/>
      <c r="F476" s="156"/>
      <c r="G476" s="157"/>
      <c r="H476" s="184"/>
      <c r="I476" s="184"/>
      <c r="J476" s="184"/>
      <c r="K476" s="184"/>
      <c r="L476" s="184"/>
      <c r="M476" s="4"/>
      <c r="N476" s="184"/>
      <c r="O476" s="1"/>
      <c r="P476" s="5"/>
      <c r="Q476" s="4"/>
      <c r="R476" s="1"/>
      <c r="S476" s="1"/>
      <c r="T476" s="1"/>
      <c r="U476" s="6"/>
      <c r="V476" s="184"/>
      <c r="W476" s="184"/>
      <c r="X476" s="155"/>
      <c r="Y476" s="155"/>
      <c r="Z476" s="155"/>
      <c r="AA476" s="155"/>
      <c r="AB476" s="155"/>
      <c r="AC476" s="184"/>
      <c r="AD476" s="155"/>
      <c r="AE476" s="155"/>
      <c r="AF476" s="155"/>
      <c r="AG476" s="155"/>
      <c r="AH476" s="155"/>
      <c r="AI476" s="155"/>
      <c r="AJ476" s="155"/>
      <c r="AK476" s="155"/>
      <c r="AL476" s="155"/>
      <c r="AM476" s="155"/>
      <c r="AN476" s="155"/>
      <c r="AO476" s="155"/>
      <c r="AP476" s="155"/>
      <c r="AQ476" s="155"/>
      <c r="AR476" s="155"/>
      <c r="AS476" s="155"/>
      <c r="AT476" s="155"/>
      <c r="AU476" s="155"/>
      <c r="AV476" s="155"/>
      <c r="AW476" s="155"/>
    </row>
    <row r="477" spans="1:49" ht="16.5" customHeight="1">
      <c r="A477" s="155"/>
      <c r="B477" s="155"/>
      <c r="C477" s="1"/>
      <c r="D477" s="1"/>
      <c r="E477" s="1"/>
      <c r="F477" s="156"/>
      <c r="G477" s="157"/>
      <c r="H477" s="184"/>
      <c r="I477" s="184"/>
      <c r="J477" s="184"/>
      <c r="K477" s="184"/>
      <c r="L477" s="184"/>
      <c r="M477" s="4"/>
      <c r="N477" s="184"/>
      <c r="O477" s="1"/>
      <c r="P477" s="5"/>
      <c r="Q477" s="4"/>
      <c r="R477" s="1"/>
      <c r="S477" s="1"/>
      <c r="T477" s="1"/>
      <c r="U477" s="6"/>
      <c r="V477" s="184"/>
      <c r="W477" s="184"/>
      <c r="X477" s="155"/>
      <c r="Y477" s="155"/>
      <c r="Z477" s="155"/>
      <c r="AA477" s="155"/>
      <c r="AB477" s="155"/>
      <c r="AC477" s="184"/>
      <c r="AD477" s="155"/>
      <c r="AE477" s="155"/>
      <c r="AF477" s="155"/>
      <c r="AG477" s="155"/>
      <c r="AH477" s="155"/>
      <c r="AI477" s="155"/>
      <c r="AJ477" s="155"/>
      <c r="AK477" s="155"/>
      <c r="AL477" s="155"/>
      <c r="AM477" s="155"/>
      <c r="AN477" s="155"/>
      <c r="AO477" s="155"/>
      <c r="AP477" s="155"/>
      <c r="AQ477" s="155"/>
      <c r="AR477" s="155"/>
      <c r="AS477" s="155"/>
      <c r="AT477" s="155"/>
      <c r="AU477" s="155"/>
      <c r="AV477" s="155"/>
      <c r="AW477" s="155"/>
    </row>
    <row r="478" spans="1:49" ht="16.5" customHeight="1">
      <c r="A478" s="155"/>
      <c r="B478" s="155"/>
      <c r="C478" s="1"/>
      <c r="D478" s="1"/>
      <c r="E478" s="1"/>
      <c r="F478" s="156"/>
      <c r="G478" s="157"/>
      <c r="H478" s="184"/>
      <c r="I478" s="184"/>
      <c r="J478" s="184"/>
      <c r="K478" s="184"/>
      <c r="L478" s="184"/>
      <c r="M478" s="4"/>
      <c r="N478" s="184"/>
      <c r="O478" s="1"/>
      <c r="P478" s="5"/>
      <c r="Q478" s="4"/>
      <c r="R478" s="1"/>
      <c r="S478" s="1"/>
      <c r="T478" s="1"/>
      <c r="U478" s="6"/>
      <c r="V478" s="184"/>
      <c r="W478" s="184"/>
      <c r="X478" s="155"/>
      <c r="Y478" s="155"/>
      <c r="Z478" s="155"/>
      <c r="AA478" s="155"/>
      <c r="AB478" s="155"/>
      <c r="AC478" s="184"/>
      <c r="AD478" s="155"/>
      <c r="AE478" s="155"/>
      <c r="AF478" s="155"/>
      <c r="AG478" s="155"/>
      <c r="AH478" s="155"/>
      <c r="AI478" s="155"/>
      <c r="AJ478" s="155"/>
      <c r="AK478" s="155"/>
      <c r="AL478" s="155"/>
      <c r="AM478" s="155"/>
      <c r="AN478" s="155"/>
      <c r="AO478" s="155"/>
      <c r="AP478" s="155"/>
      <c r="AQ478" s="155"/>
      <c r="AR478" s="155"/>
      <c r="AS478" s="155"/>
      <c r="AT478" s="155"/>
      <c r="AU478" s="155"/>
      <c r="AV478" s="155"/>
      <c r="AW478" s="155"/>
    </row>
    <row r="479" spans="1:49" ht="16.5" customHeight="1">
      <c r="A479" s="155"/>
      <c r="B479" s="155"/>
      <c r="C479" s="1"/>
      <c r="D479" s="1"/>
      <c r="E479" s="1"/>
      <c r="F479" s="156"/>
      <c r="G479" s="157"/>
      <c r="H479" s="184"/>
      <c r="I479" s="184"/>
      <c r="J479" s="184"/>
      <c r="K479" s="184"/>
      <c r="L479" s="184"/>
      <c r="M479" s="4"/>
      <c r="N479" s="184"/>
      <c r="O479" s="1"/>
      <c r="P479" s="5"/>
      <c r="Q479" s="4"/>
      <c r="R479" s="1"/>
      <c r="S479" s="1"/>
      <c r="T479" s="1"/>
      <c r="U479" s="6"/>
      <c r="V479" s="184"/>
      <c r="W479" s="184"/>
      <c r="X479" s="155"/>
      <c r="Y479" s="155"/>
      <c r="Z479" s="155"/>
      <c r="AA479" s="155"/>
      <c r="AB479" s="155"/>
      <c r="AC479" s="184"/>
      <c r="AD479" s="155"/>
      <c r="AE479" s="155"/>
      <c r="AF479" s="155"/>
      <c r="AG479" s="155"/>
      <c r="AH479" s="155"/>
      <c r="AI479" s="155"/>
      <c r="AJ479" s="155"/>
      <c r="AK479" s="155"/>
      <c r="AL479" s="155"/>
      <c r="AM479" s="155"/>
      <c r="AN479" s="155"/>
      <c r="AO479" s="155"/>
      <c r="AP479" s="155"/>
      <c r="AQ479" s="155"/>
      <c r="AR479" s="155"/>
      <c r="AS479" s="155"/>
      <c r="AT479" s="155"/>
      <c r="AU479" s="155"/>
      <c r="AV479" s="155"/>
      <c r="AW479" s="155"/>
    </row>
    <row r="480" spans="1:49" ht="16.5" customHeight="1">
      <c r="A480" s="155"/>
      <c r="B480" s="155"/>
      <c r="C480" s="1"/>
      <c r="D480" s="1"/>
      <c r="E480" s="1"/>
      <c r="F480" s="156"/>
      <c r="G480" s="157"/>
      <c r="H480" s="184"/>
      <c r="I480" s="184"/>
      <c r="J480" s="184"/>
      <c r="K480" s="184"/>
      <c r="L480" s="184"/>
      <c r="M480" s="4"/>
      <c r="N480" s="184"/>
      <c r="O480" s="1"/>
      <c r="P480" s="5"/>
      <c r="Q480" s="4"/>
      <c r="R480" s="1"/>
      <c r="S480" s="1"/>
      <c r="T480" s="1"/>
      <c r="U480" s="6"/>
      <c r="V480" s="184"/>
      <c r="W480" s="184"/>
      <c r="X480" s="155"/>
      <c r="Y480" s="155"/>
      <c r="Z480" s="155"/>
      <c r="AA480" s="155"/>
      <c r="AB480" s="155"/>
      <c r="AC480" s="184"/>
      <c r="AD480" s="155"/>
      <c r="AE480" s="155"/>
      <c r="AF480" s="155"/>
      <c r="AG480" s="155"/>
      <c r="AH480" s="155"/>
      <c r="AI480" s="155"/>
      <c r="AJ480" s="155"/>
      <c r="AK480" s="155"/>
      <c r="AL480" s="155"/>
      <c r="AM480" s="155"/>
      <c r="AN480" s="155"/>
      <c r="AO480" s="155"/>
      <c r="AP480" s="155"/>
      <c r="AQ480" s="155"/>
      <c r="AR480" s="155"/>
      <c r="AS480" s="155"/>
      <c r="AT480" s="155"/>
      <c r="AU480" s="155"/>
      <c r="AV480" s="155"/>
      <c r="AW480" s="155"/>
    </row>
    <row r="481" spans="1:49" ht="16.5" customHeight="1">
      <c r="A481" s="155"/>
      <c r="B481" s="155"/>
      <c r="C481" s="1"/>
      <c r="D481" s="1"/>
      <c r="E481" s="1"/>
      <c r="F481" s="156"/>
      <c r="G481" s="157"/>
      <c r="H481" s="184"/>
      <c r="I481" s="184"/>
      <c r="J481" s="184"/>
      <c r="K481" s="184"/>
      <c r="L481" s="184"/>
      <c r="M481" s="4"/>
      <c r="N481" s="184"/>
      <c r="O481" s="1"/>
      <c r="P481" s="5"/>
      <c r="Q481" s="4"/>
      <c r="R481" s="1"/>
      <c r="S481" s="1"/>
      <c r="T481" s="1"/>
      <c r="U481" s="6"/>
      <c r="V481" s="184"/>
      <c r="W481" s="184"/>
      <c r="X481" s="155"/>
      <c r="Y481" s="155"/>
      <c r="Z481" s="155"/>
      <c r="AA481" s="155"/>
      <c r="AB481" s="155"/>
      <c r="AC481" s="184"/>
      <c r="AD481" s="155"/>
      <c r="AE481" s="155"/>
      <c r="AF481" s="155"/>
      <c r="AG481" s="155"/>
      <c r="AH481" s="155"/>
      <c r="AI481" s="155"/>
      <c r="AJ481" s="155"/>
      <c r="AK481" s="155"/>
      <c r="AL481" s="155"/>
      <c r="AM481" s="155"/>
      <c r="AN481" s="155"/>
      <c r="AO481" s="155"/>
      <c r="AP481" s="155"/>
      <c r="AQ481" s="155"/>
      <c r="AR481" s="155"/>
      <c r="AS481" s="155"/>
      <c r="AT481" s="155"/>
      <c r="AU481" s="155"/>
      <c r="AV481" s="155"/>
      <c r="AW481" s="155"/>
    </row>
    <row r="482" spans="1:49" ht="16.5" customHeight="1">
      <c r="A482" s="155"/>
      <c r="B482" s="155"/>
      <c r="C482" s="1"/>
      <c r="D482" s="1"/>
      <c r="E482" s="1"/>
      <c r="F482" s="156"/>
      <c r="G482" s="157"/>
      <c r="H482" s="184"/>
      <c r="I482" s="184"/>
      <c r="J482" s="184"/>
      <c r="K482" s="184"/>
      <c r="L482" s="184"/>
      <c r="M482" s="4"/>
      <c r="N482" s="184"/>
      <c r="O482" s="1"/>
      <c r="P482" s="5"/>
      <c r="Q482" s="4"/>
      <c r="R482" s="1"/>
      <c r="S482" s="1"/>
      <c r="T482" s="1"/>
      <c r="U482" s="6"/>
      <c r="V482" s="184"/>
      <c r="W482" s="184"/>
      <c r="X482" s="155"/>
      <c r="Y482" s="155"/>
      <c r="Z482" s="155"/>
      <c r="AA482" s="155"/>
      <c r="AB482" s="155"/>
      <c r="AC482" s="184"/>
      <c r="AD482" s="155"/>
      <c r="AE482" s="155"/>
      <c r="AF482" s="155"/>
      <c r="AG482" s="155"/>
      <c r="AH482" s="155"/>
      <c r="AI482" s="155"/>
      <c r="AJ482" s="155"/>
      <c r="AK482" s="155"/>
      <c r="AL482" s="155"/>
      <c r="AM482" s="155"/>
      <c r="AN482" s="155"/>
      <c r="AO482" s="155"/>
      <c r="AP482" s="155"/>
      <c r="AQ482" s="155"/>
      <c r="AR482" s="155"/>
      <c r="AS482" s="155"/>
      <c r="AT482" s="155"/>
      <c r="AU482" s="155"/>
      <c r="AV482" s="155"/>
      <c r="AW482" s="155"/>
    </row>
    <row r="483" spans="1:49" ht="16.5" customHeight="1">
      <c r="A483" s="155"/>
      <c r="B483" s="155"/>
      <c r="C483" s="1"/>
      <c r="D483" s="1"/>
      <c r="E483" s="1"/>
      <c r="F483" s="156"/>
      <c r="G483" s="157"/>
      <c r="H483" s="184"/>
      <c r="I483" s="184"/>
      <c r="J483" s="184"/>
      <c r="K483" s="184"/>
      <c r="L483" s="184"/>
      <c r="M483" s="4"/>
      <c r="N483" s="184"/>
      <c r="O483" s="1"/>
      <c r="P483" s="5"/>
      <c r="Q483" s="4"/>
      <c r="R483" s="1"/>
      <c r="S483" s="1"/>
      <c r="T483" s="1"/>
      <c r="U483" s="6"/>
      <c r="V483" s="184"/>
      <c r="W483" s="184"/>
      <c r="X483" s="155"/>
      <c r="Y483" s="155"/>
      <c r="Z483" s="155"/>
      <c r="AA483" s="155"/>
      <c r="AB483" s="155"/>
      <c r="AC483" s="184"/>
      <c r="AD483" s="155"/>
      <c r="AE483" s="155"/>
      <c r="AF483" s="155"/>
      <c r="AG483" s="155"/>
      <c r="AH483" s="155"/>
      <c r="AI483" s="155"/>
      <c r="AJ483" s="155"/>
      <c r="AK483" s="155"/>
      <c r="AL483" s="155"/>
      <c r="AM483" s="155"/>
      <c r="AN483" s="155"/>
      <c r="AO483" s="155"/>
      <c r="AP483" s="155"/>
      <c r="AQ483" s="155"/>
      <c r="AR483" s="155"/>
      <c r="AS483" s="155"/>
      <c r="AT483" s="155"/>
      <c r="AU483" s="155"/>
      <c r="AV483" s="155"/>
      <c r="AW483" s="155"/>
    </row>
    <row r="484" spans="1:49" ht="16.5" customHeight="1">
      <c r="A484" s="155"/>
      <c r="B484" s="155"/>
      <c r="C484" s="1"/>
      <c r="D484" s="1"/>
      <c r="E484" s="1"/>
      <c r="F484" s="156"/>
      <c r="G484" s="157"/>
      <c r="H484" s="184"/>
      <c r="I484" s="184"/>
      <c r="J484" s="184"/>
      <c r="K484" s="184"/>
      <c r="L484" s="184"/>
      <c r="M484" s="4"/>
      <c r="N484" s="184"/>
      <c r="O484" s="1"/>
      <c r="P484" s="5"/>
      <c r="Q484" s="4"/>
      <c r="R484" s="1"/>
      <c r="S484" s="1"/>
      <c r="T484" s="1"/>
      <c r="U484" s="6"/>
      <c r="V484" s="184"/>
      <c r="W484" s="184"/>
      <c r="X484" s="155"/>
      <c r="Y484" s="155"/>
      <c r="Z484" s="155"/>
      <c r="AA484" s="155"/>
      <c r="AB484" s="155"/>
      <c r="AC484" s="184"/>
      <c r="AD484" s="155"/>
      <c r="AE484" s="155"/>
      <c r="AF484" s="155"/>
      <c r="AG484" s="155"/>
      <c r="AH484" s="155"/>
      <c r="AI484" s="155"/>
      <c r="AJ484" s="155"/>
      <c r="AK484" s="155"/>
      <c r="AL484" s="155"/>
      <c r="AM484" s="155"/>
      <c r="AN484" s="155"/>
      <c r="AO484" s="155"/>
      <c r="AP484" s="155"/>
      <c r="AQ484" s="155"/>
      <c r="AR484" s="155"/>
      <c r="AS484" s="155"/>
      <c r="AT484" s="155"/>
      <c r="AU484" s="155"/>
      <c r="AV484" s="155"/>
      <c r="AW484" s="155"/>
    </row>
    <row r="485" spans="1:49" ht="16.5" customHeight="1">
      <c r="A485" s="155"/>
      <c r="B485" s="155"/>
      <c r="C485" s="1"/>
      <c r="D485" s="1"/>
      <c r="E485" s="1"/>
      <c r="F485" s="156"/>
      <c r="G485" s="157"/>
      <c r="H485" s="184"/>
      <c r="I485" s="184"/>
      <c r="J485" s="184"/>
      <c r="K485" s="184"/>
      <c r="L485" s="184"/>
      <c r="M485" s="4"/>
      <c r="N485" s="184"/>
      <c r="O485" s="1"/>
      <c r="P485" s="5"/>
      <c r="Q485" s="4"/>
      <c r="R485" s="1"/>
      <c r="S485" s="1"/>
      <c r="T485" s="1"/>
      <c r="U485" s="6"/>
      <c r="V485" s="184"/>
      <c r="W485" s="184"/>
      <c r="X485" s="155"/>
      <c r="Y485" s="155"/>
      <c r="Z485" s="155"/>
      <c r="AA485" s="155"/>
      <c r="AB485" s="155"/>
      <c r="AC485" s="184"/>
      <c r="AD485" s="155"/>
      <c r="AE485" s="155"/>
      <c r="AF485" s="155"/>
      <c r="AG485" s="155"/>
      <c r="AH485" s="155"/>
      <c r="AI485" s="155"/>
      <c r="AJ485" s="155"/>
      <c r="AK485" s="155"/>
      <c r="AL485" s="155"/>
      <c r="AM485" s="155"/>
      <c r="AN485" s="155"/>
      <c r="AO485" s="155"/>
      <c r="AP485" s="155"/>
      <c r="AQ485" s="155"/>
      <c r="AR485" s="155"/>
      <c r="AS485" s="155"/>
      <c r="AT485" s="155"/>
      <c r="AU485" s="155"/>
      <c r="AV485" s="155"/>
      <c r="AW485" s="155"/>
    </row>
    <row r="486" spans="1:49" ht="16.5" customHeight="1">
      <c r="A486" s="155"/>
      <c r="B486" s="155"/>
      <c r="C486" s="1"/>
      <c r="D486" s="1"/>
      <c r="E486" s="1"/>
      <c r="F486" s="156"/>
      <c r="G486" s="157"/>
      <c r="H486" s="184"/>
      <c r="I486" s="184"/>
      <c r="J486" s="184"/>
      <c r="K486" s="184"/>
      <c r="L486" s="184"/>
      <c r="M486" s="4"/>
      <c r="N486" s="184"/>
      <c r="O486" s="1"/>
      <c r="P486" s="5"/>
      <c r="Q486" s="4"/>
      <c r="R486" s="1"/>
      <c r="S486" s="1"/>
      <c r="T486" s="1"/>
      <c r="U486" s="6"/>
      <c r="V486" s="184"/>
      <c r="W486" s="184"/>
      <c r="X486" s="155"/>
      <c r="Y486" s="155"/>
      <c r="Z486" s="155"/>
      <c r="AA486" s="155"/>
      <c r="AB486" s="155"/>
      <c r="AC486" s="184"/>
      <c r="AD486" s="155"/>
      <c r="AE486" s="155"/>
      <c r="AF486" s="155"/>
      <c r="AG486" s="155"/>
      <c r="AH486" s="155"/>
      <c r="AI486" s="155"/>
      <c r="AJ486" s="155"/>
      <c r="AK486" s="155"/>
      <c r="AL486" s="155"/>
      <c r="AM486" s="155"/>
      <c r="AN486" s="155"/>
      <c r="AO486" s="155"/>
      <c r="AP486" s="155"/>
      <c r="AQ486" s="155"/>
      <c r="AR486" s="155"/>
      <c r="AS486" s="155"/>
      <c r="AT486" s="155"/>
      <c r="AU486" s="155"/>
      <c r="AV486" s="155"/>
      <c r="AW486" s="155"/>
    </row>
    <row r="487" spans="1:49" ht="16.5" customHeight="1">
      <c r="A487" s="155"/>
      <c r="B487" s="155"/>
      <c r="C487" s="1"/>
      <c r="D487" s="1"/>
      <c r="E487" s="1"/>
      <c r="F487" s="156"/>
      <c r="G487" s="157"/>
      <c r="H487" s="184"/>
      <c r="I487" s="184"/>
      <c r="J487" s="184"/>
      <c r="K487" s="184"/>
      <c r="L487" s="184"/>
      <c r="M487" s="4"/>
      <c r="N487" s="184"/>
      <c r="O487" s="1"/>
      <c r="P487" s="5"/>
      <c r="Q487" s="4"/>
      <c r="R487" s="1"/>
      <c r="S487" s="1"/>
      <c r="T487" s="1"/>
      <c r="U487" s="6"/>
      <c r="V487" s="184"/>
      <c r="W487" s="184"/>
      <c r="X487" s="155"/>
      <c r="Y487" s="155"/>
      <c r="Z487" s="155"/>
      <c r="AA487" s="155"/>
      <c r="AB487" s="155"/>
      <c r="AC487" s="184"/>
      <c r="AD487" s="155"/>
      <c r="AE487" s="155"/>
      <c r="AF487" s="155"/>
      <c r="AG487" s="155"/>
      <c r="AH487" s="155"/>
      <c r="AI487" s="155"/>
      <c r="AJ487" s="155"/>
      <c r="AK487" s="155"/>
      <c r="AL487" s="155"/>
      <c r="AM487" s="155"/>
      <c r="AN487" s="155"/>
      <c r="AO487" s="155"/>
      <c r="AP487" s="155"/>
      <c r="AQ487" s="155"/>
      <c r="AR487" s="155"/>
      <c r="AS487" s="155"/>
      <c r="AT487" s="155"/>
      <c r="AU487" s="155"/>
      <c r="AV487" s="155"/>
      <c r="AW487" s="155"/>
    </row>
    <row r="488" spans="1:49" ht="16.5" customHeight="1">
      <c r="A488" s="155"/>
      <c r="B488" s="155"/>
      <c r="C488" s="1"/>
      <c r="D488" s="1"/>
      <c r="E488" s="1"/>
      <c r="F488" s="156"/>
      <c r="G488" s="157"/>
      <c r="H488" s="184"/>
      <c r="I488" s="184"/>
      <c r="J488" s="184"/>
      <c r="K488" s="184"/>
      <c r="L488" s="184"/>
      <c r="M488" s="4"/>
      <c r="N488" s="184"/>
      <c r="O488" s="1"/>
      <c r="P488" s="5"/>
      <c r="Q488" s="4"/>
      <c r="R488" s="1"/>
      <c r="S488" s="1"/>
      <c r="T488" s="1"/>
      <c r="U488" s="6"/>
      <c r="V488" s="184"/>
      <c r="W488" s="184"/>
      <c r="X488" s="155"/>
      <c r="Y488" s="155"/>
      <c r="Z488" s="155"/>
      <c r="AA488" s="155"/>
      <c r="AB488" s="155"/>
      <c r="AC488" s="184"/>
      <c r="AD488" s="155"/>
      <c r="AE488" s="155"/>
      <c r="AF488" s="155"/>
      <c r="AG488" s="155"/>
      <c r="AH488" s="155"/>
      <c r="AI488" s="155"/>
      <c r="AJ488" s="155"/>
      <c r="AK488" s="155"/>
      <c r="AL488" s="155"/>
      <c r="AM488" s="155"/>
      <c r="AN488" s="155"/>
      <c r="AO488" s="155"/>
      <c r="AP488" s="155"/>
      <c r="AQ488" s="155"/>
      <c r="AR488" s="155"/>
      <c r="AS488" s="155"/>
      <c r="AT488" s="155"/>
      <c r="AU488" s="155"/>
      <c r="AV488" s="155"/>
      <c r="AW488" s="155"/>
    </row>
    <row r="489" spans="1:49" ht="16.5" customHeight="1">
      <c r="A489" s="155"/>
      <c r="B489" s="155"/>
      <c r="C489" s="1"/>
      <c r="D489" s="1"/>
      <c r="E489" s="1"/>
      <c r="F489" s="156"/>
      <c r="G489" s="157"/>
      <c r="H489" s="184"/>
      <c r="I489" s="184"/>
      <c r="J489" s="184"/>
      <c r="K489" s="184"/>
      <c r="L489" s="184"/>
      <c r="M489" s="4"/>
      <c r="N489" s="184"/>
      <c r="O489" s="1"/>
      <c r="P489" s="5"/>
      <c r="Q489" s="4"/>
      <c r="R489" s="1"/>
      <c r="S489" s="1"/>
      <c r="T489" s="1"/>
      <c r="U489" s="6"/>
      <c r="V489" s="184"/>
      <c r="W489" s="184"/>
      <c r="X489" s="155"/>
      <c r="Y489" s="155"/>
      <c r="Z489" s="155"/>
      <c r="AA489" s="155"/>
      <c r="AB489" s="155"/>
      <c r="AC489" s="184"/>
      <c r="AD489" s="155"/>
      <c r="AE489" s="155"/>
      <c r="AF489" s="155"/>
      <c r="AG489" s="155"/>
      <c r="AH489" s="155"/>
      <c r="AI489" s="155"/>
      <c r="AJ489" s="155"/>
      <c r="AK489" s="155"/>
      <c r="AL489" s="155"/>
      <c r="AM489" s="155"/>
      <c r="AN489" s="155"/>
      <c r="AO489" s="155"/>
      <c r="AP489" s="155"/>
      <c r="AQ489" s="155"/>
      <c r="AR489" s="155"/>
      <c r="AS489" s="155"/>
      <c r="AT489" s="155"/>
      <c r="AU489" s="155"/>
      <c r="AV489" s="155"/>
      <c r="AW489" s="155"/>
    </row>
    <row r="490" spans="1:49" ht="16.5" customHeight="1">
      <c r="A490" s="155"/>
      <c r="B490" s="155"/>
      <c r="C490" s="1"/>
      <c r="D490" s="1"/>
      <c r="E490" s="1"/>
      <c r="F490" s="156"/>
      <c r="G490" s="157"/>
      <c r="H490" s="184"/>
      <c r="I490" s="184"/>
      <c r="J490" s="184"/>
      <c r="K490" s="184"/>
      <c r="L490" s="184"/>
      <c r="M490" s="4"/>
      <c r="N490" s="184"/>
      <c r="O490" s="1"/>
      <c r="P490" s="5"/>
      <c r="Q490" s="4"/>
      <c r="R490" s="1"/>
      <c r="S490" s="1"/>
      <c r="T490" s="1"/>
      <c r="U490" s="6"/>
      <c r="V490" s="184"/>
      <c r="W490" s="184"/>
      <c r="X490" s="155"/>
      <c r="Y490" s="155"/>
      <c r="Z490" s="155"/>
      <c r="AA490" s="155"/>
      <c r="AB490" s="155"/>
      <c r="AC490" s="184"/>
      <c r="AD490" s="155"/>
      <c r="AE490" s="155"/>
      <c r="AF490" s="155"/>
      <c r="AG490" s="155"/>
      <c r="AH490" s="155"/>
      <c r="AI490" s="155"/>
      <c r="AJ490" s="155"/>
      <c r="AK490" s="155"/>
      <c r="AL490" s="155"/>
      <c r="AM490" s="155"/>
      <c r="AN490" s="155"/>
      <c r="AO490" s="155"/>
      <c r="AP490" s="155"/>
      <c r="AQ490" s="155"/>
      <c r="AR490" s="155"/>
      <c r="AS490" s="155"/>
      <c r="AT490" s="155"/>
      <c r="AU490" s="155"/>
      <c r="AV490" s="155"/>
      <c r="AW490" s="155"/>
    </row>
    <row r="491" spans="1:49" ht="16.5" customHeight="1">
      <c r="A491" s="155"/>
      <c r="B491" s="155"/>
      <c r="C491" s="1"/>
      <c r="D491" s="1"/>
      <c r="E491" s="1"/>
      <c r="F491" s="156"/>
      <c r="G491" s="157"/>
      <c r="H491" s="184"/>
      <c r="I491" s="184"/>
      <c r="J491" s="184"/>
      <c r="K491" s="184"/>
      <c r="L491" s="184"/>
      <c r="M491" s="4"/>
      <c r="N491" s="184"/>
      <c r="O491" s="1"/>
      <c r="P491" s="5"/>
      <c r="Q491" s="4"/>
      <c r="R491" s="1"/>
      <c r="S491" s="1"/>
      <c r="T491" s="1"/>
      <c r="U491" s="6"/>
      <c r="V491" s="184"/>
      <c r="W491" s="184"/>
      <c r="X491" s="155"/>
      <c r="Y491" s="155"/>
      <c r="Z491" s="155"/>
      <c r="AA491" s="155"/>
      <c r="AB491" s="155"/>
      <c r="AC491" s="184"/>
      <c r="AD491" s="155"/>
      <c r="AE491" s="155"/>
      <c r="AF491" s="155"/>
      <c r="AG491" s="155"/>
      <c r="AH491" s="155"/>
      <c r="AI491" s="155"/>
      <c r="AJ491" s="155"/>
      <c r="AK491" s="155"/>
      <c r="AL491" s="155"/>
      <c r="AM491" s="155"/>
      <c r="AN491" s="155"/>
      <c r="AO491" s="155"/>
      <c r="AP491" s="155"/>
      <c r="AQ491" s="155"/>
      <c r="AR491" s="155"/>
      <c r="AS491" s="155"/>
      <c r="AT491" s="155"/>
      <c r="AU491" s="155"/>
      <c r="AV491" s="155"/>
      <c r="AW491" s="155"/>
    </row>
    <row r="492" spans="1:49" ht="16.5" customHeight="1">
      <c r="A492" s="155"/>
      <c r="B492" s="155"/>
      <c r="C492" s="1"/>
      <c r="D492" s="1"/>
      <c r="E492" s="1"/>
      <c r="F492" s="156"/>
      <c r="G492" s="157"/>
      <c r="H492" s="184"/>
      <c r="I492" s="184"/>
      <c r="J492" s="184"/>
      <c r="K492" s="184"/>
      <c r="L492" s="184"/>
      <c r="M492" s="4"/>
      <c r="N492" s="184"/>
      <c r="O492" s="1"/>
      <c r="P492" s="5"/>
      <c r="Q492" s="4"/>
      <c r="R492" s="1"/>
      <c r="S492" s="1"/>
      <c r="T492" s="1"/>
      <c r="U492" s="6"/>
      <c r="V492" s="184"/>
      <c r="W492" s="184"/>
      <c r="X492" s="155"/>
      <c r="Y492" s="155"/>
      <c r="Z492" s="155"/>
      <c r="AA492" s="155"/>
      <c r="AB492" s="155"/>
      <c r="AC492" s="184"/>
      <c r="AD492" s="155"/>
      <c r="AE492" s="155"/>
      <c r="AF492" s="155"/>
      <c r="AG492" s="155"/>
      <c r="AH492" s="155"/>
      <c r="AI492" s="155"/>
      <c r="AJ492" s="155"/>
      <c r="AK492" s="155"/>
      <c r="AL492" s="155"/>
      <c r="AM492" s="155"/>
      <c r="AN492" s="155"/>
      <c r="AO492" s="155"/>
      <c r="AP492" s="155"/>
      <c r="AQ492" s="155"/>
      <c r="AR492" s="155"/>
      <c r="AS492" s="155"/>
      <c r="AT492" s="155"/>
      <c r="AU492" s="155"/>
      <c r="AV492" s="155"/>
      <c r="AW492" s="155"/>
    </row>
    <row r="493" spans="1:49" ht="16.5" customHeight="1">
      <c r="A493" s="155"/>
      <c r="B493" s="155"/>
      <c r="C493" s="1"/>
      <c r="D493" s="1"/>
      <c r="E493" s="1"/>
      <c r="F493" s="156"/>
      <c r="G493" s="157"/>
      <c r="H493" s="184"/>
      <c r="I493" s="184"/>
      <c r="J493" s="184"/>
      <c r="K493" s="184"/>
      <c r="L493" s="184"/>
      <c r="M493" s="4"/>
      <c r="N493" s="184"/>
      <c r="O493" s="1"/>
      <c r="P493" s="5"/>
      <c r="Q493" s="4"/>
      <c r="R493" s="1"/>
      <c r="S493" s="1"/>
      <c r="T493" s="1"/>
      <c r="U493" s="6"/>
      <c r="V493" s="184"/>
      <c r="W493" s="184"/>
      <c r="X493" s="155"/>
      <c r="Y493" s="155"/>
      <c r="Z493" s="155"/>
      <c r="AA493" s="155"/>
      <c r="AB493" s="155"/>
      <c r="AC493" s="184"/>
      <c r="AD493" s="155"/>
      <c r="AE493" s="155"/>
      <c r="AF493" s="155"/>
      <c r="AG493" s="155"/>
      <c r="AH493" s="155"/>
      <c r="AI493" s="155"/>
      <c r="AJ493" s="155"/>
      <c r="AK493" s="155"/>
      <c r="AL493" s="155"/>
      <c r="AM493" s="155"/>
      <c r="AN493" s="155"/>
      <c r="AO493" s="155"/>
      <c r="AP493" s="155"/>
      <c r="AQ493" s="155"/>
      <c r="AR493" s="155"/>
      <c r="AS493" s="155"/>
      <c r="AT493" s="155"/>
      <c r="AU493" s="155"/>
      <c r="AV493" s="155"/>
      <c r="AW493" s="155"/>
    </row>
    <row r="494" spans="1:49" ht="16.5" customHeight="1">
      <c r="A494" s="155"/>
      <c r="B494" s="155"/>
      <c r="C494" s="1"/>
      <c r="D494" s="1"/>
      <c r="E494" s="1"/>
      <c r="F494" s="156"/>
      <c r="G494" s="157"/>
      <c r="H494" s="184"/>
      <c r="I494" s="184"/>
      <c r="J494" s="184"/>
      <c r="K494" s="184"/>
      <c r="L494" s="184"/>
      <c r="M494" s="4"/>
      <c r="N494" s="184"/>
      <c r="O494" s="1"/>
      <c r="P494" s="5"/>
      <c r="Q494" s="4"/>
      <c r="R494" s="1"/>
      <c r="S494" s="1"/>
      <c r="T494" s="1"/>
      <c r="U494" s="6"/>
      <c r="V494" s="184"/>
      <c r="W494" s="184"/>
      <c r="X494" s="155"/>
      <c r="Y494" s="155"/>
      <c r="Z494" s="155"/>
      <c r="AA494" s="155"/>
      <c r="AB494" s="155"/>
      <c r="AC494" s="184"/>
      <c r="AD494" s="155"/>
      <c r="AE494" s="155"/>
      <c r="AF494" s="155"/>
      <c r="AG494" s="155"/>
      <c r="AH494" s="155"/>
      <c r="AI494" s="155"/>
      <c r="AJ494" s="155"/>
      <c r="AK494" s="155"/>
      <c r="AL494" s="155"/>
      <c r="AM494" s="155"/>
      <c r="AN494" s="155"/>
      <c r="AO494" s="155"/>
      <c r="AP494" s="155"/>
      <c r="AQ494" s="155"/>
      <c r="AR494" s="155"/>
      <c r="AS494" s="155"/>
      <c r="AT494" s="155"/>
      <c r="AU494" s="155"/>
      <c r="AV494" s="155"/>
      <c r="AW494" s="155"/>
    </row>
    <row r="495" spans="1:49" ht="16.5" customHeight="1">
      <c r="A495" s="155"/>
      <c r="B495" s="155"/>
      <c r="C495" s="1"/>
      <c r="D495" s="1"/>
      <c r="E495" s="1"/>
      <c r="F495" s="156"/>
      <c r="G495" s="157"/>
      <c r="H495" s="184"/>
      <c r="I495" s="184"/>
      <c r="J495" s="184"/>
      <c r="K495" s="184"/>
      <c r="L495" s="184"/>
      <c r="M495" s="4"/>
      <c r="N495" s="184"/>
      <c r="O495" s="1"/>
      <c r="P495" s="5"/>
      <c r="Q495" s="4"/>
      <c r="R495" s="1"/>
      <c r="S495" s="1"/>
      <c r="T495" s="1"/>
      <c r="U495" s="6"/>
      <c r="V495" s="184"/>
      <c r="W495" s="184"/>
      <c r="X495" s="155"/>
      <c r="Y495" s="155"/>
      <c r="Z495" s="155"/>
      <c r="AA495" s="155"/>
      <c r="AB495" s="155"/>
      <c r="AC495" s="184"/>
      <c r="AD495" s="155"/>
      <c r="AE495" s="155"/>
      <c r="AF495" s="155"/>
      <c r="AG495" s="155"/>
      <c r="AH495" s="155"/>
      <c r="AI495" s="155"/>
      <c r="AJ495" s="155"/>
      <c r="AK495" s="155"/>
      <c r="AL495" s="155"/>
      <c r="AM495" s="155"/>
      <c r="AN495" s="155"/>
      <c r="AO495" s="155"/>
      <c r="AP495" s="155"/>
      <c r="AQ495" s="155"/>
      <c r="AR495" s="155"/>
      <c r="AS495" s="155"/>
      <c r="AT495" s="155"/>
      <c r="AU495" s="155"/>
      <c r="AV495" s="155"/>
      <c r="AW495" s="155"/>
    </row>
    <row r="496" spans="1:49" ht="16.5" customHeight="1">
      <c r="A496" s="155"/>
      <c r="B496" s="155"/>
      <c r="C496" s="1"/>
      <c r="D496" s="1"/>
      <c r="E496" s="1"/>
      <c r="F496" s="156"/>
      <c r="G496" s="157"/>
      <c r="H496" s="184"/>
      <c r="I496" s="184"/>
      <c r="J496" s="184"/>
      <c r="K496" s="184"/>
      <c r="L496" s="184"/>
      <c r="M496" s="4"/>
      <c r="N496" s="184"/>
      <c r="O496" s="1"/>
      <c r="P496" s="5"/>
      <c r="Q496" s="4"/>
      <c r="R496" s="1"/>
      <c r="S496" s="1"/>
      <c r="T496" s="1"/>
      <c r="U496" s="6"/>
      <c r="V496" s="184"/>
      <c r="W496" s="184"/>
      <c r="X496" s="155"/>
      <c r="Y496" s="155"/>
      <c r="Z496" s="155"/>
      <c r="AA496" s="155"/>
      <c r="AB496" s="155"/>
      <c r="AC496" s="184"/>
      <c r="AD496" s="155"/>
      <c r="AE496" s="155"/>
      <c r="AF496" s="155"/>
      <c r="AG496" s="155"/>
      <c r="AH496" s="155"/>
      <c r="AI496" s="155"/>
      <c r="AJ496" s="155"/>
      <c r="AK496" s="155"/>
      <c r="AL496" s="155"/>
      <c r="AM496" s="155"/>
      <c r="AN496" s="155"/>
      <c r="AO496" s="155"/>
      <c r="AP496" s="155"/>
      <c r="AQ496" s="155"/>
      <c r="AR496" s="155"/>
      <c r="AS496" s="155"/>
      <c r="AT496" s="155"/>
      <c r="AU496" s="155"/>
      <c r="AV496" s="155"/>
      <c r="AW496" s="155"/>
    </row>
    <row r="497" spans="1:49" ht="16.5" customHeight="1">
      <c r="A497" s="155"/>
      <c r="B497" s="155"/>
      <c r="C497" s="1"/>
      <c r="D497" s="1"/>
      <c r="E497" s="1"/>
      <c r="F497" s="156"/>
      <c r="G497" s="157"/>
      <c r="H497" s="184"/>
      <c r="I497" s="184"/>
      <c r="J497" s="184"/>
      <c r="K497" s="184"/>
      <c r="L497" s="184"/>
      <c r="M497" s="4"/>
      <c r="N497" s="184"/>
      <c r="O497" s="1"/>
      <c r="P497" s="5"/>
      <c r="Q497" s="4"/>
      <c r="R497" s="1"/>
      <c r="S497" s="1"/>
      <c r="T497" s="1"/>
      <c r="U497" s="6"/>
      <c r="V497" s="184"/>
      <c r="W497" s="184"/>
      <c r="X497" s="155"/>
      <c r="Y497" s="155"/>
      <c r="Z497" s="155"/>
      <c r="AA497" s="155"/>
      <c r="AB497" s="155"/>
      <c r="AC497" s="184"/>
      <c r="AD497" s="155"/>
      <c r="AE497" s="155"/>
      <c r="AF497" s="155"/>
      <c r="AG497" s="155"/>
      <c r="AH497" s="155"/>
      <c r="AI497" s="155"/>
      <c r="AJ497" s="155"/>
      <c r="AK497" s="155"/>
      <c r="AL497" s="155"/>
      <c r="AM497" s="155"/>
      <c r="AN497" s="155"/>
      <c r="AO497" s="155"/>
      <c r="AP497" s="155"/>
      <c r="AQ497" s="155"/>
      <c r="AR497" s="155"/>
      <c r="AS497" s="155"/>
      <c r="AT497" s="155"/>
      <c r="AU497" s="155"/>
      <c r="AV497" s="155"/>
      <c r="AW497" s="155"/>
    </row>
    <row r="498" spans="1:49" ht="16.5" customHeight="1">
      <c r="A498" s="155"/>
      <c r="B498" s="155"/>
      <c r="C498" s="1"/>
      <c r="D498" s="1"/>
      <c r="E498" s="1"/>
      <c r="F498" s="156"/>
      <c r="G498" s="157"/>
      <c r="H498" s="184"/>
      <c r="I498" s="184"/>
      <c r="J498" s="184"/>
      <c r="K498" s="184"/>
      <c r="L498" s="184"/>
      <c r="M498" s="4"/>
      <c r="N498" s="184"/>
      <c r="O498" s="1"/>
      <c r="P498" s="5"/>
      <c r="Q498" s="4"/>
      <c r="R498" s="1"/>
      <c r="S498" s="1"/>
      <c r="T498" s="1"/>
      <c r="U498" s="6"/>
      <c r="V498" s="184"/>
      <c r="W498" s="184"/>
      <c r="X498" s="155"/>
      <c r="Y498" s="155"/>
      <c r="Z498" s="155"/>
      <c r="AA498" s="155"/>
      <c r="AB498" s="155"/>
      <c r="AC498" s="184"/>
      <c r="AD498" s="155"/>
      <c r="AE498" s="155"/>
      <c r="AF498" s="155"/>
      <c r="AG498" s="155"/>
      <c r="AH498" s="155"/>
      <c r="AI498" s="155"/>
      <c r="AJ498" s="155"/>
      <c r="AK498" s="155"/>
      <c r="AL498" s="155"/>
      <c r="AM498" s="155"/>
      <c r="AN498" s="155"/>
      <c r="AO498" s="155"/>
      <c r="AP498" s="155"/>
      <c r="AQ498" s="155"/>
      <c r="AR498" s="155"/>
      <c r="AS498" s="155"/>
      <c r="AT498" s="155"/>
      <c r="AU498" s="155"/>
      <c r="AV498" s="155"/>
      <c r="AW498" s="155"/>
    </row>
    <row r="499" spans="1:49" ht="16.5" customHeight="1">
      <c r="A499" s="155"/>
      <c r="B499" s="155"/>
      <c r="C499" s="1"/>
      <c r="D499" s="1"/>
      <c r="E499" s="1"/>
      <c r="F499" s="156"/>
      <c r="G499" s="157"/>
      <c r="H499" s="184"/>
      <c r="I499" s="184"/>
      <c r="J499" s="184"/>
      <c r="K499" s="184"/>
      <c r="L499" s="184"/>
      <c r="M499" s="4"/>
      <c r="N499" s="184"/>
      <c r="O499" s="1"/>
      <c r="P499" s="5"/>
      <c r="Q499" s="4"/>
      <c r="R499" s="1"/>
      <c r="S499" s="1"/>
      <c r="T499" s="1"/>
      <c r="U499" s="6"/>
      <c r="V499" s="184"/>
      <c r="W499" s="184"/>
      <c r="X499" s="155"/>
      <c r="Y499" s="155"/>
      <c r="Z499" s="155"/>
      <c r="AA499" s="155"/>
      <c r="AB499" s="155"/>
      <c r="AC499" s="184"/>
      <c r="AD499" s="155"/>
      <c r="AE499" s="155"/>
      <c r="AF499" s="155"/>
      <c r="AG499" s="155"/>
      <c r="AH499" s="155"/>
      <c r="AI499" s="155"/>
      <c r="AJ499" s="155"/>
      <c r="AK499" s="155"/>
      <c r="AL499" s="155"/>
      <c r="AM499" s="155"/>
      <c r="AN499" s="155"/>
      <c r="AO499" s="155"/>
      <c r="AP499" s="155"/>
      <c r="AQ499" s="155"/>
      <c r="AR499" s="155"/>
      <c r="AS499" s="155"/>
      <c r="AT499" s="155"/>
      <c r="AU499" s="155"/>
      <c r="AV499" s="155"/>
      <c r="AW499" s="155"/>
    </row>
    <row r="500" spans="1:49" ht="16.5" customHeight="1">
      <c r="A500" s="155"/>
      <c r="B500" s="155"/>
      <c r="C500" s="1"/>
      <c r="D500" s="1"/>
      <c r="E500" s="1"/>
      <c r="F500" s="156"/>
      <c r="G500" s="157"/>
      <c r="H500" s="184"/>
      <c r="I500" s="184"/>
      <c r="J500" s="184"/>
      <c r="K500" s="184"/>
      <c r="L500" s="184"/>
      <c r="M500" s="4"/>
      <c r="N500" s="184"/>
      <c r="O500" s="1"/>
      <c r="P500" s="5"/>
      <c r="Q500" s="4"/>
      <c r="R500" s="1"/>
      <c r="S500" s="1"/>
      <c r="T500" s="1"/>
      <c r="U500" s="6"/>
      <c r="V500" s="184"/>
      <c r="W500" s="184"/>
      <c r="X500" s="155"/>
      <c r="Y500" s="155"/>
      <c r="Z500" s="155"/>
      <c r="AA500" s="155"/>
      <c r="AB500" s="155"/>
      <c r="AC500" s="184"/>
      <c r="AD500" s="155"/>
      <c r="AE500" s="155"/>
      <c r="AF500" s="155"/>
      <c r="AG500" s="155"/>
      <c r="AH500" s="155"/>
      <c r="AI500" s="155"/>
      <c r="AJ500" s="155"/>
      <c r="AK500" s="155"/>
      <c r="AL500" s="155"/>
      <c r="AM500" s="155"/>
      <c r="AN500" s="155"/>
      <c r="AO500" s="155"/>
      <c r="AP500" s="155"/>
      <c r="AQ500" s="155"/>
      <c r="AR500" s="155"/>
      <c r="AS500" s="155"/>
      <c r="AT500" s="155"/>
      <c r="AU500" s="155"/>
      <c r="AV500" s="155"/>
      <c r="AW500" s="155"/>
    </row>
    <row r="501" spans="1:49" ht="16.5" customHeight="1">
      <c r="A501" s="155"/>
      <c r="B501" s="155"/>
      <c r="C501" s="1"/>
      <c r="D501" s="1"/>
      <c r="E501" s="1"/>
      <c r="F501" s="156"/>
      <c r="G501" s="157"/>
      <c r="H501" s="184"/>
      <c r="I501" s="184"/>
      <c r="J501" s="184"/>
      <c r="K501" s="184"/>
      <c r="L501" s="184"/>
      <c r="M501" s="4"/>
      <c r="N501" s="184"/>
      <c r="O501" s="1"/>
      <c r="P501" s="5"/>
      <c r="Q501" s="4"/>
      <c r="R501" s="1"/>
      <c r="S501" s="1"/>
      <c r="T501" s="1"/>
      <c r="U501" s="6"/>
      <c r="V501" s="184"/>
      <c r="W501" s="184"/>
      <c r="X501" s="155"/>
      <c r="Y501" s="155"/>
      <c r="Z501" s="155"/>
      <c r="AA501" s="155"/>
      <c r="AB501" s="155"/>
      <c r="AC501" s="184"/>
      <c r="AD501" s="155"/>
      <c r="AE501" s="155"/>
      <c r="AF501" s="155"/>
      <c r="AG501" s="155"/>
      <c r="AH501" s="155"/>
      <c r="AI501" s="155"/>
      <c r="AJ501" s="155"/>
      <c r="AK501" s="155"/>
      <c r="AL501" s="155"/>
      <c r="AM501" s="155"/>
      <c r="AN501" s="155"/>
      <c r="AO501" s="155"/>
      <c r="AP501" s="155"/>
      <c r="AQ501" s="155"/>
      <c r="AR501" s="155"/>
      <c r="AS501" s="155"/>
      <c r="AT501" s="155"/>
      <c r="AU501" s="155"/>
      <c r="AV501" s="155"/>
      <c r="AW501" s="155"/>
    </row>
    <row r="502" spans="1:49" ht="16.5" customHeight="1">
      <c r="A502" s="155"/>
      <c r="B502" s="155"/>
      <c r="C502" s="1"/>
      <c r="D502" s="1"/>
      <c r="E502" s="1"/>
      <c r="F502" s="156"/>
      <c r="G502" s="157"/>
      <c r="H502" s="184"/>
      <c r="I502" s="184"/>
      <c r="J502" s="184"/>
      <c r="K502" s="184"/>
      <c r="L502" s="184"/>
      <c r="M502" s="4"/>
      <c r="N502" s="184"/>
      <c r="O502" s="1"/>
      <c r="P502" s="5"/>
      <c r="Q502" s="4"/>
      <c r="R502" s="1"/>
      <c r="S502" s="1"/>
      <c r="T502" s="1"/>
      <c r="U502" s="6"/>
      <c r="V502" s="184"/>
      <c r="W502" s="184"/>
      <c r="X502" s="155"/>
      <c r="Y502" s="155"/>
      <c r="Z502" s="155"/>
      <c r="AA502" s="155"/>
      <c r="AB502" s="155"/>
      <c r="AC502" s="184"/>
      <c r="AD502" s="155"/>
      <c r="AE502" s="155"/>
      <c r="AF502" s="155"/>
      <c r="AG502" s="155"/>
      <c r="AH502" s="155"/>
      <c r="AI502" s="155"/>
      <c r="AJ502" s="155"/>
      <c r="AK502" s="155"/>
      <c r="AL502" s="155"/>
      <c r="AM502" s="155"/>
      <c r="AN502" s="155"/>
      <c r="AO502" s="155"/>
      <c r="AP502" s="155"/>
      <c r="AQ502" s="155"/>
      <c r="AR502" s="155"/>
      <c r="AS502" s="155"/>
      <c r="AT502" s="155"/>
      <c r="AU502" s="155"/>
      <c r="AV502" s="155"/>
      <c r="AW502" s="155"/>
    </row>
    <row r="503" spans="1:49" ht="16.5" customHeight="1">
      <c r="A503" s="155"/>
      <c r="B503" s="155"/>
      <c r="C503" s="1"/>
      <c r="D503" s="1"/>
      <c r="E503" s="1"/>
      <c r="F503" s="156"/>
      <c r="G503" s="157"/>
      <c r="H503" s="184"/>
      <c r="I503" s="184"/>
      <c r="J503" s="184"/>
      <c r="K503" s="184"/>
      <c r="L503" s="184"/>
      <c r="M503" s="4"/>
      <c r="N503" s="184"/>
      <c r="O503" s="1"/>
      <c r="P503" s="5"/>
      <c r="Q503" s="4"/>
      <c r="R503" s="1"/>
      <c r="S503" s="1"/>
      <c r="T503" s="1"/>
      <c r="U503" s="6"/>
      <c r="V503" s="184"/>
      <c r="W503" s="184"/>
      <c r="X503" s="155"/>
      <c r="Y503" s="155"/>
      <c r="Z503" s="155"/>
      <c r="AA503" s="155"/>
      <c r="AB503" s="155"/>
      <c r="AC503" s="184"/>
      <c r="AD503" s="155"/>
      <c r="AE503" s="155"/>
      <c r="AF503" s="155"/>
      <c r="AG503" s="155"/>
      <c r="AH503" s="155"/>
      <c r="AI503" s="155"/>
      <c r="AJ503" s="155"/>
      <c r="AK503" s="155"/>
      <c r="AL503" s="155"/>
      <c r="AM503" s="155"/>
      <c r="AN503" s="155"/>
      <c r="AO503" s="155"/>
      <c r="AP503" s="155"/>
      <c r="AQ503" s="155"/>
      <c r="AR503" s="155"/>
      <c r="AS503" s="155"/>
      <c r="AT503" s="155"/>
      <c r="AU503" s="155"/>
      <c r="AV503" s="155"/>
      <c r="AW503" s="155"/>
    </row>
    <row r="504" spans="1:49" ht="16.5" customHeight="1">
      <c r="A504" s="155"/>
      <c r="B504" s="155"/>
      <c r="C504" s="1"/>
      <c r="D504" s="1"/>
      <c r="E504" s="1"/>
      <c r="F504" s="156"/>
      <c r="G504" s="157"/>
      <c r="H504" s="184"/>
      <c r="I504" s="184"/>
      <c r="J504" s="184"/>
      <c r="K504" s="184"/>
      <c r="L504" s="184"/>
      <c r="M504" s="4"/>
      <c r="N504" s="184"/>
      <c r="O504" s="1"/>
      <c r="P504" s="5"/>
      <c r="Q504" s="4"/>
      <c r="R504" s="1"/>
      <c r="S504" s="1"/>
      <c r="T504" s="1"/>
      <c r="U504" s="6"/>
      <c r="V504" s="184"/>
      <c r="W504" s="184"/>
      <c r="X504" s="155"/>
      <c r="Y504" s="155"/>
      <c r="Z504" s="155"/>
      <c r="AA504" s="155"/>
      <c r="AB504" s="155"/>
      <c r="AC504" s="184"/>
      <c r="AD504" s="155"/>
      <c r="AE504" s="155"/>
      <c r="AF504" s="155"/>
      <c r="AG504" s="155"/>
      <c r="AH504" s="155"/>
      <c r="AI504" s="155"/>
      <c r="AJ504" s="155"/>
      <c r="AK504" s="155"/>
      <c r="AL504" s="155"/>
      <c r="AM504" s="155"/>
      <c r="AN504" s="155"/>
      <c r="AO504" s="155"/>
      <c r="AP504" s="155"/>
      <c r="AQ504" s="155"/>
      <c r="AR504" s="155"/>
      <c r="AS504" s="155"/>
      <c r="AT504" s="155"/>
      <c r="AU504" s="155"/>
      <c r="AV504" s="155"/>
      <c r="AW504" s="155"/>
    </row>
    <row r="505" spans="1:49" ht="16.5" customHeight="1">
      <c r="A505" s="155"/>
      <c r="B505" s="155"/>
      <c r="C505" s="1"/>
      <c r="D505" s="1"/>
      <c r="E505" s="1"/>
      <c r="F505" s="156"/>
      <c r="G505" s="157"/>
      <c r="H505" s="184"/>
      <c r="I505" s="184"/>
      <c r="J505" s="184"/>
      <c r="K505" s="184"/>
      <c r="L505" s="184"/>
      <c r="M505" s="4"/>
      <c r="N505" s="184"/>
      <c r="O505" s="1"/>
      <c r="P505" s="5"/>
      <c r="Q505" s="4"/>
      <c r="R505" s="1"/>
      <c r="S505" s="1"/>
      <c r="T505" s="1"/>
      <c r="U505" s="6"/>
      <c r="V505" s="184"/>
      <c r="W505" s="184"/>
      <c r="X505" s="155"/>
      <c r="Y505" s="155"/>
      <c r="Z505" s="155"/>
      <c r="AA505" s="155"/>
      <c r="AB505" s="155"/>
      <c r="AC505" s="184"/>
      <c r="AD505" s="155"/>
      <c r="AE505" s="155"/>
      <c r="AF505" s="155"/>
      <c r="AG505" s="155"/>
      <c r="AH505" s="155"/>
      <c r="AI505" s="155"/>
      <c r="AJ505" s="155"/>
      <c r="AK505" s="155"/>
      <c r="AL505" s="155"/>
      <c r="AM505" s="155"/>
      <c r="AN505" s="155"/>
      <c r="AO505" s="155"/>
      <c r="AP505" s="155"/>
      <c r="AQ505" s="155"/>
      <c r="AR505" s="155"/>
      <c r="AS505" s="155"/>
      <c r="AT505" s="155"/>
      <c r="AU505" s="155"/>
      <c r="AV505" s="155"/>
      <c r="AW505" s="155"/>
    </row>
    <row r="506" spans="1:49" ht="16.5" customHeight="1">
      <c r="A506" s="155"/>
      <c r="B506" s="155"/>
      <c r="C506" s="1"/>
      <c r="D506" s="1"/>
      <c r="E506" s="1"/>
      <c r="F506" s="156"/>
      <c r="G506" s="157"/>
      <c r="H506" s="184"/>
      <c r="I506" s="184"/>
      <c r="J506" s="184"/>
      <c r="K506" s="184"/>
      <c r="L506" s="184"/>
      <c r="M506" s="4"/>
      <c r="N506" s="184"/>
      <c r="O506" s="1"/>
      <c r="P506" s="5"/>
      <c r="Q506" s="4"/>
      <c r="R506" s="1"/>
      <c r="S506" s="1"/>
      <c r="T506" s="1"/>
      <c r="U506" s="6"/>
      <c r="V506" s="184"/>
      <c r="W506" s="184"/>
      <c r="X506" s="155"/>
      <c r="Y506" s="155"/>
      <c r="Z506" s="155"/>
      <c r="AA506" s="155"/>
      <c r="AB506" s="155"/>
      <c r="AC506" s="184"/>
      <c r="AD506" s="155"/>
      <c r="AE506" s="155"/>
      <c r="AF506" s="155"/>
      <c r="AG506" s="155"/>
      <c r="AH506" s="155"/>
      <c r="AI506" s="155"/>
      <c r="AJ506" s="155"/>
      <c r="AK506" s="155"/>
      <c r="AL506" s="155"/>
      <c r="AM506" s="155"/>
      <c r="AN506" s="155"/>
      <c r="AO506" s="155"/>
      <c r="AP506" s="155"/>
      <c r="AQ506" s="155"/>
      <c r="AR506" s="155"/>
      <c r="AS506" s="155"/>
      <c r="AT506" s="155"/>
      <c r="AU506" s="155"/>
      <c r="AV506" s="155"/>
      <c r="AW506" s="155"/>
    </row>
    <row r="507" spans="1:49" ht="16.5" customHeight="1">
      <c r="A507" s="155"/>
      <c r="B507" s="155"/>
      <c r="C507" s="1"/>
      <c r="D507" s="1"/>
      <c r="E507" s="1"/>
      <c r="F507" s="156"/>
      <c r="G507" s="157"/>
      <c r="H507" s="184"/>
      <c r="I507" s="184"/>
      <c r="J507" s="184"/>
      <c r="K507" s="184"/>
      <c r="L507" s="184"/>
      <c r="M507" s="4"/>
      <c r="N507" s="184"/>
      <c r="O507" s="1"/>
      <c r="P507" s="5"/>
      <c r="Q507" s="4"/>
      <c r="R507" s="1"/>
      <c r="S507" s="1"/>
      <c r="T507" s="1"/>
      <c r="U507" s="6"/>
      <c r="V507" s="184"/>
      <c r="W507" s="184"/>
      <c r="X507" s="155"/>
      <c r="Y507" s="155"/>
      <c r="Z507" s="155"/>
      <c r="AA507" s="155"/>
      <c r="AB507" s="155"/>
      <c r="AC507" s="184"/>
      <c r="AD507" s="155"/>
      <c r="AE507" s="155"/>
      <c r="AF507" s="155"/>
      <c r="AG507" s="155"/>
      <c r="AH507" s="155"/>
      <c r="AI507" s="155"/>
      <c r="AJ507" s="155"/>
      <c r="AK507" s="155"/>
      <c r="AL507" s="155"/>
      <c r="AM507" s="155"/>
      <c r="AN507" s="155"/>
      <c r="AO507" s="155"/>
      <c r="AP507" s="155"/>
      <c r="AQ507" s="155"/>
      <c r="AR507" s="155"/>
      <c r="AS507" s="155"/>
      <c r="AT507" s="155"/>
      <c r="AU507" s="155"/>
      <c r="AV507" s="155"/>
      <c r="AW507" s="155"/>
    </row>
    <row r="508" spans="1:49" ht="16.5" customHeight="1">
      <c r="A508" s="155"/>
      <c r="B508" s="155"/>
      <c r="C508" s="1"/>
      <c r="D508" s="1"/>
      <c r="E508" s="1"/>
      <c r="F508" s="156"/>
      <c r="G508" s="157"/>
      <c r="H508" s="184"/>
      <c r="I508" s="184"/>
      <c r="J508" s="184"/>
      <c r="K508" s="184"/>
      <c r="L508" s="184"/>
      <c r="M508" s="4"/>
      <c r="N508" s="184"/>
      <c r="O508" s="1"/>
      <c r="P508" s="5"/>
      <c r="Q508" s="4"/>
      <c r="R508" s="1"/>
      <c r="S508" s="1"/>
      <c r="T508" s="1"/>
      <c r="U508" s="6"/>
      <c r="V508" s="184"/>
      <c r="W508" s="184"/>
      <c r="X508" s="155"/>
      <c r="Y508" s="155"/>
      <c r="Z508" s="155"/>
      <c r="AA508" s="155"/>
      <c r="AB508" s="155"/>
      <c r="AC508" s="184"/>
      <c r="AD508" s="155"/>
      <c r="AE508" s="155"/>
      <c r="AF508" s="155"/>
      <c r="AG508" s="155"/>
      <c r="AH508" s="155"/>
      <c r="AI508" s="155"/>
      <c r="AJ508" s="155"/>
      <c r="AK508" s="155"/>
      <c r="AL508" s="155"/>
      <c r="AM508" s="155"/>
      <c r="AN508" s="155"/>
      <c r="AO508" s="155"/>
      <c r="AP508" s="155"/>
      <c r="AQ508" s="155"/>
      <c r="AR508" s="155"/>
      <c r="AS508" s="155"/>
      <c r="AT508" s="155"/>
      <c r="AU508" s="155"/>
      <c r="AV508" s="155"/>
      <c r="AW508" s="155"/>
    </row>
    <row r="509" spans="1:49" ht="16.5" customHeight="1">
      <c r="A509" s="155"/>
      <c r="B509" s="155"/>
      <c r="C509" s="1"/>
      <c r="D509" s="1"/>
      <c r="E509" s="1"/>
      <c r="F509" s="156"/>
      <c r="G509" s="157"/>
      <c r="H509" s="184"/>
      <c r="I509" s="184"/>
      <c r="J509" s="184"/>
      <c r="K509" s="184"/>
      <c r="L509" s="184"/>
      <c r="M509" s="4"/>
      <c r="N509" s="184"/>
      <c r="O509" s="1"/>
      <c r="P509" s="5"/>
      <c r="Q509" s="4"/>
      <c r="R509" s="1"/>
      <c r="S509" s="1"/>
      <c r="T509" s="1"/>
      <c r="U509" s="6"/>
      <c r="V509" s="184"/>
      <c r="W509" s="184"/>
      <c r="X509" s="155"/>
      <c r="Y509" s="155"/>
      <c r="Z509" s="155"/>
      <c r="AA509" s="155"/>
      <c r="AB509" s="155"/>
      <c r="AC509" s="184"/>
      <c r="AD509" s="155"/>
      <c r="AE509" s="155"/>
      <c r="AF509" s="155"/>
      <c r="AG509" s="155"/>
      <c r="AH509" s="155"/>
      <c r="AI509" s="155"/>
      <c r="AJ509" s="155"/>
      <c r="AK509" s="155"/>
      <c r="AL509" s="155"/>
      <c r="AM509" s="155"/>
      <c r="AN509" s="155"/>
      <c r="AO509" s="155"/>
      <c r="AP509" s="155"/>
      <c r="AQ509" s="155"/>
      <c r="AR509" s="155"/>
      <c r="AS509" s="155"/>
      <c r="AT509" s="155"/>
      <c r="AU509" s="155"/>
      <c r="AV509" s="155"/>
      <c r="AW509" s="155"/>
    </row>
    <row r="510" spans="1:49" ht="16.5" customHeight="1">
      <c r="A510" s="155"/>
      <c r="B510" s="155"/>
      <c r="C510" s="1"/>
      <c r="D510" s="1"/>
      <c r="E510" s="1"/>
      <c r="F510" s="156"/>
      <c r="G510" s="157"/>
      <c r="H510" s="184"/>
      <c r="I510" s="184"/>
      <c r="J510" s="184"/>
      <c r="K510" s="184"/>
      <c r="L510" s="184"/>
      <c r="M510" s="4"/>
      <c r="N510" s="184"/>
      <c r="O510" s="1"/>
      <c r="P510" s="5"/>
      <c r="Q510" s="4"/>
      <c r="R510" s="1"/>
      <c r="S510" s="1"/>
      <c r="T510" s="1"/>
      <c r="U510" s="6"/>
      <c r="V510" s="184"/>
      <c r="W510" s="184"/>
      <c r="X510" s="155"/>
      <c r="Y510" s="155"/>
      <c r="Z510" s="155"/>
      <c r="AA510" s="155"/>
      <c r="AB510" s="155"/>
      <c r="AC510" s="184"/>
      <c r="AD510" s="155"/>
      <c r="AE510" s="155"/>
      <c r="AF510" s="155"/>
      <c r="AG510" s="155"/>
      <c r="AH510" s="155"/>
      <c r="AI510" s="155"/>
      <c r="AJ510" s="155"/>
      <c r="AK510" s="155"/>
      <c r="AL510" s="155"/>
      <c r="AM510" s="155"/>
      <c r="AN510" s="155"/>
      <c r="AO510" s="155"/>
      <c r="AP510" s="155"/>
      <c r="AQ510" s="155"/>
      <c r="AR510" s="155"/>
      <c r="AS510" s="155"/>
      <c r="AT510" s="155"/>
      <c r="AU510" s="155"/>
      <c r="AV510" s="155"/>
      <c r="AW510" s="155"/>
    </row>
    <row r="511" spans="1:49" ht="16.5" customHeight="1">
      <c r="A511" s="155"/>
      <c r="B511" s="155"/>
      <c r="C511" s="1"/>
      <c r="D511" s="1"/>
      <c r="E511" s="1"/>
      <c r="F511" s="156"/>
      <c r="G511" s="157"/>
      <c r="H511" s="184"/>
      <c r="I511" s="184"/>
      <c r="J511" s="184"/>
      <c r="K511" s="184"/>
      <c r="L511" s="184"/>
      <c r="M511" s="4"/>
      <c r="N511" s="184"/>
      <c r="O511" s="1"/>
      <c r="P511" s="5"/>
      <c r="Q511" s="4"/>
      <c r="R511" s="1"/>
      <c r="S511" s="1"/>
      <c r="T511" s="1"/>
      <c r="U511" s="6"/>
      <c r="V511" s="184"/>
      <c r="W511" s="184"/>
      <c r="X511" s="155"/>
      <c r="Y511" s="155"/>
      <c r="Z511" s="155"/>
      <c r="AA511" s="155"/>
      <c r="AB511" s="155"/>
      <c r="AC511" s="184"/>
      <c r="AD511" s="155"/>
      <c r="AE511" s="155"/>
      <c r="AF511" s="155"/>
      <c r="AG511" s="155"/>
      <c r="AH511" s="155"/>
      <c r="AI511" s="155"/>
      <c r="AJ511" s="155"/>
      <c r="AK511" s="155"/>
      <c r="AL511" s="155"/>
      <c r="AM511" s="155"/>
      <c r="AN511" s="155"/>
      <c r="AO511" s="155"/>
      <c r="AP511" s="155"/>
      <c r="AQ511" s="155"/>
      <c r="AR511" s="155"/>
      <c r="AS511" s="155"/>
      <c r="AT511" s="155"/>
      <c r="AU511" s="155"/>
      <c r="AV511" s="155"/>
      <c r="AW511" s="155"/>
    </row>
    <row r="512" spans="1:49" ht="16.5" customHeight="1">
      <c r="A512" s="155"/>
      <c r="B512" s="155"/>
      <c r="C512" s="1"/>
      <c r="D512" s="1"/>
      <c r="E512" s="1"/>
      <c r="F512" s="156"/>
      <c r="G512" s="157"/>
      <c r="H512" s="184"/>
      <c r="I512" s="184"/>
      <c r="J512" s="184"/>
      <c r="K512" s="184"/>
      <c r="L512" s="184"/>
      <c r="M512" s="4"/>
      <c r="N512" s="184"/>
      <c r="O512" s="1"/>
      <c r="P512" s="5"/>
      <c r="Q512" s="4"/>
      <c r="R512" s="1"/>
      <c r="S512" s="1"/>
      <c r="T512" s="1"/>
      <c r="U512" s="6"/>
      <c r="V512" s="184"/>
      <c r="W512" s="184"/>
      <c r="X512" s="155"/>
      <c r="Y512" s="155"/>
      <c r="Z512" s="155"/>
      <c r="AA512" s="155"/>
      <c r="AB512" s="155"/>
      <c r="AC512" s="184"/>
      <c r="AD512" s="155"/>
      <c r="AE512" s="155"/>
      <c r="AF512" s="155"/>
      <c r="AG512" s="155"/>
      <c r="AH512" s="155"/>
      <c r="AI512" s="155"/>
      <c r="AJ512" s="155"/>
      <c r="AK512" s="155"/>
      <c r="AL512" s="155"/>
      <c r="AM512" s="155"/>
      <c r="AN512" s="155"/>
      <c r="AO512" s="155"/>
      <c r="AP512" s="155"/>
      <c r="AQ512" s="155"/>
      <c r="AR512" s="155"/>
      <c r="AS512" s="155"/>
      <c r="AT512" s="155"/>
      <c r="AU512" s="155"/>
      <c r="AV512" s="155"/>
      <c r="AW512" s="155"/>
    </row>
    <row r="513" spans="1:49" ht="16.5" customHeight="1">
      <c r="A513" s="155"/>
      <c r="B513" s="155"/>
      <c r="C513" s="1"/>
      <c r="D513" s="1"/>
      <c r="E513" s="1"/>
      <c r="F513" s="156"/>
      <c r="G513" s="157"/>
      <c r="H513" s="184"/>
      <c r="I513" s="184"/>
      <c r="J513" s="184"/>
      <c r="K513" s="184"/>
      <c r="L513" s="184"/>
      <c r="M513" s="4"/>
      <c r="N513" s="184"/>
      <c r="O513" s="1"/>
      <c r="P513" s="5"/>
      <c r="Q513" s="4"/>
      <c r="R513" s="1"/>
      <c r="S513" s="1"/>
      <c r="T513" s="1"/>
      <c r="U513" s="6"/>
      <c r="V513" s="184"/>
      <c r="W513" s="184"/>
      <c r="X513" s="155"/>
      <c r="Y513" s="155"/>
      <c r="Z513" s="155"/>
      <c r="AA513" s="155"/>
      <c r="AB513" s="155"/>
      <c r="AC513" s="184"/>
      <c r="AD513" s="155"/>
      <c r="AE513" s="155"/>
      <c r="AF513" s="155"/>
      <c r="AG513" s="155"/>
      <c r="AH513" s="155"/>
      <c r="AI513" s="155"/>
      <c r="AJ513" s="155"/>
      <c r="AK513" s="155"/>
      <c r="AL513" s="155"/>
      <c r="AM513" s="155"/>
      <c r="AN513" s="155"/>
      <c r="AO513" s="155"/>
      <c r="AP513" s="155"/>
      <c r="AQ513" s="155"/>
      <c r="AR513" s="155"/>
      <c r="AS513" s="155"/>
      <c r="AT513" s="155"/>
      <c r="AU513" s="155"/>
      <c r="AV513" s="155"/>
      <c r="AW513" s="155"/>
    </row>
    <row r="514" spans="1:49" ht="16.5" customHeight="1">
      <c r="A514" s="155"/>
      <c r="B514" s="155"/>
      <c r="C514" s="1"/>
      <c r="D514" s="1"/>
      <c r="E514" s="1"/>
      <c r="F514" s="156"/>
      <c r="G514" s="157"/>
      <c r="H514" s="184"/>
      <c r="I514" s="184"/>
      <c r="J514" s="184"/>
      <c r="K514" s="184"/>
      <c r="L514" s="184"/>
      <c r="M514" s="4"/>
      <c r="N514" s="184"/>
      <c r="O514" s="1"/>
      <c r="P514" s="5"/>
      <c r="Q514" s="4"/>
      <c r="R514" s="1"/>
      <c r="S514" s="1"/>
      <c r="T514" s="1"/>
      <c r="U514" s="6"/>
      <c r="V514" s="184"/>
      <c r="W514" s="184"/>
      <c r="X514" s="155"/>
      <c r="Y514" s="155"/>
      <c r="Z514" s="155"/>
      <c r="AA514" s="155"/>
      <c r="AB514" s="155"/>
      <c r="AC514" s="184"/>
      <c r="AD514" s="155"/>
      <c r="AE514" s="155"/>
      <c r="AF514" s="155"/>
      <c r="AG514" s="155"/>
      <c r="AH514" s="155"/>
      <c r="AI514" s="155"/>
      <c r="AJ514" s="155"/>
      <c r="AK514" s="155"/>
      <c r="AL514" s="155"/>
      <c r="AM514" s="155"/>
      <c r="AN514" s="155"/>
      <c r="AO514" s="155"/>
      <c r="AP514" s="155"/>
      <c r="AQ514" s="155"/>
      <c r="AR514" s="155"/>
      <c r="AS514" s="155"/>
      <c r="AT514" s="155"/>
      <c r="AU514" s="155"/>
      <c r="AV514" s="155"/>
      <c r="AW514" s="155"/>
    </row>
    <row r="515" spans="1:49" ht="16.5" customHeight="1">
      <c r="A515" s="155"/>
      <c r="B515" s="155"/>
      <c r="C515" s="1"/>
      <c r="D515" s="1"/>
      <c r="E515" s="1"/>
      <c r="F515" s="156"/>
      <c r="G515" s="157"/>
      <c r="H515" s="184"/>
      <c r="I515" s="184"/>
      <c r="J515" s="184"/>
      <c r="K515" s="184"/>
      <c r="L515" s="184"/>
      <c r="M515" s="4"/>
      <c r="N515" s="184"/>
      <c r="O515" s="1"/>
      <c r="P515" s="5"/>
      <c r="Q515" s="4"/>
      <c r="R515" s="1"/>
      <c r="S515" s="1"/>
      <c r="T515" s="1"/>
      <c r="U515" s="6"/>
      <c r="V515" s="184"/>
      <c r="W515" s="184"/>
      <c r="X515" s="155"/>
      <c r="Y515" s="155"/>
      <c r="Z515" s="155"/>
      <c r="AA515" s="155"/>
      <c r="AB515" s="155"/>
      <c r="AC515" s="184"/>
      <c r="AD515" s="155"/>
      <c r="AE515" s="155"/>
      <c r="AF515" s="155"/>
      <c r="AG515" s="155"/>
      <c r="AH515" s="155"/>
      <c r="AI515" s="155"/>
      <c r="AJ515" s="155"/>
      <c r="AK515" s="155"/>
      <c r="AL515" s="155"/>
      <c r="AM515" s="155"/>
      <c r="AN515" s="155"/>
      <c r="AO515" s="155"/>
      <c r="AP515" s="155"/>
      <c r="AQ515" s="155"/>
      <c r="AR515" s="155"/>
      <c r="AS515" s="155"/>
      <c r="AT515" s="155"/>
      <c r="AU515" s="155"/>
      <c r="AV515" s="155"/>
      <c r="AW515" s="155"/>
    </row>
    <row r="516" spans="1:49" ht="16.5" customHeight="1">
      <c r="A516" s="155"/>
      <c r="B516" s="155"/>
      <c r="C516" s="1"/>
      <c r="D516" s="1"/>
      <c r="E516" s="1"/>
      <c r="F516" s="156"/>
      <c r="G516" s="157"/>
      <c r="H516" s="184"/>
      <c r="I516" s="184"/>
      <c r="J516" s="184"/>
      <c r="K516" s="184"/>
      <c r="L516" s="184"/>
      <c r="M516" s="4"/>
      <c r="N516" s="184"/>
      <c r="O516" s="1"/>
      <c r="P516" s="5"/>
      <c r="Q516" s="4"/>
      <c r="R516" s="1"/>
      <c r="S516" s="1"/>
      <c r="T516" s="1"/>
      <c r="U516" s="6"/>
      <c r="V516" s="184"/>
      <c r="W516" s="184"/>
      <c r="X516" s="155"/>
      <c r="Y516" s="155"/>
      <c r="Z516" s="155"/>
      <c r="AA516" s="155"/>
      <c r="AB516" s="155"/>
      <c r="AC516" s="184"/>
      <c r="AD516" s="155"/>
      <c r="AE516" s="155"/>
      <c r="AF516" s="155"/>
      <c r="AG516" s="155"/>
      <c r="AH516" s="155"/>
      <c r="AI516" s="155"/>
      <c r="AJ516" s="155"/>
      <c r="AK516" s="155"/>
      <c r="AL516" s="155"/>
      <c r="AM516" s="155"/>
      <c r="AN516" s="155"/>
      <c r="AO516" s="155"/>
      <c r="AP516" s="155"/>
      <c r="AQ516" s="155"/>
      <c r="AR516" s="155"/>
      <c r="AS516" s="155"/>
      <c r="AT516" s="155"/>
      <c r="AU516" s="155"/>
      <c r="AV516" s="155"/>
      <c r="AW516" s="155"/>
    </row>
    <row r="517" spans="1:49" ht="16.5" customHeight="1">
      <c r="A517" s="155"/>
      <c r="B517" s="155"/>
      <c r="C517" s="1"/>
      <c r="D517" s="1"/>
      <c r="E517" s="1"/>
      <c r="F517" s="156"/>
      <c r="G517" s="157"/>
      <c r="H517" s="184"/>
      <c r="I517" s="184"/>
      <c r="J517" s="184"/>
      <c r="K517" s="184"/>
      <c r="L517" s="184"/>
      <c r="M517" s="4"/>
      <c r="N517" s="184"/>
      <c r="O517" s="1"/>
      <c r="P517" s="5"/>
      <c r="Q517" s="4"/>
      <c r="R517" s="1"/>
      <c r="S517" s="1"/>
      <c r="T517" s="1"/>
      <c r="U517" s="6"/>
      <c r="V517" s="184"/>
      <c r="W517" s="184"/>
      <c r="X517" s="155"/>
      <c r="Y517" s="155"/>
      <c r="Z517" s="155"/>
      <c r="AA517" s="155"/>
      <c r="AB517" s="155"/>
      <c r="AC517" s="184"/>
      <c r="AD517" s="155"/>
      <c r="AE517" s="155"/>
      <c r="AF517" s="155"/>
      <c r="AG517" s="155"/>
      <c r="AH517" s="155"/>
      <c r="AI517" s="155"/>
      <c r="AJ517" s="155"/>
      <c r="AK517" s="155"/>
      <c r="AL517" s="155"/>
      <c r="AM517" s="155"/>
      <c r="AN517" s="155"/>
      <c r="AO517" s="155"/>
      <c r="AP517" s="155"/>
      <c r="AQ517" s="155"/>
      <c r="AR517" s="155"/>
      <c r="AS517" s="155"/>
      <c r="AT517" s="155"/>
      <c r="AU517" s="155"/>
      <c r="AV517" s="155"/>
      <c r="AW517" s="155"/>
    </row>
    <row r="518" spans="1:49" ht="16.5" customHeight="1">
      <c r="A518" s="155"/>
      <c r="B518" s="155"/>
      <c r="C518" s="1"/>
      <c r="D518" s="1"/>
      <c r="E518" s="1"/>
      <c r="F518" s="156"/>
      <c r="G518" s="157"/>
      <c r="H518" s="184"/>
      <c r="I518" s="184"/>
      <c r="J518" s="184"/>
      <c r="K518" s="184"/>
      <c r="L518" s="184"/>
      <c r="M518" s="4"/>
      <c r="N518" s="184"/>
      <c r="O518" s="1"/>
      <c r="P518" s="5"/>
      <c r="Q518" s="4"/>
      <c r="R518" s="1"/>
      <c r="S518" s="1"/>
      <c r="T518" s="1"/>
      <c r="U518" s="6"/>
      <c r="V518" s="184"/>
      <c r="W518" s="184"/>
      <c r="X518" s="155"/>
      <c r="Y518" s="155"/>
      <c r="Z518" s="155"/>
      <c r="AA518" s="155"/>
      <c r="AB518" s="155"/>
      <c r="AC518" s="184"/>
      <c r="AD518" s="155"/>
      <c r="AE518" s="155"/>
      <c r="AF518" s="155"/>
      <c r="AG518" s="155"/>
      <c r="AH518" s="155"/>
      <c r="AI518" s="155"/>
      <c r="AJ518" s="155"/>
      <c r="AK518" s="155"/>
      <c r="AL518" s="155"/>
      <c r="AM518" s="155"/>
      <c r="AN518" s="155"/>
      <c r="AO518" s="155"/>
      <c r="AP518" s="155"/>
      <c r="AQ518" s="155"/>
      <c r="AR518" s="155"/>
      <c r="AS518" s="155"/>
      <c r="AT518" s="155"/>
      <c r="AU518" s="155"/>
      <c r="AV518" s="155"/>
      <c r="AW518" s="155"/>
    </row>
    <row r="519" spans="1:49" ht="16.5" customHeight="1">
      <c r="A519" s="155"/>
      <c r="B519" s="155"/>
      <c r="C519" s="1"/>
      <c r="D519" s="1"/>
      <c r="E519" s="1"/>
      <c r="F519" s="156"/>
      <c r="G519" s="157"/>
      <c r="H519" s="184"/>
      <c r="I519" s="184"/>
      <c r="J519" s="184"/>
      <c r="K519" s="184"/>
      <c r="L519" s="184"/>
      <c r="M519" s="4"/>
      <c r="N519" s="184"/>
      <c r="O519" s="1"/>
      <c r="P519" s="5"/>
      <c r="Q519" s="4"/>
      <c r="R519" s="1"/>
      <c r="S519" s="1"/>
      <c r="T519" s="1"/>
      <c r="U519" s="6"/>
      <c r="V519" s="184"/>
      <c r="W519" s="184"/>
      <c r="X519" s="155"/>
      <c r="Y519" s="155"/>
      <c r="Z519" s="155"/>
      <c r="AA519" s="155"/>
      <c r="AB519" s="155"/>
      <c r="AC519" s="184"/>
      <c r="AD519" s="155"/>
      <c r="AE519" s="155"/>
      <c r="AF519" s="155"/>
      <c r="AG519" s="155"/>
      <c r="AH519" s="155"/>
      <c r="AI519" s="155"/>
      <c r="AJ519" s="155"/>
      <c r="AK519" s="155"/>
      <c r="AL519" s="155"/>
      <c r="AM519" s="155"/>
      <c r="AN519" s="155"/>
      <c r="AO519" s="155"/>
      <c r="AP519" s="155"/>
      <c r="AQ519" s="155"/>
      <c r="AR519" s="155"/>
      <c r="AS519" s="155"/>
      <c r="AT519" s="155"/>
      <c r="AU519" s="155"/>
      <c r="AV519" s="155"/>
      <c r="AW519" s="155"/>
    </row>
    <row r="520" spans="1:49" ht="16.5" customHeight="1">
      <c r="A520" s="155"/>
      <c r="B520" s="155"/>
      <c r="C520" s="1"/>
      <c r="D520" s="1"/>
      <c r="E520" s="1"/>
      <c r="F520" s="156"/>
      <c r="G520" s="157"/>
      <c r="H520" s="184"/>
      <c r="I520" s="184"/>
      <c r="J520" s="184"/>
      <c r="K520" s="184"/>
      <c r="L520" s="184"/>
      <c r="M520" s="4"/>
      <c r="N520" s="184"/>
      <c r="O520" s="1"/>
      <c r="P520" s="5"/>
      <c r="Q520" s="4"/>
      <c r="R520" s="1"/>
      <c r="S520" s="1"/>
      <c r="T520" s="1"/>
      <c r="U520" s="6"/>
      <c r="V520" s="184"/>
      <c r="W520" s="184"/>
      <c r="X520" s="155"/>
      <c r="Y520" s="155"/>
      <c r="Z520" s="155"/>
      <c r="AA520" s="155"/>
      <c r="AB520" s="155"/>
      <c r="AC520" s="184"/>
      <c r="AD520" s="155"/>
      <c r="AE520" s="155"/>
      <c r="AF520" s="155"/>
      <c r="AG520" s="155"/>
      <c r="AH520" s="155"/>
      <c r="AI520" s="155"/>
      <c r="AJ520" s="155"/>
      <c r="AK520" s="155"/>
      <c r="AL520" s="155"/>
      <c r="AM520" s="155"/>
      <c r="AN520" s="155"/>
      <c r="AO520" s="155"/>
      <c r="AP520" s="155"/>
      <c r="AQ520" s="155"/>
      <c r="AR520" s="155"/>
      <c r="AS520" s="155"/>
      <c r="AT520" s="155"/>
      <c r="AU520" s="155"/>
      <c r="AV520" s="155"/>
      <c r="AW520" s="155"/>
    </row>
    <row r="521" spans="1:49" ht="16.5" customHeight="1">
      <c r="A521" s="155"/>
      <c r="B521" s="155"/>
      <c r="C521" s="1"/>
      <c r="D521" s="1"/>
      <c r="E521" s="1"/>
      <c r="F521" s="156"/>
      <c r="G521" s="157"/>
      <c r="H521" s="184"/>
      <c r="I521" s="184"/>
      <c r="J521" s="184"/>
      <c r="K521" s="184"/>
      <c r="L521" s="184"/>
      <c r="M521" s="4"/>
      <c r="N521" s="184"/>
      <c r="O521" s="1"/>
      <c r="P521" s="5"/>
      <c r="Q521" s="4"/>
      <c r="R521" s="1"/>
      <c r="S521" s="1"/>
      <c r="T521" s="1"/>
      <c r="U521" s="6"/>
      <c r="V521" s="184"/>
      <c r="W521" s="184"/>
      <c r="X521" s="155"/>
      <c r="Y521" s="155"/>
      <c r="Z521" s="155"/>
      <c r="AA521" s="155"/>
      <c r="AB521" s="155"/>
      <c r="AC521" s="184"/>
      <c r="AD521" s="155"/>
      <c r="AE521" s="155"/>
      <c r="AF521" s="155"/>
      <c r="AG521" s="155"/>
      <c r="AH521" s="155"/>
      <c r="AI521" s="155"/>
      <c r="AJ521" s="155"/>
      <c r="AK521" s="155"/>
      <c r="AL521" s="155"/>
      <c r="AM521" s="155"/>
      <c r="AN521" s="155"/>
      <c r="AO521" s="155"/>
      <c r="AP521" s="155"/>
      <c r="AQ521" s="155"/>
      <c r="AR521" s="155"/>
      <c r="AS521" s="155"/>
      <c r="AT521" s="155"/>
      <c r="AU521" s="155"/>
      <c r="AV521" s="155"/>
      <c r="AW521" s="155"/>
    </row>
    <row r="522" spans="1:49" ht="16.5" customHeight="1">
      <c r="A522" s="155"/>
      <c r="B522" s="155"/>
      <c r="C522" s="1"/>
      <c r="D522" s="1"/>
      <c r="E522" s="1"/>
      <c r="F522" s="156"/>
      <c r="G522" s="157"/>
      <c r="H522" s="184"/>
      <c r="I522" s="184"/>
      <c r="J522" s="184"/>
      <c r="K522" s="184"/>
      <c r="L522" s="184"/>
      <c r="M522" s="4"/>
      <c r="N522" s="184"/>
      <c r="O522" s="1"/>
      <c r="P522" s="5"/>
      <c r="Q522" s="4"/>
      <c r="R522" s="1"/>
      <c r="S522" s="1"/>
      <c r="T522" s="1"/>
      <c r="U522" s="6"/>
      <c r="V522" s="184"/>
      <c r="W522" s="184"/>
      <c r="X522" s="155"/>
      <c r="Y522" s="155"/>
      <c r="Z522" s="155"/>
      <c r="AA522" s="155"/>
      <c r="AB522" s="155"/>
      <c r="AC522" s="184"/>
      <c r="AD522" s="155"/>
      <c r="AE522" s="155"/>
      <c r="AF522" s="155"/>
      <c r="AG522" s="155"/>
      <c r="AH522" s="155"/>
      <c r="AI522" s="155"/>
      <c r="AJ522" s="155"/>
      <c r="AK522" s="155"/>
      <c r="AL522" s="155"/>
      <c r="AM522" s="155"/>
      <c r="AN522" s="155"/>
      <c r="AO522" s="155"/>
      <c r="AP522" s="155"/>
      <c r="AQ522" s="155"/>
      <c r="AR522" s="155"/>
      <c r="AS522" s="155"/>
      <c r="AT522" s="155"/>
      <c r="AU522" s="155"/>
      <c r="AV522" s="155"/>
      <c r="AW522" s="155"/>
    </row>
    <row r="523" spans="1:49" ht="16.5" customHeight="1">
      <c r="A523" s="155"/>
      <c r="B523" s="155"/>
      <c r="C523" s="1"/>
      <c r="D523" s="1"/>
      <c r="E523" s="1"/>
      <c r="F523" s="156"/>
      <c r="G523" s="157"/>
      <c r="H523" s="184"/>
      <c r="I523" s="184"/>
      <c r="J523" s="184"/>
      <c r="K523" s="184"/>
      <c r="L523" s="184"/>
      <c r="M523" s="4"/>
      <c r="N523" s="184"/>
      <c r="O523" s="1"/>
      <c r="P523" s="5"/>
      <c r="Q523" s="4"/>
      <c r="R523" s="1"/>
      <c r="S523" s="1"/>
      <c r="T523" s="1"/>
      <c r="U523" s="6"/>
      <c r="V523" s="184"/>
      <c r="W523" s="184"/>
      <c r="X523" s="155"/>
      <c r="Y523" s="155"/>
      <c r="Z523" s="155"/>
      <c r="AA523" s="155"/>
      <c r="AB523" s="155"/>
      <c r="AC523" s="184"/>
      <c r="AD523" s="155"/>
      <c r="AE523" s="155"/>
      <c r="AF523" s="155"/>
      <c r="AG523" s="155"/>
      <c r="AH523" s="155"/>
      <c r="AI523" s="155"/>
      <c r="AJ523" s="155"/>
      <c r="AK523" s="155"/>
      <c r="AL523" s="155"/>
      <c r="AM523" s="155"/>
      <c r="AN523" s="155"/>
      <c r="AO523" s="155"/>
      <c r="AP523" s="155"/>
      <c r="AQ523" s="155"/>
      <c r="AR523" s="155"/>
      <c r="AS523" s="155"/>
      <c r="AT523" s="155"/>
      <c r="AU523" s="155"/>
      <c r="AV523" s="155"/>
      <c r="AW523" s="155"/>
    </row>
    <row r="524" spans="1:49" ht="16.5" customHeight="1">
      <c r="A524" s="155"/>
      <c r="B524" s="155"/>
      <c r="C524" s="1"/>
      <c r="D524" s="1"/>
      <c r="E524" s="1"/>
      <c r="F524" s="156"/>
      <c r="G524" s="157"/>
      <c r="H524" s="184"/>
      <c r="I524" s="184"/>
      <c r="J524" s="184"/>
      <c r="K524" s="184"/>
      <c r="L524" s="184"/>
      <c r="M524" s="4"/>
      <c r="N524" s="184"/>
      <c r="O524" s="1"/>
      <c r="P524" s="5"/>
      <c r="Q524" s="4"/>
      <c r="R524" s="1"/>
      <c r="S524" s="1"/>
      <c r="T524" s="1"/>
      <c r="U524" s="6"/>
      <c r="V524" s="184"/>
      <c r="W524" s="184"/>
      <c r="X524" s="155"/>
      <c r="Y524" s="155"/>
      <c r="Z524" s="155"/>
      <c r="AA524" s="155"/>
      <c r="AB524" s="155"/>
      <c r="AC524" s="184"/>
      <c r="AD524" s="155"/>
      <c r="AE524" s="155"/>
      <c r="AF524" s="155"/>
      <c r="AG524" s="155"/>
      <c r="AH524" s="155"/>
      <c r="AI524" s="155"/>
      <c r="AJ524" s="155"/>
      <c r="AK524" s="155"/>
      <c r="AL524" s="155"/>
      <c r="AM524" s="155"/>
      <c r="AN524" s="155"/>
      <c r="AO524" s="155"/>
      <c r="AP524" s="155"/>
      <c r="AQ524" s="155"/>
      <c r="AR524" s="155"/>
      <c r="AS524" s="155"/>
      <c r="AT524" s="155"/>
      <c r="AU524" s="155"/>
      <c r="AV524" s="155"/>
      <c r="AW524" s="155"/>
    </row>
    <row r="525" spans="1:49" ht="16.5" customHeight="1">
      <c r="A525" s="155"/>
      <c r="B525" s="155"/>
      <c r="C525" s="1"/>
      <c r="D525" s="1"/>
      <c r="E525" s="1"/>
      <c r="F525" s="156"/>
      <c r="G525" s="157"/>
      <c r="H525" s="184"/>
      <c r="I525" s="184"/>
      <c r="J525" s="184"/>
      <c r="K525" s="184"/>
      <c r="L525" s="184"/>
      <c r="M525" s="4"/>
      <c r="N525" s="184"/>
      <c r="O525" s="1"/>
      <c r="P525" s="5"/>
      <c r="Q525" s="4"/>
      <c r="R525" s="1"/>
      <c r="S525" s="1"/>
      <c r="T525" s="1"/>
      <c r="U525" s="6"/>
      <c r="V525" s="184"/>
      <c r="W525" s="184"/>
      <c r="X525" s="155"/>
      <c r="Y525" s="155"/>
      <c r="Z525" s="155"/>
      <c r="AA525" s="155"/>
      <c r="AB525" s="155"/>
      <c r="AC525" s="184"/>
      <c r="AD525" s="155"/>
      <c r="AE525" s="155"/>
      <c r="AF525" s="155"/>
      <c r="AG525" s="155"/>
      <c r="AH525" s="155"/>
      <c r="AI525" s="155"/>
      <c r="AJ525" s="155"/>
      <c r="AK525" s="155"/>
      <c r="AL525" s="155"/>
      <c r="AM525" s="155"/>
      <c r="AN525" s="155"/>
      <c r="AO525" s="155"/>
      <c r="AP525" s="155"/>
      <c r="AQ525" s="155"/>
      <c r="AR525" s="155"/>
      <c r="AS525" s="155"/>
      <c r="AT525" s="155"/>
      <c r="AU525" s="155"/>
      <c r="AV525" s="155"/>
      <c r="AW525" s="155"/>
    </row>
    <row r="526" spans="1:49" ht="16.5" customHeight="1">
      <c r="A526" s="155"/>
      <c r="B526" s="155"/>
      <c r="C526" s="1"/>
      <c r="D526" s="1"/>
      <c r="E526" s="1"/>
      <c r="F526" s="156"/>
      <c r="G526" s="157"/>
      <c r="H526" s="184"/>
      <c r="I526" s="184"/>
      <c r="J526" s="184"/>
      <c r="K526" s="184"/>
      <c r="L526" s="184"/>
      <c r="M526" s="4"/>
      <c r="N526" s="184"/>
      <c r="O526" s="1"/>
      <c r="P526" s="5"/>
      <c r="Q526" s="4"/>
      <c r="R526" s="1"/>
      <c r="S526" s="1"/>
      <c r="T526" s="1"/>
      <c r="U526" s="6"/>
      <c r="V526" s="184"/>
      <c r="W526" s="184"/>
      <c r="X526" s="155"/>
      <c r="Y526" s="155"/>
      <c r="Z526" s="155"/>
      <c r="AA526" s="155"/>
      <c r="AB526" s="155"/>
      <c r="AC526" s="184"/>
      <c r="AD526" s="155"/>
      <c r="AE526" s="155"/>
      <c r="AF526" s="155"/>
      <c r="AG526" s="155"/>
      <c r="AH526" s="155"/>
      <c r="AI526" s="155"/>
      <c r="AJ526" s="155"/>
      <c r="AK526" s="155"/>
      <c r="AL526" s="155"/>
      <c r="AM526" s="155"/>
      <c r="AN526" s="155"/>
      <c r="AO526" s="155"/>
      <c r="AP526" s="155"/>
      <c r="AQ526" s="155"/>
      <c r="AR526" s="155"/>
      <c r="AS526" s="155"/>
      <c r="AT526" s="155"/>
      <c r="AU526" s="155"/>
      <c r="AV526" s="155"/>
      <c r="AW526" s="155"/>
    </row>
    <row r="527" spans="1:49" ht="16.5" customHeight="1">
      <c r="A527" s="155"/>
      <c r="B527" s="155"/>
      <c r="C527" s="1"/>
      <c r="D527" s="1"/>
      <c r="E527" s="1"/>
      <c r="F527" s="156"/>
      <c r="G527" s="157"/>
      <c r="H527" s="184"/>
      <c r="I527" s="184"/>
      <c r="J527" s="184"/>
      <c r="K527" s="184"/>
      <c r="L527" s="184"/>
      <c r="M527" s="4"/>
      <c r="N527" s="184"/>
      <c r="O527" s="1"/>
      <c r="P527" s="5"/>
      <c r="Q527" s="4"/>
      <c r="R527" s="1"/>
      <c r="S527" s="1"/>
      <c r="T527" s="1"/>
      <c r="U527" s="6"/>
      <c r="V527" s="184"/>
      <c r="W527" s="184"/>
      <c r="X527" s="155"/>
      <c r="Y527" s="155"/>
      <c r="Z527" s="155"/>
      <c r="AA527" s="155"/>
      <c r="AB527" s="155"/>
      <c r="AC527" s="184"/>
      <c r="AD527" s="155"/>
      <c r="AE527" s="155"/>
      <c r="AF527" s="155"/>
      <c r="AG527" s="155"/>
      <c r="AH527" s="155"/>
      <c r="AI527" s="155"/>
      <c r="AJ527" s="155"/>
      <c r="AK527" s="155"/>
      <c r="AL527" s="155"/>
      <c r="AM527" s="155"/>
      <c r="AN527" s="155"/>
      <c r="AO527" s="155"/>
      <c r="AP527" s="155"/>
      <c r="AQ527" s="155"/>
      <c r="AR527" s="155"/>
      <c r="AS527" s="155"/>
      <c r="AT527" s="155"/>
      <c r="AU527" s="155"/>
      <c r="AV527" s="155"/>
      <c r="AW527" s="155"/>
    </row>
    <row r="528" spans="1:49" ht="16.5" customHeight="1">
      <c r="A528" s="155"/>
      <c r="B528" s="155"/>
      <c r="C528" s="1"/>
      <c r="D528" s="1"/>
      <c r="E528" s="1"/>
      <c r="F528" s="156"/>
      <c r="G528" s="157"/>
      <c r="H528" s="184"/>
      <c r="I528" s="184"/>
      <c r="J528" s="184"/>
      <c r="K528" s="184"/>
      <c r="L528" s="184"/>
      <c r="M528" s="4"/>
      <c r="N528" s="184"/>
      <c r="O528" s="1"/>
      <c r="P528" s="5"/>
      <c r="Q528" s="4"/>
      <c r="R528" s="1"/>
      <c r="S528" s="1"/>
      <c r="T528" s="1"/>
      <c r="U528" s="6"/>
      <c r="V528" s="184"/>
      <c r="W528" s="184"/>
      <c r="X528" s="155"/>
      <c r="Y528" s="155"/>
      <c r="Z528" s="155"/>
      <c r="AA528" s="155"/>
      <c r="AB528" s="155"/>
      <c r="AC528" s="184"/>
      <c r="AD528" s="155"/>
      <c r="AE528" s="155"/>
      <c r="AF528" s="155"/>
      <c r="AG528" s="155"/>
      <c r="AH528" s="155"/>
      <c r="AI528" s="155"/>
      <c r="AJ528" s="155"/>
      <c r="AK528" s="155"/>
      <c r="AL528" s="155"/>
      <c r="AM528" s="155"/>
      <c r="AN528" s="155"/>
      <c r="AO528" s="155"/>
      <c r="AP528" s="155"/>
      <c r="AQ528" s="155"/>
      <c r="AR528" s="155"/>
      <c r="AS528" s="155"/>
      <c r="AT528" s="155"/>
      <c r="AU528" s="155"/>
      <c r="AV528" s="155"/>
      <c r="AW528" s="155"/>
    </row>
    <row r="529" spans="1:49" ht="16.5" customHeight="1">
      <c r="A529" s="155"/>
      <c r="B529" s="155"/>
      <c r="C529" s="1"/>
      <c r="D529" s="1"/>
      <c r="E529" s="1"/>
      <c r="F529" s="156"/>
      <c r="G529" s="157"/>
      <c r="H529" s="184"/>
      <c r="I529" s="184"/>
      <c r="J529" s="184"/>
      <c r="K529" s="184"/>
      <c r="L529" s="184"/>
      <c r="M529" s="4"/>
      <c r="N529" s="184"/>
      <c r="O529" s="1"/>
      <c r="P529" s="5"/>
      <c r="Q529" s="4"/>
      <c r="R529" s="1"/>
      <c r="S529" s="1"/>
      <c r="T529" s="1"/>
      <c r="U529" s="6"/>
      <c r="V529" s="184"/>
      <c r="W529" s="184"/>
      <c r="X529" s="155"/>
      <c r="Y529" s="155"/>
      <c r="Z529" s="155"/>
      <c r="AA529" s="155"/>
      <c r="AB529" s="155"/>
      <c r="AC529" s="184"/>
      <c r="AD529" s="155"/>
      <c r="AE529" s="155"/>
      <c r="AF529" s="155"/>
      <c r="AG529" s="155"/>
      <c r="AH529" s="155"/>
      <c r="AI529" s="155"/>
      <c r="AJ529" s="155"/>
      <c r="AK529" s="155"/>
      <c r="AL529" s="155"/>
      <c r="AM529" s="155"/>
      <c r="AN529" s="155"/>
      <c r="AO529" s="155"/>
      <c r="AP529" s="155"/>
      <c r="AQ529" s="155"/>
      <c r="AR529" s="155"/>
      <c r="AS529" s="155"/>
      <c r="AT529" s="155"/>
      <c r="AU529" s="155"/>
      <c r="AV529" s="155"/>
      <c r="AW529" s="155"/>
    </row>
    <row r="530" spans="1:49" ht="16.5" customHeight="1">
      <c r="A530" s="155"/>
      <c r="B530" s="155"/>
      <c r="C530" s="1"/>
      <c r="D530" s="1"/>
      <c r="E530" s="1"/>
      <c r="F530" s="156"/>
      <c r="G530" s="157"/>
      <c r="H530" s="184"/>
      <c r="I530" s="184"/>
      <c r="J530" s="184"/>
      <c r="K530" s="184"/>
      <c r="L530" s="184"/>
      <c r="M530" s="4"/>
      <c r="N530" s="184"/>
      <c r="O530" s="1"/>
      <c r="P530" s="5"/>
      <c r="Q530" s="4"/>
      <c r="R530" s="1"/>
      <c r="S530" s="1"/>
      <c r="T530" s="1"/>
      <c r="U530" s="6"/>
      <c r="V530" s="184"/>
      <c r="W530" s="184"/>
      <c r="X530" s="155"/>
      <c r="Y530" s="155"/>
      <c r="Z530" s="155"/>
      <c r="AA530" s="155"/>
      <c r="AB530" s="155"/>
      <c r="AC530" s="184"/>
      <c r="AD530" s="155"/>
      <c r="AE530" s="155"/>
      <c r="AF530" s="155"/>
      <c r="AG530" s="155"/>
      <c r="AH530" s="155"/>
      <c r="AI530" s="155"/>
      <c r="AJ530" s="155"/>
      <c r="AK530" s="155"/>
      <c r="AL530" s="155"/>
      <c r="AM530" s="155"/>
      <c r="AN530" s="155"/>
      <c r="AO530" s="155"/>
      <c r="AP530" s="155"/>
      <c r="AQ530" s="155"/>
      <c r="AR530" s="155"/>
      <c r="AS530" s="155"/>
      <c r="AT530" s="155"/>
      <c r="AU530" s="155"/>
      <c r="AV530" s="155"/>
      <c r="AW530" s="155"/>
    </row>
    <row r="531" spans="1:49" ht="16.5" customHeight="1">
      <c r="A531" s="155"/>
      <c r="B531" s="155"/>
      <c r="C531" s="1"/>
      <c r="D531" s="1"/>
      <c r="E531" s="1"/>
      <c r="F531" s="156"/>
      <c r="G531" s="157"/>
      <c r="H531" s="184"/>
      <c r="I531" s="184"/>
      <c r="J531" s="184"/>
      <c r="K531" s="184"/>
      <c r="L531" s="184"/>
      <c r="M531" s="4"/>
      <c r="N531" s="184"/>
      <c r="O531" s="1"/>
      <c r="P531" s="5"/>
      <c r="Q531" s="4"/>
      <c r="R531" s="1"/>
      <c r="S531" s="1"/>
      <c r="T531" s="1"/>
      <c r="U531" s="6"/>
      <c r="V531" s="184"/>
      <c r="W531" s="184"/>
      <c r="X531" s="155"/>
      <c r="Y531" s="155"/>
      <c r="Z531" s="155"/>
      <c r="AA531" s="155"/>
      <c r="AB531" s="155"/>
      <c r="AC531" s="184"/>
      <c r="AD531" s="155"/>
      <c r="AE531" s="155"/>
      <c r="AF531" s="155"/>
      <c r="AG531" s="155"/>
      <c r="AH531" s="155"/>
      <c r="AI531" s="155"/>
      <c r="AJ531" s="155"/>
      <c r="AK531" s="155"/>
      <c r="AL531" s="155"/>
      <c r="AM531" s="155"/>
      <c r="AN531" s="155"/>
      <c r="AO531" s="155"/>
      <c r="AP531" s="155"/>
      <c r="AQ531" s="155"/>
      <c r="AR531" s="155"/>
      <c r="AS531" s="155"/>
      <c r="AT531" s="155"/>
      <c r="AU531" s="155"/>
      <c r="AV531" s="155"/>
      <c r="AW531" s="155"/>
    </row>
    <row r="532" spans="1:49" ht="16.5" customHeight="1">
      <c r="A532" s="155"/>
      <c r="B532" s="155"/>
      <c r="C532" s="1"/>
      <c r="D532" s="1"/>
      <c r="E532" s="1"/>
      <c r="F532" s="156"/>
      <c r="G532" s="157"/>
      <c r="H532" s="184"/>
      <c r="I532" s="184"/>
      <c r="J532" s="184"/>
      <c r="K532" s="184"/>
      <c r="L532" s="184"/>
      <c r="M532" s="4"/>
      <c r="N532" s="184"/>
      <c r="O532" s="1"/>
      <c r="P532" s="5"/>
      <c r="Q532" s="4"/>
      <c r="R532" s="1"/>
      <c r="S532" s="1"/>
      <c r="T532" s="1"/>
      <c r="U532" s="6"/>
      <c r="V532" s="184"/>
      <c r="W532" s="184"/>
      <c r="X532" s="155"/>
      <c r="Y532" s="155"/>
      <c r="Z532" s="155"/>
      <c r="AA532" s="155"/>
      <c r="AB532" s="155"/>
      <c r="AC532" s="184"/>
      <c r="AD532" s="155"/>
      <c r="AE532" s="155"/>
      <c r="AF532" s="155"/>
      <c r="AG532" s="155"/>
      <c r="AH532" s="155"/>
      <c r="AI532" s="155"/>
      <c r="AJ532" s="155"/>
      <c r="AK532" s="155"/>
      <c r="AL532" s="155"/>
      <c r="AM532" s="155"/>
      <c r="AN532" s="155"/>
      <c r="AO532" s="155"/>
      <c r="AP532" s="155"/>
      <c r="AQ532" s="155"/>
      <c r="AR532" s="155"/>
      <c r="AS532" s="155"/>
      <c r="AT532" s="155"/>
      <c r="AU532" s="155"/>
      <c r="AV532" s="155"/>
      <c r="AW532" s="155"/>
    </row>
    <row r="533" spans="1:49" ht="16.5" customHeight="1">
      <c r="A533" s="155"/>
      <c r="B533" s="155"/>
      <c r="C533" s="1"/>
      <c r="D533" s="1"/>
      <c r="E533" s="1"/>
      <c r="F533" s="156"/>
      <c r="G533" s="157"/>
      <c r="H533" s="184"/>
      <c r="I533" s="184"/>
      <c r="J533" s="184"/>
      <c r="K533" s="184"/>
      <c r="L533" s="184"/>
      <c r="M533" s="4"/>
      <c r="N533" s="184"/>
      <c r="O533" s="1"/>
      <c r="P533" s="5"/>
      <c r="Q533" s="4"/>
      <c r="R533" s="1"/>
      <c r="S533" s="1"/>
      <c r="T533" s="1"/>
      <c r="U533" s="6"/>
      <c r="V533" s="184"/>
      <c r="W533" s="184"/>
      <c r="X533" s="155"/>
      <c r="Y533" s="155"/>
      <c r="Z533" s="155"/>
      <c r="AA533" s="155"/>
      <c r="AB533" s="155"/>
      <c r="AC533" s="184"/>
      <c r="AD533" s="155"/>
      <c r="AE533" s="155"/>
      <c r="AF533" s="155"/>
      <c r="AG533" s="155"/>
      <c r="AH533" s="155"/>
      <c r="AI533" s="155"/>
      <c r="AJ533" s="155"/>
      <c r="AK533" s="155"/>
      <c r="AL533" s="155"/>
      <c r="AM533" s="155"/>
      <c r="AN533" s="155"/>
      <c r="AO533" s="155"/>
      <c r="AP533" s="155"/>
      <c r="AQ533" s="155"/>
      <c r="AR533" s="155"/>
      <c r="AS533" s="155"/>
      <c r="AT533" s="155"/>
      <c r="AU533" s="155"/>
      <c r="AV533" s="155"/>
      <c r="AW533" s="155"/>
    </row>
    <row r="534" spans="1:49" ht="16.5" customHeight="1">
      <c r="A534" s="155"/>
      <c r="B534" s="155"/>
      <c r="C534" s="1"/>
      <c r="D534" s="1"/>
      <c r="E534" s="1"/>
      <c r="F534" s="156"/>
      <c r="G534" s="157"/>
      <c r="H534" s="184"/>
      <c r="I534" s="184"/>
      <c r="J534" s="184"/>
      <c r="K534" s="184"/>
      <c r="L534" s="184"/>
      <c r="M534" s="4"/>
      <c r="N534" s="184"/>
      <c r="O534" s="1"/>
      <c r="P534" s="5"/>
      <c r="Q534" s="4"/>
      <c r="R534" s="1"/>
      <c r="S534" s="1"/>
      <c r="T534" s="1"/>
      <c r="U534" s="6"/>
      <c r="V534" s="184"/>
      <c r="W534" s="184"/>
      <c r="X534" s="155"/>
      <c r="Y534" s="155"/>
      <c r="Z534" s="155"/>
      <c r="AA534" s="155"/>
      <c r="AB534" s="155"/>
      <c r="AC534" s="184"/>
      <c r="AD534" s="155"/>
      <c r="AE534" s="155"/>
      <c r="AF534" s="155"/>
      <c r="AG534" s="155"/>
      <c r="AH534" s="155"/>
      <c r="AI534" s="155"/>
      <c r="AJ534" s="155"/>
      <c r="AK534" s="155"/>
      <c r="AL534" s="155"/>
      <c r="AM534" s="155"/>
      <c r="AN534" s="155"/>
      <c r="AO534" s="155"/>
      <c r="AP534" s="155"/>
      <c r="AQ534" s="155"/>
      <c r="AR534" s="155"/>
      <c r="AS534" s="155"/>
      <c r="AT534" s="155"/>
      <c r="AU534" s="155"/>
      <c r="AV534" s="155"/>
      <c r="AW534" s="155"/>
    </row>
    <row r="535" spans="1:49" ht="16.5" customHeight="1">
      <c r="A535" s="155"/>
      <c r="B535" s="155"/>
      <c r="C535" s="1"/>
      <c r="D535" s="1"/>
      <c r="E535" s="1"/>
      <c r="F535" s="156"/>
      <c r="G535" s="157"/>
      <c r="H535" s="184"/>
      <c r="I535" s="184"/>
      <c r="J535" s="184"/>
      <c r="K535" s="184"/>
      <c r="L535" s="184"/>
      <c r="M535" s="4"/>
      <c r="N535" s="184"/>
      <c r="O535" s="1"/>
      <c r="P535" s="5"/>
      <c r="Q535" s="4"/>
      <c r="R535" s="1"/>
      <c r="S535" s="1"/>
      <c r="T535" s="1"/>
      <c r="U535" s="6"/>
      <c r="V535" s="184"/>
      <c r="W535" s="184"/>
      <c r="X535" s="155"/>
      <c r="Y535" s="155"/>
      <c r="Z535" s="155"/>
      <c r="AA535" s="155"/>
      <c r="AB535" s="155"/>
      <c r="AC535" s="184"/>
      <c r="AD535" s="155"/>
      <c r="AE535" s="155"/>
      <c r="AF535" s="155"/>
      <c r="AG535" s="155"/>
      <c r="AH535" s="155"/>
      <c r="AI535" s="155"/>
      <c r="AJ535" s="155"/>
      <c r="AK535" s="155"/>
      <c r="AL535" s="155"/>
      <c r="AM535" s="155"/>
      <c r="AN535" s="155"/>
      <c r="AO535" s="155"/>
      <c r="AP535" s="155"/>
      <c r="AQ535" s="155"/>
      <c r="AR535" s="155"/>
      <c r="AS535" s="155"/>
      <c r="AT535" s="155"/>
      <c r="AU535" s="155"/>
      <c r="AV535" s="155"/>
      <c r="AW535" s="155"/>
    </row>
    <row r="536" spans="1:49" ht="16.5" customHeight="1">
      <c r="A536" s="155"/>
      <c r="B536" s="155"/>
      <c r="C536" s="1"/>
      <c r="D536" s="1"/>
      <c r="E536" s="1"/>
      <c r="F536" s="156"/>
      <c r="G536" s="157"/>
      <c r="H536" s="184"/>
      <c r="I536" s="184"/>
      <c r="J536" s="184"/>
      <c r="K536" s="184"/>
      <c r="L536" s="184"/>
      <c r="M536" s="4"/>
      <c r="N536" s="184"/>
      <c r="O536" s="1"/>
      <c r="P536" s="5"/>
      <c r="Q536" s="4"/>
      <c r="R536" s="1"/>
      <c r="S536" s="1"/>
      <c r="T536" s="1"/>
      <c r="U536" s="6"/>
      <c r="V536" s="184"/>
      <c r="W536" s="184"/>
      <c r="X536" s="155"/>
      <c r="Y536" s="155"/>
      <c r="Z536" s="155"/>
      <c r="AA536" s="155"/>
      <c r="AB536" s="155"/>
      <c r="AC536" s="184"/>
      <c r="AD536" s="155"/>
      <c r="AE536" s="155"/>
      <c r="AF536" s="155"/>
      <c r="AG536" s="155"/>
      <c r="AH536" s="155"/>
      <c r="AI536" s="155"/>
      <c r="AJ536" s="155"/>
      <c r="AK536" s="155"/>
      <c r="AL536" s="155"/>
      <c r="AM536" s="155"/>
      <c r="AN536" s="155"/>
      <c r="AO536" s="155"/>
      <c r="AP536" s="155"/>
      <c r="AQ536" s="155"/>
      <c r="AR536" s="155"/>
      <c r="AS536" s="155"/>
      <c r="AT536" s="155"/>
      <c r="AU536" s="155"/>
      <c r="AV536" s="155"/>
      <c r="AW536" s="155"/>
    </row>
    <row r="537" spans="1:49" ht="16.5" customHeight="1">
      <c r="A537" s="155"/>
      <c r="B537" s="155"/>
      <c r="C537" s="1"/>
      <c r="D537" s="1"/>
      <c r="E537" s="1"/>
      <c r="F537" s="156"/>
      <c r="G537" s="157"/>
      <c r="H537" s="184"/>
      <c r="I537" s="184"/>
      <c r="J537" s="184"/>
      <c r="K537" s="184"/>
      <c r="L537" s="184"/>
      <c r="M537" s="4"/>
      <c r="N537" s="184"/>
      <c r="O537" s="1"/>
      <c r="P537" s="5"/>
      <c r="Q537" s="4"/>
      <c r="R537" s="1"/>
      <c r="S537" s="1"/>
      <c r="T537" s="1"/>
      <c r="U537" s="6"/>
      <c r="V537" s="184"/>
      <c r="W537" s="184"/>
      <c r="X537" s="155"/>
      <c r="Y537" s="155"/>
      <c r="Z537" s="155"/>
      <c r="AA537" s="155"/>
      <c r="AB537" s="155"/>
      <c r="AC537" s="184"/>
      <c r="AD537" s="155"/>
      <c r="AE537" s="155"/>
      <c r="AF537" s="155"/>
      <c r="AG537" s="155"/>
      <c r="AH537" s="155"/>
      <c r="AI537" s="155"/>
      <c r="AJ537" s="155"/>
      <c r="AK537" s="155"/>
      <c r="AL537" s="155"/>
      <c r="AM537" s="155"/>
      <c r="AN537" s="155"/>
      <c r="AO537" s="155"/>
      <c r="AP537" s="155"/>
      <c r="AQ537" s="155"/>
      <c r="AR537" s="155"/>
      <c r="AS537" s="155"/>
      <c r="AT537" s="155"/>
      <c r="AU537" s="155"/>
      <c r="AV537" s="155"/>
      <c r="AW537" s="155"/>
    </row>
    <row r="538" spans="1:49" ht="16.5" customHeight="1">
      <c r="A538" s="155"/>
      <c r="B538" s="155"/>
      <c r="C538" s="1"/>
      <c r="D538" s="1"/>
      <c r="E538" s="1"/>
      <c r="F538" s="156"/>
      <c r="G538" s="157"/>
      <c r="H538" s="184"/>
      <c r="I538" s="184"/>
      <c r="J538" s="184"/>
      <c r="K538" s="184"/>
      <c r="L538" s="184"/>
      <c r="M538" s="4"/>
      <c r="N538" s="184"/>
      <c r="O538" s="1"/>
      <c r="P538" s="5"/>
      <c r="Q538" s="4"/>
      <c r="R538" s="1"/>
      <c r="S538" s="1"/>
      <c r="T538" s="1"/>
      <c r="U538" s="6"/>
      <c r="V538" s="184"/>
      <c r="W538" s="184"/>
      <c r="X538" s="155"/>
      <c r="Y538" s="155"/>
      <c r="Z538" s="155"/>
      <c r="AA538" s="155"/>
      <c r="AB538" s="155"/>
      <c r="AC538" s="184"/>
      <c r="AD538" s="155"/>
      <c r="AE538" s="155"/>
      <c r="AF538" s="155"/>
      <c r="AG538" s="155"/>
      <c r="AH538" s="155"/>
      <c r="AI538" s="155"/>
      <c r="AJ538" s="155"/>
      <c r="AK538" s="155"/>
      <c r="AL538" s="155"/>
      <c r="AM538" s="155"/>
      <c r="AN538" s="155"/>
      <c r="AO538" s="155"/>
      <c r="AP538" s="155"/>
      <c r="AQ538" s="155"/>
      <c r="AR538" s="155"/>
      <c r="AS538" s="155"/>
      <c r="AT538" s="155"/>
      <c r="AU538" s="155"/>
      <c r="AV538" s="155"/>
      <c r="AW538" s="155"/>
    </row>
    <row r="539" spans="1:49" ht="16.5" customHeight="1">
      <c r="A539" s="155"/>
      <c r="B539" s="155"/>
      <c r="C539" s="1"/>
      <c r="D539" s="1"/>
      <c r="E539" s="1"/>
      <c r="F539" s="156"/>
      <c r="G539" s="157"/>
      <c r="H539" s="184"/>
      <c r="I539" s="184"/>
      <c r="J539" s="184"/>
      <c r="K539" s="184"/>
      <c r="L539" s="184"/>
      <c r="M539" s="4"/>
      <c r="N539" s="184"/>
      <c r="O539" s="1"/>
      <c r="P539" s="5"/>
      <c r="Q539" s="4"/>
      <c r="R539" s="1"/>
      <c r="S539" s="1"/>
      <c r="T539" s="1"/>
      <c r="U539" s="6"/>
      <c r="V539" s="184"/>
      <c r="W539" s="184"/>
      <c r="X539" s="155"/>
      <c r="Y539" s="155"/>
      <c r="Z539" s="155"/>
      <c r="AA539" s="155"/>
      <c r="AB539" s="155"/>
      <c r="AC539" s="184"/>
      <c r="AD539" s="155"/>
      <c r="AE539" s="155"/>
      <c r="AF539" s="155"/>
      <c r="AG539" s="155"/>
      <c r="AH539" s="155"/>
      <c r="AI539" s="155"/>
      <c r="AJ539" s="155"/>
      <c r="AK539" s="155"/>
      <c r="AL539" s="155"/>
      <c r="AM539" s="155"/>
      <c r="AN539" s="155"/>
      <c r="AO539" s="155"/>
      <c r="AP539" s="155"/>
      <c r="AQ539" s="155"/>
      <c r="AR539" s="155"/>
      <c r="AS539" s="155"/>
      <c r="AT539" s="155"/>
      <c r="AU539" s="155"/>
      <c r="AV539" s="155"/>
      <c r="AW539" s="155"/>
    </row>
    <row r="540" spans="1:49" ht="16.5" customHeight="1">
      <c r="A540" s="155"/>
      <c r="B540" s="155"/>
      <c r="C540" s="1"/>
      <c r="D540" s="1"/>
      <c r="E540" s="1"/>
      <c r="F540" s="156"/>
      <c r="G540" s="157"/>
      <c r="H540" s="184"/>
      <c r="I540" s="184"/>
      <c r="J540" s="184"/>
      <c r="K540" s="184"/>
      <c r="L540" s="184"/>
      <c r="M540" s="4"/>
      <c r="N540" s="184"/>
      <c r="O540" s="1"/>
      <c r="P540" s="5"/>
      <c r="Q540" s="4"/>
      <c r="R540" s="1"/>
      <c r="S540" s="1"/>
      <c r="T540" s="1"/>
      <c r="U540" s="6"/>
      <c r="V540" s="184"/>
      <c r="W540" s="184"/>
      <c r="X540" s="155"/>
      <c r="Y540" s="155"/>
      <c r="Z540" s="155"/>
      <c r="AA540" s="155"/>
      <c r="AB540" s="155"/>
      <c r="AC540" s="184"/>
      <c r="AD540" s="155"/>
      <c r="AE540" s="155"/>
      <c r="AF540" s="155"/>
      <c r="AG540" s="155"/>
      <c r="AH540" s="155"/>
      <c r="AI540" s="155"/>
      <c r="AJ540" s="155"/>
      <c r="AK540" s="155"/>
      <c r="AL540" s="155"/>
      <c r="AM540" s="155"/>
      <c r="AN540" s="155"/>
      <c r="AO540" s="155"/>
      <c r="AP540" s="155"/>
      <c r="AQ540" s="155"/>
      <c r="AR540" s="155"/>
      <c r="AS540" s="155"/>
      <c r="AT540" s="155"/>
      <c r="AU540" s="155"/>
      <c r="AV540" s="155"/>
      <c r="AW540" s="155"/>
    </row>
    <row r="541" spans="1:49" ht="16.5" customHeight="1">
      <c r="A541" s="155"/>
      <c r="B541" s="155"/>
      <c r="C541" s="1"/>
      <c r="D541" s="1"/>
      <c r="E541" s="1"/>
      <c r="F541" s="156"/>
      <c r="G541" s="157"/>
      <c r="H541" s="184"/>
      <c r="I541" s="184"/>
      <c r="J541" s="184"/>
      <c r="K541" s="184"/>
      <c r="L541" s="184"/>
      <c r="M541" s="4"/>
      <c r="N541" s="184"/>
      <c r="O541" s="1"/>
      <c r="P541" s="5"/>
      <c r="Q541" s="4"/>
      <c r="R541" s="1"/>
      <c r="S541" s="1"/>
      <c r="T541" s="1"/>
      <c r="U541" s="6"/>
      <c r="V541" s="184"/>
      <c r="W541" s="184"/>
      <c r="X541" s="155"/>
      <c r="Y541" s="155"/>
      <c r="Z541" s="155"/>
      <c r="AA541" s="155"/>
      <c r="AB541" s="155"/>
      <c r="AC541" s="184"/>
      <c r="AD541" s="155"/>
      <c r="AE541" s="155"/>
      <c r="AF541" s="155"/>
      <c r="AG541" s="155"/>
      <c r="AH541" s="155"/>
      <c r="AI541" s="155"/>
      <c r="AJ541" s="155"/>
      <c r="AK541" s="155"/>
      <c r="AL541" s="155"/>
      <c r="AM541" s="155"/>
      <c r="AN541" s="155"/>
      <c r="AO541" s="155"/>
      <c r="AP541" s="155"/>
      <c r="AQ541" s="155"/>
      <c r="AR541" s="155"/>
      <c r="AS541" s="155"/>
      <c r="AT541" s="155"/>
      <c r="AU541" s="155"/>
      <c r="AV541" s="155"/>
      <c r="AW541" s="155"/>
    </row>
    <row r="542" spans="1:49" ht="16.5" customHeight="1">
      <c r="A542" s="155"/>
      <c r="B542" s="155"/>
      <c r="C542" s="1"/>
      <c r="D542" s="1"/>
      <c r="E542" s="1"/>
      <c r="F542" s="156"/>
      <c r="G542" s="157"/>
      <c r="H542" s="184"/>
      <c r="I542" s="184"/>
      <c r="J542" s="184"/>
      <c r="K542" s="184"/>
      <c r="L542" s="184"/>
      <c r="M542" s="4"/>
      <c r="N542" s="184"/>
      <c r="O542" s="1"/>
      <c r="P542" s="5"/>
      <c r="Q542" s="4"/>
      <c r="R542" s="1"/>
      <c r="S542" s="1"/>
      <c r="T542" s="1"/>
      <c r="U542" s="6"/>
      <c r="V542" s="184"/>
      <c r="W542" s="184"/>
      <c r="X542" s="155"/>
      <c r="Y542" s="155"/>
      <c r="Z542" s="155"/>
      <c r="AA542" s="155"/>
      <c r="AB542" s="155"/>
      <c r="AC542" s="184"/>
      <c r="AD542" s="155"/>
      <c r="AE542" s="155"/>
      <c r="AF542" s="155"/>
      <c r="AG542" s="155"/>
      <c r="AH542" s="155"/>
      <c r="AI542" s="155"/>
      <c r="AJ542" s="155"/>
      <c r="AK542" s="155"/>
      <c r="AL542" s="155"/>
      <c r="AM542" s="155"/>
      <c r="AN542" s="155"/>
      <c r="AO542" s="155"/>
      <c r="AP542" s="155"/>
      <c r="AQ542" s="155"/>
      <c r="AR542" s="155"/>
      <c r="AS542" s="155"/>
      <c r="AT542" s="155"/>
      <c r="AU542" s="155"/>
      <c r="AV542" s="155"/>
      <c r="AW542" s="155"/>
    </row>
    <row r="543" spans="1:49" ht="16.5" customHeight="1">
      <c r="A543" s="155"/>
      <c r="B543" s="155"/>
      <c r="C543" s="1"/>
      <c r="D543" s="1"/>
      <c r="E543" s="1"/>
      <c r="F543" s="156"/>
      <c r="G543" s="157"/>
      <c r="H543" s="184"/>
      <c r="I543" s="184"/>
      <c r="J543" s="184"/>
      <c r="K543" s="184"/>
      <c r="L543" s="184"/>
      <c r="M543" s="4"/>
      <c r="N543" s="184"/>
      <c r="O543" s="1"/>
      <c r="P543" s="5"/>
      <c r="Q543" s="4"/>
      <c r="R543" s="1"/>
      <c r="S543" s="1"/>
      <c r="T543" s="1"/>
      <c r="U543" s="6"/>
      <c r="V543" s="184"/>
      <c r="W543" s="184"/>
      <c r="X543" s="155"/>
      <c r="Y543" s="155"/>
      <c r="Z543" s="155"/>
      <c r="AA543" s="155"/>
      <c r="AB543" s="155"/>
      <c r="AC543" s="184"/>
      <c r="AD543" s="155"/>
      <c r="AE543" s="155"/>
      <c r="AF543" s="155"/>
      <c r="AG543" s="155"/>
      <c r="AH543" s="155"/>
      <c r="AI543" s="155"/>
      <c r="AJ543" s="155"/>
      <c r="AK543" s="155"/>
      <c r="AL543" s="155"/>
      <c r="AM543" s="155"/>
      <c r="AN543" s="155"/>
      <c r="AO543" s="155"/>
      <c r="AP543" s="155"/>
      <c r="AQ543" s="155"/>
      <c r="AR543" s="155"/>
      <c r="AS543" s="155"/>
      <c r="AT543" s="155"/>
      <c r="AU543" s="155"/>
      <c r="AV543" s="155"/>
      <c r="AW543" s="155"/>
    </row>
    <row r="544" spans="1:49" ht="16.5" customHeight="1">
      <c r="A544" s="155"/>
      <c r="B544" s="155"/>
      <c r="C544" s="1"/>
      <c r="D544" s="1"/>
      <c r="E544" s="1"/>
      <c r="F544" s="156"/>
      <c r="G544" s="157"/>
      <c r="H544" s="184"/>
      <c r="I544" s="184"/>
      <c r="J544" s="184"/>
      <c r="K544" s="184"/>
      <c r="L544" s="184"/>
      <c r="M544" s="4"/>
      <c r="N544" s="184"/>
      <c r="O544" s="1"/>
      <c r="P544" s="5"/>
      <c r="Q544" s="4"/>
      <c r="R544" s="1"/>
      <c r="S544" s="1"/>
      <c r="T544" s="1"/>
      <c r="U544" s="6"/>
      <c r="V544" s="184"/>
      <c r="W544" s="184"/>
      <c r="X544" s="155"/>
      <c r="Y544" s="155"/>
      <c r="Z544" s="155"/>
      <c r="AA544" s="155"/>
      <c r="AB544" s="155"/>
      <c r="AC544" s="184"/>
      <c r="AD544" s="155"/>
      <c r="AE544" s="155"/>
      <c r="AF544" s="155"/>
      <c r="AG544" s="155"/>
      <c r="AH544" s="155"/>
      <c r="AI544" s="155"/>
      <c r="AJ544" s="155"/>
      <c r="AK544" s="155"/>
      <c r="AL544" s="155"/>
      <c r="AM544" s="155"/>
      <c r="AN544" s="155"/>
      <c r="AO544" s="155"/>
      <c r="AP544" s="155"/>
      <c r="AQ544" s="155"/>
      <c r="AR544" s="155"/>
      <c r="AS544" s="155"/>
      <c r="AT544" s="155"/>
      <c r="AU544" s="155"/>
      <c r="AV544" s="155"/>
      <c r="AW544" s="155"/>
    </row>
    <row r="545" spans="1:49" ht="16.5" customHeight="1">
      <c r="A545" s="155"/>
      <c r="B545" s="155"/>
      <c r="C545" s="1"/>
      <c r="D545" s="1"/>
      <c r="E545" s="1"/>
      <c r="F545" s="156"/>
      <c r="G545" s="157"/>
      <c r="H545" s="184"/>
      <c r="I545" s="184"/>
      <c r="J545" s="184"/>
      <c r="K545" s="184"/>
      <c r="L545" s="184"/>
      <c r="M545" s="4"/>
      <c r="N545" s="184"/>
      <c r="O545" s="1"/>
      <c r="P545" s="5"/>
      <c r="Q545" s="4"/>
      <c r="R545" s="1"/>
      <c r="S545" s="1"/>
      <c r="T545" s="1"/>
      <c r="U545" s="6"/>
      <c r="V545" s="184"/>
      <c r="W545" s="184"/>
      <c r="X545" s="155"/>
      <c r="Y545" s="155"/>
      <c r="Z545" s="155"/>
      <c r="AA545" s="155"/>
      <c r="AB545" s="155"/>
      <c r="AC545" s="184"/>
      <c r="AD545" s="155"/>
      <c r="AE545" s="155"/>
      <c r="AF545" s="155"/>
      <c r="AG545" s="155"/>
      <c r="AH545" s="155"/>
      <c r="AI545" s="155"/>
      <c r="AJ545" s="155"/>
      <c r="AK545" s="155"/>
      <c r="AL545" s="155"/>
      <c r="AM545" s="155"/>
      <c r="AN545" s="155"/>
      <c r="AO545" s="155"/>
      <c r="AP545" s="155"/>
      <c r="AQ545" s="155"/>
      <c r="AR545" s="155"/>
      <c r="AS545" s="155"/>
      <c r="AT545" s="155"/>
      <c r="AU545" s="155"/>
      <c r="AV545" s="155"/>
      <c r="AW545" s="155"/>
    </row>
    <row r="546" spans="1:49" ht="16.5" customHeight="1">
      <c r="A546" s="155"/>
      <c r="B546" s="155"/>
      <c r="C546" s="1"/>
      <c r="D546" s="1"/>
      <c r="E546" s="1"/>
      <c r="F546" s="156"/>
      <c r="G546" s="157"/>
      <c r="H546" s="184"/>
      <c r="I546" s="184"/>
      <c r="J546" s="184"/>
      <c r="K546" s="184"/>
      <c r="L546" s="184"/>
      <c r="M546" s="4"/>
      <c r="N546" s="184"/>
      <c r="O546" s="1"/>
      <c r="P546" s="5"/>
      <c r="Q546" s="4"/>
      <c r="R546" s="1"/>
      <c r="S546" s="1"/>
      <c r="T546" s="1"/>
      <c r="U546" s="6"/>
      <c r="V546" s="184"/>
      <c r="W546" s="184"/>
      <c r="X546" s="155"/>
      <c r="Y546" s="155"/>
      <c r="Z546" s="155"/>
      <c r="AA546" s="155"/>
      <c r="AB546" s="155"/>
      <c r="AC546" s="184"/>
      <c r="AD546" s="155"/>
      <c r="AE546" s="155"/>
      <c r="AF546" s="155"/>
      <c r="AG546" s="155"/>
      <c r="AH546" s="155"/>
      <c r="AI546" s="155"/>
      <c r="AJ546" s="155"/>
      <c r="AK546" s="155"/>
      <c r="AL546" s="155"/>
      <c r="AM546" s="155"/>
      <c r="AN546" s="155"/>
      <c r="AO546" s="155"/>
      <c r="AP546" s="155"/>
      <c r="AQ546" s="155"/>
      <c r="AR546" s="155"/>
      <c r="AS546" s="155"/>
      <c r="AT546" s="155"/>
      <c r="AU546" s="155"/>
      <c r="AV546" s="155"/>
      <c r="AW546" s="155"/>
    </row>
    <row r="547" spans="1:49" ht="16.5" customHeight="1">
      <c r="A547" s="155"/>
      <c r="B547" s="155"/>
      <c r="C547" s="1"/>
      <c r="D547" s="1"/>
      <c r="E547" s="1"/>
      <c r="F547" s="156"/>
      <c r="G547" s="157"/>
      <c r="H547" s="184"/>
      <c r="I547" s="184"/>
      <c r="J547" s="184"/>
      <c r="K547" s="184"/>
      <c r="L547" s="184"/>
      <c r="M547" s="4"/>
      <c r="N547" s="184"/>
      <c r="O547" s="1"/>
      <c r="P547" s="5"/>
      <c r="Q547" s="4"/>
      <c r="R547" s="1"/>
      <c r="S547" s="1"/>
      <c r="T547" s="1"/>
      <c r="U547" s="6"/>
      <c r="V547" s="184"/>
      <c r="W547" s="184"/>
      <c r="X547" s="155"/>
      <c r="Y547" s="155"/>
      <c r="Z547" s="155"/>
      <c r="AA547" s="155"/>
      <c r="AB547" s="155"/>
      <c r="AC547" s="184"/>
      <c r="AD547" s="155"/>
      <c r="AE547" s="155"/>
      <c r="AF547" s="155"/>
      <c r="AG547" s="155"/>
      <c r="AH547" s="155"/>
      <c r="AI547" s="155"/>
      <c r="AJ547" s="155"/>
      <c r="AK547" s="155"/>
      <c r="AL547" s="155"/>
      <c r="AM547" s="155"/>
      <c r="AN547" s="155"/>
      <c r="AO547" s="155"/>
      <c r="AP547" s="155"/>
      <c r="AQ547" s="155"/>
      <c r="AR547" s="155"/>
      <c r="AS547" s="155"/>
      <c r="AT547" s="155"/>
      <c r="AU547" s="155"/>
      <c r="AV547" s="155"/>
      <c r="AW547" s="155"/>
    </row>
    <row r="548" spans="1:49" ht="16.5" customHeight="1">
      <c r="A548" s="155"/>
      <c r="B548" s="155"/>
      <c r="C548" s="1"/>
      <c r="D548" s="1"/>
      <c r="E548" s="1"/>
      <c r="F548" s="156"/>
      <c r="G548" s="157"/>
      <c r="H548" s="184"/>
      <c r="I548" s="184"/>
      <c r="J548" s="184"/>
      <c r="K548" s="184"/>
      <c r="L548" s="184"/>
      <c r="M548" s="4"/>
      <c r="N548" s="184"/>
      <c r="O548" s="1"/>
      <c r="P548" s="5"/>
      <c r="Q548" s="4"/>
      <c r="R548" s="1"/>
      <c r="S548" s="1"/>
      <c r="T548" s="1"/>
      <c r="U548" s="6"/>
      <c r="V548" s="184"/>
      <c r="W548" s="184"/>
      <c r="X548" s="155"/>
      <c r="Y548" s="155"/>
      <c r="Z548" s="155"/>
      <c r="AA548" s="155"/>
      <c r="AB548" s="155"/>
      <c r="AC548" s="184"/>
      <c r="AD548" s="155"/>
      <c r="AE548" s="155"/>
      <c r="AF548" s="155"/>
      <c r="AG548" s="155"/>
      <c r="AH548" s="155"/>
      <c r="AI548" s="155"/>
      <c r="AJ548" s="155"/>
      <c r="AK548" s="155"/>
      <c r="AL548" s="155"/>
      <c r="AM548" s="155"/>
      <c r="AN548" s="155"/>
      <c r="AO548" s="155"/>
      <c r="AP548" s="155"/>
      <c r="AQ548" s="155"/>
      <c r="AR548" s="155"/>
      <c r="AS548" s="155"/>
      <c r="AT548" s="155"/>
      <c r="AU548" s="155"/>
      <c r="AV548" s="155"/>
      <c r="AW548" s="155"/>
    </row>
    <row r="549" spans="1:49" ht="16.5" customHeight="1">
      <c r="A549" s="155"/>
      <c r="B549" s="155"/>
      <c r="C549" s="1"/>
      <c r="D549" s="1"/>
      <c r="E549" s="1"/>
      <c r="F549" s="156"/>
      <c r="G549" s="157"/>
      <c r="H549" s="184"/>
      <c r="I549" s="184"/>
      <c r="J549" s="184"/>
      <c r="K549" s="184"/>
      <c r="L549" s="184"/>
      <c r="M549" s="4"/>
      <c r="N549" s="184"/>
      <c r="O549" s="1"/>
      <c r="P549" s="5"/>
      <c r="Q549" s="4"/>
      <c r="R549" s="1"/>
      <c r="S549" s="1"/>
      <c r="T549" s="1"/>
      <c r="U549" s="6"/>
      <c r="V549" s="184"/>
      <c r="W549" s="184"/>
      <c r="X549" s="155"/>
      <c r="Y549" s="155"/>
      <c r="Z549" s="155"/>
      <c r="AA549" s="155"/>
      <c r="AB549" s="155"/>
      <c r="AC549" s="184"/>
      <c r="AD549" s="155"/>
      <c r="AE549" s="155"/>
      <c r="AF549" s="155"/>
      <c r="AG549" s="155"/>
      <c r="AH549" s="155"/>
      <c r="AI549" s="155"/>
      <c r="AJ549" s="155"/>
      <c r="AK549" s="155"/>
      <c r="AL549" s="155"/>
      <c r="AM549" s="155"/>
      <c r="AN549" s="155"/>
      <c r="AO549" s="155"/>
      <c r="AP549" s="155"/>
      <c r="AQ549" s="155"/>
      <c r="AR549" s="155"/>
      <c r="AS549" s="155"/>
      <c r="AT549" s="155"/>
      <c r="AU549" s="155"/>
      <c r="AV549" s="155"/>
      <c r="AW549" s="155"/>
    </row>
    <row r="550" spans="1:49" ht="16.5" customHeight="1">
      <c r="A550" s="155"/>
      <c r="B550" s="155"/>
      <c r="C550" s="1"/>
      <c r="D550" s="1"/>
      <c r="E550" s="1"/>
      <c r="F550" s="156"/>
      <c r="G550" s="157"/>
      <c r="H550" s="184"/>
      <c r="I550" s="184"/>
      <c r="J550" s="184"/>
      <c r="K550" s="184"/>
      <c r="L550" s="184"/>
      <c r="M550" s="4"/>
      <c r="N550" s="184"/>
      <c r="O550" s="1"/>
      <c r="P550" s="5"/>
      <c r="Q550" s="4"/>
      <c r="R550" s="1"/>
      <c r="S550" s="1"/>
      <c r="T550" s="1"/>
      <c r="U550" s="6"/>
      <c r="V550" s="184"/>
      <c r="W550" s="184"/>
      <c r="X550" s="155"/>
      <c r="Y550" s="155"/>
      <c r="Z550" s="155"/>
      <c r="AA550" s="155"/>
      <c r="AB550" s="155"/>
      <c r="AC550" s="184"/>
      <c r="AD550" s="155"/>
      <c r="AE550" s="155"/>
      <c r="AF550" s="155"/>
      <c r="AG550" s="155"/>
      <c r="AH550" s="155"/>
      <c r="AI550" s="155"/>
      <c r="AJ550" s="155"/>
      <c r="AK550" s="155"/>
      <c r="AL550" s="155"/>
      <c r="AM550" s="155"/>
      <c r="AN550" s="155"/>
      <c r="AO550" s="155"/>
      <c r="AP550" s="155"/>
      <c r="AQ550" s="155"/>
      <c r="AR550" s="155"/>
      <c r="AS550" s="155"/>
      <c r="AT550" s="155"/>
      <c r="AU550" s="155"/>
      <c r="AV550" s="155"/>
      <c r="AW550" s="155"/>
    </row>
    <row r="551" spans="1:49" ht="16.5" customHeight="1">
      <c r="A551" s="155"/>
      <c r="B551" s="155"/>
      <c r="C551" s="1"/>
      <c r="D551" s="1"/>
      <c r="E551" s="1"/>
      <c r="F551" s="156"/>
      <c r="G551" s="157"/>
      <c r="H551" s="184"/>
      <c r="I551" s="184"/>
      <c r="J551" s="184"/>
      <c r="K551" s="184"/>
      <c r="L551" s="184"/>
      <c r="M551" s="4"/>
      <c r="N551" s="184"/>
      <c r="O551" s="1"/>
      <c r="P551" s="5"/>
      <c r="Q551" s="4"/>
      <c r="R551" s="1"/>
      <c r="S551" s="1"/>
      <c r="T551" s="1"/>
      <c r="U551" s="6"/>
      <c r="V551" s="184"/>
      <c r="W551" s="184"/>
      <c r="X551" s="155"/>
      <c r="Y551" s="155"/>
      <c r="Z551" s="155"/>
      <c r="AA551" s="155"/>
      <c r="AB551" s="155"/>
      <c r="AC551" s="184"/>
      <c r="AD551" s="155"/>
      <c r="AE551" s="155"/>
      <c r="AF551" s="155"/>
      <c r="AG551" s="155"/>
      <c r="AH551" s="155"/>
      <c r="AI551" s="155"/>
      <c r="AJ551" s="155"/>
      <c r="AK551" s="155"/>
      <c r="AL551" s="155"/>
      <c r="AM551" s="155"/>
      <c r="AN551" s="155"/>
      <c r="AO551" s="155"/>
      <c r="AP551" s="155"/>
      <c r="AQ551" s="155"/>
      <c r="AR551" s="155"/>
      <c r="AS551" s="155"/>
      <c r="AT551" s="155"/>
      <c r="AU551" s="155"/>
      <c r="AV551" s="155"/>
      <c r="AW551" s="155"/>
    </row>
    <row r="552" spans="1:49" ht="16.5" customHeight="1">
      <c r="A552" s="155"/>
      <c r="B552" s="155"/>
      <c r="C552" s="1"/>
      <c r="D552" s="1"/>
      <c r="E552" s="1"/>
      <c r="F552" s="156"/>
      <c r="G552" s="157"/>
      <c r="H552" s="184"/>
      <c r="I552" s="184"/>
      <c r="J552" s="184"/>
      <c r="K552" s="184"/>
      <c r="L552" s="184"/>
      <c r="M552" s="4"/>
      <c r="N552" s="184"/>
      <c r="O552" s="1"/>
      <c r="P552" s="5"/>
      <c r="Q552" s="4"/>
      <c r="R552" s="1"/>
      <c r="S552" s="1"/>
      <c r="T552" s="1"/>
      <c r="U552" s="6"/>
      <c r="V552" s="184"/>
      <c r="W552" s="184"/>
      <c r="X552" s="155"/>
      <c r="Y552" s="155"/>
      <c r="Z552" s="155"/>
      <c r="AA552" s="155"/>
      <c r="AB552" s="155"/>
      <c r="AC552" s="184"/>
      <c r="AD552" s="155"/>
      <c r="AE552" s="155"/>
      <c r="AF552" s="155"/>
      <c r="AG552" s="155"/>
      <c r="AH552" s="155"/>
      <c r="AI552" s="155"/>
      <c r="AJ552" s="155"/>
      <c r="AK552" s="155"/>
      <c r="AL552" s="155"/>
      <c r="AM552" s="155"/>
      <c r="AN552" s="155"/>
      <c r="AO552" s="155"/>
      <c r="AP552" s="155"/>
      <c r="AQ552" s="155"/>
      <c r="AR552" s="155"/>
      <c r="AS552" s="155"/>
      <c r="AT552" s="155"/>
      <c r="AU552" s="155"/>
      <c r="AV552" s="155"/>
      <c r="AW552" s="155"/>
    </row>
    <row r="553" spans="1:49" ht="16.5" customHeight="1">
      <c r="A553" s="155"/>
      <c r="B553" s="155"/>
      <c r="C553" s="1"/>
      <c r="D553" s="1"/>
      <c r="E553" s="1"/>
      <c r="F553" s="156"/>
      <c r="G553" s="157"/>
      <c r="H553" s="184"/>
      <c r="I553" s="184"/>
      <c r="J553" s="184"/>
      <c r="K553" s="184"/>
      <c r="L553" s="184"/>
      <c r="M553" s="4"/>
      <c r="N553" s="184"/>
      <c r="O553" s="1"/>
      <c r="P553" s="5"/>
      <c r="Q553" s="4"/>
      <c r="R553" s="1"/>
      <c r="S553" s="1"/>
      <c r="T553" s="1"/>
      <c r="U553" s="6"/>
      <c r="V553" s="184"/>
      <c r="W553" s="184"/>
      <c r="X553" s="155"/>
      <c r="Y553" s="155"/>
      <c r="Z553" s="155"/>
      <c r="AA553" s="155"/>
      <c r="AB553" s="155"/>
      <c r="AC553" s="184"/>
      <c r="AD553" s="155"/>
      <c r="AE553" s="155"/>
      <c r="AF553" s="155"/>
      <c r="AG553" s="155"/>
      <c r="AH553" s="155"/>
      <c r="AI553" s="155"/>
      <c r="AJ553" s="155"/>
      <c r="AK553" s="155"/>
      <c r="AL553" s="155"/>
      <c r="AM553" s="155"/>
      <c r="AN553" s="155"/>
      <c r="AO553" s="155"/>
      <c r="AP553" s="155"/>
      <c r="AQ553" s="155"/>
      <c r="AR553" s="155"/>
      <c r="AS553" s="155"/>
      <c r="AT553" s="155"/>
      <c r="AU553" s="155"/>
      <c r="AV553" s="155"/>
      <c r="AW553" s="155"/>
    </row>
    <row r="554" spans="1:49" ht="16.5" customHeight="1">
      <c r="A554" s="155"/>
      <c r="B554" s="155"/>
      <c r="C554" s="1"/>
      <c r="D554" s="1"/>
      <c r="E554" s="1"/>
      <c r="F554" s="156"/>
      <c r="G554" s="157"/>
      <c r="H554" s="184"/>
      <c r="I554" s="184"/>
      <c r="J554" s="184"/>
      <c r="K554" s="184"/>
      <c r="L554" s="184"/>
      <c r="M554" s="4"/>
      <c r="N554" s="184"/>
      <c r="O554" s="1"/>
      <c r="P554" s="5"/>
      <c r="Q554" s="4"/>
      <c r="R554" s="1"/>
      <c r="S554" s="1"/>
      <c r="T554" s="1"/>
      <c r="U554" s="6"/>
      <c r="V554" s="184"/>
      <c r="W554" s="184"/>
      <c r="X554" s="155"/>
      <c r="Y554" s="155"/>
      <c r="Z554" s="155"/>
      <c r="AA554" s="155"/>
      <c r="AB554" s="155"/>
      <c r="AC554" s="184"/>
      <c r="AD554" s="155"/>
      <c r="AE554" s="155"/>
      <c r="AF554" s="155"/>
      <c r="AG554" s="155"/>
      <c r="AH554" s="155"/>
      <c r="AI554" s="155"/>
      <c r="AJ554" s="155"/>
      <c r="AK554" s="155"/>
      <c r="AL554" s="155"/>
      <c r="AM554" s="155"/>
      <c r="AN554" s="155"/>
      <c r="AO554" s="155"/>
      <c r="AP554" s="155"/>
      <c r="AQ554" s="155"/>
      <c r="AR554" s="155"/>
      <c r="AS554" s="155"/>
      <c r="AT554" s="155"/>
      <c r="AU554" s="155"/>
      <c r="AV554" s="155"/>
      <c r="AW554" s="155"/>
    </row>
    <row r="555" spans="1:49" ht="16.5" customHeight="1">
      <c r="A555" s="155"/>
      <c r="B555" s="155"/>
      <c r="C555" s="1"/>
      <c r="D555" s="1"/>
      <c r="E555" s="1"/>
      <c r="F555" s="156"/>
      <c r="G555" s="157"/>
      <c r="H555" s="184"/>
      <c r="I555" s="184"/>
      <c r="J555" s="184"/>
      <c r="K555" s="184"/>
      <c r="L555" s="184"/>
      <c r="M555" s="4"/>
      <c r="N555" s="184"/>
      <c r="O555" s="1"/>
      <c r="P555" s="5"/>
      <c r="Q555" s="4"/>
      <c r="R555" s="1"/>
      <c r="S555" s="1"/>
      <c r="T555" s="1"/>
      <c r="U555" s="6"/>
      <c r="V555" s="184"/>
      <c r="W555" s="184"/>
      <c r="X555" s="155"/>
      <c r="Y555" s="155"/>
      <c r="Z555" s="155"/>
      <c r="AA555" s="155"/>
      <c r="AB555" s="155"/>
      <c r="AC555" s="184"/>
      <c r="AD555" s="155"/>
      <c r="AE555" s="155"/>
      <c r="AF555" s="155"/>
      <c r="AG555" s="155"/>
      <c r="AH555" s="155"/>
      <c r="AI555" s="155"/>
      <c r="AJ555" s="155"/>
      <c r="AK555" s="155"/>
      <c r="AL555" s="155"/>
      <c r="AM555" s="155"/>
      <c r="AN555" s="155"/>
      <c r="AO555" s="155"/>
      <c r="AP555" s="155"/>
      <c r="AQ555" s="155"/>
      <c r="AR555" s="155"/>
      <c r="AS555" s="155"/>
      <c r="AT555" s="155"/>
      <c r="AU555" s="155"/>
      <c r="AV555" s="155"/>
      <c r="AW555" s="155"/>
    </row>
    <row r="556" spans="1:49" ht="16.5" customHeight="1">
      <c r="A556" s="155"/>
      <c r="B556" s="155"/>
      <c r="C556" s="1"/>
      <c r="D556" s="1"/>
      <c r="E556" s="1"/>
      <c r="F556" s="156"/>
      <c r="G556" s="157"/>
      <c r="H556" s="184"/>
      <c r="I556" s="184"/>
      <c r="J556" s="184"/>
      <c r="K556" s="184"/>
      <c r="L556" s="184"/>
      <c r="M556" s="4"/>
      <c r="N556" s="184"/>
      <c r="O556" s="1"/>
      <c r="P556" s="5"/>
      <c r="Q556" s="4"/>
      <c r="R556" s="1"/>
      <c r="S556" s="1"/>
      <c r="T556" s="1"/>
      <c r="U556" s="6"/>
      <c r="V556" s="184"/>
      <c r="W556" s="184"/>
      <c r="X556" s="155"/>
      <c r="Y556" s="155"/>
      <c r="Z556" s="155"/>
      <c r="AA556" s="155"/>
      <c r="AB556" s="155"/>
      <c r="AC556" s="184"/>
      <c r="AD556" s="155"/>
      <c r="AE556" s="155"/>
      <c r="AF556" s="155"/>
      <c r="AG556" s="155"/>
      <c r="AH556" s="155"/>
      <c r="AI556" s="155"/>
      <c r="AJ556" s="155"/>
      <c r="AK556" s="155"/>
      <c r="AL556" s="155"/>
      <c r="AM556" s="155"/>
      <c r="AN556" s="155"/>
      <c r="AO556" s="155"/>
      <c r="AP556" s="155"/>
      <c r="AQ556" s="155"/>
      <c r="AR556" s="155"/>
      <c r="AS556" s="155"/>
      <c r="AT556" s="155"/>
      <c r="AU556" s="155"/>
      <c r="AV556" s="155"/>
      <c r="AW556" s="155"/>
    </row>
    <row r="557" spans="1:49" ht="16.5" customHeight="1">
      <c r="A557" s="155"/>
      <c r="B557" s="155"/>
      <c r="C557" s="1"/>
      <c r="D557" s="1"/>
      <c r="E557" s="1"/>
      <c r="F557" s="156"/>
      <c r="G557" s="157"/>
      <c r="H557" s="184"/>
      <c r="I557" s="184"/>
      <c r="J557" s="184"/>
      <c r="K557" s="184"/>
      <c r="L557" s="184"/>
      <c r="M557" s="4"/>
      <c r="N557" s="184"/>
      <c r="O557" s="1"/>
      <c r="P557" s="5"/>
      <c r="Q557" s="4"/>
      <c r="R557" s="1"/>
      <c r="S557" s="1"/>
      <c r="T557" s="1"/>
      <c r="U557" s="6"/>
      <c r="V557" s="184"/>
      <c r="W557" s="184"/>
      <c r="X557" s="155"/>
      <c r="Y557" s="155"/>
      <c r="Z557" s="155"/>
      <c r="AA557" s="155"/>
      <c r="AB557" s="155"/>
      <c r="AC557" s="184"/>
      <c r="AD557" s="155"/>
      <c r="AE557" s="155"/>
      <c r="AF557" s="155"/>
      <c r="AG557" s="155"/>
      <c r="AH557" s="155"/>
      <c r="AI557" s="155"/>
      <c r="AJ557" s="155"/>
      <c r="AK557" s="155"/>
      <c r="AL557" s="155"/>
      <c r="AM557" s="155"/>
      <c r="AN557" s="155"/>
      <c r="AO557" s="155"/>
      <c r="AP557" s="155"/>
      <c r="AQ557" s="155"/>
      <c r="AR557" s="155"/>
      <c r="AS557" s="155"/>
      <c r="AT557" s="155"/>
      <c r="AU557" s="155"/>
      <c r="AV557" s="155"/>
      <c r="AW557" s="155"/>
    </row>
    <row r="558" spans="1:49" ht="16.5" customHeight="1">
      <c r="A558" s="155"/>
      <c r="B558" s="155"/>
      <c r="C558" s="1"/>
      <c r="D558" s="1"/>
      <c r="E558" s="1"/>
      <c r="F558" s="156"/>
      <c r="G558" s="157"/>
      <c r="H558" s="184"/>
      <c r="I558" s="184"/>
      <c r="J558" s="184"/>
      <c r="K558" s="184"/>
      <c r="L558" s="184"/>
      <c r="M558" s="4"/>
      <c r="N558" s="184"/>
      <c r="O558" s="1"/>
      <c r="P558" s="5"/>
      <c r="Q558" s="4"/>
      <c r="R558" s="1"/>
      <c r="S558" s="1"/>
      <c r="T558" s="1"/>
      <c r="U558" s="6"/>
      <c r="V558" s="184"/>
      <c r="W558" s="184"/>
      <c r="X558" s="155"/>
      <c r="Y558" s="155"/>
      <c r="Z558" s="155"/>
      <c r="AA558" s="155"/>
      <c r="AB558" s="155"/>
      <c r="AC558" s="184"/>
      <c r="AD558" s="155"/>
      <c r="AE558" s="155"/>
      <c r="AF558" s="155"/>
      <c r="AG558" s="155"/>
      <c r="AH558" s="155"/>
      <c r="AI558" s="155"/>
      <c r="AJ558" s="155"/>
      <c r="AK558" s="155"/>
      <c r="AL558" s="155"/>
      <c r="AM558" s="155"/>
      <c r="AN558" s="155"/>
      <c r="AO558" s="155"/>
      <c r="AP558" s="155"/>
      <c r="AQ558" s="155"/>
      <c r="AR558" s="155"/>
      <c r="AS558" s="155"/>
      <c r="AT558" s="155"/>
      <c r="AU558" s="155"/>
      <c r="AV558" s="155"/>
      <c r="AW558" s="155"/>
    </row>
    <row r="559" spans="1:49" ht="16.5" customHeight="1">
      <c r="A559" s="155"/>
      <c r="B559" s="155"/>
      <c r="C559" s="1"/>
      <c r="D559" s="1"/>
      <c r="E559" s="1"/>
      <c r="F559" s="156"/>
      <c r="G559" s="157"/>
      <c r="H559" s="184"/>
      <c r="I559" s="184"/>
      <c r="J559" s="184"/>
      <c r="K559" s="184"/>
      <c r="L559" s="184"/>
      <c r="M559" s="4"/>
      <c r="N559" s="184"/>
      <c r="O559" s="1"/>
      <c r="P559" s="5"/>
      <c r="Q559" s="4"/>
      <c r="R559" s="1"/>
      <c r="S559" s="1"/>
      <c r="T559" s="1"/>
      <c r="U559" s="6"/>
      <c r="V559" s="184"/>
      <c r="W559" s="184"/>
      <c r="X559" s="155"/>
      <c r="Y559" s="155"/>
      <c r="Z559" s="155"/>
      <c r="AA559" s="155"/>
      <c r="AB559" s="155"/>
      <c r="AC559" s="184"/>
      <c r="AD559" s="155"/>
      <c r="AE559" s="155"/>
      <c r="AF559" s="155"/>
      <c r="AG559" s="155"/>
      <c r="AH559" s="155"/>
      <c r="AI559" s="155"/>
      <c r="AJ559" s="155"/>
      <c r="AK559" s="155"/>
      <c r="AL559" s="155"/>
      <c r="AM559" s="155"/>
      <c r="AN559" s="155"/>
      <c r="AO559" s="155"/>
      <c r="AP559" s="155"/>
      <c r="AQ559" s="155"/>
      <c r="AR559" s="155"/>
      <c r="AS559" s="155"/>
      <c r="AT559" s="155"/>
      <c r="AU559" s="155"/>
      <c r="AV559" s="155"/>
      <c r="AW559" s="155"/>
    </row>
    <row r="560" spans="1:49" ht="16.5" customHeight="1">
      <c r="A560" s="155"/>
      <c r="B560" s="155"/>
      <c r="C560" s="1"/>
      <c r="D560" s="1"/>
      <c r="E560" s="1"/>
      <c r="F560" s="156"/>
      <c r="G560" s="157"/>
      <c r="H560" s="184"/>
      <c r="I560" s="184"/>
      <c r="J560" s="184"/>
      <c r="K560" s="184"/>
      <c r="L560" s="184"/>
      <c r="M560" s="4"/>
      <c r="N560" s="184"/>
      <c r="O560" s="1"/>
      <c r="P560" s="5"/>
      <c r="Q560" s="4"/>
      <c r="R560" s="1"/>
      <c r="S560" s="1"/>
      <c r="T560" s="1"/>
      <c r="U560" s="6"/>
      <c r="V560" s="184"/>
      <c r="W560" s="184"/>
      <c r="X560" s="155"/>
      <c r="Y560" s="155"/>
      <c r="Z560" s="155"/>
      <c r="AA560" s="155"/>
      <c r="AB560" s="155"/>
      <c r="AC560" s="184"/>
      <c r="AD560" s="155"/>
      <c r="AE560" s="155"/>
      <c r="AF560" s="155"/>
      <c r="AG560" s="155"/>
      <c r="AH560" s="155"/>
      <c r="AI560" s="155"/>
      <c r="AJ560" s="155"/>
      <c r="AK560" s="155"/>
      <c r="AL560" s="155"/>
      <c r="AM560" s="155"/>
      <c r="AN560" s="155"/>
      <c r="AO560" s="155"/>
      <c r="AP560" s="155"/>
      <c r="AQ560" s="155"/>
      <c r="AR560" s="155"/>
      <c r="AS560" s="155"/>
      <c r="AT560" s="155"/>
      <c r="AU560" s="155"/>
      <c r="AV560" s="155"/>
      <c r="AW560" s="155"/>
    </row>
    <row r="561" spans="1:49" ht="16.5" customHeight="1">
      <c r="A561" s="155"/>
      <c r="B561" s="155"/>
      <c r="C561" s="1"/>
      <c r="D561" s="1"/>
      <c r="E561" s="1"/>
      <c r="F561" s="156"/>
      <c r="G561" s="157"/>
      <c r="H561" s="184"/>
      <c r="I561" s="184"/>
      <c r="J561" s="184"/>
      <c r="K561" s="184"/>
      <c r="L561" s="184"/>
      <c r="M561" s="4"/>
      <c r="N561" s="184"/>
      <c r="O561" s="1"/>
      <c r="P561" s="5"/>
      <c r="Q561" s="4"/>
      <c r="R561" s="1"/>
      <c r="S561" s="1"/>
      <c r="T561" s="1"/>
      <c r="U561" s="6"/>
      <c r="V561" s="184"/>
      <c r="W561" s="184"/>
      <c r="X561" s="155"/>
      <c r="Y561" s="155"/>
      <c r="Z561" s="155"/>
      <c r="AA561" s="155"/>
      <c r="AB561" s="155"/>
      <c r="AC561" s="184"/>
      <c r="AD561" s="155"/>
      <c r="AE561" s="155"/>
      <c r="AF561" s="155"/>
      <c r="AG561" s="155"/>
      <c r="AH561" s="155"/>
      <c r="AI561" s="155"/>
      <c r="AJ561" s="155"/>
      <c r="AK561" s="155"/>
      <c r="AL561" s="155"/>
      <c r="AM561" s="155"/>
      <c r="AN561" s="155"/>
      <c r="AO561" s="155"/>
      <c r="AP561" s="155"/>
      <c r="AQ561" s="155"/>
      <c r="AR561" s="155"/>
      <c r="AS561" s="155"/>
      <c r="AT561" s="155"/>
      <c r="AU561" s="155"/>
      <c r="AV561" s="155"/>
      <c r="AW561" s="155"/>
    </row>
    <row r="562" spans="1:49" ht="16.5" customHeight="1">
      <c r="A562" s="155"/>
      <c r="B562" s="155"/>
      <c r="C562" s="1"/>
      <c r="D562" s="1"/>
      <c r="E562" s="1"/>
      <c r="F562" s="156"/>
      <c r="G562" s="157"/>
      <c r="H562" s="184"/>
      <c r="I562" s="184"/>
      <c r="J562" s="184"/>
      <c r="K562" s="184"/>
      <c r="L562" s="184"/>
      <c r="M562" s="4"/>
      <c r="N562" s="184"/>
      <c r="O562" s="1"/>
      <c r="P562" s="5"/>
      <c r="Q562" s="4"/>
      <c r="R562" s="1"/>
      <c r="S562" s="1"/>
      <c r="T562" s="1"/>
      <c r="U562" s="6"/>
      <c r="V562" s="184"/>
      <c r="W562" s="184"/>
      <c r="X562" s="155"/>
      <c r="Y562" s="155"/>
      <c r="Z562" s="155"/>
      <c r="AA562" s="155"/>
      <c r="AB562" s="155"/>
      <c r="AC562" s="184"/>
      <c r="AD562" s="155"/>
      <c r="AE562" s="155"/>
      <c r="AF562" s="155"/>
      <c r="AG562" s="155"/>
      <c r="AH562" s="155"/>
      <c r="AI562" s="155"/>
      <c r="AJ562" s="155"/>
      <c r="AK562" s="155"/>
      <c r="AL562" s="155"/>
      <c r="AM562" s="155"/>
      <c r="AN562" s="155"/>
      <c r="AO562" s="155"/>
      <c r="AP562" s="155"/>
      <c r="AQ562" s="155"/>
      <c r="AR562" s="155"/>
      <c r="AS562" s="155"/>
      <c r="AT562" s="155"/>
      <c r="AU562" s="155"/>
      <c r="AV562" s="155"/>
      <c r="AW562" s="155"/>
    </row>
    <row r="563" spans="1:49" ht="16.5" customHeight="1">
      <c r="A563" s="155"/>
      <c r="B563" s="155"/>
      <c r="C563" s="1"/>
      <c r="D563" s="1"/>
      <c r="E563" s="1"/>
      <c r="F563" s="156"/>
      <c r="G563" s="157"/>
      <c r="H563" s="184"/>
      <c r="I563" s="184"/>
      <c r="J563" s="184"/>
      <c r="K563" s="184"/>
      <c r="L563" s="184"/>
      <c r="M563" s="4"/>
      <c r="N563" s="184"/>
      <c r="O563" s="1"/>
      <c r="P563" s="5"/>
      <c r="Q563" s="4"/>
      <c r="R563" s="1"/>
      <c r="S563" s="1"/>
      <c r="T563" s="1"/>
      <c r="U563" s="6"/>
      <c r="V563" s="184"/>
      <c r="W563" s="184"/>
      <c r="X563" s="155"/>
      <c r="Y563" s="155"/>
      <c r="Z563" s="155"/>
      <c r="AA563" s="155"/>
      <c r="AB563" s="155"/>
      <c r="AC563" s="184"/>
      <c r="AD563" s="155"/>
      <c r="AE563" s="155"/>
      <c r="AF563" s="155"/>
      <c r="AG563" s="155"/>
      <c r="AH563" s="155"/>
      <c r="AI563" s="155"/>
      <c r="AJ563" s="155"/>
      <c r="AK563" s="155"/>
      <c r="AL563" s="155"/>
      <c r="AM563" s="155"/>
      <c r="AN563" s="155"/>
      <c r="AO563" s="155"/>
      <c r="AP563" s="155"/>
      <c r="AQ563" s="155"/>
      <c r="AR563" s="155"/>
      <c r="AS563" s="155"/>
      <c r="AT563" s="155"/>
      <c r="AU563" s="155"/>
      <c r="AV563" s="155"/>
      <c r="AW563" s="155"/>
    </row>
    <row r="564" spans="1:49" ht="16.5" customHeight="1">
      <c r="A564" s="155"/>
      <c r="B564" s="155"/>
      <c r="C564" s="1"/>
      <c r="D564" s="1"/>
      <c r="E564" s="1"/>
      <c r="F564" s="156"/>
      <c r="G564" s="157"/>
      <c r="H564" s="184"/>
      <c r="I564" s="184"/>
      <c r="J564" s="184"/>
      <c r="K564" s="184"/>
      <c r="L564" s="184"/>
      <c r="M564" s="4"/>
      <c r="N564" s="184"/>
      <c r="O564" s="1"/>
      <c r="P564" s="5"/>
      <c r="Q564" s="4"/>
      <c r="R564" s="1"/>
      <c r="S564" s="1"/>
      <c r="T564" s="1"/>
      <c r="U564" s="6"/>
      <c r="V564" s="184"/>
      <c r="W564" s="184"/>
      <c r="X564" s="155"/>
      <c r="Y564" s="155"/>
      <c r="Z564" s="155"/>
      <c r="AA564" s="155"/>
      <c r="AB564" s="155"/>
      <c r="AC564" s="184"/>
      <c r="AD564" s="155"/>
      <c r="AE564" s="155"/>
      <c r="AF564" s="155"/>
      <c r="AG564" s="155"/>
      <c r="AH564" s="155"/>
      <c r="AI564" s="155"/>
      <c r="AJ564" s="155"/>
      <c r="AK564" s="155"/>
      <c r="AL564" s="155"/>
      <c r="AM564" s="155"/>
      <c r="AN564" s="155"/>
      <c r="AO564" s="155"/>
      <c r="AP564" s="155"/>
      <c r="AQ564" s="155"/>
      <c r="AR564" s="155"/>
      <c r="AS564" s="155"/>
      <c r="AT564" s="155"/>
      <c r="AU564" s="155"/>
      <c r="AV564" s="155"/>
      <c r="AW564" s="155"/>
    </row>
    <row r="565" spans="1:49" ht="16.5" customHeight="1">
      <c r="A565" s="155"/>
      <c r="B565" s="155"/>
      <c r="C565" s="1"/>
      <c r="D565" s="1"/>
      <c r="E565" s="1"/>
      <c r="F565" s="156"/>
      <c r="G565" s="157"/>
      <c r="H565" s="184"/>
      <c r="I565" s="184"/>
      <c r="J565" s="184"/>
      <c r="K565" s="184"/>
      <c r="L565" s="184"/>
      <c r="M565" s="4"/>
      <c r="N565" s="184"/>
      <c r="O565" s="1"/>
      <c r="P565" s="5"/>
      <c r="Q565" s="4"/>
      <c r="R565" s="1"/>
      <c r="S565" s="1"/>
      <c r="T565" s="1"/>
      <c r="U565" s="6"/>
      <c r="V565" s="184"/>
      <c r="W565" s="184"/>
      <c r="X565" s="155"/>
      <c r="Y565" s="155"/>
      <c r="Z565" s="155"/>
      <c r="AA565" s="155"/>
      <c r="AB565" s="155"/>
      <c r="AC565" s="184"/>
      <c r="AD565" s="155"/>
      <c r="AE565" s="155"/>
      <c r="AF565" s="155"/>
      <c r="AG565" s="155"/>
      <c r="AH565" s="155"/>
      <c r="AI565" s="155"/>
      <c r="AJ565" s="155"/>
      <c r="AK565" s="155"/>
      <c r="AL565" s="155"/>
      <c r="AM565" s="155"/>
      <c r="AN565" s="155"/>
      <c r="AO565" s="155"/>
      <c r="AP565" s="155"/>
      <c r="AQ565" s="155"/>
      <c r="AR565" s="155"/>
      <c r="AS565" s="155"/>
      <c r="AT565" s="155"/>
      <c r="AU565" s="155"/>
      <c r="AV565" s="155"/>
      <c r="AW565" s="155"/>
    </row>
    <row r="566" spans="1:49" ht="16.5" customHeight="1">
      <c r="A566" s="155"/>
      <c r="B566" s="155"/>
      <c r="C566" s="1"/>
      <c r="D566" s="1"/>
      <c r="E566" s="1"/>
      <c r="F566" s="156"/>
      <c r="G566" s="157"/>
      <c r="H566" s="184"/>
      <c r="I566" s="184"/>
      <c r="J566" s="184"/>
      <c r="K566" s="184"/>
      <c r="L566" s="184"/>
      <c r="M566" s="4"/>
      <c r="N566" s="184"/>
      <c r="O566" s="1"/>
      <c r="P566" s="5"/>
      <c r="Q566" s="4"/>
      <c r="R566" s="1"/>
      <c r="S566" s="1"/>
      <c r="T566" s="1"/>
      <c r="U566" s="6"/>
      <c r="V566" s="184"/>
      <c r="W566" s="184"/>
      <c r="X566" s="155"/>
      <c r="Y566" s="155"/>
      <c r="Z566" s="155"/>
      <c r="AA566" s="155"/>
      <c r="AB566" s="155"/>
      <c r="AC566" s="184"/>
      <c r="AD566" s="155"/>
      <c r="AE566" s="155"/>
      <c r="AF566" s="155"/>
      <c r="AG566" s="155"/>
      <c r="AH566" s="155"/>
      <c r="AI566" s="155"/>
      <c r="AJ566" s="155"/>
      <c r="AK566" s="155"/>
      <c r="AL566" s="155"/>
      <c r="AM566" s="155"/>
      <c r="AN566" s="155"/>
      <c r="AO566" s="155"/>
      <c r="AP566" s="155"/>
      <c r="AQ566" s="155"/>
      <c r="AR566" s="155"/>
      <c r="AS566" s="155"/>
      <c r="AT566" s="155"/>
      <c r="AU566" s="155"/>
      <c r="AV566" s="155"/>
      <c r="AW566" s="155"/>
    </row>
    <row r="567" spans="1:49" ht="16.5" customHeight="1">
      <c r="A567" s="155"/>
      <c r="B567" s="155"/>
      <c r="C567" s="1"/>
      <c r="D567" s="1"/>
      <c r="E567" s="1"/>
      <c r="F567" s="156"/>
      <c r="G567" s="157"/>
      <c r="H567" s="184"/>
      <c r="I567" s="184"/>
      <c r="J567" s="184"/>
      <c r="K567" s="184"/>
      <c r="L567" s="184"/>
      <c r="M567" s="4"/>
      <c r="N567" s="184"/>
      <c r="O567" s="1"/>
      <c r="P567" s="5"/>
      <c r="Q567" s="4"/>
      <c r="R567" s="1"/>
      <c r="S567" s="1"/>
      <c r="T567" s="1"/>
      <c r="U567" s="6"/>
      <c r="V567" s="184"/>
      <c r="W567" s="184"/>
      <c r="X567" s="155"/>
      <c r="Y567" s="155"/>
      <c r="Z567" s="155"/>
      <c r="AA567" s="155"/>
      <c r="AB567" s="155"/>
      <c r="AC567" s="184"/>
      <c r="AD567" s="155"/>
      <c r="AE567" s="155"/>
      <c r="AF567" s="155"/>
      <c r="AG567" s="155"/>
      <c r="AH567" s="155"/>
      <c r="AI567" s="155"/>
      <c r="AJ567" s="155"/>
      <c r="AK567" s="155"/>
      <c r="AL567" s="155"/>
      <c r="AM567" s="155"/>
      <c r="AN567" s="155"/>
      <c r="AO567" s="155"/>
      <c r="AP567" s="155"/>
      <c r="AQ567" s="155"/>
      <c r="AR567" s="155"/>
      <c r="AS567" s="155"/>
      <c r="AT567" s="155"/>
      <c r="AU567" s="155"/>
      <c r="AV567" s="155"/>
      <c r="AW567" s="155"/>
    </row>
    <row r="568" spans="1:49" ht="16.5" customHeight="1">
      <c r="A568" s="155"/>
      <c r="B568" s="155"/>
      <c r="C568" s="1"/>
      <c r="D568" s="1"/>
      <c r="E568" s="1"/>
      <c r="F568" s="156"/>
      <c r="G568" s="157"/>
      <c r="H568" s="184"/>
      <c r="I568" s="184"/>
      <c r="J568" s="184"/>
      <c r="K568" s="184"/>
      <c r="L568" s="184"/>
      <c r="M568" s="4"/>
      <c r="N568" s="184"/>
      <c r="O568" s="1"/>
      <c r="P568" s="5"/>
      <c r="Q568" s="4"/>
      <c r="R568" s="1"/>
      <c r="S568" s="1"/>
      <c r="T568" s="1"/>
      <c r="U568" s="6"/>
      <c r="V568" s="184"/>
      <c r="W568" s="184"/>
      <c r="X568" s="155"/>
      <c r="Y568" s="155"/>
      <c r="Z568" s="155"/>
      <c r="AA568" s="155"/>
      <c r="AB568" s="155"/>
      <c r="AC568" s="184"/>
      <c r="AD568" s="155"/>
      <c r="AE568" s="155"/>
      <c r="AF568" s="155"/>
      <c r="AG568" s="155"/>
      <c r="AH568" s="155"/>
      <c r="AI568" s="155"/>
      <c r="AJ568" s="155"/>
      <c r="AK568" s="155"/>
      <c r="AL568" s="155"/>
      <c r="AM568" s="155"/>
      <c r="AN568" s="155"/>
      <c r="AO568" s="155"/>
      <c r="AP568" s="155"/>
      <c r="AQ568" s="155"/>
      <c r="AR568" s="155"/>
      <c r="AS568" s="155"/>
      <c r="AT568" s="155"/>
      <c r="AU568" s="155"/>
      <c r="AV568" s="155"/>
      <c r="AW568" s="155"/>
    </row>
    <row r="569" spans="1:49" ht="16.5" customHeight="1">
      <c r="A569" s="155"/>
      <c r="B569" s="155"/>
      <c r="C569" s="1"/>
      <c r="D569" s="1"/>
      <c r="E569" s="1"/>
      <c r="F569" s="156"/>
      <c r="G569" s="157"/>
      <c r="H569" s="184"/>
      <c r="I569" s="184"/>
      <c r="J569" s="184"/>
      <c r="K569" s="184"/>
      <c r="L569" s="184"/>
      <c r="M569" s="4"/>
      <c r="N569" s="184"/>
      <c r="O569" s="1"/>
      <c r="P569" s="5"/>
      <c r="Q569" s="4"/>
      <c r="R569" s="1"/>
      <c r="S569" s="1"/>
      <c r="T569" s="1"/>
      <c r="U569" s="6"/>
      <c r="V569" s="184"/>
      <c r="W569" s="184"/>
      <c r="X569" s="155"/>
      <c r="Y569" s="155"/>
      <c r="Z569" s="155"/>
      <c r="AA569" s="155"/>
      <c r="AB569" s="155"/>
      <c r="AC569" s="184"/>
      <c r="AD569" s="155"/>
      <c r="AE569" s="155"/>
      <c r="AF569" s="155"/>
      <c r="AG569" s="155"/>
      <c r="AH569" s="155"/>
      <c r="AI569" s="155"/>
      <c r="AJ569" s="155"/>
      <c r="AK569" s="155"/>
      <c r="AL569" s="155"/>
      <c r="AM569" s="155"/>
      <c r="AN569" s="155"/>
      <c r="AO569" s="155"/>
      <c r="AP569" s="155"/>
      <c r="AQ569" s="155"/>
      <c r="AR569" s="155"/>
      <c r="AS569" s="155"/>
      <c r="AT569" s="155"/>
      <c r="AU569" s="155"/>
      <c r="AV569" s="155"/>
      <c r="AW569" s="155"/>
    </row>
    <row r="570" spans="1:49" ht="16.5" customHeight="1">
      <c r="A570" s="155"/>
      <c r="B570" s="155"/>
      <c r="C570" s="1"/>
      <c r="D570" s="1"/>
      <c r="E570" s="1"/>
      <c r="F570" s="156"/>
      <c r="G570" s="157"/>
      <c r="H570" s="184"/>
      <c r="I570" s="184"/>
      <c r="J570" s="184"/>
      <c r="K570" s="184"/>
      <c r="L570" s="184"/>
      <c r="M570" s="4"/>
      <c r="N570" s="184"/>
      <c r="O570" s="1"/>
      <c r="P570" s="5"/>
      <c r="Q570" s="4"/>
      <c r="R570" s="1"/>
      <c r="S570" s="1"/>
      <c r="T570" s="1"/>
      <c r="U570" s="6"/>
      <c r="V570" s="184"/>
      <c r="W570" s="184"/>
      <c r="X570" s="155"/>
      <c r="Y570" s="155"/>
      <c r="Z570" s="155"/>
      <c r="AA570" s="155"/>
      <c r="AB570" s="155"/>
      <c r="AC570" s="184"/>
      <c r="AD570" s="155"/>
      <c r="AE570" s="155"/>
      <c r="AF570" s="155"/>
      <c r="AG570" s="155"/>
      <c r="AH570" s="155"/>
      <c r="AI570" s="155"/>
      <c r="AJ570" s="155"/>
      <c r="AK570" s="155"/>
      <c r="AL570" s="155"/>
      <c r="AM570" s="155"/>
      <c r="AN570" s="155"/>
      <c r="AO570" s="155"/>
      <c r="AP570" s="155"/>
      <c r="AQ570" s="155"/>
      <c r="AR570" s="155"/>
      <c r="AS570" s="155"/>
      <c r="AT570" s="155"/>
      <c r="AU570" s="155"/>
      <c r="AV570" s="155"/>
      <c r="AW570" s="155"/>
    </row>
    <row r="571" spans="1:49" ht="16.5" customHeight="1">
      <c r="A571" s="155"/>
      <c r="B571" s="155"/>
      <c r="C571" s="1"/>
      <c r="D571" s="1"/>
      <c r="E571" s="1"/>
      <c r="F571" s="156"/>
      <c r="G571" s="157"/>
      <c r="H571" s="184"/>
      <c r="I571" s="184"/>
      <c r="J571" s="184"/>
      <c r="K571" s="184"/>
      <c r="L571" s="184"/>
      <c r="M571" s="4"/>
      <c r="N571" s="184"/>
      <c r="O571" s="1"/>
      <c r="P571" s="5"/>
      <c r="Q571" s="4"/>
      <c r="R571" s="1"/>
      <c r="S571" s="1"/>
      <c r="T571" s="1"/>
      <c r="U571" s="6"/>
      <c r="V571" s="184"/>
      <c r="W571" s="184"/>
      <c r="X571" s="155"/>
      <c r="Y571" s="155"/>
      <c r="Z571" s="155"/>
      <c r="AA571" s="155"/>
      <c r="AB571" s="155"/>
      <c r="AC571" s="184"/>
      <c r="AD571" s="155"/>
      <c r="AE571" s="155"/>
      <c r="AF571" s="155"/>
      <c r="AG571" s="155"/>
      <c r="AH571" s="155"/>
      <c r="AI571" s="155"/>
      <c r="AJ571" s="155"/>
      <c r="AK571" s="155"/>
      <c r="AL571" s="155"/>
      <c r="AM571" s="155"/>
      <c r="AN571" s="155"/>
      <c r="AO571" s="155"/>
      <c r="AP571" s="155"/>
      <c r="AQ571" s="155"/>
      <c r="AR571" s="155"/>
      <c r="AS571" s="155"/>
      <c r="AT571" s="155"/>
      <c r="AU571" s="155"/>
      <c r="AV571" s="155"/>
      <c r="AW571" s="155"/>
    </row>
    <row r="572" spans="1:49" ht="16.5" customHeight="1">
      <c r="A572" s="155"/>
      <c r="B572" s="155"/>
      <c r="C572" s="1"/>
      <c r="D572" s="1"/>
      <c r="E572" s="1"/>
      <c r="F572" s="156"/>
      <c r="G572" s="157"/>
      <c r="H572" s="184"/>
      <c r="I572" s="184"/>
      <c r="J572" s="184"/>
      <c r="K572" s="184"/>
      <c r="L572" s="184"/>
      <c r="M572" s="4"/>
      <c r="N572" s="184"/>
      <c r="O572" s="1"/>
      <c r="P572" s="5"/>
      <c r="Q572" s="4"/>
      <c r="R572" s="1"/>
      <c r="S572" s="1"/>
      <c r="T572" s="1"/>
      <c r="U572" s="6"/>
      <c r="V572" s="184"/>
      <c r="W572" s="184"/>
      <c r="X572" s="155"/>
      <c r="Y572" s="155"/>
      <c r="Z572" s="155"/>
      <c r="AA572" s="155"/>
      <c r="AB572" s="155"/>
      <c r="AC572" s="184"/>
      <c r="AD572" s="155"/>
      <c r="AE572" s="155"/>
      <c r="AF572" s="155"/>
      <c r="AG572" s="155"/>
      <c r="AH572" s="155"/>
      <c r="AI572" s="155"/>
      <c r="AJ572" s="155"/>
      <c r="AK572" s="155"/>
      <c r="AL572" s="155"/>
      <c r="AM572" s="155"/>
      <c r="AN572" s="155"/>
      <c r="AO572" s="155"/>
      <c r="AP572" s="155"/>
      <c r="AQ572" s="155"/>
      <c r="AR572" s="155"/>
      <c r="AS572" s="155"/>
      <c r="AT572" s="155"/>
      <c r="AU572" s="155"/>
      <c r="AV572" s="155"/>
      <c r="AW572" s="155"/>
    </row>
    <row r="573" spans="1:49" ht="16.5" customHeight="1">
      <c r="A573" s="155"/>
      <c r="B573" s="155"/>
      <c r="C573" s="1"/>
      <c r="D573" s="1"/>
      <c r="E573" s="1"/>
      <c r="F573" s="156"/>
      <c r="G573" s="157"/>
      <c r="H573" s="184"/>
      <c r="I573" s="184"/>
      <c r="J573" s="184"/>
      <c r="K573" s="184"/>
      <c r="L573" s="184"/>
      <c r="M573" s="4"/>
      <c r="N573" s="184"/>
      <c r="O573" s="1"/>
      <c r="P573" s="5"/>
      <c r="Q573" s="4"/>
      <c r="R573" s="1"/>
      <c r="S573" s="1"/>
      <c r="T573" s="1"/>
      <c r="U573" s="6"/>
      <c r="V573" s="184"/>
      <c r="W573" s="184"/>
      <c r="X573" s="155"/>
      <c r="Y573" s="155"/>
      <c r="Z573" s="155"/>
      <c r="AA573" s="155"/>
      <c r="AB573" s="155"/>
      <c r="AC573" s="184"/>
      <c r="AD573" s="155"/>
      <c r="AE573" s="155"/>
      <c r="AF573" s="155"/>
      <c r="AG573" s="155"/>
      <c r="AH573" s="155"/>
      <c r="AI573" s="155"/>
      <c r="AJ573" s="155"/>
      <c r="AK573" s="155"/>
      <c r="AL573" s="155"/>
      <c r="AM573" s="155"/>
      <c r="AN573" s="155"/>
      <c r="AO573" s="155"/>
      <c r="AP573" s="155"/>
      <c r="AQ573" s="155"/>
      <c r="AR573" s="155"/>
      <c r="AS573" s="155"/>
      <c r="AT573" s="155"/>
      <c r="AU573" s="155"/>
      <c r="AV573" s="155"/>
      <c r="AW573" s="155"/>
    </row>
    <row r="574" spans="1:49" ht="16.5" customHeight="1">
      <c r="A574" s="155"/>
      <c r="B574" s="155"/>
      <c r="C574" s="1"/>
      <c r="D574" s="1"/>
      <c r="E574" s="1"/>
      <c r="F574" s="156"/>
      <c r="G574" s="157"/>
      <c r="H574" s="184"/>
      <c r="I574" s="184"/>
      <c r="J574" s="184"/>
      <c r="K574" s="184"/>
      <c r="L574" s="184"/>
      <c r="M574" s="4"/>
      <c r="N574" s="184"/>
      <c r="O574" s="1"/>
      <c r="P574" s="5"/>
      <c r="Q574" s="4"/>
      <c r="R574" s="1"/>
      <c r="S574" s="1"/>
      <c r="T574" s="1"/>
      <c r="U574" s="6"/>
      <c r="V574" s="184"/>
      <c r="W574" s="184"/>
      <c r="X574" s="155"/>
      <c r="Y574" s="155"/>
      <c r="Z574" s="155"/>
      <c r="AA574" s="155"/>
      <c r="AB574" s="155"/>
      <c r="AC574" s="184"/>
      <c r="AD574" s="155"/>
      <c r="AE574" s="155"/>
      <c r="AF574" s="155"/>
      <c r="AG574" s="155"/>
      <c r="AH574" s="155"/>
      <c r="AI574" s="155"/>
      <c r="AJ574" s="155"/>
      <c r="AK574" s="155"/>
      <c r="AL574" s="155"/>
      <c r="AM574" s="155"/>
      <c r="AN574" s="155"/>
      <c r="AO574" s="155"/>
      <c r="AP574" s="155"/>
      <c r="AQ574" s="155"/>
      <c r="AR574" s="155"/>
      <c r="AS574" s="155"/>
      <c r="AT574" s="155"/>
      <c r="AU574" s="155"/>
      <c r="AV574" s="155"/>
      <c r="AW574" s="155"/>
    </row>
    <row r="575" spans="1:49" ht="16.5" customHeight="1">
      <c r="A575" s="155"/>
      <c r="B575" s="155"/>
      <c r="C575" s="1"/>
      <c r="D575" s="1"/>
      <c r="E575" s="1"/>
      <c r="F575" s="156"/>
      <c r="G575" s="157"/>
      <c r="H575" s="184"/>
      <c r="I575" s="184"/>
      <c r="J575" s="184"/>
      <c r="K575" s="184"/>
      <c r="L575" s="184"/>
      <c r="M575" s="4"/>
      <c r="N575" s="184"/>
      <c r="O575" s="1"/>
      <c r="P575" s="5"/>
      <c r="Q575" s="4"/>
      <c r="R575" s="1"/>
      <c r="S575" s="1"/>
      <c r="T575" s="1"/>
      <c r="U575" s="6"/>
      <c r="V575" s="184"/>
      <c r="W575" s="184"/>
      <c r="X575" s="155"/>
      <c r="Y575" s="155"/>
      <c r="Z575" s="155"/>
      <c r="AA575" s="155"/>
      <c r="AB575" s="155"/>
      <c r="AC575" s="184"/>
      <c r="AD575" s="155"/>
      <c r="AE575" s="155"/>
      <c r="AF575" s="155"/>
      <c r="AG575" s="155"/>
      <c r="AH575" s="155"/>
      <c r="AI575" s="155"/>
      <c r="AJ575" s="155"/>
      <c r="AK575" s="155"/>
      <c r="AL575" s="155"/>
      <c r="AM575" s="155"/>
      <c r="AN575" s="155"/>
      <c r="AO575" s="155"/>
      <c r="AP575" s="155"/>
      <c r="AQ575" s="155"/>
      <c r="AR575" s="155"/>
      <c r="AS575" s="155"/>
      <c r="AT575" s="155"/>
      <c r="AU575" s="155"/>
      <c r="AV575" s="155"/>
      <c r="AW575" s="155"/>
    </row>
    <row r="576" spans="1:49" ht="16.5" customHeight="1">
      <c r="A576" s="155"/>
      <c r="B576" s="155"/>
      <c r="C576" s="1"/>
      <c r="D576" s="1"/>
      <c r="E576" s="1"/>
      <c r="F576" s="156"/>
      <c r="G576" s="157"/>
      <c r="H576" s="184"/>
      <c r="I576" s="184"/>
      <c r="J576" s="184"/>
      <c r="K576" s="184"/>
      <c r="L576" s="184"/>
      <c r="M576" s="4"/>
      <c r="N576" s="184"/>
      <c r="O576" s="1"/>
      <c r="P576" s="5"/>
      <c r="Q576" s="4"/>
      <c r="R576" s="1"/>
      <c r="S576" s="1"/>
      <c r="T576" s="1"/>
      <c r="U576" s="6"/>
      <c r="V576" s="184"/>
      <c r="W576" s="184"/>
      <c r="X576" s="155"/>
      <c r="Y576" s="155"/>
      <c r="Z576" s="155"/>
      <c r="AA576" s="155"/>
      <c r="AB576" s="155"/>
      <c r="AC576" s="184"/>
      <c r="AD576" s="155"/>
      <c r="AE576" s="155"/>
      <c r="AF576" s="155"/>
      <c r="AG576" s="155"/>
      <c r="AH576" s="155"/>
      <c r="AI576" s="155"/>
      <c r="AJ576" s="155"/>
      <c r="AK576" s="155"/>
      <c r="AL576" s="155"/>
      <c r="AM576" s="155"/>
      <c r="AN576" s="155"/>
      <c r="AO576" s="155"/>
      <c r="AP576" s="155"/>
      <c r="AQ576" s="155"/>
      <c r="AR576" s="155"/>
      <c r="AS576" s="155"/>
      <c r="AT576" s="155"/>
      <c r="AU576" s="155"/>
      <c r="AV576" s="155"/>
      <c r="AW576" s="155"/>
    </row>
    <row r="577" spans="1:49" ht="16.5" customHeight="1">
      <c r="A577" s="155"/>
      <c r="B577" s="155"/>
      <c r="C577" s="1"/>
      <c r="D577" s="1"/>
      <c r="E577" s="1"/>
      <c r="F577" s="156"/>
      <c r="G577" s="157"/>
      <c r="H577" s="184"/>
      <c r="I577" s="184"/>
      <c r="J577" s="184"/>
      <c r="K577" s="184"/>
      <c r="L577" s="184"/>
      <c r="M577" s="4"/>
      <c r="N577" s="184"/>
      <c r="O577" s="1"/>
      <c r="P577" s="5"/>
      <c r="Q577" s="4"/>
      <c r="R577" s="1"/>
      <c r="S577" s="1"/>
      <c r="T577" s="1"/>
      <c r="U577" s="6"/>
      <c r="V577" s="184"/>
      <c r="W577" s="184"/>
      <c r="X577" s="155"/>
      <c r="Y577" s="155"/>
      <c r="Z577" s="155"/>
      <c r="AA577" s="155"/>
      <c r="AB577" s="155"/>
      <c r="AC577" s="184"/>
      <c r="AD577" s="155"/>
      <c r="AE577" s="155"/>
      <c r="AF577" s="155"/>
      <c r="AG577" s="155"/>
      <c r="AH577" s="155"/>
      <c r="AI577" s="155"/>
      <c r="AJ577" s="155"/>
      <c r="AK577" s="155"/>
      <c r="AL577" s="155"/>
      <c r="AM577" s="155"/>
      <c r="AN577" s="155"/>
      <c r="AO577" s="155"/>
      <c r="AP577" s="155"/>
      <c r="AQ577" s="155"/>
      <c r="AR577" s="155"/>
      <c r="AS577" s="155"/>
      <c r="AT577" s="155"/>
      <c r="AU577" s="155"/>
      <c r="AV577" s="155"/>
      <c r="AW577" s="155"/>
    </row>
    <row r="578" spans="1:49" ht="16.5" customHeight="1">
      <c r="A578" s="155"/>
      <c r="B578" s="155"/>
      <c r="C578" s="1"/>
      <c r="D578" s="1"/>
      <c r="E578" s="1"/>
      <c r="F578" s="156"/>
      <c r="G578" s="157"/>
      <c r="H578" s="184"/>
      <c r="I578" s="184"/>
      <c r="J578" s="184"/>
      <c r="K578" s="184"/>
      <c r="L578" s="184"/>
      <c r="M578" s="4"/>
      <c r="N578" s="184"/>
      <c r="O578" s="1"/>
      <c r="P578" s="5"/>
      <c r="Q578" s="4"/>
      <c r="R578" s="1"/>
      <c r="S578" s="1"/>
      <c r="T578" s="1"/>
      <c r="U578" s="6"/>
      <c r="V578" s="184"/>
      <c r="W578" s="184"/>
      <c r="X578" s="155"/>
      <c r="Y578" s="155"/>
      <c r="Z578" s="155"/>
      <c r="AA578" s="155"/>
      <c r="AB578" s="155"/>
      <c r="AC578" s="184"/>
      <c r="AD578" s="155"/>
      <c r="AE578" s="155"/>
      <c r="AF578" s="155"/>
      <c r="AG578" s="155"/>
      <c r="AH578" s="155"/>
      <c r="AI578" s="155"/>
      <c r="AJ578" s="155"/>
      <c r="AK578" s="155"/>
      <c r="AL578" s="155"/>
      <c r="AM578" s="155"/>
      <c r="AN578" s="155"/>
      <c r="AO578" s="155"/>
      <c r="AP578" s="155"/>
      <c r="AQ578" s="155"/>
      <c r="AR578" s="155"/>
      <c r="AS578" s="155"/>
      <c r="AT578" s="155"/>
      <c r="AU578" s="155"/>
      <c r="AV578" s="155"/>
      <c r="AW578" s="155"/>
    </row>
    <row r="579" spans="1:49" ht="16.5" customHeight="1">
      <c r="A579" s="155"/>
      <c r="B579" s="155"/>
      <c r="C579" s="1"/>
      <c r="D579" s="1"/>
      <c r="E579" s="1"/>
      <c r="F579" s="156"/>
      <c r="G579" s="157"/>
      <c r="H579" s="184"/>
      <c r="I579" s="184"/>
      <c r="J579" s="184"/>
      <c r="K579" s="184"/>
      <c r="L579" s="184"/>
      <c r="M579" s="4"/>
      <c r="N579" s="184"/>
      <c r="O579" s="1"/>
      <c r="P579" s="5"/>
      <c r="Q579" s="4"/>
      <c r="R579" s="1"/>
      <c r="S579" s="1"/>
      <c r="T579" s="1"/>
      <c r="U579" s="6"/>
      <c r="V579" s="184"/>
      <c r="W579" s="184"/>
      <c r="X579" s="155"/>
      <c r="Y579" s="155"/>
      <c r="Z579" s="155"/>
      <c r="AA579" s="155"/>
      <c r="AB579" s="155"/>
      <c r="AC579" s="184"/>
      <c r="AD579" s="155"/>
      <c r="AE579" s="155"/>
      <c r="AF579" s="155"/>
      <c r="AG579" s="155"/>
      <c r="AH579" s="155"/>
      <c r="AI579" s="155"/>
      <c r="AJ579" s="155"/>
      <c r="AK579" s="155"/>
      <c r="AL579" s="155"/>
      <c r="AM579" s="155"/>
      <c r="AN579" s="155"/>
      <c r="AO579" s="155"/>
      <c r="AP579" s="155"/>
      <c r="AQ579" s="155"/>
      <c r="AR579" s="155"/>
      <c r="AS579" s="155"/>
      <c r="AT579" s="155"/>
      <c r="AU579" s="155"/>
      <c r="AV579" s="155"/>
      <c r="AW579" s="155"/>
    </row>
    <row r="580" spans="1:49" ht="16.5" customHeight="1">
      <c r="A580" s="155"/>
      <c r="B580" s="155"/>
      <c r="C580" s="1"/>
      <c r="D580" s="1"/>
      <c r="E580" s="1"/>
      <c r="F580" s="156"/>
      <c r="G580" s="157"/>
      <c r="H580" s="184"/>
      <c r="I580" s="184"/>
      <c r="J580" s="184"/>
      <c r="K580" s="184"/>
      <c r="L580" s="184"/>
      <c r="M580" s="4"/>
      <c r="N580" s="184"/>
      <c r="O580" s="1"/>
      <c r="P580" s="5"/>
      <c r="Q580" s="4"/>
      <c r="R580" s="1"/>
      <c r="S580" s="1"/>
      <c r="T580" s="1"/>
      <c r="U580" s="6"/>
      <c r="V580" s="184"/>
      <c r="W580" s="184"/>
      <c r="X580" s="155"/>
      <c r="Y580" s="155"/>
      <c r="Z580" s="155"/>
      <c r="AA580" s="155"/>
      <c r="AB580" s="155"/>
      <c r="AC580" s="184"/>
      <c r="AD580" s="155"/>
      <c r="AE580" s="155"/>
      <c r="AF580" s="155"/>
      <c r="AG580" s="155"/>
      <c r="AH580" s="155"/>
      <c r="AI580" s="155"/>
      <c r="AJ580" s="155"/>
      <c r="AK580" s="155"/>
      <c r="AL580" s="155"/>
      <c r="AM580" s="155"/>
      <c r="AN580" s="155"/>
      <c r="AO580" s="155"/>
      <c r="AP580" s="155"/>
      <c r="AQ580" s="155"/>
      <c r="AR580" s="155"/>
      <c r="AS580" s="155"/>
      <c r="AT580" s="155"/>
      <c r="AU580" s="155"/>
      <c r="AV580" s="155"/>
      <c r="AW580" s="155"/>
    </row>
    <row r="581" spans="1:49" ht="16.5" customHeight="1">
      <c r="A581" s="155"/>
      <c r="B581" s="155"/>
      <c r="C581" s="1"/>
      <c r="D581" s="1"/>
      <c r="E581" s="1"/>
      <c r="F581" s="156"/>
      <c r="G581" s="157"/>
      <c r="H581" s="184"/>
      <c r="I581" s="184"/>
      <c r="J581" s="184"/>
      <c r="K581" s="184"/>
      <c r="L581" s="184"/>
      <c r="M581" s="4"/>
      <c r="N581" s="184"/>
      <c r="O581" s="1"/>
      <c r="P581" s="5"/>
      <c r="Q581" s="4"/>
      <c r="R581" s="1"/>
      <c r="S581" s="1"/>
      <c r="T581" s="1"/>
      <c r="U581" s="6"/>
      <c r="V581" s="184"/>
      <c r="W581" s="184"/>
      <c r="X581" s="155"/>
      <c r="Y581" s="155"/>
      <c r="Z581" s="155"/>
      <c r="AA581" s="155"/>
      <c r="AB581" s="155"/>
      <c r="AC581" s="184"/>
      <c r="AD581" s="155"/>
      <c r="AE581" s="155"/>
      <c r="AF581" s="155"/>
      <c r="AG581" s="155"/>
      <c r="AH581" s="155"/>
      <c r="AI581" s="155"/>
      <c r="AJ581" s="155"/>
      <c r="AK581" s="155"/>
      <c r="AL581" s="155"/>
      <c r="AM581" s="155"/>
      <c r="AN581" s="155"/>
      <c r="AO581" s="155"/>
      <c r="AP581" s="155"/>
      <c r="AQ581" s="155"/>
      <c r="AR581" s="155"/>
      <c r="AS581" s="155"/>
      <c r="AT581" s="155"/>
      <c r="AU581" s="155"/>
      <c r="AV581" s="155"/>
      <c r="AW581" s="155"/>
    </row>
    <row r="582" spans="1:49" ht="16.5" customHeight="1">
      <c r="A582" s="155"/>
      <c r="B582" s="155"/>
      <c r="C582" s="1"/>
      <c r="D582" s="1"/>
      <c r="E582" s="1"/>
      <c r="F582" s="156"/>
      <c r="G582" s="157"/>
      <c r="H582" s="184"/>
      <c r="I582" s="184"/>
      <c r="J582" s="184"/>
      <c r="K582" s="184"/>
      <c r="L582" s="184"/>
      <c r="M582" s="4"/>
      <c r="N582" s="184"/>
      <c r="O582" s="1"/>
      <c r="P582" s="5"/>
      <c r="Q582" s="4"/>
      <c r="R582" s="1"/>
      <c r="S582" s="1"/>
      <c r="T582" s="1"/>
      <c r="U582" s="6"/>
      <c r="V582" s="184"/>
      <c r="W582" s="184"/>
      <c r="X582" s="155"/>
      <c r="Y582" s="155"/>
      <c r="Z582" s="155"/>
      <c r="AA582" s="155"/>
      <c r="AB582" s="155"/>
      <c r="AC582" s="184"/>
      <c r="AD582" s="155"/>
      <c r="AE582" s="155"/>
      <c r="AF582" s="155"/>
      <c r="AG582" s="155"/>
      <c r="AH582" s="155"/>
      <c r="AI582" s="155"/>
      <c r="AJ582" s="155"/>
      <c r="AK582" s="155"/>
      <c r="AL582" s="155"/>
      <c r="AM582" s="155"/>
      <c r="AN582" s="155"/>
      <c r="AO582" s="155"/>
      <c r="AP582" s="155"/>
      <c r="AQ582" s="155"/>
      <c r="AR582" s="155"/>
      <c r="AS582" s="155"/>
      <c r="AT582" s="155"/>
      <c r="AU582" s="155"/>
      <c r="AV582" s="155"/>
      <c r="AW582" s="155"/>
    </row>
    <row r="583" spans="1:49" ht="16.5" customHeight="1">
      <c r="A583" s="155"/>
      <c r="B583" s="155"/>
      <c r="C583" s="1"/>
      <c r="D583" s="1"/>
      <c r="E583" s="1"/>
      <c r="F583" s="156"/>
      <c r="G583" s="157"/>
      <c r="H583" s="184"/>
      <c r="I583" s="184"/>
      <c r="J583" s="184"/>
      <c r="K583" s="184"/>
      <c r="L583" s="184"/>
      <c r="M583" s="4"/>
      <c r="N583" s="184"/>
      <c r="O583" s="1"/>
      <c r="P583" s="5"/>
      <c r="Q583" s="4"/>
      <c r="R583" s="1"/>
      <c r="S583" s="1"/>
      <c r="T583" s="1"/>
      <c r="U583" s="6"/>
      <c r="V583" s="184"/>
      <c r="W583" s="184"/>
      <c r="X583" s="155"/>
      <c r="Y583" s="155"/>
      <c r="Z583" s="155"/>
      <c r="AA583" s="155"/>
      <c r="AB583" s="155"/>
      <c r="AC583" s="184"/>
      <c r="AD583" s="155"/>
      <c r="AE583" s="155"/>
      <c r="AF583" s="155"/>
      <c r="AG583" s="155"/>
      <c r="AH583" s="155"/>
      <c r="AI583" s="155"/>
      <c r="AJ583" s="155"/>
      <c r="AK583" s="155"/>
      <c r="AL583" s="155"/>
      <c r="AM583" s="155"/>
      <c r="AN583" s="155"/>
      <c r="AO583" s="155"/>
      <c r="AP583" s="155"/>
      <c r="AQ583" s="155"/>
      <c r="AR583" s="155"/>
      <c r="AS583" s="155"/>
      <c r="AT583" s="155"/>
      <c r="AU583" s="155"/>
      <c r="AV583" s="155"/>
      <c r="AW583" s="155"/>
    </row>
    <row r="584" spans="1:49" ht="16.5" customHeight="1">
      <c r="A584" s="155"/>
      <c r="B584" s="155"/>
      <c r="C584" s="1"/>
      <c r="D584" s="1"/>
      <c r="E584" s="1"/>
      <c r="F584" s="156"/>
      <c r="G584" s="157"/>
      <c r="H584" s="184"/>
      <c r="I584" s="184"/>
      <c r="J584" s="184"/>
      <c r="K584" s="184"/>
      <c r="L584" s="184"/>
      <c r="M584" s="4"/>
      <c r="N584" s="184"/>
      <c r="O584" s="1"/>
      <c r="P584" s="5"/>
      <c r="Q584" s="4"/>
      <c r="R584" s="1"/>
      <c r="S584" s="1"/>
      <c r="T584" s="1"/>
      <c r="U584" s="6"/>
      <c r="V584" s="184"/>
      <c r="W584" s="184"/>
      <c r="X584" s="155"/>
      <c r="Y584" s="155"/>
      <c r="Z584" s="155"/>
      <c r="AA584" s="155"/>
      <c r="AB584" s="155"/>
      <c r="AC584" s="184"/>
      <c r="AD584" s="155"/>
      <c r="AE584" s="155"/>
      <c r="AF584" s="155"/>
      <c r="AG584" s="155"/>
      <c r="AH584" s="155"/>
      <c r="AI584" s="155"/>
      <c r="AJ584" s="155"/>
      <c r="AK584" s="155"/>
      <c r="AL584" s="155"/>
      <c r="AM584" s="155"/>
      <c r="AN584" s="155"/>
      <c r="AO584" s="155"/>
      <c r="AP584" s="155"/>
      <c r="AQ584" s="155"/>
      <c r="AR584" s="155"/>
      <c r="AS584" s="155"/>
      <c r="AT584" s="155"/>
      <c r="AU584" s="155"/>
      <c r="AV584" s="155"/>
      <c r="AW584" s="155"/>
    </row>
    <row r="585" spans="1:49" ht="16.5" customHeight="1">
      <c r="A585" s="155"/>
      <c r="B585" s="155"/>
      <c r="C585" s="1"/>
      <c r="D585" s="1"/>
      <c r="E585" s="1"/>
      <c r="F585" s="156"/>
      <c r="G585" s="157"/>
      <c r="H585" s="184"/>
      <c r="I585" s="184"/>
      <c r="J585" s="184"/>
      <c r="K585" s="184"/>
      <c r="L585" s="184"/>
      <c r="M585" s="4"/>
      <c r="N585" s="184"/>
      <c r="O585" s="1"/>
      <c r="P585" s="5"/>
      <c r="Q585" s="4"/>
      <c r="R585" s="1"/>
      <c r="S585" s="1"/>
      <c r="T585" s="1"/>
      <c r="U585" s="6"/>
      <c r="V585" s="184"/>
      <c r="W585" s="184"/>
      <c r="X585" s="155"/>
      <c r="Y585" s="155"/>
      <c r="Z585" s="155"/>
      <c r="AA585" s="155"/>
      <c r="AB585" s="155"/>
      <c r="AC585" s="184"/>
      <c r="AD585" s="155"/>
      <c r="AE585" s="155"/>
      <c r="AF585" s="155"/>
      <c r="AG585" s="155"/>
      <c r="AH585" s="155"/>
      <c r="AI585" s="155"/>
      <c r="AJ585" s="155"/>
      <c r="AK585" s="155"/>
      <c r="AL585" s="155"/>
      <c r="AM585" s="155"/>
      <c r="AN585" s="155"/>
      <c r="AO585" s="155"/>
      <c r="AP585" s="155"/>
      <c r="AQ585" s="155"/>
      <c r="AR585" s="155"/>
      <c r="AS585" s="155"/>
      <c r="AT585" s="155"/>
      <c r="AU585" s="155"/>
      <c r="AV585" s="155"/>
      <c r="AW585" s="155"/>
    </row>
    <row r="586" spans="1:49" ht="16.5" customHeight="1">
      <c r="A586" s="155"/>
      <c r="B586" s="155"/>
      <c r="C586" s="1"/>
      <c r="D586" s="1"/>
      <c r="E586" s="1"/>
      <c r="F586" s="156"/>
      <c r="G586" s="157"/>
      <c r="H586" s="184"/>
      <c r="I586" s="184"/>
      <c r="J586" s="184"/>
      <c r="K586" s="184"/>
      <c r="L586" s="184"/>
      <c r="M586" s="4"/>
      <c r="N586" s="184"/>
      <c r="O586" s="1"/>
      <c r="P586" s="5"/>
      <c r="Q586" s="4"/>
      <c r="R586" s="1"/>
      <c r="S586" s="1"/>
      <c r="T586" s="1"/>
      <c r="U586" s="6"/>
      <c r="V586" s="184"/>
      <c r="W586" s="184"/>
      <c r="X586" s="155"/>
      <c r="Y586" s="155"/>
      <c r="Z586" s="155"/>
      <c r="AA586" s="155"/>
      <c r="AB586" s="155"/>
      <c r="AC586" s="184"/>
      <c r="AD586" s="155"/>
      <c r="AE586" s="155"/>
      <c r="AF586" s="155"/>
      <c r="AG586" s="155"/>
      <c r="AH586" s="155"/>
      <c r="AI586" s="155"/>
      <c r="AJ586" s="155"/>
      <c r="AK586" s="155"/>
      <c r="AL586" s="155"/>
      <c r="AM586" s="155"/>
      <c r="AN586" s="155"/>
      <c r="AO586" s="155"/>
      <c r="AP586" s="155"/>
      <c r="AQ586" s="155"/>
      <c r="AR586" s="155"/>
      <c r="AS586" s="155"/>
      <c r="AT586" s="155"/>
      <c r="AU586" s="155"/>
      <c r="AV586" s="155"/>
      <c r="AW586" s="155"/>
    </row>
    <row r="587" spans="1:49" ht="16.5" customHeight="1">
      <c r="A587" s="155"/>
      <c r="B587" s="155"/>
      <c r="C587" s="1"/>
      <c r="D587" s="1"/>
      <c r="E587" s="1"/>
      <c r="F587" s="156"/>
      <c r="G587" s="157"/>
      <c r="H587" s="184"/>
      <c r="I587" s="184"/>
      <c r="J587" s="184"/>
      <c r="K587" s="184"/>
      <c r="L587" s="184"/>
      <c r="M587" s="4"/>
      <c r="N587" s="184"/>
      <c r="O587" s="1"/>
      <c r="P587" s="5"/>
      <c r="Q587" s="4"/>
      <c r="R587" s="1"/>
      <c r="S587" s="1"/>
      <c r="T587" s="1"/>
      <c r="U587" s="6"/>
      <c r="V587" s="184"/>
      <c r="W587" s="184"/>
      <c r="X587" s="155"/>
      <c r="Y587" s="155"/>
      <c r="Z587" s="155"/>
      <c r="AA587" s="155"/>
      <c r="AB587" s="155"/>
      <c r="AC587" s="184"/>
      <c r="AD587" s="155"/>
      <c r="AE587" s="155"/>
      <c r="AF587" s="155"/>
      <c r="AG587" s="155"/>
      <c r="AH587" s="155"/>
      <c r="AI587" s="155"/>
      <c r="AJ587" s="155"/>
      <c r="AK587" s="155"/>
      <c r="AL587" s="155"/>
      <c r="AM587" s="155"/>
      <c r="AN587" s="155"/>
      <c r="AO587" s="155"/>
      <c r="AP587" s="155"/>
      <c r="AQ587" s="155"/>
      <c r="AR587" s="155"/>
      <c r="AS587" s="155"/>
      <c r="AT587" s="155"/>
      <c r="AU587" s="155"/>
      <c r="AV587" s="155"/>
      <c r="AW587" s="155"/>
    </row>
    <row r="588" spans="1:49" ht="16.5" customHeight="1">
      <c r="A588" s="155"/>
      <c r="B588" s="155"/>
      <c r="C588" s="1"/>
      <c r="D588" s="1"/>
      <c r="E588" s="1"/>
      <c r="F588" s="156"/>
      <c r="G588" s="157"/>
      <c r="H588" s="184"/>
      <c r="I588" s="184"/>
      <c r="J588" s="184"/>
      <c r="K588" s="184"/>
      <c r="L588" s="184"/>
      <c r="M588" s="4"/>
      <c r="N588" s="184"/>
      <c r="O588" s="1"/>
      <c r="P588" s="5"/>
      <c r="Q588" s="4"/>
      <c r="R588" s="1"/>
      <c r="S588" s="1"/>
      <c r="T588" s="1"/>
      <c r="U588" s="6"/>
      <c r="V588" s="184"/>
      <c r="W588" s="184"/>
      <c r="X588" s="155"/>
      <c r="Y588" s="155"/>
      <c r="Z588" s="155"/>
      <c r="AA588" s="155"/>
      <c r="AB588" s="155"/>
      <c r="AC588" s="184"/>
      <c r="AD588" s="155"/>
      <c r="AE588" s="155"/>
      <c r="AF588" s="155"/>
      <c r="AG588" s="155"/>
      <c r="AH588" s="155"/>
      <c r="AI588" s="155"/>
      <c r="AJ588" s="155"/>
      <c r="AK588" s="155"/>
      <c r="AL588" s="155"/>
      <c r="AM588" s="155"/>
      <c r="AN588" s="155"/>
      <c r="AO588" s="155"/>
      <c r="AP588" s="155"/>
      <c r="AQ588" s="155"/>
      <c r="AR588" s="155"/>
      <c r="AS588" s="155"/>
      <c r="AT588" s="155"/>
      <c r="AU588" s="155"/>
      <c r="AV588" s="155"/>
      <c r="AW588" s="155"/>
    </row>
    <row r="589" spans="1:49" ht="16.5" customHeight="1">
      <c r="A589" s="155"/>
      <c r="B589" s="155"/>
      <c r="C589" s="1"/>
      <c r="D589" s="1"/>
      <c r="E589" s="1"/>
      <c r="F589" s="156"/>
      <c r="G589" s="157"/>
      <c r="H589" s="184"/>
      <c r="I589" s="184"/>
      <c r="J589" s="184"/>
      <c r="K589" s="184"/>
      <c r="L589" s="184"/>
      <c r="M589" s="4"/>
      <c r="N589" s="184"/>
      <c r="O589" s="1"/>
      <c r="P589" s="5"/>
      <c r="Q589" s="4"/>
      <c r="R589" s="1"/>
      <c r="S589" s="1"/>
      <c r="T589" s="1"/>
      <c r="U589" s="6"/>
      <c r="V589" s="184"/>
      <c r="W589" s="184"/>
      <c r="X589" s="155"/>
      <c r="Y589" s="155"/>
      <c r="Z589" s="155"/>
      <c r="AA589" s="155"/>
      <c r="AB589" s="155"/>
      <c r="AC589" s="184"/>
      <c r="AD589" s="155"/>
      <c r="AE589" s="155"/>
      <c r="AF589" s="155"/>
      <c r="AG589" s="155"/>
      <c r="AH589" s="155"/>
      <c r="AI589" s="155"/>
      <c r="AJ589" s="155"/>
      <c r="AK589" s="155"/>
      <c r="AL589" s="155"/>
      <c r="AM589" s="155"/>
      <c r="AN589" s="155"/>
      <c r="AO589" s="155"/>
      <c r="AP589" s="155"/>
      <c r="AQ589" s="155"/>
      <c r="AR589" s="155"/>
      <c r="AS589" s="155"/>
      <c r="AT589" s="155"/>
      <c r="AU589" s="155"/>
      <c r="AV589" s="155"/>
      <c r="AW589" s="155"/>
    </row>
    <row r="590" spans="1:49" ht="16.5" customHeight="1">
      <c r="A590" s="155"/>
      <c r="B590" s="155"/>
      <c r="C590" s="1"/>
      <c r="D590" s="1"/>
      <c r="E590" s="1"/>
      <c r="F590" s="156"/>
      <c r="G590" s="157"/>
      <c r="H590" s="184"/>
      <c r="I590" s="184"/>
      <c r="J590" s="184"/>
      <c r="K590" s="184"/>
      <c r="L590" s="184"/>
      <c r="M590" s="4"/>
      <c r="N590" s="184"/>
      <c r="O590" s="1"/>
      <c r="P590" s="5"/>
      <c r="Q590" s="4"/>
      <c r="R590" s="1"/>
      <c r="S590" s="1"/>
      <c r="T590" s="1"/>
      <c r="U590" s="6"/>
      <c r="V590" s="184"/>
      <c r="W590" s="184"/>
      <c r="X590" s="155"/>
      <c r="Y590" s="155"/>
      <c r="Z590" s="155"/>
      <c r="AA590" s="155"/>
      <c r="AB590" s="155"/>
      <c r="AC590" s="184"/>
      <c r="AD590" s="155"/>
      <c r="AE590" s="155"/>
      <c r="AF590" s="155"/>
      <c r="AG590" s="155"/>
      <c r="AH590" s="155"/>
      <c r="AI590" s="155"/>
      <c r="AJ590" s="155"/>
      <c r="AK590" s="155"/>
      <c r="AL590" s="155"/>
      <c r="AM590" s="155"/>
      <c r="AN590" s="155"/>
      <c r="AO590" s="155"/>
      <c r="AP590" s="155"/>
      <c r="AQ590" s="155"/>
      <c r="AR590" s="155"/>
      <c r="AS590" s="155"/>
      <c r="AT590" s="155"/>
      <c r="AU590" s="155"/>
      <c r="AV590" s="155"/>
      <c r="AW590" s="155"/>
    </row>
    <row r="591" spans="1:49" ht="16.5" customHeight="1">
      <c r="A591" s="155"/>
      <c r="B591" s="155"/>
      <c r="C591" s="1"/>
      <c r="D591" s="1"/>
      <c r="E591" s="1"/>
      <c r="F591" s="156"/>
      <c r="G591" s="157"/>
      <c r="H591" s="184"/>
      <c r="I591" s="184"/>
      <c r="J591" s="184"/>
      <c r="K591" s="184"/>
      <c r="L591" s="184"/>
      <c r="M591" s="4"/>
      <c r="N591" s="184"/>
      <c r="O591" s="1"/>
      <c r="P591" s="5"/>
      <c r="Q591" s="4"/>
      <c r="R591" s="1"/>
      <c r="S591" s="1"/>
      <c r="T591" s="1"/>
      <c r="U591" s="6"/>
      <c r="V591" s="184"/>
      <c r="W591" s="184"/>
      <c r="X591" s="155"/>
      <c r="Y591" s="155"/>
      <c r="Z591" s="155"/>
      <c r="AA591" s="155"/>
      <c r="AB591" s="155"/>
      <c r="AC591" s="184"/>
      <c r="AD591" s="155"/>
      <c r="AE591" s="155"/>
      <c r="AF591" s="155"/>
      <c r="AG591" s="155"/>
      <c r="AH591" s="155"/>
      <c r="AI591" s="155"/>
      <c r="AJ591" s="155"/>
      <c r="AK591" s="155"/>
      <c r="AL591" s="155"/>
      <c r="AM591" s="155"/>
      <c r="AN591" s="155"/>
      <c r="AO591" s="155"/>
      <c r="AP591" s="155"/>
      <c r="AQ591" s="155"/>
      <c r="AR591" s="155"/>
      <c r="AS591" s="155"/>
      <c r="AT591" s="155"/>
      <c r="AU591" s="155"/>
      <c r="AV591" s="155"/>
      <c r="AW591" s="155"/>
    </row>
    <row r="592" spans="1:49" ht="16.5" customHeight="1">
      <c r="A592" s="155"/>
      <c r="B592" s="155"/>
      <c r="C592" s="1"/>
      <c r="D592" s="1"/>
      <c r="E592" s="1"/>
      <c r="F592" s="156"/>
      <c r="G592" s="157"/>
      <c r="H592" s="184"/>
      <c r="I592" s="184"/>
      <c r="J592" s="184"/>
      <c r="K592" s="184"/>
      <c r="L592" s="184"/>
      <c r="M592" s="4"/>
      <c r="N592" s="184"/>
      <c r="O592" s="1"/>
      <c r="P592" s="5"/>
      <c r="Q592" s="4"/>
      <c r="R592" s="1"/>
      <c r="S592" s="1"/>
      <c r="T592" s="1"/>
      <c r="U592" s="6"/>
      <c r="V592" s="184"/>
      <c r="W592" s="184"/>
      <c r="X592" s="155"/>
      <c r="Y592" s="155"/>
      <c r="Z592" s="155"/>
      <c r="AA592" s="155"/>
      <c r="AB592" s="155"/>
      <c r="AC592" s="184"/>
      <c r="AD592" s="155"/>
      <c r="AE592" s="155"/>
      <c r="AF592" s="155"/>
      <c r="AG592" s="155"/>
      <c r="AH592" s="155"/>
      <c r="AI592" s="155"/>
      <c r="AJ592" s="155"/>
      <c r="AK592" s="155"/>
      <c r="AL592" s="155"/>
      <c r="AM592" s="155"/>
      <c r="AN592" s="155"/>
      <c r="AO592" s="155"/>
      <c r="AP592" s="155"/>
      <c r="AQ592" s="155"/>
      <c r="AR592" s="155"/>
      <c r="AS592" s="155"/>
      <c r="AT592" s="155"/>
      <c r="AU592" s="155"/>
      <c r="AV592" s="155"/>
      <c r="AW592" s="155"/>
    </row>
    <row r="593" spans="1:49" ht="16.5" customHeight="1">
      <c r="A593" s="155"/>
      <c r="B593" s="155"/>
      <c r="C593" s="1"/>
      <c r="D593" s="1"/>
      <c r="E593" s="1"/>
      <c r="F593" s="156"/>
      <c r="G593" s="157"/>
      <c r="H593" s="184"/>
      <c r="I593" s="184"/>
      <c r="J593" s="184"/>
      <c r="K593" s="184"/>
      <c r="L593" s="184"/>
      <c r="M593" s="4"/>
      <c r="N593" s="184"/>
      <c r="O593" s="1"/>
      <c r="P593" s="5"/>
      <c r="Q593" s="4"/>
      <c r="R593" s="1"/>
      <c r="S593" s="1"/>
      <c r="T593" s="1"/>
      <c r="U593" s="6"/>
      <c r="V593" s="184"/>
      <c r="W593" s="184"/>
      <c r="X593" s="155"/>
      <c r="Y593" s="155"/>
      <c r="Z593" s="155"/>
      <c r="AA593" s="155"/>
      <c r="AB593" s="155"/>
      <c r="AC593" s="184"/>
      <c r="AD593" s="155"/>
      <c r="AE593" s="155"/>
      <c r="AF593" s="155"/>
      <c r="AG593" s="155"/>
      <c r="AH593" s="155"/>
      <c r="AI593" s="155"/>
      <c r="AJ593" s="155"/>
      <c r="AK593" s="155"/>
      <c r="AL593" s="155"/>
      <c r="AM593" s="155"/>
      <c r="AN593" s="155"/>
      <c r="AO593" s="155"/>
      <c r="AP593" s="155"/>
      <c r="AQ593" s="155"/>
      <c r="AR593" s="155"/>
      <c r="AS593" s="155"/>
      <c r="AT593" s="155"/>
      <c r="AU593" s="155"/>
      <c r="AV593" s="155"/>
      <c r="AW593" s="155"/>
    </row>
    <row r="594" spans="1:49" ht="16.5" customHeight="1">
      <c r="A594" s="155"/>
      <c r="B594" s="155"/>
      <c r="C594" s="1"/>
      <c r="D594" s="1"/>
      <c r="E594" s="1"/>
      <c r="F594" s="156"/>
      <c r="G594" s="157"/>
      <c r="H594" s="184"/>
      <c r="I594" s="184"/>
      <c r="J594" s="184"/>
      <c r="K594" s="184"/>
      <c r="L594" s="184"/>
      <c r="M594" s="4"/>
      <c r="N594" s="184"/>
      <c r="O594" s="1"/>
      <c r="P594" s="5"/>
      <c r="Q594" s="4"/>
      <c r="R594" s="1"/>
      <c r="S594" s="1"/>
      <c r="T594" s="1"/>
      <c r="U594" s="6"/>
      <c r="V594" s="184"/>
      <c r="W594" s="184"/>
      <c r="X594" s="155"/>
      <c r="Y594" s="155"/>
      <c r="Z594" s="155"/>
      <c r="AA594" s="155"/>
      <c r="AB594" s="155"/>
      <c r="AC594" s="184"/>
      <c r="AD594" s="155"/>
      <c r="AE594" s="155"/>
      <c r="AF594" s="155"/>
      <c r="AG594" s="155"/>
      <c r="AH594" s="155"/>
      <c r="AI594" s="155"/>
      <c r="AJ594" s="155"/>
      <c r="AK594" s="155"/>
      <c r="AL594" s="155"/>
      <c r="AM594" s="155"/>
      <c r="AN594" s="155"/>
      <c r="AO594" s="155"/>
      <c r="AP594" s="155"/>
      <c r="AQ594" s="155"/>
      <c r="AR594" s="155"/>
      <c r="AS594" s="155"/>
      <c r="AT594" s="155"/>
      <c r="AU594" s="155"/>
      <c r="AV594" s="155"/>
      <c r="AW594" s="155"/>
    </row>
    <row r="595" spans="1:49" ht="16.5" customHeight="1">
      <c r="A595" s="155"/>
      <c r="B595" s="155"/>
      <c r="C595" s="1"/>
      <c r="D595" s="1"/>
      <c r="E595" s="1"/>
      <c r="F595" s="156"/>
      <c r="G595" s="157"/>
      <c r="H595" s="184"/>
      <c r="I595" s="184"/>
      <c r="J595" s="184"/>
      <c r="K595" s="184"/>
      <c r="L595" s="184"/>
      <c r="M595" s="4"/>
      <c r="N595" s="184"/>
      <c r="O595" s="1"/>
      <c r="P595" s="5"/>
      <c r="Q595" s="4"/>
      <c r="R595" s="1"/>
      <c r="S595" s="1"/>
      <c r="T595" s="1"/>
      <c r="U595" s="6"/>
      <c r="V595" s="184"/>
      <c r="W595" s="184"/>
      <c r="X595" s="155"/>
      <c r="Y595" s="155"/>
      <c r="Z595" s="155"/>
      <c r="AA595" s="155"/>
      <c r="AB595" s="155"/>
      <c r="AC595" s="184"/>
      <c r="AD595" s="155"/>
      <c r="AE595" s="155"/>
      <c r="AF595" s="155"/>
      <c r="AG595" s="155"/>
      <c r="AH595" s="155"/>
      <c r="AI595" s="155"/>
      <c r="AJ595" s="155"/>
      <c r="AK595" s="155"/>
      <c r="AL595" s="155"/>
      <c r="AM595" s="155"/>
      <c r="AN595" s="155"/>
      <c r="AO595" s="155"/>
      <c r="AP595" s="155"/>
      <c r="AQ595" s="155"/>
      <c r="AR595" s="155"/>
      <c r="AS595" s="155"/>
      <c r="AT595" s="155"/>
      <c r="AU595" s="155"/>
      <c r="AV595" s="155"/>
      <c r="AW595" s="155"/>
    </row>
    <row r="596" spans="1:49" ht="16.5" customHeight="1">
      <c r="A596" s="155"/>
      <c r="B596" s="155"/>
      <c r="C596" s="1"/>
      <c r="D596" s="1"/>
      <c r="E596" s="1"/>
      <c r="F596" s="156"/>
      <c r="G596" s="157"/>
      <c r="H596" s="184"/>
      <c r="I596" s="184"/>
      <c r="J596" s="184"/>
      <c r="K596" s="184"/>
      <c r="L596" s="184"/>
      <c r="M596" s="4"/>
      <c r="N596" s="184"/>
      <c r="O596" s="1"/>
      <c r="P596" s="5"/>
      <c r="Q596" s="4"/>
      <c r="R596" s="1"/>
      <c r="S596" s="1"/>
      <c r="T596" s="1"/>
      <c r="U596" s="6"/>
      <c r="V596" s="184"/>
      <c r="W596" s="184"/>
      <c r="X596" s="155"/>
      <c r="Y596" s="155"/>
      <c r="Z596" s="155"/>
      <c r="AA596" s="155"/>
      <c r="AB596" s="155"/>
      <c r="AC596" s="184"/>
      <c r="AD596" s="155"/>
      <c r="AE596" s="155"/>
      <c r="AF596" s="155"/>
      <c r="AG596" s="155"/>
      <c r="AH596" s="155"/>
      <c r="AI596" s="155"/>
      <c r="AJ596" s="155"/>
      <c r="AK596" s="155"/>
      <c r="AL596" s="155"/>
      <c r="AM596" s="155"/>
      <c r="AN596" s="155"/>
      <c r="AO596" s="155"/>
      <c r="AP596" s="155"/>
      <c r="AQ596" s="155"/>
      <c r="AR596" s="155"/>
      <c r="AS596" s="155"/>
      <c r="AT596" s="155"/>
      <c r="AU596" s="155"/>
      <c r="AV596" s="155"/>
      <c r="AW596" s="155"/>
    </row>
    <row r="597" spans="1:49" ht="16.5" customHeight="1">
      <c r="A597" s="155"/>
      <c r="B597" s="155"/>
      <c r="C597" s="1"/>
      <c r="D597" s="1"/>
      <c r="E597" s="1"/>
      <c r="F597" s="156"/>
      <c r="G597" s="157"/>
      <c r="H597" s="184"/>
      <c r="I597" s="184"/>
      <c r="J597" s="184"/>
      <c r="K597" s="184"/>
      <c r="L597" s="184"/>
      <c r="M597" s="4"/>
      <c r="N597" s="184"/>
      <c r="O597" s="1"/>
      <c r="P597" s="5"/>
      <c r="Q597" s="4"/>
      <c r="R597" s="1"/>
      <c r="S597" s="1"/>
      <c r="T597" s="1"/>
      <c r="U597" s="6"/>
      <c r="V597" s="184"/>
      <c r="W597" s="184"/>
      <c r="X597" s="155"/>
      <c r="Y597" s="155"/>
      <c r="Z597" s="155"/>
      <c r="AA597" s="155"/>
      <c r="AB597" s="155"/>
      <c r="AC597" s="184"/>
      <c r="AD597" s="155"/>
      <c r="AE597" s="155"/>
      <c r="AF597" s="155"/>
      <c r="AG597" s="155"/>
      <c r="AH597" s="155"/>
      <c r="AI597" s="155"/>
      <c r="AJ597" s="155"/>
      <c r="AK597" s="155"/>
      <c r="AL597" s="155"/>
      <c r="AM597" s="155"/>
      <c r="AN597" s="155"/>
      <c r="AO597" s="155"/>
      <c r="AP597" s="155"/>
      <c r="AQ597" s="155"/>
      <c r="AR597" s="155"/>
      <c r="AS597" s="155"/>
      <c r="AT597" s="155"/>
      <c r="AU597" s="155"/>
      <c r="AV597" s="155"/>
      <c r="AW597" s="155"/>
    </row>
    <row r="598" spans="1:49" ht="16.5" customHeight="1">
      <c r="A598" s="155"/>
      <c r="B598" s="155"/>
      <c r="C598" s="1"/>
      <c r="D598" s="1"/>
      <c r="E598" s="1"/>
      <c r="F598" s="156"/>
      <c r="G598" s="157"/>
      <c r="H598" s="184"/>
      <c r="I598" s="184"/>
      <c r="J598" s="184"/>
      <c r="K598" s="184"/>
      <c r="L598" s="184"/>
      <c r="M598" s="4"/>
      <c r="N598" s="184"/>
      <c r="O598" s="1"/>
      <c r="P598" s="5"/>
      <c r="Q598" s="4"/>
      <c r="R598" s="1"/>
      <c r="S598" s="1"/>
      <c r="T598" s="1"/>
      <c r="U598" s="6"/>
      <c r="V598" s="184"/>
      <c r="W598" s="184"/>
      <c r="X598" s="155"/>
      <c r="Y598" s="155"/>
      <c r="Z598" s="155"/>
      <c r="AA598" s="155"/>
      <c r="AB598" s="155"/>
      <c r="AC598" s="184"/>
      <c r="AD598" s="155"/>
      <c r="AE598" s="155"/>
      <c r="AF598" s="155"/>
      <c r="AG598" s="155"/>
      <c r="AH598" s="155"/>
      <c r="AI598" s="155"/>
      <c r="AJ598" s="155"/>
      <c r="AK598" s="155"/>
      <c r="AL598" s="155"/>
      <c r="AM598" s="155"/>
      <c r="AN598" s="155"/>
      <c r="AO598" s="155"/>
      <c r="AP598" s="155"/>
      <c r="AQ598" s="155"/>
      <c r="AR598" s="155"/>
      <c r="AS598" s="155"/>
      <c r="AT598" s="155"/>
      <c r="AU598" s="155"/>
      <c r="AV598" s="155"/>
      <c r="AW598" s="155"/>
    </row>
    <row r="599" spans="1:49" ht="16.5" customHeight="1">
      <c r="A599" s="155"/>
      <c r="B599" s="155"/>
      <c r="C599" s="1"/>
      <c r="D599" s="1"/>
      <c r="E599" s="1"/>
      <c r="F599" s="156"/>
      <c r="G599" s="157"/>
      <c r="H599" s="184"/>
      <c r="I599" s="184"/>
      <c r="J599" s="184"/>
      <c r="K599" s="184"/>
      <c r="L599" s="184"/>
      <c r="M599" s="4"/>
      <c r="N599" s="184"/>
      <c r="O599" s="1"/>
      <c r="P599" s="5"/>
      <c r="Q599" s="4"/>
      <c r="R599" s="1"/>
      <c r="S599" s="1"/>
      <c r="T599" s="1"/>
      <c r="U599" s="6"/>
      <c r="V599" s="184"/>
      <c r="W599" s="184"/>
      <c r="X599" s="155"/>
      <c r="Y599" s="155"/>
      <c r="Z599" s="155"/>
      <c r="AA599" s="155"/>
      <c r="AB599" s="155"/>
      <c r="AC599" s="184"/>
      <c r="AD599" s="155"/>
      <c r="AE599" s="155"/>
      <c r="AF599" s="155"/>
      <c r="AG599" s="155"/>
      <c r="AH599" s="155"/>
      <c r="AI599" s="155"/>
      <c r="AJ599" s="155"/>
      <c r="AK599" s="155"/>
      <c r="AL599" s="155"/>
      <c r="AM599" s="155"/>
      <c r="AN599" s="155"/>
      <c r="AO599" s="155"/>
      <c r="AP599" s="155"/>
      <c r="AQ599" s="155"/>
      <c r="AR599" s="155"/>
      <c r="AS599" s="155"/>
      <c r="AT599" s="155"/>
      <c r="AU599" s="155"/>
      <c r="AV599" s="155"/>
      <c r="AW599" s="155"/>
    </row>
    <row r="600" spans="1:49" ht="16.5" customHeight="1">
      <c r="A600" s="155"/>
      <c r="B600" s="155"/>
      <c r="C600" s="1"/>
      <c r="D600" s="1"/>
      <c r="E600" s="1"/>
      <c r="F600" s="156"/>
      <c r="G600" s="157"/>
      <c r="H600" s="184"/>
      <c r="I600" s="184"/>
      <c r="J600" s="184"/>
      <c r="K600" s="184"/>
      <c r="L600" s="184"/>
      <c r="M600" s="4"/>
      <c r="N600" s="184"/>
      <c r="O600" s="1"/>
      <c r="P600" s="5"/>
      <c r="Q600" s="4"/>
      <c r="R600" s="1"/>
      <c r="S600" s="1"/>
      <c r="T600" s="1"/>
      <c r="U600" s="6"/>
      <c r="V600" s="184"/>
      <c r="W600" s="184"/>
      <c r="X600" s="155"/>
      <c r="Y600" s="155"/>
      <c r="Z600" s="155"/>
      <c r="AA600" s="155"/>
      <c r="AB600" s="155"/>
      <c r="AC600" s="184"/>
      <c r="AD600" s="155"/>
      <c r="AE600" s="155"/>
      <c r="AF600" s="155"/>
      <c r="AG600" s="155"/>
      <c r="AH600" s="155"/>
      <c r="AI600" s="155"/>
      <c r="AJ600" s="155"/>
      <c r="AK600" s="155"/>
      <c r="AL600" s="155"/>
      <c r="AM600" s="155"/>
      <c r="AN600" s="155"/>
      <c r="AO600" s="155"/>
      <c r="AP600" s="155"/>
      <c r="AQ600" s="155"/>
      <c r="AR600" s="155"/>
      <c r="AS600" s="155"/>
      <c r="AT600" s="155"/>
      <c r="AU600" s="155"/>
      <c r="AV600" s="155"/>
      <c r="AW600" s="155"/>
    </row>
    <row r="601" spans="1:49" ht="16.5" customHeight="1">
      <c r="A601" s="155"/>
      <c r="B601" s="155"/>
      <c r="C601" s="1"/>
      <c r="D601" s="1"/>
      <c r="E601" s="1"/>
      <c r="F601" s="156"/>
      <c r="G601" s="157"/>
      <c r="H601" s="184"/>
      <c r="I601" s="184"/>
      <c r="J601" s="184"/>
      <c r="K601" s="184"/>
      <c r="L601" s="184"/>
      <c r="M601" s="4"/>
      <c r="N601" s="184"/>
      <c r="O601" s="1"/>
      <c r="P601" s="5"/>
      <c r="Q601" s="4"/>
      <c r="R601" s="1"/>
      <c r="S601" s="1"/>
      <c r="T601" s="1"/>
      <c r="U601" s="6"/>
      <c r="V601" s="184"/>
      <c r="W601" s="184"/>
      <c r="X601" s="155"/>
      <c r="Y601" s="155"/>
      <c r="Z601" s="155"/>
      <c r="AA601" s="155"/>
      <c r="AB601" s="155"/>
      <c r="AC601" s="184"/>
      <c r="AD601" s="155"/>
      <c r="AE601" s="155"/>
      <c r="AF601" s="155"/>
      <c r="AG601" s="155"/>
      <c r="AH601" s="155"/>
      <c r="AI601" s="155"/>
      <c r="AJ601" s="155"/>
      <c r="AK601" s="155"/>
      <c r="AL601" s="155"/>
      <c r="AM601" s="155"/>
      <c r="AN601" s="155"/>
      <c r="AO601" s="155"/>
      <c r="AP601" s="155"/>
      <c r="AQ601" s="155"/>
      <c r="AR601" s="155"/>
      <c r="AS601" s="155"/>
      <c r="AT601" s="155"/>
      <c r="AU601" s="155"/>
      <c r="AV601" s="155"/>
      <c r="AW601" s="155"/>
    </row>
    <row r="602" spans="1:49" ht="16.5" customHeight="1">
      <c r="A602" s="155"/>
      <c r="B602" s="155"/>
      <c r="C602" s="1"/>
      <c r="D602" s="1"/>
      <c r="E602" s="1"/>
      <c r="F602" s="156"/>
      <c r="G602" s="157"/>
      <c r="H602" s="184"/>
      <c r="I602" s="184"/>
      <c r="J602" s="184"/>
      <c r="K602" s="184"/>
      <c r="L602" s="184"/>
      <c r="M602" s="4"/>
      <c r="N602" s="184"/>
      <c r="O602" s="1"/>
      <c r="P602" s="5"/>
      <c r="Q602" s="4"/>
      <c r="R602" s="1"/>
      <c r="S602" s="1"/>
      <c r="T602" s="1"/>
      <c r="U602" s="6"/>
      <c r="V602" s="184"/>
      <c r="W602" s="184"/>
      <c r="X602" s="155"/>
      <c r="Y602" s="155"/>
      <c r="Z602" s="155"/>
      <c r="AA602" s="155"/>
      <c r="AB602" s="155"/>
      <c r="AC602" s="184"/>
      <c r="AD602" s="155"/>
      <c r="AE602" s="155"/>
      <c r="AF602" s="155"/>
      <c r="AG602" s="155"/>
      <c r="AH602" s="155"/>
      <c r="AI602" s="155"/>
      <c r="AJ602" s="155"/>
      <c r="AK602" s="155"/>
      <c r="AL602" s="155"/>
      <c r="AM602" s="155"/>
      <c r="AN602" s="155"/>
      <c r="AO602" s="155"/>
      <c r="AP602" s="155"/>
      <c r="AQ602" s="155"/>
      <c r="AR602" s="155"/>
      <c r="AS602" s="155"/>
      <c r="AT602" s="155"/>
      <c r="AU602" s="155"/>
      <c r="AV602" s="155"/>
      <c r="AW602" s="155"/>
    </row>
    <row r="603" spans="1:49" ht="16.5" customHeight="1">
      <c r="A603" s="155"/>
      <c r="B603" s="155"/>
      <c r="C603" s="1"/>
      <c r="D603" s="1"/>
      <c r="E603" s="1"/>
      <c r="F603" s="156"/>
      <c r="G603" s="157"/>
      <c r="H603" s="184"/>
      <c r="I603" s="184"/>
      <c r="J603" s="184"/>
      <c r="K603" s="184"/>
      <c r="L603" s="184"/>
      <c r="M603" s="4"/>
      <c r="N603" s="184"/>
      <c r="O603" s="1"/>
      <c r="P603" s="5"/>
      <c r="Q603" s="4"/>
      <c r="R603" s="1"/>
      <c r="S603" s="1"/>
      <c r="T603" s="1"/>
      <c r="U603" s="6"/>
      <c r="V603" s="184"/>
      <c r="W603" s="184"/>
      <c r="X603" s="155"/>
      <c r="Y603" s="155"/>
      <c r="Z603" s="155"/>
      <c r="AA603" s="155"/>
      <c r="AB603" s="155"/>
      <c r="AC603" s="184"/>
      <c r="AD603" s="155"/>
      <c r="AE603" s="155"/>
      <c r="AF603" s="155"/>
      <c r="AG603" s="155"/>
      <c r="AH603" s="155"/>
      <c r="AI603" s="155"/>
      <c r="AJ603" s="155"/>
      <c r="AK603" s="155"/>
      <c r="AL603" s="155"/>
      <c r="AM603" s="155"/>
      <c r="AN603" s="155"/>
      <c r="AO603" s="155"/>
      <c r="AP603" s="155"/>
      <c r="AQ603" s="155"/>
      <c r="AR603" s="155"/>
      <c r="AS603" s="155"/>
      <c r="AT603" s="155"/>
      <c r="AU603" s="155"/>
      <c r="AV603" s="155"/>
      <c r="AW603" s="155"/>
    </row>
    <row r="604" spans="1:49" ht="16.5" customHeight="1">
      <c r="A604" s="155"/>
      <c r="B604" s="155"/>
      <c r="C604" s="1"/>
      <c r="D604" s="1"/>
      <c r="E604" s="1"/>
      <c r="F604" s="156"/>
      <c r="G604" s="157"/>
      <c r="H604" s="184"/>
      <c r="I604" s="184"/>
      <c r="J604" s="184"/>
      <c r="K604" s="184"/>
      <c r="L604" s="184"/>
      <c r="M604" s="4"/>
      <c r="N604" s="184"/>
      <c r="O604" s="1"/>
      <c r="P604" s="5"/>
      <c r="Q604" s="4"/>
      <c r="R604" s="1"/>
      <c r="S604" s="1"/>
      <c r="T604" s="1"/>
      <c r="U604" s="6"/>
      <c r="V604" s="184"/>
      <c r="W604" s="184"/>
      <c r="X604" s="155"/>
      <c r="Y604" s="155"/>
      <c r="Z604" s="155"/>
      <c r="AA604" s="155"/>
      <c r="AB604" s="155"/>
      <c r="AC604" s="184"/>
      <c r="AD604" s="155"/>
      <c r="AE604" s="155"/>
      <c r="AF604" s="155"/>
      <c r="AG604" s="155"/>
      <c r="AH604" s="155"/>
      <c r="AI604" s="155"/>
      <c r="AJ604" s="155"/>
      <c r="AK604" s="155"/>
      <c r="AL604" s="155"/>
      <c r="AM604" s="155"/>
      <c r="AN604" s="155"/>
      <c r="AO604" s="155"/>
      <c r="AP604" s="155"/>
      <c r="AQ604" s="155"/>
      <c r="AR604" s="155"/>
      <c r="AS604" s="155"/>
      <c r="AT604" s="155"/>
      <c r="AU604" s="155"/>
      <c r="AV604" s="155"/>
      <c r="AW604" s="155"/>
    </row>
    <row r="605" spans="1:49" ht="16.5" customHeight="1">
      <c r="A605" s="155"/>
      <c r="B605" s="155"/>
      <c r="C605" s="1"/>
      <c r="D605" s="1"/>
      <c r="E605" s="1"/>
      <c r="F605" s="156"/>
      <c r="G605" s="157"/>
      <c r="H605" s="184"/>
      <c r="I605" s="184"/>
      <c r="J605" s="184"/>
      <c r="K605" s="184"/>
      <c r="L605" s="184"/>
      <c r="M605" s="4"/>
      <c r="N605" s="184"/>
      <c r="O605" s="1"/>
      <c r="P605" s="5"/>
      <c r="Q605" s="4"/>
      <c r="R605" s="1"/>
      <c r="S605" s="1"/>
      <c r="T605" s="1"/>
      <c r="U605" s="6"/>
      <c r="V605" s="184"/>
      <c r="W605" s="184"/>
      <c r="X605" s="155"/>
      <c r="Y605" s="155"/>
      <c r="Z605" s="155"/>
      <c r="AA605" s="155"/>
      <c r="AB605" s="155"/>
      <c r="AC605" s="184"/>
      <c r="AD605" s="155"/>
      <c r="AE605" s="155"/>
      <c r="AF605" s="155"/>
      <c r="AG605" s="155"/>
      <c r="AH605" s="155"/>
      <c r="AI605" s="155"/>
      <c r="AJ605" s="155"/>
      <c r="AK605" s="155"/>
      <c r="AL605" s="155"/>
      <c r="AM605" s="155"/>
      <c r="AN605" s="155"/>
      <c r="AO605" s="155"/>
      <c r="AP605" s="155"/>
      <c r="AQ605" s="155"/>
      <c r="AR605" s="155"/>
      <c r="AS605" s="155"/>
      <c r="AT605" s="155"/>
      <c r="AU605" s="155"/>
      <c r="AV605" s="155"/>
      <c r="AW605" s="155"/>
    </row>
    <row r="606" spans="1:49" ht="16.5" customHeight="1">
      <c r="A606" s="155"/>
      <c r="B606" s="155"/>
      <c r="C606" s="1"/>
      <c r="D606" s="1"/>
      <c r="E606" s="1"/>
      <c r="F606" s="156"/>
      <c r="G606" s="157"/>
      <c r="H606" s="184"/>
      <c r="I606" s="184"/>
      <c r="J606" s="184"/>
      <c r="K606" s="184"/>
      <c r="L606" s="184"/>
      <c r="M606" s="4"/>
      <c r="N606" s="184"/>
      <c r="O606" s="1"/>
      <c r="P606" s="5"/>
      <c r="Q606" s="4"/>
      <c r="R606" s="1"/>
      <c r="S606" s="1"/>
      <c r="T606" s="1"/>
      <c r="U606" s="6"/>
      <c r="V606" s="184"/>
      <c r="W606" s="184"/>
      <c r="X606" s="155"/>
      <c r="Y606" s="155"/>
      <c r="Z606" s="155"/>
      <c r="AA606" s="155"/>
      <c r="AB606" s="155"/>
      <c r="AC606" s="184"/>
      <c r="AD606" s="155"/>
      <c r="AE606" s="155"/>
      <c r="AF606" s="155"/>
      <c r="AG606" s="155"/>
      <c r="AH606" s="155"/>
      <c r="AI606" s="155"/>
      <c r="AJ606" s="155"/>
      <c r="AK606" s="155"/>
      <c r="AL606" s="155"/>
      <c r="AM606" s="155"/>
      <c r="AN606" s="155"/>
      <c r="AO606" s="155"/>
      <c r="AP606" s="155"/>
      <c r="AQ606" s="155"/>
      <c r="AR606" s="155"/>
      <c r="AS606" s="155"/>
      <c r="AT606" s="155"/>
      <c r="AU606" s="155"/>
      <c r="AV606" s="155"/>
      <c r="AW606" s="155"/>
    </row>
    <row r="607" spans="1:49" ht="16.5" customHeight="1">
      <c r="A607" s="155"/>
      <c r="B607" s="155"/>
      <c r="C607" s="1"/>
      <c r="D607" s="1"/>
      <c r="E607" s="1"/>
      <c r="F607" s="156"/>
      <c r="G607" s="157"/>
      <c r="H607" s="184"/>
      <c r="I607" s="184"/>
      <c r="J607" s="184"/>
      <c r="K607" s="184"/>
      <c r="L607" s="184"/>
      <c r="M607" s="4"/>
      <c r="N607" s="184"/>
      <c r="O607" s="1"/>
      <c r="P607" s="5"/>
      <c r="Q607" s="4"/>
      <c r="R607" s="1"/>
      <c r="S607" s="1"/>
      <c r="T607" s="1"/>
      <c r="U607" s="6"/>
      <c r="V607" s="184"/>
      <c r="W607" s="184"/>
      <c r="X607" s="155"/>
      <c r="Y607" s="155"/>
      <c r="Z607" s="155"/>
      <c r="AA607" s="155"/>
      <c r="AB607" s="155"/>
      <c r="AC607" s="184"/>
      <c r="AD607" s="155"/>
      <c r="AE607" s="155"/>
      <c r="AF607" s="155"/>
      <c r="AG607" s="155"/>
      <c r="AH607" s="155"/>
      <c r="AI607" s="155"/>
      <c r="AJ607" s="155"/>
      <c r="AK607" s="155"/>
      <c r="AL607" s="155"/>
      <c r="AM607" s="155"/>
      <c r="AN607" s="155"/>
      <c r="AO607" s="155"/>
      <c r="AP607" s="155"/>
      <c r="AQ607" s="155"/>
      <c r="AR607" s="155"/>
      <c r="AS607" s="155"/>
      <c r="AT607" s="155"/>
      <c r="AU607" s="155"/>
      <c r="AV607" s="155"/>
      <c r="AW607" s="155"/>
    </row>
    <row r="608" spans="1:49" ht="16.5" customHeight="1">
      <c r="A608" s="155"/>
      <c r="B608" s="155"/>
      <c r="C608" s="1"/>
      <c r="D608" s="1"/>
      <c r="E608" s="1"/>
      <c r="F608" s="156"/>
      <c r="G608" s="157"/>
      <c r="H608" s="184"/>
      <c r="I608" s="184"/>
      <c r="J608" s="184"/>
      <c r="K608" s="184"/>
      <c r="L608" s="184"/>
      <c r="M608" s="4"/>
      <c r="N608" s="184"/>
      <c r="O608" s="1"/>
      <c r="P608" s="5"/>
      <c r="Q608" s="4"/>
      <c r="R608" s="1"/>
      <c r="S608" s="1"/>
      <c r="T608" s="1"/>
      <c r="U608" s="6"/>
      <c r="V608" s="184"/>
      <c r="W608" s="184"/>
      <c r="X608" s="155"/>
      <c r="Y608" s="155"/>
      <c r="Z608" s="155"/>
      <c r="AA608" s="155"/>
      <c r="AB608" s="155"/>
      <c r="AC608" s="184"/>
      <c r="AD608" s="155"/>
      <c r="AE608" s="155"/>
      <c r="AF608" s="155"/>
      <c r="AG608" s="155"/>
      <c r="AH608" s="155"/>
      <c r="AI608" s="155"/>
      <c r="AJ608" s="155"/>
      <c r="AK608" s="155"/>
      <c r="AL608" s="155"/>
      <c r="AM608" s="155"/>
      <c r="AN608" s="155"/>
      <c r="AO608" s="155"/>
      <c r="AP608" s="155"/>
      <c r="AQ608" s="155"/>
      <c r="AR608" s="155"/>
      <c r="AS608" s="155"/>
      <c r="AT608" s="155"/>
      <c r="AU608" s="155"/>
      <c r="AV608" s="155"/>
      <c r="AW608" s="155"/>
    </row>
    <row r="609" spans="1:49" ht="16.5" customHeight="1">
      <c r="A609" s="155"/>
      <c r="B609" s="155"/>
      <c r="C609" s="1"/>
      <c r="D609" s="1"/>
      <c r="E609" s="1"/>
      <c r="F609" s="156"/>
      <c r="G609" s="157"/>
      <c r="H609" s="184"/>
      <c r="I609" s="184"/>
      <c r="J609" s="184"/>
      <c r="K609" s="184"/>
      <c r="L609" s="184"/>
      <c r="M609" s="4"/>
      <c r="N609" s="184"/>
      <c r="O609" s="1"/>
      <c r="P609" s="5"/>
      <c r="Q609" s="4"/>
      <c r="R609" s="1"/>
      <c r="S609" s="1"/>
      <c r="T609" s="1"/>
      <c r="U609" s="6"/>
      <c r="V609" s="184"/>
      <c r="W609" s="184"/>
      <c r="X609" s="155"/>
      <c r="Y609" s="155"/>
      <c r="Z609" s="155"/>
      <c r="AA609" s="155"/>
      <c r="AB609" s="155"/>
      <c r="AC609" s="184"/>
      <c r="AD609" s="155"/>
      <c r="AE609" s="155"/>
      <c r="AF609" s="155"/>
      <c r="AG609" s="155"/>
      <c r="AH609" s="155"/>
      <c r="AI609" s="155"/>
      <c r="AJ609" s="155"/>
      <c r="AK609" s="155"/>
      <c r="AL609" s="155"/>
      <c r="AM609" s="155"/>
      <c r="AN609" s="155"/>
      <c r="AO609" s="155"/>
      <c r="AP609" s="155"/>
      <c r="AQ609" s="155"/>
      <c r="AR609" s="155"/>
      <c r="AS609" s="155"/>
      <c r="AT609" s="155"/>
      <c r="AU609" s="155"/>
      <c r="AV609" s="155"/>
      <c r="AW609" s="155"/>
    </row>
    <row r="610" spans="1:49" ht="16.5" customHeight="1">
      <c r="A610" s="155"/>
      <c r="B610" s="155"/>
      <c r="C610" s="1"/>
      <c r="D610" s="1"/>
      <c r="E610" s="1"/>
      <c r="F610" s="156"/>
      <c r="G610" s="157"/>
      <c r="H610" s="184"/>
      <c r="I610" s="184"/>
      <c r="J610" s="184"/>
      <c r="K610" s="184"/>
      <c r="L610" s="184"/>
      <c r="M610" s="4"/>
      <c r="N610" s="184"/>
      <c r="O610" s="1"/>
      <c r="P610" s="5"/>
      <c r="Q610" s="4"/>
      <c r="R610" s="1"/>
      <c r="S610" s="1"/>
      <c r="T610" s="1"/>
      <c r="U610" s="6"/>
      <c r="V610" s="184"/>
      <c r="W610" s="184"/>
      <c r="X610" s="155"/>
      <c r="Y610" s="155"/>
      <c r="Z610" s="155"/>
      <c r="AA610" s="155"/>
      <c r="AB610" s="155"/>
      <c r="AC610" s="184"/>
      <c r="AD610" s="155"/>
      <c r="AE610" s="155"/>
      <c r="AF610" s="155"/>
      <c r="AG610" s="155"/>
      <c r="AH610" s="155"/>
      <c r="AI610" s="155"/>
      <c r="AJ610" s="155"/>
      <c r="AK610" s="155"/>
      <c r="AL610" s="155"/>
      <c r="AM610" s="155"/>
      <c r="AN610" s="155"/>
      <c r="AO610" s="155"/>
      <c r="AP610" s="155"/>
      <c r="AQ610" s="155"/>
      <c r="AR610" s="155"/>
      <c r="AS610" s="155"/>
      <c r="AT610" s="155"/>
      <c r="AU610" s="155"/>
      <c r="AV610" s="155"/>
      <c r="AW610" s="155"/>
    </row>
    <row r="611" spans="1:49" ht="16.5" customHeight="1">
      <c r="A611" s="155"/>
      <c r="B611" s="155"/>
      <c r="C611" s="1"/>
      <c r="D611" s="1"/>
      <c r="E611" s="1"/>
      <c r="F611" s="156"/>
      <c r="G611" s="157"/>
      <c r="H611" s="184"/>
      <c r="I611" s="184"/>
      <c r="J611" s="184"/>
      <c r="K611" s="184"/>
      <c r="L611" s="184"/>
      <c r="M611" s="4"/>
      <c r="N611" s="184"/>
      <c r="O611" s="1"/>
      <c r="P611" s="5"/>
      <c r="Q611" s="4"/>
      <c r="R611" s="1"/>
      <c r="S611" s="1"/>
      <c r="T611" s="1"/>
      <c r="U611" s="6"/>
      <c r="V611" s="184"/>
      <c r="W611" s="184"/>
      <c r="X611" s="155"/>
      <c r="Y611" s="155"/>
      <c r="Z611" s="155"/>
      <c r="AA611" s="155"/>
      <c r="AB611" s="155"/>
      <c r="AC611" s="184"/>
      <c r="AD611" s="155"/>
      <c r="AE611" s="155"/>
      <c r="AF611" s="155"/>
      <c r="AG611" s="155"/>
      <c r="AH611" s="155"/>
      <c r="AI611" s="155"/>
      <c r="AJ611" s="155"/>
      <c r="AK611" s="155"/>
      <c r="AL611" s="155"/>
      <c r="AM611" s="155"/>
      <c r="AN611" s="155"/>
      <c r="AO611" s="155"/>
      <c r="AP611" s="155"/>
      <c r="AQ611" s="155"/>
      <c r="AR611" s="155"/>
      <c r="AS611" s="155"/>
      <c r="AT611" s="155"/>
      <c r="AU611" s="155"/>
      <c r="AV611" s="155"/>
      <c r="AW611" s="155"/>
    </row>
    <row r="612" spans="1:49" ht="16.5" customHeight="1">
      <c r="A612" s="155"/>
      <c r="B612" s="155"/>
      <c r="C612" s="1"/>
      <c r="D612" s="1"/>
      <c r="E612" s="1"/>
      <c r="F612" s="156"/>
      <c r="G612" s="157"/>
      <c r="H612" s="184"/>
      <c r="I612" s="184"/>
      <c r="J612" s="184"/>
      <c r="K612" s="184"/>
      <c r="L612" s="184"/>
      <c r="M612" s="4"/>
      <c r="N612" s="184"/>
      <c r="O612" s="1"/>
      <c r="P612" s="5"/>
      <c r="Q612" s="4"/>
      <c r="R612" s="1"/>
      <c r="S612" s="1"/>
      <c r="T612" s="1"/>
      <c r="U612" s="6"/>
      <c r="V612" s="184"/>
      <c r="W612" s="184"/>
      <c r="X612" s="155"/>
      <c r="Y612" s="155"/>
      <c r="Z612" s="155"/>
      <c r="AA612" s="155"/>
      <c r="AB612" s="155"/>
      <c r="AC612" s="184"/>
      <c r="AD612" s="155"/>
      <c r="AE612" s="155"/>
      <c r="AF612" s="155"/>
      <c r="AG612" s="155"/>
      <c r="AH612" s="155"/>
      <c r="AI612" s="155"/>
      <c r="AJ612" s="155"/>
      <c r="AK612" s="155"/>
      <c r="AL612" s="155"/>
      <c r="AM612" s="155"/>
      <c r="AN612" s="155"/>
      <c r="AO612" s="155"/>
      <c r="AP612" s="155"/>
      <c r="AQ612" s="155"/>
      <c r="AR612" s="155"/>
      <c r="AS612" s="155"/>
      <c r="AT612" s="155"/>
      <c r="AU612" s="155"/>
      <c r="AV612" s="155"/>
      <c r="AW612" s="155"/>
    </row>
    <row r="613" spans="1:49" ht="16.5" customHeight="1">
      <c r="A613" s="155"/>
      <c r="B613" s="155"/>
      <c r="C613" s="1"/>
      <c r="D613" s="1"/>
      <c r="E613" s="1"/>
      <c r="F613" s="156"/>
      <c r="G613" s="157"/>
      <c r="H613" s="184"/>
      <c r="I613" s="184"/>
      <c r="J613" s="184"/>
      <c r="K613" s="184"/>
      <c r="L613" s="184"/>
      <c r="M613" s="4"/>
      <c r="N613" s="184"/>
      <c r="O613" s="1"/>
      <c r="P613" s="5"/>
      <c r="Q613" s="4"/>
      <c r="R613" s="1"/>
      <c r="S613" s="1"/>
      <c r="T613" s="1"/>
      <c r="U613" s="6"/>
      <c r="V613" s="184"/>
      <c r="W613" s="184"/>
      <c r="X613" s="155"/>
      <c r="Y613" s="155"/>
      <c r="Z613" s="155"/>
      <c r="AA613" s="155"/>
      <c r="AB613" s="155"/>
      <c r="AC613" s="184"/>
      <c r="AD613" s="155"/>
      <c r="AE613" s="155"/>
      <c r="AF613" s="155"/>
      <c r="AG613" s="155"/>
      <c r="AH613" s="155"/>
      <c r="AI613" s="155"/>
      <c r="AJ613" s="155"/>
      <c r="AK613" s="155"/>
      <c r="AL613" s="155"/>
      <c r="AM613" s="155"/>
      <c r="AN613" s="155"/>
      <c r="AO613" s="155"/>
      <c r="AP613" s="155"/>
      <c r="AQ613" s="155"/>
      <c r="AR613" s="155"/>
      <c r="AS613" s="155"/>
      <c r="AT613" s="155"/>
      <c r="AU613" s="155"/>
      <c r="AV613" s="155"/>
      <c r="AW613" s="155"/>
    </row>
    <row r="614" spans="1:49" ht="16.5" customHeight="1">
      <c r="A614" s="155"/>
      <c r="B614" s="155"/>
      <c r="C614" s="1"/>
      <c r="D614" s="1"/>
      <c r="E614" s="1"/>
      <c r="F614" s="156"/>
      <c r="G614" s="157"/>
      <c r="H614" s="184"/>
      <c r="I614" s="184"/>
      <c r="J614" s="184"/>
      <c r="K614" s="184"/>
      <c r="L614" s="184"/>
      <c r="M614" s="4"/>
      <c r="N614" s="184"/>
      <c r="O614" s="1"/>
      <c r="P614" s="5"/>
      <c r="Q614" s="4"/>
      <c r="R614" s="1"/>
      <c r="S614" s="1"/>
      <c r="T614" s="1"/>
      <c r="U614" s="6"/>
      <c r="V614" s="184"/>
      <c r="W614" s="184"/>
      <c r="X614" s="155"/>
      <c r="Y614" s="155"/>
      <c r="Z614" s="155"/>
      <c r="AA614" s="155"/>
      <c r="AB614" s="155"/>
      <c r="AC614" s="184"/>
      <c r="AD614" s="155"/>
      <c r="AE614" s="155"/>
      <c r="AF614" s="155"/>
      <c r="AG614" s="155"/>
      <c r="AH614" s="155"/>
      <c r="AI614" s="155"/>
      <c r="AJ614" s="155"/>
      <c r="AK614" s="155"/>
      <c r="AL614" s="155"/>
      <c r="AM614" s="155"/>
      <c r="AN614" s="155"/>
      <c r="AO614" s="155"/>
      <c r="AP614" s="155"/>
      <c r="AQ614" s="155"/>
      <c r="AR614" s="155"/>
      <c r="AS614" s="155"/>
      <c r="AT614" s="155"/>
      <c r="AU614" s="155"/>
      <c r="AV614" s="155"/>
      <c r="AW614" s="155"/>
    </row>
    <row r="615" spans="1:49" ht="16.5" customHeight="1">
      <c r="A615" s="155"/>
      <c r="B615" s="155"/>
      <c r="C615" s="1"/>
      <c r="D615" s="1"/>
      <c r="E615" s="1"/>
      <c r="F615" s="156"/>
      <c r="G615" s="157"/>
      <c r="H615" s="184"/>
      <c r="I615" s="184"/>
      <c r="J615" s="184"/>
      <c r="K615" s="184"/>
      <c r="L615" s="184"/>
      <c r="M615" s="4"/>
      <c r="N615" s="184"/>
      <c r="O615" s="1"/>
      <c r="P615" s="5"/>
      <c r="Q615" s="4"/>
      <c r="R615" s="1"/>
      <c r="S615" s="1"/>
      <c r="T615" s="1"/>
      <c r="U615" s="6"/>
      <c r="V615" s="184"/>
      <c r="W615" s="184"/>
      <c r="X615" s="155"/>
      <c r="Y615" s="155"/>
      <c r="Z615" s="155"/>
      <c r="AA615" s="155"/>
      <c r="AB615" s="155"/>
      <c r="AC615" s="184"/>
      <c r="AD615" s="155"/>
      <c r="AE615" s="155"/>
      <c r="AF615" s="155"/>
      <c r="AG615" s="155"/>
      <c r="AH615" s="155"/>
      <c r="AI615" s="155"/>
      <c r="AJ615" s="155"/>
      <c r="AK615" s="155"/>
      <c r="AL615" s="155"/>
      <c r="AM615" s="155"/>
      <c r="AN615" s="155"/>
      <c r="AO615" s="155"/>
      <c r="AP615" s="155"/>
      <c r="AQ615" s="155"/>
      <c r="AR615" s="155"/>
      <c r="AS615" s="155"/>
      <c r="AT615" s="155"/>
      <c r="AU615" s="155"/>
      <c r="AV615" s="155"/>
      <c r="AW615" s="155"/>
    </row>
    <row r="616" spans="1:49" ht="16.5" customHeight="1">
      <c r="A616" s="155"/>
      <c r="B616" s="155"/>
      <c r="C616" s="1"/>
      <c r="D616" s="1"/>
      <c r="E616" s="1"/>
      <c r="F616" s="156"/>
      <c r="G616" s="157"/>
      <c r="H616" s="184"/>
      <c r="I616" s="184"/>
      <c r="J616" s="184"/>
      <c r="K616" s="184"/>
      <c r="L616" s="184"/>
      <c r="M616" s="4"/>
      <c r="N616" s="184"/>
      <c r="O616" s="1"/>
      <c r="P616" s="5"/>
      <c r="Q616" s="4"/>
      <c r="R616" s="1"/>
      <c r="S616" s="1"/>
      <c r="T616" s="1"/>
      <c r="U616" s="6"/>
      <c r="V616" s="184"/>
      <c r="W616" s="184"/>
      <c r="X616" s="155"/>
      <c r="Y616" s="155"/>
      <c r="Z616" s="155"/>
      <c r="AA616" s="155"/>
      <c r="AB616" s="155"/>
      <c r="AC616" s="184"/>
      <c r="AD616" s="155"/>
      <c r="AE616" s="155"/>
      <c r="AF616" s="155"/>
      <c r="AG616" s="155"/>
      <c r="AH616" s="155"/>
      <c r="AI616" s="155"/>
      <c r="AJ616" s="155"/>
      <c r="AK616" s="155"/>
      <c r="AL616" s="155"/>
      <c r="AM616" s="155"/>
      <c r="AN616" s="155"/>
      <c r="AO616" s="155"/>
      <c r="AP616" s="155"/>
      <c r="AQ616" s="155"/>
      <c r="AR616" s="155"/>
      <c r="AS616" s="155"/>
      <c r="AT616" s="155"/>
      <c r="AU616" s="155"/>
      <c r="AV616" s="155"/>
      <c r="AW616" s="155"/>
    </row>
    <row r="617" spans="1:49" ht="16.5" customHeight="1">
      <c r="A617" s="155"/>
      <c r="B617" s="155"/>
      <c r="C617" s="1"/>
      <c r="D617" s="1"/>
      <c r="E617" s="1"/>
      <c r="F617" s="156"/>
      <c r="G617" s="157"/>
      <c r="H617" s="184"/>
      <c r="I617" s="184"/>
      <c r="J617" s="184"/>
      <c r="K617" s="184"/>
      <c r="L617" s="184"/>
      <c r="M617" s="4"/>
      <c r="N617" s="184"/>
      <c r="O617" s="1"/>
      <c r="P617" s="5"/>
      <c r="Q617" s="4"/>
      <c r="R617" s="1"/>
      <c r="S617" s="1"/>
      <c r="T617" s="1"/>
      <c r="U617" s="6"/>
      <c r="V617" s="184"/>
      <c r="W617" s="184"/>
      <c r="X617" s="155"/>
      <c r="Y617" s="155"/>
      <c r="Z617" s="155"/>
      <c r="AA617" s="155"/>
      <c r="AB617" s="155"/>
      <c r="AC617" s="184"/>
      <c r="AD617" s="155"/>
      <c r="AE617" s="155"/>
      <c r="AF617" s="155"/>
      <c r="AG617" s="155"/>
      <c r="AH617" s="155"/>
      <c r="AI617" s="155"/>
      <c r="AJ617" s="155"/>
      <c r="AK617" s="155"/>
      <c r="AL617" s="155"/>
      <c r="AM617" s="155"/>
      <c r="AN617" s="155"/>
      <c r="AO617" s="155"/>
      <c r="AP617" s="155"/>
      <c r="AQ617" s="155"/>
      <c r="AR617" s="155"/>
      <c r="AS617" s="155"/>
      <c r="AT617" s="155"/>
      <c r="AU617" s="155"/>
      <c r="AV617" s="155"/>
      <c r="AW617" s="155"/>
    </row>
    <row r="618" spans="1:49" ht="16.5" customHeight="1">
      <c r="A618" s="155"/>
      <c r="B618" s="155"/>
      <c r="C618" s="1"/>
      <c r="D618" s="1"/>
      <c r="E618" s="1"/>
      <c r="F618" s="156"/>
      <c r="G618" s="157"/>
      <c r="H618" s="184"/>
      <c r="I618" s="184"/>
      <c r="J618" s="184"/>
      <c r="K618" s="184"/>
      <c r="L618" s="184"/>
      <c r="M618" s="4"/>
      <c r="N618" s="184"/>
      <c r="O618" s="1"/>
      <c r="P618" s="5"/>
      <c r="Q618" s="4"/>
      <c r="R618" s="1"/>
      <c r="S618" s="1"/>
      <c r="T618" s="1"/>
      <c r="U618" s="6"/>
      <c r="V618" s="184"/>
      <c r="W618" s="184"/>
      <c r="X618" s="155"/>
      <c r="Y618" s="155"/>
      <c r="Z618" s="155"/>
      <c r="AA618" s="155"/>
      <c r="AB618" s="155"/>
      <c r="AC618" s="184"/>
      <c r="AD618" s="155"/>
      <c r="AE618" s="155"/>
      <c r="AF618" s="155"/>
      <c r="AG618" s="155"/>
      <c r="AH618" s="155"/>
      <c r="AI618" s="155"/>
      <c r="AJ618" s="155"/>
      <c r="AK618" s="155"/>
      <c r="AL618" s="155"/>
      <c r="AM618" s="155"/>
      <c r="AN618" s="155"/>
      <c r="AO618" s="155"/>
      <c r="AP618" s="155"/>
      <c r="AQ618" s="155"/>
      <c r="AR618" s="155"/>
      <c r="AS618" s="155"/>
      <c r="AT618" s="155"/>
      <c r="AU618" s="155"/>
      <c r="AV618" s="155"/>
      <c r="AW618" s="155"/>
    </row>
    <row r="619" spans="1:49" ht="16.5" customHeight="1">
      <c r="A619" s="155"/>
      <c r="B619" s="155"/>
      <c r="C619" s="1"/>
      <c r="D619" s="1"/>
      <c r="E619" s="1"/>
      <c r="F619" s="156"/>
      <c r="G619" s="157"/>
      <c r="H619" s="184"/>
      <c r="I619" s="184"/>
      <c r="J619" s="184"/>
      <c r="K619" s="184"/>
      <c r="L619" s="184"/>
      <c r="M619" s="4"/>
      <c r="N619" s="184"/>
      <c r="O619" s="1"/>
      <c r="P619" s="5"/>
      <c r="Q619" s="4"/>
      <c r="R619" s="1"/>
      <c r="S619" s="1"/>
      <c r="T619" s="1"/>
      <c r="U619" s="6"/>
      <c r="V619" s="184"/>
      <c r="W619" s="184"/>
      <c r="X619" s="155"/>
      <c r="Y619" s="155"/>
      <c r="Z619" s="155"/>
      <c r="AA619" s="155"/>
      <c r="AB619" s="155"/>
      <c r="AC619" s="184"/>
      <c r="AD619" s="155"/>
      <c r="AE619" s="155"/>
      <c r="AF619" s="155"/>
      <c r="AG619" s="155"/>
      <c r="AH619" s="155"/>
      <c r="AI619" s="155"/>
      <c r="AJ619" s="155"/>
      <c r="AK619" s="155"/>
      <c r="AL619" s="155"/>
      <c r="AM619" s="155"/>
      <c r="AN619" s="155"/>
      <c r="AO619" s="155"/>
      <c r="AP619" s="155"/>
      <c r="AQ619" s="155"/>
      <c r="AR619" s="155"/>
      <c r="AS619" s="155"/>
      <c r="AT619" s="155"/>
      <c r="AU619" s="155"/>
      <c r="AV619" s="155"/>
      <c r="AW619" s="155"/>
    </row>
    <row r="620" spans="1:49" ht="16.5" customHeight="1">
      <c r="A620" s="155"/>
      <c r="B620" s="155"/>
      <c r="C620" s="1"/>
      <c r="D620" s="1"/>
      <c r="E620" s="1"/>
      <c r="F620" s="156"/>
      <c r="G620" s="157"/>
      <c r="H620" s="184"/>
      <c r="I620" s="184"/>
      <c r="J620" s="184"/>
      <c r="K620" s="184"/>
      <c r="L620" s="184"/>
      <c r="M620" s="4"/>
      <c r="N620" s="184"/>
      <c r="O620" s="1"/>
      <c r="P620" s="5"/>
      <c r="Q620" s="4"/>
      <c r="R620" s="1"/>
      <c r="S620" s="1"/>
      <c r="T620" s="1"/>
      <c r="U620" s="6"/>
      <c r="V620" s="184"/>
      <c r="W620" s="184"/>
      <c r="X620" s="155"/>
      <c r="Y620" s="155"/>
      <c r="Z620" s="155"/>
      <c r="AA620" s="155"/>
      <c r="AB620" s="155"/>
      <c r="AC620" s="184"/>
      <c r="AD620" s="155"/>
      <c r="AE620" s="155"/>
      <c r="AF620" s="155"/>
      <c r="AG620" s="155"/>
      <c r="AH620" s="155"/>
      <c r="AI620" s="155"/>
      <c r="AJ620" s="155"/>
      <c r="AK620" s="155"/>
      <c r="AL620" s="155"/>
      <c r="AM620" s="155"/>
      <c r="AN620" s="155"/>
      <c r="AO620" s="155"/>
      <c r="AP620" s="155"/>
      <c r="AQ620" s="155"/>
      <c r="AR620" s="155"/>
      <c r="AS620" s="155"/>
      <c r="AT620" s="155"/>
      <c r="AU620" s="155"/>
      <c r="AV620" s="155"/>
      <c r="AW620" s="155"/>
    </row>
    <row r="621" spans="1:49" ht="16.5" customHeight="1">
      <c r="A621" s="155"/>
      <c r="B621" s="155"/>
      <c r="C621" s="1"/>
      <c r="D621" s="1"/>
      <c r="E621" s="1"/>
      <c r="F621" s="156"/>
      <c r="G621" s="157"/>
      <c r="H621" s="184"/>
      <c r="I621" s="184"/>
      <c r="J621" s="184"/>
      <c r="K621" s="184"/>
      <c r="L621" s="184"/>
      <c r="M621" s="4"/>
      <c r="N621" s="184"/>
      <c r="O621" s="1"/>
      <c r="P621" s="5"/>
      <c r="Q621" s="4"/>
      <c r="R621" s="1"/>
      <c r="S621" s="1"/>
      <c r="T621" s="1"/>
      <c r="U621" s="6"/>
      <c r="V621" s="184"/>
      <c r="W621" s="184"/>
      <c r="X621" s="155"/>
      <c r="Y621" s="155"/>
      <c r="Z621" s="155"/>
      <c r="AA621" s="155"/>
      <c r="AB621" s="155"/>
      <c r="AC621" s="184"/>
      <c r="AD621" s="155"/>
      <c r="AE621" s="155"/>
      <c r="AF621" s="155"/>
      <c r="AG621" s="155"/>
      <c r="AH621" s="155"/>
      <c r="AI621" s="155"/>
      <c r="AJ621" s="155"/>
      <c r="AK621" s="155"/>
      <c r="AL621" s="155"/>
      <c r="AM621" s="155"/>
      <c r="AN621" s="155"/>
      <c r="AO621" s="155"/>
      <c r="AP621" s="155"/>
      <c r="AQ621" s="155"/>
      <c r="AR621" s="155"/>
      <c r="AS621" s="155"/>
      <c r="AT621" s="155"/>
      <c r="AU621" s="155"/>
      <c r="AV621" s="155"/>
      <c r="AW621" s="155"/>
    </row>
    <row r="622" spans="1:49" ht="16.5" customHeight="1">
      <c r="A622" s="155"/>
      <c r="B622" s="155"/>
      <c r="C622" s="1"/>
      <c r="D622" s="1"/>
      <c r="E622" s="1"/>
      <c r="F622" s="156"/>
      <c r="G622" s="157"/>
      <c r="H622" s="184"/>
      <c r="I622" s="184"/>
      <c r="J622" s="184"/>
      <c r="K622" s="184"/>
      <c r="L622" s="184"/>
      <c r="M622" s="4"/>
      <c r="N622" s="184"/>
      <c r="O622" s="1"/>
      <c r="P622" s="5"/>
      <c r="Q622" s="4"/>
      <c r="R622" s="1"/>
      <c r="S622" s="1"/>
      <c r="T622" s="1"/>
      <c r="U622" s="6"/>
      <c r="V622" s="184"/>
      <c r="W622" s="184"/>
      <c r="X622" s="155"/>
      <c r="Y622" s="155"/>
      <c r="Z622" s="155"/>
      <c r="AA622" s="155"/>
      <c r="AB622" s="155"/>
      <c r="AC622" s="184"/>
      <c r="AD622" s="155"/>
      <c r="AE622" s="155"/>
      <c r="AF622" s="155"/>
      <c r="AG622" s="155"/>
      <c r="AH622" s="155"/>
      <c r="AI622" s="155"/>
      <c r="AJ622" s="155"/>
      <c r="AK622" s="155"/>
      <c r="AL622" s="155"/>
      <c r="AM622" s="155"/>
      <c r="AN622" s="155"/>
      <c r="AO622" s="155"/>
      <c r="AP622" s="155"/>
      <c r="AQ622" s="155"/>
      <c r="AR622" s="155"/>
      <c r="AS622" s="155"/>
      <c r="AT622" s="155"/>
      <c r="AU622" s="155"/>
      <c r="AV622" s="155"/>
      <c r="AW622" s="155"/>
    </row>
    <row r="623" spans="1:49" ht="16.5" customHeight="1">
      <c r="A623" s="155"/>
      <c r="B623" s="155"/>
      <c r="C623" s="1"/>
      <c r="D623" s="1"/>
      <c r="E623" s="1"/>
      <c r="F623" s="156"/>
      <c r="G623" s="157"/>
      <c r="H623" s="184"/>
      <c r="I623" s="184"/>
      <c r="J623" s="184"/>
      <c r="K623" s="184"/>
      <c r="L623" s="184"/>
      <c r="M623" s="4"/>
      <c r="N623" s="184"/>
      <c r="O623" s="1"/>
      <c r="P623" s="5"/>
      <c r="Q623" s="4"/>
      <c r="R623" s="1"/>
      <c r="S623" s="1"/>
      <c r="T623" s="1"/>
      <c r="U623" s="6"/>
      <c r="V623" s="184"/>
      <c r="W623" s="184"/>
      <c r="X623" s="155"/>
      <c r="Y623" s="155"/>
      <c r="Z623" s="155"/>
      <c r="AA623" s="155"/>
      <c r="AB623" s="155"/>
      <c r="AC623" s="184"/>
      <c r="AD623" s="155"/>
      <c r="AE623" s="155"/>
      <c r="AF623" s="155"/>
      <c r="AG623" s="155"/>
      <c r="AH623" s="155"/>
      <c r="AI623" s="155"/>
      <c r="AJ623" s="155"/>
      <c r="AK623" s="155"/>
      <c r="AL623" s="155"/>
      <c r="AM623" s="155"/>
      <c r="AN623" s="155"/>
      <c r="AO623" s="155"/>
      <c r="AP623" s="155"/>
      <c r="AQ623" s="155"/>
      <c r="AR623" s="155"/>
      <c r="AS623" s="155"/>
      <c r="AT623" s="155"/>
      <c r="AU623" s="155"/>
      <c r="AV623" s="155"/>
      <c r="AW623" s="155"/>
    </row>
    <row r="624" spans="1:49" ht="16.5" customHeight="1">
      <c r="A624" s="155"/>
      <c r="B624" s="155"/>
      <c r="C624" s="1"/>
      <c r="D624" s="1"/>
      <c r="E624" s="1"/>
      <c r="F624" s="156"/>
      <c r="G624" s="157"/>
      <c r="H624" s="184"/>
      <c r="I624" s="184"/>
      <c r="J624" s="184"/>
      <c r="K624" s="184"/>
      <c r="L624" s="184"/>
      <c r="M624" s="4"/>
      <c r="N624" s="184"/>
      <c r="O624" s="1"/>
      <c r="P624" s="5"/>
      <c r="Q624" s="4"/>
      <c r="R624" s="1"/>
      <c r="S624" s="1"/>
      <c r="T624" s="1"/>
      <c r="U624" s="6"/>
      <c r="V624" s="184"/>
      <c r="W624" s="184"/>
      <c r="X624" s="155"/>
      <c r="Y624" s="155"/>
      <c r="Z624" s="155"/>
      <c r="AA624" s="155"/>
      <c r="AB624" s="155"/>
      <c r="AC624" s="184"/>
      <c r="AD624" s="155"/>
      <c r="AE624" s="155"/>
      <c r="AF624" s="155"/>
      <c r="AG624" s="155"/>
      <c r="AH624" s="155"/>
      <c r="AI624" s="155"/>
      <c r="AJ624" s="155"/>
      <c r="AK624" s="155"/>
      <c r="AL624" s="155"/>
      <c r="AM624" s="155"/>
      <c r="AN624" s="155"/>
      <c r="AO624" s="155"/>
      <c r="AP624" s="155"/>
      <c r="AQ624" s="155"/>
      <c r="AR624" s="155"/>
      <c r="AS624" s="155"/>
      <c r="AT624" s="155"/>
      <c r="AU624" s="155"/>
      <c r="AV624" s="155"/>
      <c r="AW624" s="155"/>
    </row>
    <row r="625" spans="1:49" ht="16.5" customHeight="1">
      <c r="A625" s="155"/>
      <c r="B625" s="155"/>
      <c r="C625" s="1"/>
      <c r="D625" s="1"/>
      <c r="E625" s="1"/>
      <c r="F625" s="156"/>
      <c r="G625" s="157"/>
      <c r="H625" s="184"/>
      <c r="I625" s="184"/>
      <c r="J625" s="184"/>
      <c r="K625" s="184"/>
      <c r="L625" s="184"/>
      <c r="M625" s="4"/>
      <c r="N625" s="184"/>
      <c r="O625" s="1"/>
      <c r="P625" s="5"/>
      <c r="Q625" s="4"/>
      <c r="R625" s="1"/>
      <c r="S625" s="1"/>
      <c r="T625" s="1"/>
      <c r="U625" s="6"/>
      <c r="V625" s="184"/>
      <c r="W625" s="184"/>
      <c r="X625" s="155"/>
      <c r="Y625" s="155"/>
      <c r="Z625" s="155"/>
      <c r="AA625" s="155"/>
      <c r="AB625" s="155"/>
      <c r="AC625" s="184"/>
      <c r="AD625" s="155"/>
      <c r="AE625" s="155"/>
      <c r="AF625" s="155"/>
      <c r="AG625" s="155"/>
      <c r="AH625" s="155"/>
      <c r="AI625" s="155"/>
      <c r="AJ625" s="155"/>
      <c r="AK625" s="155"/>
      <c r="AL625" s="155"/>
      <c r="AM625" s="155"/>
      <c r="AN625" s="155"/>
      <c r="AO625" s="155"/>
      <c r="AP625" s="155"/>
      <c r="AQ625" s="155"/>
      <c r="AR625" s="155"/>
      <c r="AS625" s="155"/>
      <c r="AT625" s="155"/>
      <c r="AU625" s="155"/>
      <c r="AV625" s="155"/>
      <c r="AW625" s="155"/>
    </row>
    <row r="626" spans="1:49" ht="16.5" customHeight="1">
      <c r="A626" s="155"/>
      <c r="B626" s="155"/>
      <c r="C626" s="1"/>
      <c r="D626" s="1"/>
      <c r="E626" s="1"/>
      <c r="F626" s="156"/>
      <c r="G626" s="157"/>
      <c r="H626" s="184"/>
      <c r="I626" s="184"/>
      <c r="J626" s="184"/>
      <c r="K626" s="184"/>
      <c r="L626" s="184"/>
      <c r="M626" s="4"/>
      <c r="N626" s="184"/>
      <c r="O626" s="1"/>
      <c r="P626" s="5"/>
      <c r="Q626" s="4"/>
      <c r="R626" s="1"/>
      <c r="S626" s="1"/>
      <c r="T626" s="1"/>
      <c r="U626" s="6"/>
      <c r="V626" s="184"/>
      <c r="W626" s="184"/>
      <c r="X626" s="155"/>
      <c r="Y626" s="155"/>
      <c r="Z626" s="155"/>
      <c r="AA626" s="155"/>
      <c r="AB626" s="155"/>
      <c r="AC626" s="184"/>
      <c r="AD626" s="155"/>
      <c r="AE626" s="155"/>
      <c r="AF626" s="155"/>
      <c r="AG626" s="155"/>
      <c r="AH626" s="155"/>
      <c r="AI626" s="155"/>
      <c r="AJ626" s="155"/>
      <c r="AK626" s="155"/>
      <c r="AL626" s="155"/>
      <c r="AM626" s="155"/>
      <c r="AN626" s="155"/>
      <c r="AO626" s="155"/>
      <c r="AP626" s="155"/>
      <c r="AQ626" s="155"/>
      <c r="AR626" s="155"/>
      <c r="AS626" s="155"/>
      <c r="AT626" s="155"/>
      <c r="AU626" s="155"/>
      <c r="AV626" s="155"/>
      <c r="AW626" s="155"/>
    </row>
    <row r="627" spans="1:49" ht="16.5" customHeight="1">
      <c r="A627" s="155"/>
      <c r="B627" s="155"/>
      <c r="C627" s="1"/>
      <c r="D627" s="1"/>
      <c r="E627" s="1"/>
      <c r="F627" s="156"/>
      <c r="G627" s="157"/>
      <c r="H627" s="184"/>
      <c r="I627" s="184"/>
      <c r="J627" s="184"/>
      <c r="K627" s="184"/>
      <c r="L627" s="184"/>
      <c r="M627" s="4"/>
      <c r="N627" s="184"/>
      <c r="O627" s="1"/>
      <c r="P627" s="5"/>
      <c r="Q627" s="4"/>
      <c r="R627" s="1"/>
      <c r="S627" s="1"/>
      <c r="T627" s="1"/>
      <c r="U627" s="6"/>
      <c r="V627" s="184"/>
      <c r="W627" s="184"/>
      <c r="X627" s="155"/>
      <c r="Y627" s="155"/>
      <c r="Z627" s="155"/>
      <c r="AA627" s="155"/>
      <c r="AB627" s="155"/>
      <c r="AC627" s="184"/>
      <c r="AD627" s="155"/>
      <c r="AE627" s="155"/>
      <c r="AF627" s="155"/>
      <c r="AG627" s="155"/>
      <c r="AH627" s="155"/>
      <c r="AI627" s="155"/>
      <c r="AJ627" s="155"/>
      <c r="AK627" s="155"/>
      <c r="AL627" s="155"/>
      <c r="AM627" s="155"/>
      <c r="AN627" s="155"/>
      <c r="AO627" s="155"/>
      <c r="AP627" s="155"/>
      <c r="AQ627" s="155"/>
      <c r="AR627" s="155"/>
      <c r="AS627" s="155"/>
      <c r="AT627" s="155"/>
      <c r="AU627" s="155"/>
      <c r="AV627" s="155"/>
      <c r="AW627" s="155"/>
    </row>
    <row r="628" spans="1:49" ht="16.5" customHeight="1">
      <c r="A628" s="155"/>
      <c r="B628" s="155"/>
      <c r="C628" s="1"/>
      <c r="D628" s="1"/>
      <c r="E628" s="1"/>
      <c r="F628" s="156"/>
      <c r="G628" s="157"/>
      <c r="H628" s="184"/>
      <c r="I628" s="184"/>
      <c r="J628" s="184"/>
      <c r="K628" s="184"/>
      <c r="L628" s="184"/>
      <c r="M628" s="4"/>
      <c r="N628" s="184"/>
      <c r="O628" s="1"/>
      <c r="P628" s="5"/>
      <c r="Q628" s="4"/>
      <c r="R628" s="1"/>
      <c r="S628" s="1"/>
      <c r="T628" s="1"/>
      <c r="U628" s="6"/>
      <c r="V628" s="184"/>
      <c r="W628" s="184"/>
      <c r="X628" s="155"/>
      <c r="Y628" s="155"/>
      <c r="Z628" s="155"/>
      <c r="AA628" s="155"/>
      <c r="AB628" s="155"/>
      <c r="AC628" s="184"/>
      <c r="AD628" s="155"/>
      <c r="AE628" s="155"/>
      <c r="AF628" s="155"/>
      <c r="AG628" s="155"/>
      <c r="AH628" s="155"/>
      <c r="AI628" s="155"/>
      <c r="AJ628" s="155"/>
      <c r="AK628" s="155"/>
      <c r="AL628" s="155"/>
      <c r="AM628" s="155"/>
      <c r="AN628" s="155"/>
      <c r="AO628" s="155"/>
      <c r="AP628" s="155"/>
      <c r="AQ628" s="155"/>
      <c r="AR628" s="155"/>
      <c r="AS628" s="155"/>
      <c r="AT628" s="155"/>
      <c r="AU628" s="155"/>
      <c r="AV628" s="155"/>
      <c r="AW628" s="155"/>
    </row>
    <row r="629" spans="1:49" ht="16.5" customHeight="1">
      <c r="A629" s="155"/>
      <c r="B629" s="155"/>
      <c r="C629" s="1"/>
      <c r="D629" s="1"/>
      <c r="E629" s="1"/>
      <c r="F629" s="156"/>
      <c r="G629" s="157"/>
      <c r="H629" s="184"/>
      <c r="I629" s="184"/>
      <c r="J629" s="184"/>
      <c r="K629" s="184"/>
      <c r="L629" s="184"/>
      <c r="M629" s="4"/>
      <c r="N629" s="184"/>
      <c r="O629" s="1"/>
      <c r="P629" s="5"/>
      <c r="Q629" s="4"/>
      <c r="R629" s="1"/>
      <c r="S629" s="1"/>
      <c r="T629" s="1"/>
      <c r="U629" s="6"/>
      <c r="V629" s="184"/>
      <c r="W629" s="184"/>
      <c r="X629" s="155"/>
      <c r="Y629" s="155"/>
      <c r="Z629" s="155"/>
      <c r="AA629" s="155"/>
      <c r="AB629" s="155"/>
      <c r="AC629" s="184"/>
      <c r="AD629" s="155"/>
      <c r="AE629" s="155"/>
      <c r="AF629" s="155"/>
      <c r="AG629" s="155"/>
      <c r="AH629" s="155"/>
      <c r="AI629" s="155"/>
      <c r="AJ629" s="155"/>
      <c r="AK629" s="155"/>
      <c r="AL629" s="155"/>
      <c r="AM629" s="155"/>
      <c r="AN629" s="155"/>
      <c r="AO629" s="155"/>
      <c r="AP629" s="155"/>
      <c r="AQ629" s="155"/>
      <c r="AR629" s="155"/>
      <c r="AS629" s="155"/>
      <c r="AT629" s="155"/>
      <c r="AU629" s="155"/>
      <c r="AV629" s="155"/>
      <c r="AW629" s="155"/>
    </row>
    <row r="630" spans="1:49" ht="16.5" customHeight="1">
      <c r="A630" s="155"/>
      <c r="B630" s="155"/>
      <c r="C630" s="1"/>
      <c r="D630" s="1"/>
      <c r="E630" s="1"/>
      <c r="F630" s="156"/>
      <c r="G630" s="157"/>
      <c r="H630" s="184"/>
      <c r="I630" s="184"/>
      <c r="J630" s="184"/>
      <c r="K630" s="184"/>
      <c r="L630" s="184"/>
      <c r="M630" s="4"/>
      <c r="N630" s="184"/>
      <c r="O630" s="1"/>
      <c r="P630" s="5"/>
      <c r="Q630" s="4"/>
      <c r="R630" s="1"/>
      <c r="S630" s="1"/>
      <c r="T630" s="1"/>
      <c r="U630" s="6"/>
      <c r="V630" s="184"/>
      <c r="W630" s="184"/>
      <c r="X630" s="155"/>
      <c r="Y630" s="155"/>
      <c r="Z630" s="155"/>
      <c r="AA630" s="155"/>
      <c r="AB630" s="155"/>
      <c r="AC630" s="184"/>
      <c r="AD630" s="155"/>
      <c r="AE630" s="155"/>
      <c r="AF630" s="155"/>
      <c r="AG630" s="155"/>
      <c r="AH630" s="155"/>
      <c r="AI630" s="155"/>
      <c r="AJ630" s="155"/>
      <c r="AK630" s="155"/>
      <c r="AL630" s="155"/>
      <c r="AM630" s="155"/>
      <c r="AN630" s="155"/>
      <c r="AO630" s="155"/>
      <c r="AP630" s="155"/>
      <c r="AQ630" s="155"/>
      <c r="AR630" s="155"/>
      <c r="AS630" s="155"/>
      <c r="AT630" s="155"/>
      <c r="AU630" s="155"/>
      <c r="AV630" s="155"/>
      <c r="AW630" s="155"/>
    </row>
    <row r="631" spans="1:49" ht="16.5" customHeight="1">
      <c r="A631" s="155"/>
      <c r="B631" s="155"/>
      <c r="C631" s="1"/>
      <c r="D631" s="1"/>
      <c r="E631" s="1"/>
      <c r="F631" s="156"/>
      <c r="G631" s="157"/>
      <c r="H631" s="184"/>
      <c r="I631" s="184"/>
      <c r="J631" s="184"/>
      <c r="K631" s="184"/>
      <c r="L631" s="184"/>
      <c r="M631" s="4"/>
      <c r="N631" s="184"/>
      <c r="O631" s="1"/>
      <c r="P631" s="5"/>
      <c r="Q631" s="4"/>
      <c r="R631" s="1"/>
      <c r="S631" s="1"/>
      <c r="T631" s="1"/>
      <c r="U631" s="6"/>
      <c r="V631" s="184"/>
      <c r="W631" s="184"/>
      <c r="X631" s="155"/>
      <c r="Y631" s="155"/>
      <c r="Z631" s="155"/>
      <c r="AA631" s="155"/>
      <c r="AB631" s="155"/>
      <c r="AC631" s="184"/>
      <c r="AD631" s="155"/>
      <c r="AE631" s="155"/>
      <c r="AF631" s="155"/>
      <c r="AG631" s="155"/>
      <c r="AH631" s="155"/>
      <c r="AI631" s="155"/>
      <c r="AJ631" s="155"/>
      <c r="AK631" s="155"/>
      <c r="AL631" s="155"/>
      <c r="AM631" s="155"/>
      <c r="AN631" s="155"/>
      <c r="AO631" s="155"/>
      <c r="AP631" s="155"/>
      <c r="AQ631" s="155"/>
      <c r="AR631" s="155"/>
      <c r="AS631" s="155"/>
      <c r="AT631" s="155"/>
      <c r="AU631" s="155"/>
      <c r="AV631" s="155"/>
      <c r="AW631" s="155"/>
    </row>
    <row r="632" spans="1:49" ht="16.5" customHeight="1">
      <c r="A632" s="155"/>
      <c r="B632" s="155"/>
      <c r="C632" s="1"/>
      <c r="D632" s="1"/>
      <c r="E632" s="1"/>
      <c r="F632" s="156"/>
      <c r="G632" s="157"/>
      <c r="H632" s="184"/>
      <c r="I632" s="184"/>
      <c r="J632" s="184"/>
      <c r="K632" s="184"/>
      <c r="L632" s="184"/>
      <c r="M632" s="4"/>
      <c r="N632" s="184"/>
      <c r="O632" s="1"/>
      <c r="P632" s="5"/>
      <c r="Q632" s="4"/>
      <c r="R632" s="1"/>
      <c r="S632" s="1"/>
      <c r="T632" s="1"/>
      <c r="U632" s="6"/>
      <c r="V632" s="184"/>
      <c r="W632" s="184"/>
      <c r="X632" s="155"/>
      <c r="Y632" s="155"/>
      <c r="Z632" s="155"/>
      <c r="AA632" s="155"/>
      <c r="AB632" s="155"/>
      <c r="AC632" s="184"/>
      <c r="AD632" s="155"/>
      <c r="AE632" s="155"/>
      <c r="AF632" s="155"/>
      <c r="AG632" s="155"/>
      <c r="AH632" s="155"/>
      <c r="AI632" s="155"/>
      <c r="AJ632" s="155"/>
      <c r="AK632" s="155"/>
      <c r="AL632" s="155"/>
      <c r="AM632" s="155"/>
      <c r="AN632" s="155"/>
      <c r="AO632" s="155"/>
      <c r="AP632" s="155"/>
      <c r="AQ632" s="155"/>
      <c r="AR632" s="155"/>
      <c r="AS632" s="155"/>
      <c r="AT632" s="155"/>
      <c r="AU632" s="155"/>
      <c r="AV632" s="155"/>
      <c r="AW632" s="155"/>
    </row>
    <row r="633" spans="1:49" ht="16.5" customHeight="1">
      <c r="A633" s="155"/>
      <c r="B633" s="155"/>
      <c r="C633" s="1"/>
      <c r="D633" s="1"/>
      <c r="E633" s="1"/>
      <c r="F633" s="156"/>
      <c r="G633" s="157"/>
      <c r="H633" s="184"/>
      <c r="I633" s="184"/>
      <c r="J633" s="184"/>
      <c r="K633" s="184"/>
      <c r="L633" s="184"/>
      <c r="M633" s="4"/>
      <c r="N633" s="184"/>
      <c r="O633" s="1"/>
      <c r="P633" s="5"/>
      <c r="Q633" s="4"/>
      <c r="R633" s="1"/>
      <c r="S633" s="1"/>
      <c r="T633" s="1"/>
      <c r="U633" s="6"/>
      <c r="V633" s="184"/>
      <c r="W633" s="184"/>
      <c r="X633" s="155"/>
      <c r="Y633" s="155"/>
      <c r="Z633" s="155"/>
      <c r="AA633" s="155"/>
      <c r="AB633" s="155"/>
      <c r="AC633" s="184"/>
      <c r="AD633" s="155"/>
      <c r="AE633" s="155"/>
      <c r="AF633" s="155"/>
      <c r="AG633" s="155"/>
      <c r="AH633" s="155"/>
      <c r="AI633" s="155"/>
      <c r="AJ633" s="155"/>
      <c r="AK633" s="155"/>
      <c r="AL633" s="155"/>
      <c r="AM633" s="155"/>
      <c r="AN633" s="155"/>
      <c r="AO633" s="155"/>
      <c r="AP633" s="155"/>
      <c r="AQ633" s="155"/>
      <c r="AR633" s="155"/>
      <c r="AS633" s="155"/>
      <c r="AT633" s="155"/>
      <c r="AU633" s="155"/>
      <c r="AV633" s="155"/>
      <c r="AW633" s="155"/>
    </row>
    <row r="634" spans="1:49" ht="16.5" customHeight="1">
      <c r="A634" s="155"/>
      <c r="B634" s="155"/>
      <c r="C634" s="1"/>
      <c r="D634" s="1"/>
      <c r="E634" s="1"/>
      <c r="F634" s="156"/>
      <c r="G634" s="157"/>
      <c r="H634" s="184"/>
      <c r="I634" s="184"/>
      <c r="J634" s="184"/>
      <c r="K634" s="184"/>
      <c r="L634" s="184"/>
      <c r="M634" s="4"/>
      <c r="N634" s="184"/>
      <c r="O634" s="1"/>
      <c r="P634" s="5"/>
      <c r="Q634" s="4"/>
      <c r="R634" s="1"/>
      <c r="S634" s="1"/>
      <c r="T634" s="1"/>
      <c r="U634" s="6"/>
      <c r="V634" s="184"/>
      <c r="W634" s="184"/>
      <c r="X634" s="155"/>
      <c r="Y634" s="155"/>
      <c r="Z634" s="155"/>
      <c r="AA634" s="155"/>
      <c r="AB634" s="155"/>
      <c r="AC634" s="184"/>
      <c r="AD634" s="155"/>
      <c r="AE634" s="155"/>
      <c r="AF634" s="155"/>
      <c r="AG634" s="155"/>
      <c r="AH634" s="155"/>
      <c r="AI634" s="155"/>
      <c r="AJ634" s="155"/>
      <c r="AK634" s="155"/>
      <c r="AL634" s="155"/>
      <c r="AM634" s="155"/>
      <c r="AN634" s="155"/>
      <c r="AO634" s="155"/>
      <c r="AP634" s="155"/>
      <c r="AQ634" s="155"/>
      <c r="AR634" s="155"/>
      <c r="AS634" s="155"/>
      <c r="AT634" s="155"/>
      <c r="AU634" s="155"/>
      <c r="AV634" s="155"/>
      <c r="AW634" s="155"/>
    </row>
    <row r="635" spans="1:49" ht="16.5" customHeight="1">
      <c r="A635" s="155"/>
      <c r="B635" s="155"/>
      <c r="C635" s="1"/>
      <c r="D635" s="1"/>
      <c r="E635" s="1"/>
      <c r="F635" s="156"/>
      <c r="G635" s="157"/>
      <c r="H635" s="184"/>
      <c r="I635" s="184"/>
      <c r="J635" s="184"/>
      <c r="K635" s="184"/>
      <c r="L635" s="184"/>
      <c r="M635" s="4"/>
      <c r="N635" s="184"/>
      <c r="O635" s="1"/>
      <c r="P635" s="5"/>
      <c r="Q635" s="4"/>
      <c r="R635" s="1"/>
      <c r="S635" s="1"/>
      <c r="T635" s="1"/>
      <c r="U635" s="6"/>
      <c r="V635" s="184"/>
      <c r="W635" s="184"/>
      <c r="X635" s="155"/>
      <c r="Y635" s="155"/>
      <c r="Z635" s="155"/>
      <c r="AA635" s="155"/>
      <c r="AB635" s="155"/>
      <c r="AC635" s="184"/>
      <c r="AD635" s="155"/>
      <c r="AE635" s="155"/>
      <c r="AF635" s="155"/>
      <c r="AG635" s="155"/>
      <c r="AH635" s="155"/>
      <c r="AI635" s="155"/>
      <c r="AJ635" s="155"/>
      <c r="AK635" s="155"/>
      <c r="AL635" s="155"/>
      <c r="AM635" s="155"/>
      <c r="AN635" s="155"/>
      <c r="AO635" s="155"/>
      <c r="AP635" s="155"/>
      <c r="AQ635" s="155"/>
      <c r="AR635" s="155"/>
      <c r="AS635" s="155"/>
      <c r="AT635" s="155"/>
      <c r="AU635" s="155"/>
      <c r="AV635" s="155"/>
      <c r="AW635" s="155"/>
    </row>
    <row r="636" spans="1:49" ht="16.5" customHeight="1">
      <c r="A636" s="155"/>
      <c r="B636" s="155"/>
      <c r="C636" s="1"/>
      <c r="D636" s="1"/>
      <c r="E636" s="1"/>
      <c r="F636" s="156"/>
      <c r="G636" s="157"/>
      <c r="H636" s="184"/>
      <c r="I636" s="184"/>
      <c r="J636" s="184"/>
      <c r="K636" s="184"/>
      <c r="L636" s="184"/>
      <c r="M636" s="4"/>
      <c r="N636" s="184"/>
      <c r="O636" s="1"/>
      <c r="P636" s="5"/>
      <c r="Q636" s="4"/>
      <c r="R636" s="1"/>
      <c r="S636" s="1"/>
      <c r="T636" s="1"/>
      <c r="U636" s="6"/>
      <c r="V636" s="184"/>
      <c r="W636" s="184"/>
      <c r="X636" s="155"/>
      <c r="Y636" s="155"/>
      <c r="Z636" s="155"/>
      <c r="AA636" s="155"/>
      <c r="AB636" s="155"/>
      <c r="AC636" s="184"/>
      <c r="AD636" s="155"/>
      <c r="AE636" s="155"/>
      <c r="AF636" s="155"/>
      <c r="AG636" s="155"/>
      <c r="AH636" s="155"/>
      <c r="AI636" s="155"/>
      <c r="AJ636" s="155"/>
      <c r="AK636" s="155"/>
      <c r="AL636" s="155"/>
      <c r="AM636" s="155"/>
      <c r="AN636" s="155"/>
      <c r="AO636" s="155"/>
      <c r="AP636" s="155"/>
      <c r="AQ636" s="155"/>
      <c r="AR636" s="155"/>
      <c r="AS636" s="155"/>
      <c r="AT636" s="155"/>
      <c r="AU636" s="155"/>
      <c r="AV636" s="155"/>
      <c r="AW636" s="155"/>
    </row>
    <row r="637" spans="1:49" ht="16.5" customHeight="1">
      <c r="A637" s="155"/>
      <c r="B637" s="155"/>
      <c r="C637" s="1"/>
      <c r="D637" s="1"/>
      <c r="E637" s="1"/>
      <c r="F637" s="156"/>
      <c r="G637" s="157"/>
      <c r="H637" s="184"/>
      <c r="I637" s="184"/>
      <c r="J637" s="184"/>
      <c r="K637" s="184"/>
      <c r="L637" s="184"/>
      <c r="M637" s="4"/>
      <c r="N637" s="184"/>
      <c r="O637" s="1"/>
      <c r="P637" s="5"/>
      <c r="Q637" s="4"/>
      <c r="R637" s="1"/>
      <c r="S637" s="1"/>
      <c r="T637" s="1"/>
      <c r="U637" s="6"/>
      <c r="V637" s="184"/>
      <c r="W637" s="184"/>
      <c r="X637" s="155"/>
      <c r="Y637" s="155"/>
      <c r="Z637" s="155"/>
      <c r="AA637" s="155"/>
      <c r="AB637" s="155"/>
      <c r="AC637" s="184"/>
      <c r="AD637" s="155"/>
      <c r="AE637" s="155"/>
      <c r="AF637" s="155"/>
      <c r="AG637" s="155"/>
      <c r="AH637" s="155"/>
      <c r="AI637" s="155"/>
      <c r="AJ637" s="155"/>
      <c r="AK637" s="155"/>
      <c r="AL637" s="155"/>
      <c r="AM637" s="155"/>
      <c r="AN637" s="155"/>
      <c r="AO637" s="155"/>
      <c r="AP637" s="155"/>
      <c r="AQ637" s="155"/>
      <c r="AR637" s="155"/>
      <c r="AS637" s="155"/>
      <c r="AT637" s="155"/>
      <c r="AU637" s="155"/>
      <c r="AV637" s="155"/>
      <c r="AW637" s="155"/>
    </row>
    <row r="638" spans="1:49" ht="16.5" customHeight="1">
      <c r="A638" s="155"/>
      <c r="B638" s="155"/>
      <c r="C638" s="1"/>
      <c r="D638" s="1"/>
      <c r="E638" s="1"/>
      <c r="F638" s="156"/>
      <c r="G638" s="157"/>
      <c r="H638" s="184"/>
      <c r="I638" s="184"/>
      <c r="J638" s="184"/>
      <c r="K638" s="184"/>
      <c r="L638" s="184"/>
      <c r="M638" s="4"/>
      <c r="N638" s="184"/>
      <c r="O638" s="1"/>
      <c r="P638" s="5"/>
      <c r="Q638" s="4"/>
      <c r="R638" s="1"/>
      <c r="S638" s="1"/>
      <c r="T638" s="1"/>
      <c r="U638" s="6"/>
      <c r="V638" s="184"/>
      <c r="W638" s="184"/>
      <c r="X638" s="155"/>
      <c r="Y638" s="155"/>
      <c r="Z638" s="155"/>
      <c r="AA638" s="155"/>
      <c r="AB638" s="155"/>
      <c r="AC638" s="184"/>
      <c r="AD638" s="155"/>
      <c r="AE638" s="155"/>
      <c r="AF638" s="155"/>
      <c r="AG638" s="155"/>
      <c r="AH638" s="155"/>
      <c r="AI638" s="155"/>
      <c r="AJ638" s="155"/>
      <c r="AK638" s="155"/>
      <c r="AL638" s="155"/>
      <c r="AM638" s="155"/>
      <c r="AN638" s="155"/>
      <c r="AO638" s="155"/>
      <c r="AP638" s="155"/>
      <c r="AQ638" s="155"/>
      <c r="AR638" s="155"/>
      <c r="AS638" s="155"/>
      <c r="AT638" s="155"/>
      <c r="AU638" s="155"/>
      <c r="AV638" s="155"/>
      <c r="AW638" s="155"/>
    </row>
    <row r="639" spans="1:49" ht="16.5" customHeight="1">
      <c r="A639" s="155"/>
      <c r="B639" s="155"/>
      <c r="C639" s="1"/>
      <c r="D639" s="1"/>
      <c r="E639" s="1"/>
      <c r="F639" s="156"/>
      <c r="G639" s="157"/>
      <c r="H639" s="184"/>
      <c r="I639" s="184"/>
      <c r="J639" s="184"/>
      <c r="K639" s="184"/>
      <c r="L639" s="184"/>
      <c r="M639" s="4"/>
      <c r="N639" s="184"/>
      <c r="O639" s="1"/>
      <c r="P639" s="5"/>
      <c r="Q639" s="4"/>
      <c r="R639" s="1"/>
      <c r="S639" s="1"/>
      <c r="T639" s="1"/>
      <c r="U639" s="6"/>
      <c r="V639" s="184"/>
      <c r="W639" s="184"/>
      <c r="X639" s="155"/>
      <c r="Y639" s="155"/>
      <c r="Z639" s="155"/>
      <c r="AA639" s="155"/>
      <c r="AB639" s="155"/>
      <c r="AC639" s="184"/>
      <c r="AD639" s="155"/>
      <c r="AE639" s="155"/>
      <c r="AF639" s="155"/>
      <c r="AG639" s="155"/>
      <c r="AH639" s="155"/>
      <c r="AI639" s="155"/>
      <c r="AJ639" s="155"/>
      <c r="AK639" s="155"/>
      <c r="AL639" s="155"/>
      <c r="AM639" s="155"/>
      <c r="AN639" s="155"/>
      <c r="AO639" s="155"/>
      <c r="AP639" s="155"/>
      <c r="AQ639" s="155"/>
      <c r="AR639" s="155"/>
      <c r="AS639" s="155"/>
      <c r="AT639" s="155"/>
      <c r="AU639" s="155"/>
      <c r="AV639" s="155"/>
      <c r="AW639" s="155"/>
    </row>
    <row r="640" spans="1:49" ht="16.5" customHeight="1">
      <c r="A640" s="155"/>
      <c r="B640" s="155"/>
      <c r="C640" s="1"/>
      <c r="D640" s="1"/>
      <c r="E640" s="1"/>
      <c r="F640" s="156"/>
      <c r="G640" s="157"/>
      <c r="H640" s="184"/>
      <c r="I640" s="184"/>
      <c r="J640" s="184"/>
      <c r="K640" s="184"/>
      <c r="L640" s="184"/>
      <c r="M640" s="4"/>
      <c r="N640" s="184"/>
      <c r="O640" s="1"/>
      <c r="P640" s="5"/>
      <c r="Q640" s="4"/>
      <c r="R640" s="1"/>
      <c r="S640" s="1"/>
      <c r="T640" s="1"/>
      <c r="U640" s="6"/>
      <c r="V640" s="184"/>
      <c r="W640" s="184"/>
      <c r="X640" s="155"/>
      <c r="Y640" s="155"/>
      <c r="Z640" s="155"/>
      <c r="AA640" s="155"/>
      <c r="AB640" s="155"/>
      <c r="AC640" s="184"/>
      <c r="AD640" s="155"/>
      <c r="AE640" s="155"/>
      <c r="AF640" s="155"/>
      <c r="AG640" s="155"/>
      <c r="AH640" s="155"/>
      <c r="AI640" s="155"/>
      <c r="AJ640" s="155"/>
      <c r="AK640" s="155"/>
      <c r="AL640" s="155"/>
      <c r="AM640" s="155"/>
      <c r="AN640" s="155"/>
      <c r="AO640" s="155"/>
      <c r="AP640" s="155"/>
      <c r="AQ640" s="155"/>
      <c r="AR640" s="155"/>
      <c r="AS640" s="155"/>
      <c r="AT640" s="155"/>
      <c r="AU640" s="155"/>
      <c r="AV640" s="155"/>
      <c r="AW640" s="155"/>
    </row>
    <row r="641" spans="1:49" ht="16.5" customHeight="1">
      <c r="A641" s="155"/>
      <c r="B641" s="155"/>
      <c r="C641" s="1"/>
      <c r="D641" s="1"/>
      <c r="E641" s="1"/>
      <c r="F641" s="156"/>
      <c r="G641" s="157"/>
      <c r="H641" s="184"/>
      <c r="I641" s="184"/>
      <c r="J641" s="184"/>
      <c r="K641" s="184"/>
      <c r="L641" s="184"/>
      <c r="M641" s="4"/>
      <c r="N641" s="184"/>
      <c r="O641" s="1"/>
      <c r="P641" s="5"/>
      <c r="Q641" s="4"/>
      <c r="R641" s="1"/>
      <c r="S641" s="1"/>
      <c r="T641" s="1"/>
      <c r="U641" s="6"/>
      <c r="V641" s="184"/>
      <c r="W641" s="184"/>
      <c r="X641" s="155"/>
      <c r="Y641" s="155"/>
      <c r="Z641" s="155"/>
      <c r="AA641" s="155"/>
      <c r="AB641" s="155"/>
      <c r="AC641" s="184"/>
      <c r="AD641" s="155"/>
      <c r="AE641" s="155"/>
      <c r="AF641" s="155"/>
      <c r="AG641" s="155"/>
      <c r="AH641" s="155"/>
      <c r="AI641" s="155"/>
      <c r="AJ641" s="155"/>
      <c r="AK641" s="155"/>
      <c r="AL641" s="155"/>
      <c r="AM641" s="155"/>
      <c r="AN641" s="155"/>
      <c r="AO641" s="155"/>
      <c r="AP641" s="155"/>
      <c r="AQ641" s="155"/>
      <c r="AR641" s="155"/>
      <c r="AS641" s="155"/>
      <c r="AT641" s="155"/>
      <c r="AU641" s="155"/>
      <c r="AV641" s="155"/>
      <c r="AW641" s="155"/>
    </row>
    <row r="642" spans="1:49" ht="16.5" customHeight="1">
      <c r="A642" s="155"/>
      <c r="B642" s="155"/>
      <c r="C642" s="1"/>
      <c r="D642" s="1"/>
      <c r="E642" s="1"/>
      <c r="F642" s="156"/>
      <c r="G642" s="157"/>
      <c r="H642" s="184"/>
      <c r="I642" s="184"/>
      <c r="J642" s="184"/>
      <c r="K642" s="184"/>
      <c r="L642" s="184"/>
      <c r="M642" s="4"/>
      <c r="N642" s="184"/>
      <c r="O642" s="1"/>
      <c r="P642" s="5"/>
      <c r="Q642" s="4"/>
      <c r="R642" s="1"/>
      <c r="S642" s="1"/>
      <c r="T642" s="1"/>
      <c r="U642" s="6"/>
      <c r="V642" s="184"/>
      <c r="W642" s="184"/>
      <c r="X642" s="155"/>
      <c r="Y642" s="155"/>
      <c r="Z642" s="155"/>
      <c r="AA642" s="155"/>
      <c r="AB642" s="155"/>
      <c r="AC642" s="184"/>
      <c r="AD642" s="155"/>
      <c r="AE642" s="155"/>
      <c r="AF642" s="155"/>
      <c r="AG642" s="155"/>
      <c r="AH642" s="155"/>
      <c r="AI642" s="155"/>
      <c r="AJ642" s="155"/>
      <c r="AK642" s="155"/>
      <c r="AL642" s="155"/>
      <c r="AM642" s="155"/>
      <c r="AN642" s="155"/>
      <c r="AO642" s="155"/>
      <c r="AP642" s="155"/>
      <c r="AQ642" s="155"/>
      <c r="AR642" s="155"/>
      <c r="AS642" s="155"/>
      <c r="AT642" s="155"/>
      <c r="AU642" s="155"/>
      <c r="AV642" s="155"/>
      <c r="AW642" s="155"/>
    </row>
    <row r="643" spans="1:49" ht="16.5" customHeight="1">
      <c r="A643" s="155"/>
      <c r="B643" s="155"/>
      <c r="C643" s="1"/>
      <c r="D643" s="1"/>
      <c r="E643" s="1"/>
      <c r="F643" s="156"/>
      <c r="G643" s="157"/>
      <c r="H643" s="184"/>
      <c r="I643" s="184"/>
      <c r="J643" s="184"/>
      <c r="K643" s="184"/>
      <c r="L643" s="184"/>
      <c r="M643" s="4"/>
      <c r="N643" s="184"/>
      <c r="O643" s="1"/>
      <c r="P643" s="5"/>
      <c r="Q643" s="4"/>
      <c r="R643" s="1"/>
      <c r="S643" s="1"/>
      <c r="T643" s="1"/>
      <c r="U643" s="6"/>
      <c r="V643" s="184"/>
      <c r="W643" s="184"/>
      <c r="X643" s="155"/>
      <c r="Y643" s="155"/>
      <c r="Z643" s="155"/>
      <c r="AA643" s="155"/>
      <c r="AB643" s="155"/>
      <c r="AC643" s="184"/>
      <c r="AD643" s="155"/>
      <c r="AE643" s="155"/>
      <c r="AF643" s="155"/>
      <c r="AG643" s="155"/>
      <c r="AH643" s="155"/>
      <c r="AI643" s="155"/>
      <c r="AJ643" s="155"/>
      <c r="AK643" s="155"/>
      <c r="AL643" s="155"/>
      <c r="AM643" s="155"/>
      <c r="AN643" s="155"/>
      <c r="AO643" s="155"/>
      <c r="AP643" s="155"/>
      <c r="AQ643" s="155"/>
      <c r="AR643" s="155"/>
      <c r="AS643" s="155"/>
      <c r="AT643" s="155"/>
      <c r="AU643" s="155"/>
      <c r="AV643" s="155"/>
      <c r="AW643" s="155"/>
    </row>
    <row r="644" spans="1:49" ht="16.5" customHeight="1">
      <c r="A644" s="155"/>
      <c r="B644" s="155"/>
      <c r="C644" s="1"/>
      <c r="D644" s="1"/>
      <c r="E644" s="1"/>
      <c r="F644" s="156"/>
      <c r="G644" s="157"/>
      <c r="H644" s="184"/>
      <c r="I644" s="184"/>
      <c r="J644" s="184"/>
      <c r="K644" s="184"/>
      <c r="L644" s="184"/>
      <c r="M644" s="4"/>
      <c r="N644" s="184"/>
      <c r="O644" s="1"/>
      <c r="P644" s="5"/>
      <c r="Q644" s="4"/>
      <c r="R644" s="1"/>
      <c r="S644" s="1"/>
      <c r="T644" s="1"/>
      <c r="U644" s="6"/>
      <c r="V644" s="184"/>
      <c r="W644" s="184"/>
      <c r="X644" s="155"/>
      <c r="Y644" s="155"/>
      <c r="Z644" s="155"/>
      <c r="AA644" s="155"/>
      <c r="AB644" s="155"/>
      <c r="AC644" s="184"/>
      <c r="AD644" s="155"/>
      <c r="AE644" s="155"/>
      <c r="AF644" s="155"/>
      <c r="AG644" s="155"/>
      <c r="AH644" s="155"/>
      <c r="AI644" s="155"/>
      <c r="AJ644" s="155"/>
      <c r="AK644" s="155"/>
      <c r="AL644" s="155"/>
      <c r="AM644" s="155"/>
      <c r="AN644" s="155"/>
      <c r="AO644" s="155"/>
      <c r="AP644" s="155"/>
      <c r="AQ644" s="155"/>
      <c r="AR644" s="155"/>
      <c r="AS644" s="155"/>
      <c r="AT644" s="155"/>
      <c r="AU644" s="155"/>
      <c r="AV644" s="155"/>
      <c r="AW644" s="155"/>
    </row>
    <row r="645" spans="1:49" ht="16.5" customHeight="1">
      <c r="A645" s="155"/>
      <c r="B645" s="155"/>
      <c r="C645" s="1"/>
      <c r="D645" s="1"/>
      <c r="E645" s="1"/>
      <c r="F645" s="156"/>
      <c r="G645" s="157"/>
      <c r="H645" s="184"/>
      <c r="I645" s="184"/>
      <c r="J645" s="184"/>
      <c r="K645" s="184"/>
      <c r="L645" s="184"/>
      <c r="M645" s="4"/>
      <c r="N645" s="184"/>
      <c r="O645" s="1"/>
      <c r="P645" s="5"/>
      <c r="Q645" s="4"/>
      <c r="R645" s="1"/>
      <c r="S645" s="1"/>
      <c r="T645" s="1"/>
      <c r="U645" s="6"/>
      <c r="V645" s="184"/>
      <c r="W645" s="184"/>
      <c r="X645" s="155"/>
      <c r="Y645" s="155"/>
      <c r="Z645" s="155"/>
      <c r="AA645" s="155"/>
      <c r="AB645" s="155"/>
      <c r="AC645" s="184"/>
      <c r="AD645" s="155"/>
      <c r="AE645" s="155"/>
      <c r="AF645" s="155"/>
      <c r="AG645" s="155"/>
      <c r="AH645" s="155"/>
      <c r="AI645" s="155"/>
      <c r="AJ645" s="155"/>
      <c r="AK645" s="155"/>
      <c r="AL645" s="155"/>
      <c r="AM645" s="155"/>
      <c r="AN645" s="155"/>
      <c r="AO645" s="155"/>
      <c r="AP645" s="155"/>
      <c r="AQ645" s="155"/>
      <c r="AR645" s="155"/>
      <c r="AS645" s="155"/>
      <c r="AT645" s="155"/>
      <c r="AU645" s="155"/>
      <c r="AV645" s="155"/>
      <c r="AW645" s="155"/>
    </row>
    <row r="646" spans="1:49" ht="16.5" customHeight="1">
      <c r="A646" s="155"/>
      <c r="B646" s="155"/>
      <c r="C646" s="1"/>
      <c r="D646" s="1"/>
      <c r="E646" s="1"/>
      <c r="F646" s="156"/>
      <c r="G646" s="157"/>
      <c r="H646" s="184"/>
      <c r="I646" s="184"/>
      <c r="J646" s="184"/>
      <c r="K646" s="184"/>
      <c r="L646" s="184"/>
      <c r="M646" s="4"/>
      <c r="N646" s="184"/>
      <c r="O646" s="1"/>
      <c r="P646" s="5"/>
      <c r="Q646" s="4"/>
      <c r="R646" s="1"/>
      <c r="S646" s="1"/>
      <c r="T646" s="1"/>
      <c r="U646" s="6"/>
      <c r="V646" s="184"/>
      <c r="W646" s="184"/>
      <c r="X646" s="155"/>
      <c r="Y646" s="155"/>
      <c r="Z646" s="155"/>
      <c r="AA646" s="155"/>
      <c r="AB646" s="155"/>
      <c r="AC646" s="184"/>
      <c r="AD646" s="155"/>
      <c r="AE646" s="155"/>
      <c r="AF646" s="155"/>
      <c r="AG646" s="155"/>
      <c r="AH646" s="155"/>
      <c r="AI646" s="155"/>
      <c r="AJ646" s="155"/>
      <c r="AK646" s="155"/>
      <c r="AL646" s="155"/>
      <c r="AM646" s="155"/>
      <c r="AN646" s="155"/>
      <c r="AO646" s="155"/>
      <c r="AP646" s="155"/>
      <c r="AQ646" s="155"/>
      <c r="AR646" s="155"/>
      <c r="AS646" s="155"/>
      <c r="AT646" s="155"/>
      <c r="AU646" s="155"/>
      <c r="AV646" s="155"/>
      <c r="AW646" s="155"/>
    </row>
    <row r="647" spans="1:49" ht="16.5" customHeight="1">
      <c r="A647" s="155"/>
      <c r="B647" s="155"/>
      <c r="C647" s="1"/>
      <c r="D647" s="1"/>
      <c r="E647" s="1"/>
      <c r="F647" s="156"/>
      <c r="G647" s="157"/>
      <c r="H647" s="184"/>
      <c r="I647" s="184"/>
      <c r="J647" s="184"/>
      <c r="K647" s="184"/>
      <c r="L647" s="184"/>
      <c r="M647" s="4"/>
      <c r="N647" s="184"/>
      <c r="O647" s="1"/>
      <c r="P647" s="5"/>
      <c r="Q647" s="4"/>
      <c r="R647" s="1"/>
      <c r="S647" s="1"/>
      <c r="T647" s="1"/>
      <c r="U647" s="6"/>
      <c r="V647" s="184"/>
      <c r="W647" s="184"/>
      <c r="X647" s="155"/>
      <c r="Y647" s="155"/>
      <c r="Z647" s="155"/>
      <c r="AA647" s="155"/>
      <c r="AB647" s="155"/>
      <c r="AC647" s="184"/>
      <c r="AD647" s="155"/>
      <c r="AE647" s="155"/>
      <c r="AF647" s="155"/>
      <c r="AG647" s="155"/>
      <c r="AH647" s="155"/>
      <c r="AI647" s="155"/>
      <c r="AJ647" s="155"/>
      <c r="AK647" s="155"/>
      <c r="AL647" s="155"/>
      <c r="AM647" s="155"/>
      <c r="AN647" s="155"/>
      <c r="AO647" s="155"/>
      <c r="AP647" s="155"/>
      <c r="AQ647" s="155"/>
      <c r="AR647" s="155"/>
      <c r="AS647" s="155"/>
      <c r="AT647" s="155"/>
      <c r="AU647" s="155"/>
      <c r="AV647" s="155"/>
      <c r="AW647" s="155"/>
    </row>
    <row r="648" spans="1:49" ht="16.5" customHeight="1">
      <c r="A648" s="155"/>
      <c r="B648" s="155"/>
      <c r="C648" s="1"/>
      <c r="D648" s="1"/>
      <c r="E648" s="1"/>
      <c r="F648" s="156"/>
      <c r="G648" s="157"/>
      <c r="H648" s="184"/>
      <c r="I648" s="184"/>
      <c r="J648" s="184"/>
      <c r="K648" s="184"/>
      <c r="L648" s="184"/>
      <c r="M648" s="4"/>
      <c r="N648" s="184"/>
      <c r="O648" s="1"/>
      <c r="P648" s="5"/>
      <c r="Q648" s="4"/>
      <c r="R648" s="1"/>
      <c r="S648" s="1"/>
      <c r="T648" s="1"/>
      <c r="U648" s="6"/>
      <c r="V648" s="184"/>
      <c r="W648" s="184"/>
      <c r="X648" s="155"/>
      <c r="Y648" s="155"/>
      <c r="Z648" s="155"/>
      <c r="AA648" s="155"/>
      <c r="AB648" s="155"/>
      <c r="AC648" s="184"/>
      <c r="AD648" s="155"/>
      <c r="AE648" s="155"/>
      <c r="AF648" s="155"/>
      <c r="AG648" s="155"/>
      <c r="AH648" s="155"/>
      <c r="AI648" s="155"/>
      <c r="AJ648" s="155"/>
      <c r="AK648" s="155"/>
      <c r="AL648" s="155"/>
      <c r="AM648" s="155"/>
      <c r="AN648" s="155"/>
      <c r="AO648" s="155"/>
      <c r="AP648" s="155"/>
      <c r="AQ648" s="155"/>
      <c r="AR648" s="155"/>
      <c r="AS648" s="155"/>
      <c r="AT648" s="155"/>
      <c r="AU648" s="155"/>
      <c r="AV648" s="155"/>
      <c r="AW648" s="155"/>
    </row>
    <row r="649" spans="1:49" ht="16.5" customHeight="1">
      <c r="A649" s="155"/>
      <c r="B649" s="155"/>
      <c r="C649" s="1"/>
      <c r="D649" s="1"/>
      <c r="E649" s="1"/>
      <c r="F649" s="156"/>
      <c r="G649" s="157"/>
      <c r="H649" s="184"/>
      <c r="I649" s="184"/>
      <c r="J649" s="184"/>
      <c r="K649" s="184"/>
      <c r="L649" s="184"/>
      <c r="M649" s="4"/>
      <c r="N649" s="184"/>
      <c r="O649" s="1"/>
      <c r="P649" s="5"/>
      <c r="Q649" s="4"/>
      <c r="R649" s="1"/>
      <c r="S649" s="1"/>
      <c r="T649" s="1"/>
      <c r="U649" s="6"/>
      <c r="V649" s="184"/>
      <c r="W649" s="184"/>
      <c r="X649" s="155"/>
      <c r="Y649" s="155"/>
      <c r="Z649" s="155"/>
      <c r="AA649" s="155"/>
      <c r="AB649" s="155"/>
      <c r="AC649" s="184"/>
      <c r="AD649" s="155"/>
      <c r="AE649" s="155"/>
      <c r="AF649" s="155"/>
      <c r="AG649" s="155"/>
      <c r="AH649" s="155"/>
      <c r="AI649" s="155"/>
      <c r="AJ649" s="155"/>
      <c r="AK649" s="155"/>
      <c r="AL649" s="155"/>
      <c r="AM649" s="155"/>
      <c r="AN649" s="155"/>
      <c r="AO649" s="155"/>
      <c r="AP649" s="155"/>
      <c r="AQ649" s="155"/>
      <c r="AR649" s="155"/>
      <c r="AS649" s="155"/>
      <c r="AT649" s="155"/>
      <c r="AU649" s="155"/>
      <c r="AV649" s="155"/>
      <c r="AW649" s="155"/>
    </row>
    <row r="650" spans="1:49" ht="16.5" customHeight="1">
      <c r="A650" s="155"/>
      <c r="B650" s="155"/>
      <c r="C650" s="1"/>
      <c r="D650" s="1"/>
      <c r="E650" s="1"/>
      <c r="F650" s="156"/>
      <c r="G650" s="157"/>
      <c r="H650" s="184"/>
      <c r="I650" s="184"/>
      <c r="J650" s="184"/>
      <c r="K650" s="184"/>
      <c r="L650" s="184"/>
      <c r="M650" s="4"/>
      <c r="N650" s="184"/>
      <c r="O650" s="1"/>
      <c r="P650" s="5"/>
      <c r="Q650" s="4"/>
      <c r="R650" s="1"/>
      <c r="S650" s="1"/>
      <c r="T650" s="1"/>
      <c r="U650" s="6"/>
      <c r="V650" s="184"/>
      <c r="W650" s="184"/>
      <c r="X650" s="155"/>
      <c r="Y650" s="155"/>
      <c r="Z650" s="155"/>
      <c r="AA650" s="155"/>
      <c r="AB650" s="155"/>
      <c r="AC650" s="184"/>
      <c r="AD650" s="155"/>
      <c r="AE650" s="155"/>
      <c r="AF650" s="155"/>
      <c r="AG650" s="155"/>
      <c r="AH650" s="155"/>
      <c r="AI650" s="155"/>
      <c r="AJ650" s="155"/>
      <c r="AK650" s="155"/>
      <c r="AL650" s="155"/>
      <c r="AM650" s="155"/>
      <c r="AN650" s="155"/>
      <c r="AO650" s="155"/>
      <c r="AP650" s="155"/>
      <c r="AQ650" s="155"/>
      <c r="AR650" s="155"/>
      <c r="AS650" s="155"/>
      <c r="AT650" s="155"/>
      <c r="AU650" s="155"/>
      <c r="AV650" s="155"/>
      <c r="AW650" s="155"/>
    </row>
    <row r="651" spans="1:49" ht="16.5" customHeight="1">
      <c r="A651" s="155"/>
      <c r="B651" s="155"/>
      <c r="C651" s="1"/>
      <c r="D651" s="1"/>
      <c r="E651" s="1"/>
      <c r="F651" s="156"/>
      <c r="G651" s="157"/>
      <c r="H651" s="184"/>
      <c r="I651" s="184"/>
      <c r="J651" s="184"/>
      <c r="K651" s="184"/>
      <c r="L651" s="184"/>
      <c r="M651" s="4"/>
      <c r="N651" s="184"/>
      <c r="O651" s="1"/>
      <c r="P651" s="5"/>
      <c r="Q651" s="4"/>
      <c r="R651" s="1"/>
      <c r="S651" s="1"/>
      <c r="T651" s="1"/>
      <c r="U651" s="6"/>
      <c r="V651" s="184"/>
      <c r="W651" s="184"/>
      <c r="X651" s="155"/>
      <c r="Y651" s="155"/>
      <c r="Z651" s="155"/>
      <c r="AA651" s="155"/>
      <c r="AB651" s="155"/>
      <c r="AC651" s="184"/>
      <c r="AD651" s="155"/>
      <c r="AE651" s="155"/>
      <c r="AF651" s="155"/>
      <c r="AG651" s="155"/>
      <c r="AH651" s="155"/>
      <c r="AI651" s="155"/>
      <c r="AJ651" s="155"/>
      <c r="AK651" s="155"/>
      <c r="AL651" s="155"/>
      <c r="AM651" s="155"/>
      <c r="AN651" s="155"/>
      <c r="AO651" s="155"/>
      <c r="AP651" s="155"/>
      <c r="AQ651" s="155"/>
      <c r="AR651" s="155"/>
      <c r="AS651" s="155"/>
      <c r="AT651" s="155"/>
      <c r="AU651" s="155"/>
      <c r="AV651" s="155"/>
      <c r="AW651" s="155"/>
    </row>
    <row r="652" spans="1:49" ht="16.5" customHeight="1">
      <c r="A652" s="155"/>
      <c r="B652" s="155"/>
      <c r="C652" s="1"/>
      <c r="D652" s="1"/>
      <c r="E652" s="1"/>
      <c r="F652" s="156"/>
      <c r="G652" s="157"/>
      <c r="H652" s="184"/>
      <c r="I652" s="184"/>
      <c r="J652" s="184"/>
      <c r="K652" s="184"/>
      <c r="L652" s="184"/>
      <c r="M652" s="4"/>
      <c r="N652" s="184"/>
      <c r="O652" s="1"/>
      <c r="P652" s="5"/>
      <c r="Q652" s="4"/>
      <c r="R652" s="1"/>
      <c r="S652" s="1"/>
      <c r="T652" s="1"/>
      <c r="U652" s="6"/>
      <c r="V652" s="184"/>
      <c r="W652" s="184"/>
      <c r="X652" s="155"/>
      <c r="Y652" s="155"/>
      <c r="Z652" s="155"/>
      <c r="AA652" s="155"/>
      <c r="AB652" s="155"/>
      <c r="AC652" s="184"/>
      <c r="AD652" s="155"/>
      <c r="AE652" s="155"/>
      <c r="AF652" s="155"/>
      <c r="AG652" s="155"/>
      <c r="AH652" s="155"/>
      <c r="AI652" s="155"/>
      <c r="AJ652" s="155"/>
      <c r="AK652" s="155"/>
      <c r="AL652" s="155"/>
      <c r="AM652" s="155"/>
      <c r="AN652" s="155"/>
      <c r="AO652" s="155"/>
      <c r="AP652" s="155"/>
      <c r="AQ652" s="155"/>
      <c r="AR652" s="155"/>
      <c r="AS652" s="155"/>
      <c r="AT652" s="155"/>
      <c r="AU652" s="155"/>
      <c r="AV652" s="155"/>
      <c r="AW652" s="155"/>
    </row>
    <row r="653" spans="1:49" ht="16.5" customHeight="1">
      <c r="A653" s="155"/>
      <c r="B653" s="155"/>
      <c r="C653" s="1"/>
      <c r="D653" s="1"/>
      <c r="E653" s="1"/>
      <c r="F653" s="156"/>
      <c r="G653" s="157"/>
      <c r="H653" s="184"/>
      <c r="I653" s="184"/>
      <c r="J653" s="184"/>
      <c r="K653" s="184"/>
      <c r="L653" s="184"/>
      <c r="M653" s="4"/>
      <c r="N653" s="184"/>
      <c r="O653" s="1"/>
      <c r="P653" s="5"/>
      <c r="Q653" s="4"/>
      <c r="R653" s="1"/>
      <c r="S653" s="1"/>
      <c r="T653" s="1"/>
      <c r="U653" s="6"/>
      <c r="V653" s="184"/>
      <c r="W653" s="184"/>
      <c r="X653" s="155"/>
      <c r="Y653" s="155"/>
      <c r="Z653" s="155"/>
      <c r="AA653" s="155"/>
      <c r="AB653" s="155"/>
      <c r="AC653" s="184"/>
      <c r="AD653" s="155"/>
      <c r="AE653" s="155"/>
      <c r="AF653" s="155"/>
      <c r="AG653" s="155"/>
      <c r="AH653" s="155"/>
      <c r="AI653" s="155"/>
      <c r="AJ653" s="155"/>
      <c r="AK653" s="155"/>
      <c r="AL653" s="155"/>
      <c r="AM653" s="155"/>
      <c r="AN653" s="155"/>
      <c r="AO653" s="155"/>
      <c r="AP653" s="155"/>
      <c r="AQ653" s="155"/>
      <c r="AR653" s="155"/>
      <c r="AS653" s="155"/>
      <c r="AT653" s="155"/>
      <c r="AU653" s="155"/>
      <c r="AV653" s="155"/>
      <c r="AW653" s="155"/>
    </row>
    <row r="654" spans="1:49" ht="16.5" customHeight="1">
      <c r="A654" s="155"/>
      <c r="B654" s="155"/>
      <c r="C654" s="1"/>
      <c r="D654" s="1"/>
      <c r="E654" s="1"/>
      <c r="F654" s="156"/>
      <c r="G654" s="157"/>
      <c r="H654" s="184"/>
      <c r="I654" s="184"/>
      <c r="J654" s="184"/>
      <c r="K654" s="184"/>
      <c r="L654" s="184"/>
      <c r="M654" s="4"/>
      <c r="N654" s="184"/>
      <c r="O654" s="1"/>
      <c r="P654" s="5"/>
      <c r="Q654" s="4"/>
      <c r="R654" s="1"/>
      <c r="S654" s="1"/>
      <c r="T654" s="1"/>
      <c r="U654" s="6"/>
      <c r="V654" s="184"/>
      <c r="W654" s="184"/>
      <c r="X654" s="155"/>
      <c r="Y654" s="155"/>
      <c r="Z654" s="155"/>
      <c r="AA654" s="155"/>
      <c r="AB654" s="155"/>
      <c r="AC654" s="184"/>
      <c r="AD654" s="155"/>
      <c r="AE654" s="155"/>
      <c r="AF654" s="155"/>
      <c r="AG654" s="155"/>
      <c r="AH654" s="155"/>
      <c r="AI654" s="155"/>
      <c r="AJ654" s="155"/>
      <c r="AK654" s="155"/>
      <c r="AL654" s="155"/>
      <c r="AM654" s="155"/>
      <c r="AN654" s="155"/>
      <c r="AO654" s="155"/>
      <c r="AP654" s="155"/>
      <c r="AQ654" s="155"/>
      <c r="AR654" s="155"/>
      <c r="AS654" s="155"/>
      <c r="AT654" s="155"/>
      <c r="AU654" s="155"/>
      <c r="AV654" s="155"/>
      <c r="AW654" s="155"/>
    </row>
    <row r="655" spans="1:49" ht="16.5" customHeight="1">
      <c r="A655" s="155"/>
      <c r="B655" s="155"/>
      <c r="C655" s="1"/>
      <c r="D655" s="1"/>
      <c r="E655" s="1"/>
      <c r="F655" s="156"/>
      <c r="G655" s="157"/>
      <c r="H655" s="184"/>
      <c r="I655" s="184"/>
      <c r="J655" s="184"/>
      <c r="K655" s="184"/>
      <c r="L655" s="184"/>
      <c r="M655" s="4"/>
      <c r="N655" s="184"/>
      <c r="O655" s="1"/>
      <c r="P655" s="5"/>
      <c r="Q655" s="4"/>
      <c r="R655" s="1"/>
      <c r="S655" s="1"/>
      <c r="T655" s="1"/>
      <c r="U655" s="6"/>
      <c r="V655" s="184"/>
      <c r="W655" s="184"/>
      <c r="X655" s="155"/>
      <c r="Y655" s="155"/>
      <c r="Z655" s="155"/>
      <c r="AA655" s="155"/>
      <c r="AB655" s="155"/>
      <c r="AC655" s="184"/>
      <c r="AD655" s="155"/>
      <c r="AE655" s="155"/>
      <c r="AF655" s="155"/>
      <c r="AG655" s="155"/>
      <c r="AH655" s="155"/>
      <c r="AI655" s="155"/>
      <c r="AJ655" s="155"/>
      <c r="AK655" s="155"/>
      <c r="AL655" s="155"/>
      <c r="AM655" s="155"/>
      <c r="AN655" s="155"/>
      <c r="AO655" s="155"/>
      <c r="AP655" s="155"/>
      <c r="AQ655" s="155"/>
      <c r="AR655" s="155"/>
      <c r="AS655" s="155"/>
      <c r="AT655" s="155"/>
      <c r="AU655" s="155"/>
      <c r="AV655" s="155"/>
      <c r="AW655" s="155"/>
    </row>
    <row r="656" spans="1:49" ht="16.5" customHeight="1">
      <c r="A656" s="155"/>
      <c r="B656" s="155"/>
      <c r="C656" s="1"/>
      <c r="D656" s="1"/>
      <c r="E656" s="1"/>
      <c r="F656" s="156"/>
      <c r="G656" s="157"/>
      <c r="H656" s="184"/>
      <c r="I656" s="184"/>
      <c r="J656" s="184"/>
      <c r="K656" s="184"/>
      <c r="L656" s="184"/>
      <c r="M656" s="4"/>
      <c r="N656" s="184"/>
      <c r="O656" s="1"/>
      <c r="P656" s="5"/>
      <c r="Q656" s="4"/>
      <c r="R656" s="1"/>
      <c r="S656" s="1"/>
      <c r="T656" s="1"/>
      <c r="U656" s="6"/>
      <c r="V656" s="184"/>
      <c r="W656" s="184"/>
      <c r="X656" s="155"/>
      <c r="Y656" s="155"/>
      <c r="Z656" s="155"/>
      <c r="AA656" s="155"/>
      <c r="AB656" s="155"/>
      <c r="AC656" s="184"/>
      <c r="AD656" s="155"/>
      <c r="AE656" s="155"/>
      <c r="AF656" s="155"/>
      <c r="AG656" s="155"/>
      <c r="AH656" s="155"/>
      <c r="AI656" s="155"/>
      <c r="AJ656" s="155"/>
      <c r="AK656" s="155"/>
      <c r="AL656" s="155"/>
      <c r="AM656" s="155"/>
      <c r="AN656" s="155"/>
      <c r="AO656" s="155"/>
      <c r="AP656" s="155"/>
      <c r="AQ656" s="155"/>
      <c r="AR656" s="155"/>
      <c r="AS656" s="155"/>
      <c r="AT656" s="155"/>
      <c r="AU656" s="155"/>
      <c r="AV656" s="155"/>
      <c r="AW656" s="155"/>
    </row>
    <row r="657" spans="1:49" ht="16.5" customHeight="1">
      <c r="A657" s="155"/>
      <c r="B657" s="155"/>
      <c r="C657" s="1"/>
      <c r="D657" s="1"/>
      <c r="E657" s="1"/>
      <c r="F657" s="156"/>
      <c r="G657" s="157"/>
      <c r="H657" s="184"/>
      <c r="I657" s="184"/>
      <c r="J657" s="184"/>
      <c r="K657" s="184"/>
      <c r="L657" s="184"/>
      <c r="M657" s="4"/>
      <c r="N657" s="184"/>
      <c r="O657" s="1"/>
      <c r="P657" s="5"/>
      <c r="Q657" s="4"/>
      <c r="R657" s="1"/>
      <c r="S657" s="1"/>
      <c r="T657" s="1"/>
      <c r="U657" s="6"/>
      <c r="V657" s="184"/>
      <c r="W657" s="184"/>
      <c r="X657" s="155"/>
      <c r="Y657" s="155"/>
      <c r="Z657" s="155"/>
      <c r="AA657" s="155"/>
      <c r="AB657" s="155"/>
      <c r="AC657" s="184"/>
      <c r="AD657" s="155"/>
      <c r="AE657" s="155"/>
      <c r="AF657" s="155"/>
      <c r="AG657" s="155"/>
      <c r="AH657" s="155"/>
      <c r="AI657" s="155"/>
      <c r="AJ657" s="155"/>
      <c r="AK657" s="155"/>
      <c r="AL657" s="155"/>
      <c r="AM657" s="155"/>
      <c r="AN657" s="155"/>
      <c r="AO657" s="155"/>
      <c r="AP657" s="155"/>
      <c r="AQ657" s="155"/>
      <c r="AR657" s="155"/>
      <c r="AS657" s="155"/>
      <c r="AT657" s="155"/>
      <c r="AU657" s="155"/>
      <c r="AV657" s="155"/>
      <c r="AW657" s="155"/>
    </row>
    <row r="658" spans="1:49" ht="16.5" customHeight="1">
      <c r="A658" s="155"/>
      <c r="B658" s="155"/>
      <c r="C658" s="1"/>
      <c r="D658" s="1"/>
      <c r="E658" s="1"/>
      <c r="F658" s="156"/>
      <c r="G658" s="157"/>
      <c r="H658" s="184"/>
      <c r="I658" s="184"/>
      <c r="J658" s="184"/>
      <c r="K658" s="184"/>
      <c r="L658" s="184"/>
      <c r="M658" s="4"/>
      <c r="N658" s="184"/>
      <c r="O658" s="1"/>
      <c r="P658" s="5"/>
      <c r="Q658" s="4"/>
      <c r="R658" s="1"/>
      <c r="S658" s="1"/>
      <c r="T658" s="1"/>
      <c r="U658" s="6"/>
      <c r="V658" s="184"/>
      <c r="W658" s="184"/>
      <c r="X658" s="155"/>
      <c r="Y658" s="155"/>
      <c r="Z658" s="155"/>
      <c r="AA658" s="155"/>
      <c r="AB658" s="155"/>
      <c r="AC658" s="184"/>
      <c r="AD658" s="155"/>
      <c r="AE658" s="155"/>
      <c r="AF658" s="155"/>
      <c r="AG658" s="155"/>
      <c r="AH658" s="155"/>
      <c r="AI658" s="155"/>
      <c r="AJ658" s="155"/>
      <c r="AK658" s="155"/>
      <c r="AL658" s="155"/>
      <c r="AM658" s="155"/>
      <c r="AN658" s="155"/>
      <c r="AO658" s="155"/>
      <c r="AP658" s="155"/>
      <c r="AQ658" s="155"/>
      <c r="AR658" s="155"/>
      <c r="AS658" s="155"/>
      <c r="AT658" s="155"/>
      <c r="AU658" s="155"/>
      <c r="AV658" s="155"/>
      <c r="AW658" s="155"/>
    </row>
    <row r="659" spans="1:49" ht="16.5" customHeight="1">
      <c r="A659" s="155"/>
      <c r="B659" s="155"/>
      <c r="C659" s="1"/>
      <c r="D659" s="1"/>
      <c r="E659" s="1"/>
      <c r="F659" s="156"/>
      <c r="G659" s="157"/>
      <c r="H659" s="184"/>
      <c r="I659" s="184"/>
      <c r="J659" s="184"/>
      <c r="K659" s="184"/>
      <c r="L659" s="184"/>
      <c r="M659" s="4"/>
      <c r="N659" s="184"/>
      <c r="O659" s="1"/>
      <c r="P659" s="5"/>
      <c r="Q659" s="4"/>
      <c r="R659" s="1"/>
      <c r="S659" s="1"/>
      <c r="T659" s="1"/>
      <c r="U659" s="6"/>
      <c r="V659" s="184"/>
      <c r="W659" s="184"/>
      <c r="X659" s="155"/>
      <c r="Y659" s="155"/>
      <c r="Z659" s="155"/>
      <c r="AA659" s="155"/>
      <c r="AB659" s="155"/>
      <c r="AC659" s="184"/>
      <c r="AD659" s="155"/>
      <c r="AE659" s="155"/>
      <c r="AF659" s="155"/>
      <c r="AG659" s="155"/>
      <c r="AH659" s="155"/>
      <c r="AI659" s="155"/>
      <c r="AJ659" s="155"/>
      <c r="AK659" s="155"/>
      <c r="AL659" s="155"/>
      <c r="AM659" s="155"/>
      <c r="AN659" s="155"/>
      <c r="AO659" s="155"/>
      <c r="AP659" s="155"/>
      <c r="AQ659" s="155"/>
      <c r="AR659" s="155"/>
      <c r="AS659" s="155"/>
      <c r="AT659" s="155"/>
      <c r="AU659" s="155"/>
      <c r="AV659" s="155"/>
      <c r="AW659" s="155"/>
    </row>
    <row r="660" spans="1:49" ht="16.5" customHeight="1">
      <c r="A660" s="155"/>
      <c r="B660" s="155"/>
      <c r="C660" s="1"/>
      <c r="D660" s="1"/>
      <c r="E660" s="1"/>
      <c r="F660" s="156"/>
      <c r="G660" s="157"/>
      <c r="H660" s="184"/>
      <c r="I660" s="184"/>
      <c r="J660" s="184"/>
      <c r="K660" s="184"/>
      <c r="L660" s="184"/>
      <c r="M660" s="4"/>
      <c r="N660" s="184"/>
      <c r="O660" s="1"/>
      <c r="P660" s="5"/>
      <c r="Q660" s="4"/>
      <c r="R660" s="1"/>
      <c r="S660" s="1"/>
      <c r="T660" s="1"/>
      <c r="U660" s="6"/>
      <c r="V660" s="184"/>
      <c r="W660" s="184"/>
      <c r="X660" s="155"/>
      <c r="Y660" s="155"/>
      <c r="Z660" s="155"/>
      <c r="AA660" s="155"/>
      <c r="AB660" s="155"/>
      <c r="AC660" s="184"/>
      <c r="AD660" s="155"/>
      <c r="AE660" s="155"/>
      <c r="AF660" s="155"/>
      <c r="AG660" s="155"/>
      <c r="AH660" s="155"/>
      <c r="AI660" s="155"/>
      <c r="AJ660" s="155"/>
      <c r="AK660" s="155"/>
      <c r="AL660" s="155"/>
      <c r="AM660" s="155"/>
      <c r="AN660" s="155"/>
      <c r="AO660" s="155"/>
      <c r="AP660" s="155"/>
      <c r="AQ660" s="155"/>
      <c r="AR660" s="155"/>
      <c r="AS660" s="155"/>
      <c r="AT660" s="155"/>
      <c r="AU660" s="155"/>
      <c r="AV660" s="155"/>
      <c r="AW660" s="155"/>
    </row>
    <row r="661" spans="1:49" ht="16.5" customHeight="1">
      <c r="A661" s="155"/>
      <c r="B661" s="155"/>
      <c r="C661" s="1"/>
      <c r="D661" s="1"/>
      <c r="E661" s="1"/>
      <c r="F661" s="156"/>
      <c r="G661" s="157"/>
      <c r="H661" s="184"/>
      <c r="I661" s="184"/>
      <c r="J661" s="184"/>
      <c r="K661" s="184"/>
      <c r="L661" s="184"/>
      <c r="M661" s="4"/>
      <c r="N661" s="184"/>
      <c r="O661" s="1"/>
      <c r="P661" s="5"/>
      <c r="Q661" s="4"/>
      <c r="R661" s="1"/>
      <c r="S661" s="1"/>
      <c r="T661" s="1"/>
      <c r="U661" s="6"/>
      <c r="V661" s="184"/>
      <c r="W661" s="184"/>
      <c r="X661" s="155"/>
      <c r="Y661" s="155"/>
      <c r="Z661" s="155"/>
      <c r="AA661" s="155"/>
      <c r="AB661" s="155"/>
      <c r="AC661" s="184"/>
      <c r="AD661" s="155"/>
      <c r="AE661" s="155"/>
      <c r="AF661" s="155"/>
      <c r="AG661" s="155"/>
      <c r="AH661" s="155"/>
      <c r="AI661" s="155"/>
      <c r="AJ661" s="155"/>
      <c r="AK661" s="155"/>
      <c r="AL661" s="155"/>
      <c r="AM661" s="155"/>
      <c r="AN661" s="155"/>
      <c r="AO661" s="155"/>
      <c r="AP661" s="155"/>
      <c r="AQ661" s="155"/>
      <c r="AR661" s="155"/>
      <c r="AS661" s="155"/>
      <c r="AT661" s="155"/>
      <c r="AU661" s="155"/>
      <c r="AV661" s="155"/>
      <c r="AW661" s="155"/>
    </row>
    <row r="662" spans="1:49" ht="16.5" customHeight="1">
      <c r="A662" s="155"/>
      <c r="B662" s="155"/>
      <c r="C662" s="1"/>
      <c r="D662" s="1"/>
      <c r="E662" s="1"/>
      <c r="F662" s="156"/>
      <c r="G662" s="157"/>
      <c r="H662" s="184"/>
      <c r="I662" s="184"/>
      <c r="J662" s="184"/>
      <c r="K662" s="184"/>
      <c r="L662" s="184"/>
      <c r="M662" s="4"/>
      <c r="N662" s="184"/>
      <c r="O662" s="1"/>
      <c r="P662" s="5"/>
      <c r="Q662" s="4"/>
      <c r="R662" s="1"/>
      <c r="S662" s="1"/>
      <c r="T662" s="1"/>
      <c r="U662" s="6"/>
      <c r="V662" s="184"/>
      <c r="W662" s="184"/>
      <c r="X662" s="155"/>
      <c r="Y662" s="155"/>
      <c r="Z662" s="155"/>
      <c r="AA662" s="155"/>
      <c r="AB662" s="155"/>
      <c r="AC662" s="184"/>
      <c r="AD662" s="155"/>
      <c r="AE662" s="155"/>
      <c r="AF662" s="155"/>
      <c r="AG662" s="155"/>
      <c r="AH662" s="155"/>
      <c r="AI662" s="155"/>
      <c r="AJ662" s="155"/>
      <c r="AK662" s="155"/>
      <c r="AL662" s="155"/>
      <c r="AM662" s="155"/>
      <c r="AN662" s="155"/>
      <c r="AO662" s="155"/>
      <c r="AP662" s="155"/>
      <c r="AQ662" s="155"/>
      <c r="AR662" s="155"/>
      <c r="AS662" s="155"/>
      <c r="AT662" s="155"/>
      <c r="AU662" s="155"/>
      <c r="AV662" s="155"/>
      <c r="AW662" s="155"/>
    </row>
    <row r="663" spans="1:49" ht="16.5" customHeight="1">
      <c r="A663" s="155"/>
      <c r="B663" s="155"/>
      <c r="C663" s="1"/>
      <c r="D663" s="1"/>
      <c r="E663" s="1"/>
      <c r="F663" s="156"/>
      <c r="G663" s="157"/>
      <c r="H663" s="184"/>
      <c r="I663" s="184"/>
      <c r="J663" s="184"/>
      <c r="K663" s="184"/>
      <c r="L663" s="184"/>
      <c r="M663" s="4"/>
      <c r="N663" s="184"/>
      <c r="O663" s="1"/>
      <c r="P663" s="5"/>
      <c r="Q663" s="4"/>
      <c r="R663" s="1"/>
      <c r="S663" s="1"/>
      <c r="T663" s="1"/>
      <c r="U663" s="6"/>
      <c r="V663" s="184"/>
      <c r="W663" s="184"/>
      <c r="X663" s="155"/>
      <c r="Y663" s="155"/>
      <c r="Z663" s="155"/>
      <c r="AA663" s="155"/>
      <c r="AB663" s="155"/>
      <c r="AC663" s="184"/>
      <c r="AD663" s="155"/>
      <c r="AE663" s="155"/>
      <c r="AF663" s="155"/>
      <c r="AG663" s="155"/>
      <c r="AH663" s="155"/>
      <c r="AI663" s="155"/>
      <c r="AJ663" s="155"/>
      <c r="AK663" s="155"/>
      <c r="AL663" s="155"/>
      <c r="AM663" s="155"/>
      <c r="AN663" s="155"/>
      <c r="AO663" s="155"/>
      <c r="AP663" s="155"/>
      <c r="AQ663" s="155"/>
      <c r="AR663" s="155"/>
      <c r="AS663" s="155"/>
      <c r="AT663" s="155"/>
      <c r="AU663" s="155"/>
      <c r="AV663" s="155"/>
      <c r="AW663" s="155"/>
    </row>
    <row r="664" spans="1:49" ht="16.5" customHeight="1">
      <c r="A664" s="155"/>
      <c r="B664" s="155"/>
      <c r="C664" s="1"/>
      <c r="D664" s="1"/>
      <c r="E664" s="1"/>
      <c r="F664" s="156"/>
      <c r="G664" s="157"/>
      <c r="H664" s="184"/>
      <c r="I664" s="184"/>
      <c r="J664" s="184"/>
      <c r="K664" s="184"/>
      <c r="L664" s="184"/>
      <c r="M664" s="4"/>
      <c r="N664" s="184"/>
      <c r="O664" s="1"/>
      <c r="P664" s="5"/>
      <c r="Q664" s="4"/>
      <c r="R664" s="1"/>
      <c r="S664" s="1"/>
      <c r="T664" s="1"/>
      <c r="U664" s="6"/>
      <c r="V664" s="184"/>
      <c r="W664" s="184"/>
      <c r="X664" s="155"/>
      <c r="Y664" s="155"/>
      <c r="Z664" s="155"/>
      <c r="AA664" s="155"/>
      <c r="AB664" s="155"/>
      <c r="AC664" s="184"/>
      <c r="AD664" s="155"/>
      <c r="AE664" s="155"/>
      <c r="AF664" s="155"/>
      <c r="AG664" s="155"/>
      <c r="AH664" s="155"/>
      <c r="AI664" s="155"/>
      <c r="AJ664" s="155"/>
      <c r="AK664" s="155"/>
      <c r="AL664" s="155"/>
      <c r="AM664" s="155"/>
      <c r="AN664" s="155"/>
      <c r="AO664" s="155"/>
      <c r="AP664" s="155"/>
      <c r="AQ664" s="155"/>
      <c r="AR664" s="155"/>
      <c r="AS664" s="155"/>
      <c r="AT664" s="155"/>
      <c r="AU664" s="155"/>
      <c r="AV664" s="155"/>
      <c r="AW664" s="155"/>
    </row>
    <row r="665" spans="1:49" ht="16.5" customHeight="1">
      <c r="A665" s="155"/>
      <c r="B665" s="155"/>
      <c r="C665" s="1"/>
      <c r="D665" s="1"/>
      <c r="E665" s="1"/>
      <c r="F665" s="156"/>
      <c r="G665" s="157"/>
      <c r="H665" s="184"/>
      <c r="I665" s="184"/>
      <c r="J665" s="184"/>
      <c r="K665" s="184"/>
      <c r="L665" s="184"/>
      <c r="M665" s="4"/>
      <c r="N665" s="184"/>
      <c r="O665" s="1"/>
      <c r="P665" s="5"/>
      <c r="Q665" s="4"/>
      <c r="R665" s="1"/>
      <c r="S665" s="1"/>
      <c r="T665" s="1"/>
      <c r="U665" s="6"/>
      <c r="V665" s="184"/>
      <c r="W665" s="184"/>
      <c r="X665" s="155"/>
      <c r="Y665" s="155"/>
      <c r="Z665" s="155"/>
      <c r="AA665" s="155"/>
      <c r="AB665" s="155"/>
      <c r="AC665" s="184"/>
      <c r="AD665" s="155"/>
      <c r="AE665" s="155"/>
      <c r="AF665" s="155"/>
      <c r="AG665" s="155"/>
      <c r="AH665" s="155"/>
      <c r="AI665" s="155"/>
      <c r="AJ665" s="155"/>
      <c r="AK665" s="155"/>
      <c r="AL665" s="155"/>
      <c r="AM665" s="155"/>
      <c r="AN665" s="155"/>
      <c r="AO665" s="155"/>
      <c r="AP665" s="155"/>
      <c r="AQ665" s="155"/>
      <c r="AR665" s="155"/>
      <c r="AS665" s="155"/>
      <c r="AT665" s="155"/>
      <c r="AU665" s="155"/>
      <c r="AV665" s="155"/>
      <c r="AW665" s="155"/>
    </row>
    <row r="666" spans="1:49" ht="16.5" customHeight="1">
      <c r="A666" s="155"/>
      <c r="B666" s="155"/>
      <c r="C666" s="1"/>
      <c r="D666" s="1"/>
      <c r="E666" s="1"/>
      <c r="F666" s="156"/>
      <c r="G666" s="157"/>
      <c r="H666" s="184"/>
      <c r="I666" s="184"/>
      <c r="J666" s="184"/>
      <c r="K666" s="184"/>
      <c r="L666" s="184"/>
      <c r="M666" s="4"/>
      <c r="N666" s="184"/>
      <c r="O666" s="1"/>
      <c r="P666" s="5"/>
      <c r="Q666" s="4"/>
      <c r="R666" s="1"/>
      <c r="S666" s="1"/>
      <c r="T666" s="1"/>
      <c r="U666" s="6"/>
      <c r="V666" s="184"/>
      <c r="W666" s="184"/>
      <c r="X666" s="155"/>
      <c r="Y666" s="155"/>
      <c r="Z666" s="155"/>
      <c r="AA666" s="155"/>
      <c r="AB666" s="155"/>
      <c r="AC666" s="184"/>
      <c r="AD666" s="155"/>
      <c r="AE666" s="155"/>
      <c r="AF666" s="155"/>
      <c r="AG666" s="155"/>
      <c r="AH666" s="155"/>
      <c r="AI666" s="155"/>
      <c r="AJ666" s="155"/>
      <c r="AK666" s="155"/>
      <c r="AL666" s="155"/>
      <c r="AM666" s="155"/>
      <c r="AN666" s="155"/>
      <c r="AO666" s="155"/>
      <c r="AP666" s="155"/>
      <c r="AQ666" s="155"/>
      <c r="AR666" s="155"/>
      <c r="AS666" s="155"/>
      <c r="AT666" s="155"/>
      <c r="AU666" s="155"/>
      <c r="AV666" s="155"/>
      <c r="AW666" s="155"/>
    </row>
    <row r="667" spans="1:49" ht="16.5" customHeight="1">
      <c r="A667" s="155"/>
      <c r="B667" s="155"/>
      <c r="C667" s="1"/>
      <c r="D667" s="1"/>
      <c r="E667" s="1"/>
      <c r="F667" s="156"/>
      <c r="G667" s="157"/>
      <c r="H667" s="184"/>
      <c r="I667" s="184"/>
      <c r="J667" s="184"/>
      <c r="K667" s="184"/>
      <c r="L667" s="184"/>
      <c r="M667" s="4"/>
      <c r="N667" s="184"/>
      <c r="O667" s="1"/>
      <c r="P667" s="5"/>
      <c r="Q667" s="4"/>
      <c r="R667" s="1"/>
      <c r="S667" s="1"/>
      <c r="T667" s="1"/>
      <c r="U667" s="6"/>
      <c r="V667" s="184"/>
      <c r="W667" s="184"/>
      <c r="X667" s="155"/>
      <c r="Y667" s="155"/>
      <c r="Z667" s="155"/>
      <c r="AA667" s="155"/>
      <c r="AB667" s="155"/>
      <c r="AC667" s="184"/>
      <c r="AD667" s="155"/>
      <c r="AE667" s="155"/>
      <c r="AF667" s="155"/>
      <c r="AG667" s="155"/>
      <c r="AH667" s="155"/>
      <c r="AI667" s="155"/>
      <c r="AJ667" s="155"/>
      <c r="AK667" s="155"/>
      <c r="AL667" s="155"/>
      <c r="AM667" s="155"/>
      <c r="AN667" s="155"/>
      <c r="AO667" s="155"/>
      <c r="AP667" s="155"/>
      <c r="AQ667" s="155"/>
      <c r="AR667" s="155"/>
      <c r="AS667" s="155"/>
      <c r="AT667" s="155"/>
      <c r="AU667" s="155"/>
      <c r="AV667" s="155"/>
      <c r="AW667" s="155"/>
    </row>
    <row r="668" spans="1:49" ht="16.5" customHeight="1">
      <c r="A668" s="155"/>
      <c r="B668" s="155"/>
      <c r="C668" s="1"/>
      <c r="D668" s="1"/>
      <c r="E668" s="1"/>
      <c r="F668" s="156"/>
      <c r="G668" s="157"/>
      <c r="H668" s="184"/>
      <c r="I668" s="184"/>
      <c r="J668" s="184"/>
      <c r="K668" s="184"/>
      <c r="L668" s="184"/>
      <c r="M668" s="4"/>
      <c r="N668" s="184"/>
      <c r="O668" s="1"/>
      <c r="P668" s="5"/>
      <c r="Q668" s="4"/>
      <c r="R668" s="1"/>
      <c r="S668" s="1"/>
      <c r="T668" s="1"/>
      <c r="U668" s="6"/>
      <c r="V668" s="184"/>
      <c r="W668" s="184"/>
      <c r="X668" s="155"/>
      <c r="Y668" s="155"/>
      <c r="Z668" s="155"/>
      <c r="AA668" s="155"/>
      <c r="AB668" s="155"/>
      <c r="AC668" s="184"/>
      <c r="AD668" s="155"/>
      <c r="AE668" s="155"/>
      <c r="AF668" s="155"/>
      <c r="AG668" s="155"/>
      <c r="AH668" s="155"/>
      <c r="AI668" s="155"/>
      <c r="AJ668" s="155"/>
      <c r="AK668" s="155"/>
      <c r="AL668" s="155"/>
      <c r="AM668" s="155"/>
      <c r="AN668" s="155"/>
      <c r="AO668" s="155"/>
      <c r="AP668" s="155"/>
      <c r="AQ668" s="155"/>
      <c r="AR668" s="155"/>
      <c r="AS668" s="155"/>
      <c r="AT668" s="155"/>
      <c r="AU668" s="155"/>
      <c r="AV668" s="155"/>
      <c r="AW668" s="155"/>
    </row>
    <row r="669" spans="1:49" ht="16.5" customHeight="1">
      <c r="A669" s="155"/>
      <c r="B669" s="155"/>
      <c r="C669" s="1"/>
      <c r="D669" s="1"/>
      <c r="E669" s="1"/>
      <c r="F669" s="156"/>
      <c r="G669" s="157"/>
      <c r="H669" s="184"/>
      <c r="I669" s="184"/>
      <c r="J669" s="184"/>
      <c r="K669" s="184"/>
      <c r="L669" s="184"/>
      <c r="M669" s="4"/>
      <c r="N669" s="184"/>
      <c r="O669" s="1"/>
      <c r="P669" s="5"/>
      <c r="Q669" s="4"/>
      <c r="R669" s="1"/>
      <c r="S669" s="1"/>
      <c r="T669" s="1"/>
      <c r="U669" s="6"/>
      <c r="V669" s="184"/>
      <c r="W669" s="184"/>
      <c r="X669" s="155"/>
      <c r="Y669" s="155"/>
      <c r="Z669" s="155"/>
      <c r="AA669" s="155"/>
      <c r="AB669" s="155"/>
      <c r="AC669" s="184"/>
      <c r="AD669" s="155"/>
      <c r="AE669" s="155"/>
      <c r="AF669" s="155"/>
      <c r="AG669" s="155"/>
      <c r="AH669" s="155"/>
      <c r="AI669" s="155"/>
      <c r="AJ669" s="155"/>
      <c r="AK669" s="155"/>
      <c r="AL669" s="155"/>
      <c r="AM669" s="155"/>
      <c r="AN669" s="155"/>
      <c r="AO669" s="155"/>
      <c r="AP669" s="155"/>
      <c r="AQ669" s="155"/>
      <c r="AR669" s="155"/>
      <c r="AS669" s="155"/>
      <c r="AT669" s="155"/>
      <c r="AU669" s="155"/>
      <c r="AV669" s="155"/>
      <c r="AW669" s="155"/>
    </row>
    <row r="670" spans="1:49" ht="16.5" customHeight="1">
      <c r="A670" s="155"/>
      <c r="B670" s="155"/>
      <c r="C670" s="1"/>
      <c r="D670" s="1"/>
      <c r="E670" s="1"/>
      <c r="F670" s="156"/>
      <c r="G670" s="157"/>
      <c r="H670" s="184"/>
      <c r="I670" s="184"/>
      <c r="J670" s="184"/>
      <c r="K670" s="184"/>
      <c r="L670" s="184"/>
      <c r="M670" s="4"/>
      <c r="N670" s="184"/>
      <c r="O670" s="1"/>
      <c r="P670" s="5"/>
      <c r="Q670" s="4"/>
      <c r="R670" s="1"/>
      <c r="S670" s="1"/>
      <c r="T670" s="1"/>
      <c r="U670" s="6"/>
      <c r="V670" s="184"/>
      <c r="W670" s="184"/>
      <c r="X670" s="155"/>
      <c r="Y670" s="155"/>
      <c r="Z670" s="155"/>
      <c r="AA670" s="155"/>
      <c r="AB670" s="155"/>
      <c r="AC670" s="184"/>
      <c r="AD670" s="155"/>
      <c r="AE670" s="155"/>
      <c r="AF670" s="155"/>
      <c r="AG670" s="155"/>
      <c r="AH670" s="155"/>
      <c r="AI670" s="155"/>
      <c r="AJ670" s="155"/>
      <c r="AK670" s="155"/>
      <c r="AL670" s="155"/>
      <c r="AM670" s="155"/>
      <c r="AN670" s="155"/>
      <c r="AO670" s="155"/>
      <c r="AP670" s="155"/>
      <c r="AQ670" s="155"/>
      <c r="AR670" s="155"/>
      <c r="AS670" s="155"/>
      <c r="AT670" s="155"/>
      <c r="AU670" s="155"/>
      <c r="AV670" s="155"/>
      <c r="AW670" s="155"/>
    </row>
    <row r="671" spans="1:49" ht="16.5" customHeight="1">
      <c r="A671" s="155"/>
      <c r="B671" s="155"/>
      <c r="C671" s="1"/>
      <c r="D671" s="1"/>
      <c r="E671" s="1"/>
      <c r="F671" s="156"/>
      <c r="G671" s="157"/>
      <c r="H671" s="184"/>
      <c r="I671" s="184"/>
      <c r="J671" s="184"/>
      <c r="K671" s="184"/>
      <c r="L671" s="184"/>
      <c r="M671" s="4"/>
      <c r="N671" s="184"/>
      <c r="O671" s="1"/>
      <c r="P671" s="5"/>
      <c r="Q671" s="4"/>
      <c r="R671" s="1"/>
      <c r="S671" s="1"/>
      <c r="T671" s="1"/>
      <c r="U671" s="6"/>
      <c r="V671" s="184"/>
      <c r="W671" s="184"/>
      <c r="X671" s="155"/>
      <c r="Y671" s="155"/>
      <c r="Z671" s="155"/>
      <c r="AA671" s="155"/>
      <c r="AB671" s="155"/>
      <c r="AC671" s="184"/>
      <c r="AD671" s="155"/>
      <c r="AE671" s="155"/>
      <c r="AF671" s="155"/>
      <c r="AG671" s="155"/>
      <c r="AH671" s="155"/>
      <c r="AI671" s="155"/>
      <c r="AJ671" s="155"/>
      <c r="AK671" s="155"/>
      <c r="AL671" s="155"/>
      <c r="AM671" s="155"/>
      <c r="AN671" s="155"/>
      <c r="AO671" s="155"/>
      <c r="AP671" s="155"/>
      <c r="AQ671" s="155"/>
      <c r="AR671" s="155"/>
      <c r="AS671" s="155"/>
      <c r="AT671" s="155"/>
      <c r="AU671" s="155"/>
      <c r="AV671" s="155"/>
      <c r="AW671" s="155"/>
    </row>
    <row r="672" spans="1:49" ht="16.5" customHeight="1">
      <c r="A672" s="155"/>
      <c r="B672" s="155"/>
      <c r="C672" s="1"/>
      <c r="D672" s="1"/>
      <c r="E672" s="1"/>
      <c r="F672" s="156"/>
      <c r="G672" s="157"/>
      <c r="H672" s="184"/>
      <c r="I672" s="184"/>
      <c r="J672" s="184"/>
      <c r="K672" s="184"/>
      <c r="L672" s="184"/>
      <c r="M672" s="4"/>
      <c r="N672" s="184"/>
      <c r="O672" s="1"/>
      <c r="P672" s="5"/>
      <c r="Q672" s="4"/>
      <c r="R672" s="1"/>
      <c r="S672" s="1"/>
      <c r="T672" s="1"/>
      <c r="U672" s="6"/>
      <c r="V672" s="184"/>
      <c r="W672" s="184"/>
      <c r="X672" s="155"/>
      <c r="Y672" s="155"/>
      <c r="Z672" s="155"/>
      <c r="AA672" s="155"/>
      <c r="AB672" s="155"/>
      <c r="AC672" s="184"/>
      <c r="AD672" s="155"/>
      <c r="AE672" s="155"/>
      <c r="AF672" s="155"/>
      <c r="AG672" s="155"/>
      <c r="AH672" s="155"/>
      <c r="AI672" s="155"/>
      <c r="AJ672" s="155"/>
      <c r="AK672" s="155"/>
      <c r="AL672" s="155"/>
      <c r="AM672" s="155"/>
      <c r="AN672" s="155"/>
      <c r="AO672" s="155"/>
      <c r="AP672" s="155"/>
      <c r="AQ672" s="155"/>
      <c r="AR672" s="155"/>
      <c r="AS672" s="155"/>
      <c r="AT672" s="155"/>
      <c r="AU672" s="155"/>
      <c r="AV672" s="155"/>
      <c r="AW672" s="155"/>
    </row>
    <row r="673" spans="1:49" ht="16.5" customHeight="1">
      <c r="A673" s="155"/>
      <c r="B673" s="155"/>
      <c r="C673" s="1"/>
      <c r="D673" s="1"/>
      <c r="E673" s="1"/>
      <c r="F673" s="156"/>
      <c r="G673" s="157"/>
      <c r="H673" s="184"/>
      <c r="I673" s="184"/>
      <c r="J673" s="184"/>
      <c r="K673" s="184"/>
      <c r="L673" s="184"/>
      <c r="M673" s="4"/>
      <c r="N673" s="184"/>
      <c r="O673" s="1"/>
      <c r="P673" s="5"/>
      <c r="Q673" s="4"/>
      <c r="R673" s="1"/>
      <c r="S673" s="1"/>
      <c r="T673" s="1"/>
      <c r="U673" s="6"/>
      <c r="V673" s="184"/>
      <c r="W673" s="184"/>
      <c r="X673" s="155"/>
      <c r="Y673" s="155"/>
      <c r="Z673" s="155"/>
      <c r="AA673" s="155"/>
      <c r="AB673" s="155"/>
      <c r="AC673" s="184"/>
      <c r="AD673" s="155"/>
      <c r="AE673" s="155"/>
      <c r="AF673" s="155"/>
      <c r="AG673" s="155"/>
      <c r="AH673" s="155"/>
      <c r="AI673" s="155"/>
      <c r="AJ673" s="155"/>
      <c r="AK673" s="155"/>
      <c r="AL673" s="155"/>
      <c r="AM673" s="155"/>
      <c r="AN673" s="155"/>
      <c r="AO673" s="155"/>
      <c r="AP673" s="155"/>
      <c r="AQ673" s="155"/>
      <c r="AR673" s="155"/>
      <c r="AS673" s="155"/>
      <c r="AT673" s="155"/>
      <c r="AU673" s="155"/>
      <c r="AV673" s="155"/>
      <c r="AW673" s="155"/>
    </row>
    <row r="674" spans="1:49" ht="16.5" customHeight="1">
      <c r="A674" s="155"/>
      <c r="B674" s="155"/>
      <c r="C674" s="1"/>
      <c r="D674" s="1"/>
      <c r="E674" s="1"/>
      <c r="F674" s="156"/>
      <c r="G674" s="157"/>
      <c r="H674" s="184"/>
      <c r="I674" s="184"/>
      <c r="J674" s="184"/>
      <c r="K674" s="184"/>
      <c r="L674" s="184"/>
      <c r="M674" s="4"/>
      <c r="N674" s="184"/>
      <c r="O674" s="1"/>
      <c r="P674" s="5"/>
      <c r="Q674" s="4"/>
      <c r="R674" s="1"/>
      <c r="S674" s="1"/>
      <c r="T674" s="1"/>
      <c r="U674" s="6"/>
      <c r="V674" s="184"/>
      <c r="W674" s="184"/>
      <c r="X674" s="155"/>
      <c r="Y674" s="155"/>
      <c r="Z674" s="155"/>
      <c r="AA674" s="155"/>
      <c r="AB674" s="155"/>
      <c r="AC674" s="184"/>
      <c r="AD674" s="155"/>
      <c r="AE674" s="155"/>
      <c r="AF674" s="155"/>
      <c r="AG674" s="155"/>
      <c r="AH674" s="155"/>
      <c r="AI674" s="155"/>
      <c r="AJ674" s="155"/>
      <c r="AK674" s="155"/>
      <c r="AL674" s="155"/>
      <c r="AM674" s="155"/>
      <c r="AN674" s="155"/>
      <c r="AO674" s="155"/>
      <c r="AP674" s="155"/>
      <c r="AQ674" s="155"/>
      <c r="AR674" s="155"/>
      <c r="AS674" s="155"/>
      <c r="AT674" s="155"/>
      <c r="AU674" s="155"/>
      <c r="AV674" s="155"/>
      <c r="AW674" s="155"/>
    </row>
    <row r="675" spans="1:49" ht="16.5" customHeight="1">
      <c r="A675" s="155"/>
      <c r="B675" s="155"/>
      <c r="C675" s="1"/>
      <c r="D675" s="1"/>
      <c r="E675" s="1"/>
      <c r="F675" s="156"/>
      <c r="G675" s="157"/>
      <c r="H675" s="184"/>
      <c r="I675" s="184"/>
      <c r="J675" s="184"/>
      <c r="K675" s="184"/>
      <c r="L675" s="184"/>
      <c r="M675" s="4"/>
      <c r="N675" s="184"/>
      <c r="O675" s="1"/>
      <c r="P675" s="5"/>
      <c r="Q675" s="4"/>
      <c r="R675" s="1"/>
      <c r="S675" s="1"/>
      <c r="T675" s="1"/>
      <c r="U675" s="6"/>
      <c r="V675" s="184"/>
      <c r="W675" s="184"/>
      <c r="X675" s="155"/>
      <c r="Y675" s="155"/>
      <c r="Z675" s="155"/>
      <c r="AA675" s="155"/>
      <c r="AB675" s="155"/>
      <c r="AC675" s="184"/>
      <c r="AD675" s="155"/>
      <c r="AE675" s="155"/>
      <c r="AF675" s="155"/>
      <c r="AG675" s="155"/>
      <c r="AH675" s="155"/>
      <c r="AI675" s="155"/>
      <c r="AJ675" s="155"/>
      <c r="AK675" s="155"/>
      <c r="AL675" s="155"/>
      <c r="AM675" s="155"/>
      <c r="AN675" s="155"/>
      <c r="AO675" s="155"/>
      <c r="AP675" s="155"/>
      <c r="AQ675" s="155"/>
      <c r="AR675" s="155"/>
      <c r="AS675" s="155"/>
      <c r="AT675" s="155"/>
      <c r="AU675" s="155"/>
      <c r="AV675" s="155"/>
      <c r="AW675" s="155"/>
    </row>
    <row r="676" spans="1:49" ht="16.5" customHeight="1">
      <c r="A676" s="155"/>
      <c r="B676" s="155"/>
      <c r="C676" s="1"/>
      <c r="D676" s="1"/>
      <c r="E676" s="1"/>
      <c r="F676" s="156"/>
      <c r="G676" s="157"/>
      <c r="H676" s="184"/>
      <c r="I676" s="184"/>
      <c r="J676" s="184"/>
      <c r="K676" s="184"/>
      <c r="L676" s="184"/>
      <c r="M676" s="4"/>
      <c r="N676" s="184"/>
      <c r="O676" s="1"/>
      <c r="P676" s="5"/>
      <c r="Q676" s="4"/>
      <c r="R676" s="1"/>
      <c r="S676" s="1"/>
      <c r="T676" s="1"/>
      <c r="U676" s="6"/>
      <c r="V676" s="184"/>
      <c r="W676" s="184"/>
      <c r="X676" s="155"/>
      <c r="Y676" s="155"/>
      <c r="Z676" s="155"/>
      <c r="AA676" s="155"/>
      <c r="AB676" s="155"/>
      <c r="AC676" s="184"/>
      <c r="AD676" s="155"/>
      <c r="AE676" s="155"/>
      <c r="AF676" s="155"/>
      <c r="AG676" s="155"/>
      <c r="AH676" s="155"/>
      <c r="AI676" s="155"/>
      <c r="AJ676" s="155"/>
      <c r="AK676" s="155"/>
      <c r="AL676" s="155"/>
      <c r="AM676" s="155"/>
      <c r="AN676" s="155"/>
      <c r="AO676" s="155"/>
      <c r="AP676" s="155"/>
      <c r="AQ676" s="155"/>
      <c r="AR676" s="155"/>
      <c r="AS676" s="155"/>
      <c r="AT676" s="155"/>
      <c r="AU676" s="155"/>
      <c r="AV676" s="155"/>
      <c r="AW676" s="155"/>
    </row>
    <row r="677" spans="1:49" ht="16.5" customHeight="1">
      <c r="A677" s="155"/>
      <c r="B677" s="155"/>
      <c r="C677" s="1"/>
      <c r="D677" s="1"/>
      <c r="E677" s="1"/>
      <c r="F677" s="156"/>
      <c r="G677" s="157"/>
      <c r="H677" s="184"/>
      <c r="I677" s="184"/>
      <c r="J677" s="184"/>
      <c r="K677" s="184"/>
      <c r="L677" s="184"/>
      <c r="M677" s="4"/>
      <c r="N677" s="184"/>
      <c r="O677" s="1"/>
      <c r="P677" s="5"/>
      <c r="Q677" s="4"/>
      <c r="R677" s="1"/>
      <c r="S677" s="1"/>
      <c r="T677" s="1"/>
      <c r="U677" s="6"/>
      <c r="V677" s="184"/>
      <c r="W677" s="184"/>
      <c r="X677" s="155"/>
      <c r="Y677" s="155"/>
      <c r="Z677" s="155"/>
      <c r="AA677" s="155"/>
      <c r="AB677" s="155"/>
      <c r="AC677" s="184"/>
      <c r="AD677" s="155"/>
      <c r="AE677" s="155"/>
      <c r="AF677" s="155"/>
      <c r="AG677" s="155"/>
      <c r="AH677" s="155"/>
      <c r="AI677" s="155"/>
      <c r="AJ677" s="155"/>
      <c r="AK677" s="155"/>
      <c r="AL677" s="155"/>
      <c r="AM677" s="155"/>
      <c r="AN677" s="155"/>
      <c r="AO677" s="155"/>
      <c r="AP677" s="155"/>
      <c r="AQ677" s="155"/>
      <c r="AR677" s="155"/>
      <c r="AS677" s="155"/>
      <c r="AT677" s="155"/>
      <c r="AU677" s="155"/>
      <c r="AV677" s="155"/>
      <c r="AW677" s="155"/>
    </row>
    <row r="678" spans="1:49" ht="16.5" customHeight="1">
      <c r="A678" s="155"/>
      <c r="B678" s="155"/>
      <c r="C678" s="1"/>
      <c r="D678" s="1"/>
      <c r="E678" s="1"/>
      <c r="F678" s="156"/>
      <c r="G678" s="157"/>
      <c r="H678" s="184"/>
      <c r="I678" s="184"/>
      <c r="J678" s="184"/>
      <c r="K678" s="184"/>
      <c r="L678" s="184"/>
      <c r="M678" s="4"/>
      <c r="N678" s="184"/>
      <c r="O678" s="1"/>
      <c r="P678" s="5"/>
      <c r="Q678" s="4"/>
      <c r="R678" s="1"/>
      <c r="S678" s="1"/>
      <c r="T678" s="1"/>
      <c r="U678" s="6"/>
      <c r="V678" s="184"/>
      <c r="W678" s="184"/>
      <c r="X678" s="155"/>
      <c r="Y678" s="155"/>
      <c r="Z678" s="155"/>
      <c r="AA678" s="155"/>
      <c r="AB678" s="155"/>
      <c r="AC678" s="184"/>
      <c r="AD678" s="155"/>
      <c r="AE678" s="155"/>
      <c r="AF678" s="155"/>
      <c r="AG678" s="155"/>
      <c r="AH678" s="155"/>
      <c r="AI678" s="155"/>
      <c r="AJ678" s="155"/>
      <c r="AK678" s="155"/>
      <c r="AL678" s="155"/>
      <c r="AM678" s="155"/>
      <c r="AN678" s="155"/>
      <c r="AO678" s="155"/>
      <c r="AP678" s="155"/>
      <c r="AQ678" s="155"/>
      <c r="AR678" s="155"/>
      <c r="AS678" s="155"/>
      <c r="AT678" s="155"/>
      <c r="AU678" s="155"/>
      <c r="AV678" s="155"/>
      <c r="AW678" s="155"/>
    </row>
    <row r="679" spans="1:49" ht="16.5" customHeight="1">
      <c r="A679" s="155"/>
      <c r="B679" s="155"/>
      <c r="C679" s="1"/>
      <c r="D679" s="1"/>
      <c r="E679" s="1"/>
      <c r="F679" s="156"/>
      <c r="G679" s="157"/>
      <c r="H679" s="184"/>
      <c r="I679" s="184"/>
      <c r="J679" s="184"/>
      <c r="K679" s="184"/>
      <c r="L679" s="184"/>
      <c r="M679" s="4"/>
      <c r="N679" s="184"/>
      <c r="O679" s="1"/>
      <c r="P679" s="5"/>
      <c r="Q679" s="4"/>
      <c r="R679" s="1"/>
      <c r="S679" s="1"/>
      <c r="T679" s="1"/>
      <c r="U679" s="6"/>
      <c r="V679" s="184"/>
      <c r="W679" s="184"/>
      <c r="X679" s="155"/>
      <c r="Y679" s="155"/>
      <c r="Z679" s="155"/>
      <c r="AA679" s="155"/>
      <c r="AB679" s="155"/>
      <c r="AC679" s="184"/>
      <c r="AD679" s="155"/>
      <c r="AE679" s="155"/>
      <c r="AF679" s="155"/>
      <c r="AG679" s="155"/>
      <c r="AH679" s="155"/>
      <c r="AI679" s="155"/>
      <c r="AJ679" s="155"/>
      <c r="AK679" s="155"/>
      <c r="AL679" s="155"/>
      <c r="AM679" s="155"/>
      <c r="AN679" s="155"/>
      <c r="AO679" s="155"/>
      <c r="AP679" s="155"/>
      <c r="AQ679" s="155"/>
      <c r="AR679" s="155"/>
      <c r="AS679" s="155"/>
      <c r="AT679" s="155"/>
      <c r="AU679" s="155"/>
      <c r="AV679" s="155"/>
      <c r="AW679" s="155"/>
    </row>
    <row r="680" spans="1:49" ht="16.5" customHeight="1">
      <c r="A680" s="155"/>
      <c r="B680" s="155"/>
      <c r="C680" s="1"/>
      <c r="D680" s="1"/>
      <c r="E680" s="1"/>
      <c r="F680" s="156"/>
      <c r="G680" s="157"/>
      <c r="H680" s="184"/>
      <c r="I680" s="184"/>
      <c r="J680" s="184"/>
      <c r="K680" s="184"/>
      <c r="L680" s="184"/>
      <c r="M680" s="4"/>
      <c r="N680" s="184"/>
      <c r="O680" s="1"/>
      <c r="P680" s="5"/>
      <c r="Q680" s="4"/>
      <c r="R680" s="1"/>
      <c r="S680" s="1"/>
      <c r="T680" s="1"/>
      <c r="U680" s="6"/>
      <c r="V680" s="184"/>
      <c r="W680" s="184"/>
      <c r="X680" s="155"/>
      <c r="Y680" s="155"/>
      <c r="Z680" s="155"/>
      <c r="AA680" s="155"/>
      <c r="AB680" s="155"/>
      <c r="AC680" s="184"/>
      <c r="AD680" s="155"/>
      <c r="AE680" s="155"/>
      <c r="AF680" s="155"/>
      <c r="AG680" s="155"/>
      <c r="AH680" s="155"/>
      <c r="AI680" s="155"/>
      <c r="AJ680" s="155"/>
      <c r="AK680" s="155"/>
      <c r="AL680" s="155"/>
      <c r="AM680" s="155"/>
      <c r="AN680" s="155"/>
      <c r="AO680" s="155"/>
      <c r="AP680" s="155"/>
      <c r="AQ680" s="155"/>
      <c r="AR680" s="155"/>
      <c r="AS680" s="155"/>
      <c r="AT680" s="155"/>
      <c r="AU680" s="155"/>
      <c r="AV680" s="155"/>
      <c r="AW680" s="155"/>
    </row>
    <row r="681" spans="1:49" ht="16.5" customHeight="1">
      <c r="A681" s="155"/>
      <c r="B681" s="155"/>
      <c r="C681" s="1"/>
      <c r="D681" s="1"/>
      <c r="E681" s="1"/>
      <c r="F681" s="156"/>
      <c r="G681" s="157"/>
      <c r="H681" s="184"/>
      <c r="I681" s="184"/>
      <c r="J681" s="184"/>
      <c r="K681" s="184"/>
      <c r="L681" s="184"/>
      <c r="M681" s="4"/>
      <c r="N681" s="184"/>
      <c r="O681" s="1"/>
      <c r="P681" s="5"/>
      <c r="Q681" s="4"/>
      <c r="R681" s="1"/>
      <c r="S681" s="1"/>
      <c r="T681" s="1"/>
      <c r="U681" s="6"/>
      <c r="V681" s="184"/>
      <c r="W681" s="184"/>
      <c r="X681" s="155"/>
      <c r="Y681" s="155"/>
      <c r="Z681" s="155"/>
      <c r="AA681" s="155"/>
      <c r="AB681" s="155"/>
      <c r="AC681" s="184"/>
      <c r="AD681" s="155"/>
      <c r="AE681" s="155"/>
      <c r="AF681" s="155"/>
      <c r="AG681" s="155"/>
      <c r="AH681" s="155"/>
      <c r="AI681" s="155"/>
      <c r="AJ681" s="155"/>
      <c r="AK681" s="155"/>
      <c r="AL681" s="155"/>
      <c r="AM681" s="155"/>
      <c r="AN681" s="155"/>
      <c r="AO681" s="155"/>
      <c r="AP681" s="155"/>
      <c r="AQ681" s="155"/>
      <c r="AR681" s="155"/>
      <c r="AS681" s="155"/>
      <c r="AT681" s="155"/>
      <c r="AU681" s="155"/>
      <c r="AV681" s="155"/>
      <c r="AW681" s="155"/>
    </row>
    <row r="682" spans="1:49" ht="16.5" customHeight="1">
      <c r="A682" s="155"/>
      <c r="B682" s="155"/>
      <c r="C682" s="1"/>
      <c r="D682" s="1"/>
      <c r="E682" s="1"/>
      <c r="F682" s="156"/>
      <c r="G682" s="157"/>
      <c r="H682" s="184"/>
      <c r="I682" s="184"/>
      <c r="J682" s="184"/>
      <c r="K682" s="184"/>
      <c r="L682" s="184"/>
      <c r="M682" s="4"/>
      <c r="N682" s="184"/>
      <c r="O682" s="1"/>
      <c r="P682" s="5"/>
      <c r="Q682" s="4"/>
      <c r="R682" s="1"/>
      <c r="S682" s="1"/>
      <c r="T682" s="1"/>
      <c r="U682" s="6"/>
      <c r="V682" s="184"/>
      <c r="W682" s="184"/>
      <c r="X682" s="155"/>
      <c r="Y682" s="155"/>
      <c r="Z682" s="155"/>
      <c r="AA682" s="155"/>
      <c r="AB682" s="155"/>
      <c r="AC682" s="184"/>
      <c r="AD682" s="155"/>
      <c r="AE682" s="155"/>
      <c r="AF682" s="155"/>
      <c r="AG682" s="155"/>
      <c r="AH682" s="155"/>
      <c r="AI682" s="155"/>
      <c r="AJ682" s="155"/>
      <c r="AK682" s="155"/>
      <c r="AL682" s="155"/>
      <c r="AM682" s="155"/>
      <c r="AN682" s="155"/>
      <c r="AO682" s="155"/>
      <c r="AP682" s="155"/>
      <c r="AQ682" s="155"/>
      <c r="AR682" s="155"/>
      <c r="AS682" s="155"/>
      <c r="AT682" s="155"/>
      <c r="AU682" s="155"/>
      <c r="AV682" s="155"/>
      <c r="AW682" s="155"/>
    </row>
    <row r="683" spans="1:49" ht="16.5" customHeight="1">
      <c r="A683" s="155"/>
      <c r="B683" s="155"/>
      <c r="C683" s="1"/>
      <c r="D683" s="1"/>
      <c r="E683" s="1"/>
      <c r="F683" s="156"/>
      <c r="G683" s="157"/>
      <c r="H683" s="184"/>
      <c r="I683" s="184"/>
      <c r="J683" s="184"/>
      <c r="K683" s="184"/>
      <c r="L683" s="184"/>
      <c r="M683" s="4"/>
      <c r="N683" s="184"/>
      <c r="O683" s="1"/>
      <c r="P683" s="5"/>
      <c r="Q683" s="4"/>
      <c r="R683" s="1"/>
      <c r="S683" s="1"/>
      <c r="T683" s="1"/>
      <c r="U683" s="6"/>
      <c r="V683" s="184"/>
      <c r="W683" s="184"/>
      <c r="X683" s="155"/>
      <c r="Y683" s="155"/>
      <c r="Z683" s="155"/>
      <c r="AA683" s="155"/>
      <c r="AB683" s="155"/>
      <c r="AC683" s="184"/>
      <c r="AD683" s="155"/>
      <c r="AE683" s="155"/>
      <c r="AF683" s="155"/>
      <c r="AG683" s="155"/>
      <c r="AH683" s="155"/>
      <c r="AI683" s="155"/>
      <c r="AJ683" s="155"/>
      <c r="AK683" s="155"/>
      <c r="AL683" s="155"/>
      <c r="AM683" s="155"/>
      <c r="AN683" s="155"/>
      <c r="AO683" s="155"/>
      <c r="AP683" s="155"/>
      <c r="AQ683" s="155"/>
      <c r="AR683" s="155"/>
      <c r="AS683" s="155"/>
      <c r="AT683" s="155"/>
      <c r="AU683" s="155"/>
      <c r="AV683" s="155"/>
      <c r="AW683" s="155"/>
    </row>
    <row r="684" spans="1:49" ht="16.5" customHeight="1">
      <c r="A684" s="155"/>
      <c r="B684" s="155"/>
      <c r="C684" s="1"/>
      <c r="D684" s="1"/>
      <c r="E684" s="1"/>
      <c r="F684" s="156"/>
      <c r="G684" s="157"/>
      <c r="H684" s="184"/>
      <c r="I684" s="184"/>
      <c r="J684" s="184"/>
      <c r="K684" s="184"/>
      <c r="L684" s="184"/>
      <c r="M684" s="4"/>
      <c r="N684" s="184"/>
      <c r="O684" s="1"/>
      <c r="P684" s="5"/>
      <c r="Q684" s="4"/>
      <c r="R684" s="1"/>
      <c r="S684" s="1"/>
      <c r="T684" s="1"/>
      <c r="U684" s="6"/>
      <c r="V684" s="184"/>
      <c r="W684" s="184"/>
      <c r="X684" s="155"/>
      <c r="Y684" s="155"/>
      <c r="Z684" s="155"/>
      <c r="AA684" s="155"/>
      <c r="AB684" s="155"/>
      <c r="AC684" s="184"/>
      <c r="AD684" s="155"/>
      <c r="AE684" s="155"/>
      <c r="AF684" s="155"/>
      <c r="AG684" s="155"/>
      <c r="AH684" s="155"/>
      <c r="AI684" s="155"/>
      <c r="AJ684" s="155"/>
      <c r="AK684" s="155"/>
      <c r="AL684" s="155"/>
      <c r="AM684" s="155"/>
      <c r="AN684" s="155"/>
      <c r="AO684" s="155"/>
      <c r="AP684" s="155"/>
      <c r="AQ684" s="155"/>
      <c r="AR684" s="155"/>
      <c r="AS684" s="155"/>
      <c r="AT684" s="155"/>
      <c r="AU684" s="155"/>
      <c r="AV684" s="155"/>
      <c r="AW684" s="155"/>
    </row>
    <row r="685" spans="1:49" ht="16.5" customHeight="1">
      <c r="A685" s="155"/>
      <c r="B685" s="155"/>
      <c r="C685" s="1"/>
      <c r="D685" s="1"/>
      <c r="E685" s="1"/>
      <c r="F685" s="156"/>
      <c r="G685" s="157"/>
      <c r="H685" s="184"/>
      <c r="I685" s="184"/>
      <c r="J685" s="184"/>
      <c r="K685" s="184"/>
      <c r="L685" s="184"/>
      <c r="M685" s="4"/>
      <c r="N685" s="184"/>
      <c r="O685" s="1"/>
      <c r="P685" s="5"/>
      <c r="Q685" s="4"/>
      <c r="R685" s="1"/>
      <c r="S685" s="1"/>
      <c r="T685" s="1"/>
      <c r="U685" s="6"/>
      <c r="V685" s="184"/>
      <c r="W685" s="184"/>
      <c r="X685" s="155"/>
      <c r="Y685" s="155"/>
      <c r="Z685" s="155"/>
      <c r="AA685" s="155"/>
      <c r="AB685" s="155"/>
      <c r="AC685" s="184"/>
      <c r="AD685" s="155"/>
      <c r="AE685" s="155"/>
      <c r="AF685" s="155"/>
      <c r="AG685" s="155"/>
      <c r="AH685" s="155"/>
      <c r="AI685" s="155"/>
      <c r="AJ685" s="155"/>
      <c r="AK685" s="155"/>
      <c r="AL685" s="155"/>
      <c r="AM685" s="155"/>
      <c r="AN685" s="155"/>
      <c r="AO685" s="155"/>
      <c r="AP685" s="155"/>
      <c r="AQ685" s="155"/>
      <c r="AR685" s="155"/>
      <c r="AS685" s="155"/>
      <c r="AT685" s="155"/>
      <c r="AU685" s="155"/>
      <c r="AV685" s="155"/>
      <c r="AW685" s="155"/>
    </row>
    <row r="686" spans="1:49" ht="16.5" customHeight="1">
      <c r="A686" s="155"/>
      <c r="B686" s="155"/>
      <c r="C686" s="1"/>
      <c r="D686" s="1"/>
      <c r="E686" s="1"/>
      <c r="F686" s="156"/>
      <c r="G686" s="157"/>
      <c r="H686" s="184"/>
      <c r="I686" s="184"/>
      <c r="J686" s="184"/>
      <c r="K686" s="184"/>
      <c r="L686" s="184"/>
      <c r="M686" s="4"/>
      <c r="N686" s="184"/>
      <c r="O686" s="1"/>
      <c r="P686" s="5"/>
      <c r="Q686" s="4"/>
      <c r="R686" s="1"/>
      <c r="S686" s="1"/>
      <c r="T686" s="1"/>
      <c r="U686" s="6"/>
      <c r="V686" s="184"/>
      <c r="W686" s="184"/>
      <c r="X686" s="155"/>
      <c r="Y686" s="155"/>
      <c r="Z686" s="155"/>
      <c r="AA686" s="155"/>
      <c r="AB686" s="155"/>
      <c r="AC686" s="184"/>
      <c r="AD686" s="155"/>
      <c r="AE686" s="155"/>
      <c r="AF686" s="155"/>
      <c r="AG686" s="155"/>
      <c r="AH686" s="155"/>
      <c r="AI686" s="155"/>
      <c r="AJ686" s="155"/>
      <c r="AK686" s="155"/>
      <c r="AL686" s="155"/>
      <c r="AM686" s="155"/>
      <c r="AN686" s="155"/>
      <c r="AO686" s="155"/>
      <c r="AP686" s="155"/>
      <c r="AQ686" s="155"/>
      <c r="AR686" s="155"/>
      <c r="AS686" s="155"/>
      <c r="AT686" s="155"/>
      <c r="AU686" s="155"/>
      <c r="AV686" s="155"/>
      <c r="AW686" s="155"/>
    </row>
    <row r="687" spans="1:49" ht="16.5" customHeight="1">
      <c r="A687" s="155"/>
      <c r="B687" s="155"/>
      <c r="C687" s="1"/>
      <c r="D687" s="1"/>
      <c r="E687" s="1"/>
      <c r="F687" s="156"/>
      <c r="G687" s="157"/>
      <c r="H687" s="184"/>
      <c r="I687" s="184"/>
      <c r="J687" s="184"/>
      <c r="K687" s="184"/>
      <c r="L687" s="184"/>
      <c r="M687" s="4"/>
      <c r="N687" s="184"/>
      <c r="O687" s="1"/>
      <c r="P687" s="5"/>
      <c r="Q687" s="4"/>
      <c r="R687" s="1"/>
      <c r="S687" s="1"/>
      <c r="T687" s="1"/>
      <c r="U687" s="6"/>
      <c r="V687" s="184"/>
      <c r="W687" s="184"/>
      <c r="X687" s="155"/>
      <c r="Y687" s="155"/>
      <c r="Z687" s="155"/>
      <c r="AA687" s="155"/>
      <c r="AB687" s="155"/>
      <c r="AC687" s="184"/>
      <c r="AD687" s="155"/>
      <c r="AE687" s="155"/>
      <c r="AF687" s="155"/>
      <c r="AG687" s="155"/>
      <c r="AH687" s="155"/>
      <c r="AI687" s="155"/>
      <c r="AJ687" s="155"/>
      <c r="AK687" s="155"/>
      <c r="AL687" s="155"/>
      <c r="AM687" s="155"/>
      <c r="AN687" s="155"/>
      <c r="AO687" s="155"/>
      <c r="AP687" s="155"/>
      <c r="AQ687" s="155"/>
      <c r="AR687" s="155"/>
      <c r="AS687" s="155"/>
      <c r="AT687" s="155"/>
      <c r="AU687" s="155"/>
      <c r="AV687" s="155"/>
      <c r="AW687" s="155"/>
    </row>
    <row r="688" spans="1:49" ht="16.5" customHeight="1">
      <c r="A688" s="155"/>
      <c r="B688" s="155"/>
      <c r="C688" s="1"/>
      <c r="D688" s="1"/>
      <c r="E688" s="1"/>
      <c r="F688" s="156"/>
      <c r="G688" s="157"/>
      <c r="H688" s="184"/>
      <c r="I688" s="184"/>
      <c r="J688" s="184"/>
      <c r="K688" s="184"/>
      <c r="L688" s="184"/>
      <c r="M688" s="4"/>
      <c r="N688" s="184"/>
      <c r="O688" s="1"/>
      <c r="P688" s="5"/>
      <c r="Q688" s="4"/>
      <c r="R688" s="1"/>
      <c r="S688" s="1"/>
      <c r="T688" s="1"/>
      <c r="U688" s="6"/>
      <c r="V688" s="184"/>
      <c r="W688" s="184"/>
      <c r="X688" s="155"/>
      <c r="Y688" s="155"/>
      <c r="Z688" s="155"/>
      <c r="AA688" s="155"/>
      <c r="AB688" s="155"/>
      <c r="AC688" s="184"/>
      <c r="AD688" s="155"/>
      <c r="AE688" s="155"/>
      <c r="AF688" s="155"/>
      <c r="AG688" s="155"/>
      <c r="AH688" s="155"/>
      <c r="AI688" s="155"/>
      <c r="AJ688" s="155"/>
      <c r="AK688" s="155"/>
      <c r="AL688" s="155"/>
      <c r="AM688" s="155"/>
      <c r="AN688" s="155"/>
      <c r="AO688" s="155"/>
      <c r="AP688" s="155"/>
      <c r="AQ688" s="155"/>
      <c r="AR688" s="155"/>
      <c r="AS688" s="155"/>
      <c r="AT688" s="155"/>
      <c r="AU688" s="155"/>
      <c r="AV688" s="155"/>
      <c r="AW688" s="155"/>
    </row>
    <row r="689" spans="1:49" ht="16.5" customHeight="1">
      <c r="A689" s="155"/>
      <c r="B689" s="155"/>
      <c r="C689" s="1"/>
      <c r="D689" s="1"/>
      <c r="E689" s="1"/>
      <c r="F689" s="156"/>
      <c r="G689" s="157"/>
      <c r="H689" s="184"/>
      <c r="I689" s="184"/>
      <c r="J689" s="184"/>
      <c r="K689" s="184"/>
      <c r="L689" s="184"/>
      <c r="M689" s="4"/>
      <c r="N689" s="184"/>
      <c r="O689" s="1"/>
      <c r="P689" s="5"/>
      <c r="Q689" s="4"/>
      <c r="R689" s="1"/>
      <c r="S689" s="1"/>
      <c r="T689" s="1"/>
      <c r="U689" s="6"/>
      <c r="V689" s="184"/>
      <c r="W689" s="184"/>
      <c r="X689" s="155"/>
      <c r="Y689" s="155"/>
      <c r="Z689" s="155"/>
      <c r="AA689" s="155"/>
      <c r="AB689" s="155"/>
      <c r="AC689" s="184"/>
      <c r="AD689" s="155"/>
      <c r="AE689" s="155"/>
      <c r="AF689" s="155"/>
      <c r="AG689" s="155"/>
      <c r="AH689" s="155"/>
      <c r="AI689" s="155"/>
      <c r="AJ689" s="155"/>
      <c r="AK689" s="155"/>
      <c r="AL689" s="155"/>
      <c r="AM689" s="155"/>
      <c r="AN689" s="155"/>
      <c r="AO689" s="155"/>
      <c r="AP689" s="155"/>
      <c r="AQ689" s="155"/>
      <c r="AR689" s="155"/>
      <c r="AS689" s="155"/>
      <c r="AT689" s="155"/>
      <c r="AU689" s="155"/>
      <c r="AV689" s="155"/>
      <c r="AW689" s="155"/>
    </row>
    <row r="690" spans="1:49" ht="16.5" customHeight="1">
      <c r="A690" s="155"/>
      <c r="B690" s="155"/>
      <c r="C690" s="1"/>
      <c r="D690" s="1"/>
      <c r="E690" s="1"/>
      <c r="F690" s="156"/>
      <c r="G690" s="157"/>
      <c r="H690" s="184"/>
      <c r="I690" s="184"/>
      <c r="J690" s="184"/>
      <c r="K690" s="184"/>
      <c r="L690" s="184"/>
      <c r="M690" s="4"/>
      <c r="N690" s="184"/>
      <c r="O690" s="1"/>
      <c r="P690" s="5"/>
      <c r="Q690" s="4"/>
      <c r="R690" s="1"/>
      <c r="S690" s="1"/>
      <c r="T690" s="1"/>
      <c r="U690" s="6"/>
      <c r="V690" s="184"/>
      <c r="W690" s="184"/>
      <c r="X690" s="155"/>
      <c r="Y690" s="155"/>
      <c r="Z690" s="155"/>
      <c r="AA690" s="155"/>
      <c r="AB690" s="155"/>
      <c r="AC690" s="184"/>
      <c r="AD690" s="155"/>
      <c r="AE690" s="155"/>
      <c r="AF690" s="155"/>
      <c r="AG690" s="155"/>
      <c r="AH690" s="155"/>
      <c r="AI690" s="155"/>
      <c r="AJ690" s="155"/>
      <c r="AK690" s="155"/>
      <c r="AL690" s="155"/>
      <c r="AM690" s="155"/>
      <c r="AN690" s="155"/>
      <c r="AO690" s="155"/>
      <c r="AP690" s="155"/>
      <c r="AQ690" s="155"/>
      <c r="AR690" s="155"/>
      <c r="AS690" s="155"/>
      <c r="AT690" s="155"/>
      <c r="AU690" s="155"/>
      <c r="AV690" s="155"/>
      <c r="AW690" s="155"/>
    </row>
    <row r="691" spans="1:49" ht="16.5" customHeight="1">
      <c r="A691" s="155"/>
      <c r="B691" s="155"/>
      <c r="C691" s="1"/>
      <c r="D691" s="1"/>
      <c r="E691" s="1"/>
      <c r="F691" s="156"/>
      <c r="G691" s="157"/>
      <c r="H691" s="184"/>
      <c r="I691" s="184"/>
      <c r="J691" s="184"/>
      <c r="K691" s="184"/>
      <c r="L691" s="184"/>
      <c r="M691" s="4"/>
      <c r="N691" s="184"/>
      <c r="O691" s="1"/>
      <c r="P691" s="5"/>
      <c r="Q691" s="4"/>
      <c r="R691" s="1"/>
      <c r="S691" s="1"/>
      <c r="T691" s="1"/>
      <c r="U691" s="6"/>
      <c r="V691" s="184"/>
      <c r="W691" s="184"/>
      <c r="X691" s="155"/>
      <c r="Y691" s="155"/>
      <c r="Z691" s="155"/>
      <c r="AA691" s="155"/>
      <c r="AB691" s="155"/>
      <c r="AC691" s="184"/>
      <c r="AD691" s="155"/>
      <c r="AE691" s="155"/>
      <c r="AF691" s="155"/>
      <c r="AG691" s="155"/>
      <c r="AH691" s="155"/>
      <c r="AI691" s="155"/>
      <c r="AJ691" s="155"/>
      <c r="AK691" s="155"/>
      <c r="AL691" s="155"/>
      <c r="AM691" s="155"/>
      <c r="AN691" s="155"/>
      <c r="AO691" s="155"/>
      <c r="AP691" s="155"/>
      <c r="AQ691" s="155"/>
      <c r="AR691" s="155"/>
      <c r="AS691" s="155"/>
      <c r="AT691" s="155"/>
      <c r="AU691" s="155"/>
      <c r="AV691" s="155"/>
      <c r="AW691" s="155"/>
    </row>
    <row r="692" spans="1:49" ht="16.5" customHeight="1">
      <c r="A692" s="155"/>
      <c r="B692" s="155"/>
      <c r="C692" s="1"/>
      <c r="D692" s="1"/>
      <c r="E692" s="1"/>
      <c r="F692" s="156"/>
      <c r="G692" s="157"/>
      <c r="H692" s="184"/>
      <c r="I692" s="184"/>
      <c r="J692" s="184"/>
      <c r="K692" s="184"/>
      <c r="L692" s="184"/>
      <c r="M692" s="4"/>
      <c r="N692" s="184"/>
      <c r="O692" s="1"/>
      <c r="P692" s="5"/>
      <c r="Q692" s="4"/>
      <c r="R692" s="1"/>
      <c r="S692" s="1"/>
      <c r="T692" s="1"/>
      <c r="U692" s="6"/>
      <c r="V692" s="184"/>
      <c r="W692" s="184"/>
      <c r="X692" s="155"/>
      <c r="Y692" s="155"/>
      <c r="Z692" s="155"/>
      <c r="AA692" s="155"/>
      <c r="AB692" s="155"/>
      <c r="AC692" s="184"/>
      <c r="AD692" s="155"/>
      <c r="AE692" s="155"/>
      <c r="AF692" s="155"/>
      <c r="AG692" s="155"/>
      <c r="AH692" s="155"/>
      <c r="AI692" s="155"/>
      <c r="AJ692" s="155"/>
      <c r="AK692" s="155"/>
      <c r="AL692" s="155"/>
      <c r="AM692" s="155"/>
      <c r="AN692" s="155"/>
      <c r="AO692" s="155"/>
      <c r="AP692" s="155"/>
      <c r="AQ692" s="155"/>
      <c r="AR692" s="155"/>
      <c r="AS692" s="155"/>
      <c r="AT692" s="155"/>
      <c r="AU692" s="155"/>
      <c r="AV692" s="155"/>
      <c r="AW692" s="155"/>
    </row>
    <row r="693" spans="1:49" ht="16.5" customHeight="1">
      <c r="A693" s="155"/>
      <c r="B693" s="155"/>
      <c r="C693" s="1"/>
      <c r="D693" s="1"/>
      <c r="E693" s="1"/>
      <c r="F693" s="156"/>
      <c r="G693" s="157"/>
      <c r="H693" s="184"/>
      <c r="I693" s="184"/>
      <c r="J693" s="184"/>
      <c r="K693" s="184"/>
      <c r="L693" s="184"/>
      <c r="M693" s="4"/>
      <c r="N693" s="184"/>
      <c r="O693" s="1"/>
      <c r="P693" s="5"/>
      <c r="Q693" s="4"/>
      <c r="R693" s="1"/>
      <c r="S693" s="1"/>
      <c r="T693" s="1"/>
      <c r="U693" s="6"/>
      <c r="V693" s="184"/>
      <c r="W693" s="184"/>
      <c r="X693" s="155"/>
      <c r="Y693" s="155"/>
      <c r="Z693" s="155"/>
      <c r="AA693" s="155"/>
      <c r="AB693" s="155"/>
      <c r="AC693" s="184"/>
      <c r="AD693" s="155"/>
      <c r="AE693" s="155"/>
      <c r="AF693" s="155"/>
      <c r="AG693" s="155"/>
      <c r="AH693" s="155"/>
      <c r="AI693" s="155"/>
      <c r="AJ693" s="155"/>
      <c r="AK693" s="155"/>
      <c r="AL693" s="155"/>
      <c r="AM693" s="155"/>
      <c r="AN693" s="155"/>
      <c r="AO693" s="155"/>
      <c r="AP693" s="155"/>
      <c r="AQ693" s="155"/>
      <c r="AR693" s="155"/>
      <c r="AS693" s="155"/>
      <c r="AT693" s="155"/>
      <c r="AU693" s="155"/>
      <c r="AV693" s="155"/>
      <c r="AW693" s="155"/>
    </row>
    <row r="694" spans="1:49" ht="16.5" customHeight="1">
      <c r="A694" s="155"/>
      <c r="B694" s="155"/>
      <c r="C694" s="1"/>
      <c r="D694" s="1"/>
      <c r="E694" s="1"/>
      <c r="F694" s="156"/>
      <c r="G694" s="157"/>
      <c r="H694" s="184"/>
      <c r="I694" s="184"/>
      <c r="J694" s="184"/>
      <c r="K694" s="184"/>
      <c r="L694" s="184"/>
      <c r="M694" s="4"/>
      <c r="N694" s="184"/>
      <c r="O694" s="1"/>
      <c r="P694" s="5"/>
      <c r="Q694" s="4"/>
      <c r="R694" s="1"/>
      <c r="S694" s="1"/>
      <c r="T694" s="1"/>
      <c r="U694" s="6"/>
      <c r="V694" s="184"/>
      <c r="W694" s="184"/>
      <c r="X694" s="155"/>
      <c r="Y694" s="155"/>
      <c r="Z694" s="155"/>
      <c r="AA694" s="155"/>
      <c r="AB694" s="155"/>
      <c r="AC694" s="184"/>
      <c r="AD694" s="155"/>
      <c r="AE694" s="155"/>
      <c r="AF694" s="155"/>
      <c r="AG694" s="155"/>
      <c r="AH694" s="155"/>
      <c r="AI694" s="155"/>
      <c r="AJ694" s="155"/>
      <c r="AK694" s="155"/>
      <c r="AL694" s="155"/>
      <c r="AM694" s="155"/>
      <c r="AN694" s="155"/>
      <c r="AO694" s="155"/>
      <c r="AP694" s="155"/>
      <c r="AQ694" s="155"/>
      <c r="AR694" s="155"/>
      <c r="AS694" s="155"/>
      <c r="AT694" s="155"/>
      <c r="AU694" s="155"/>
      <c r="AV694" s="155"/>
      <c r="AW694" s="155"/>
    </row>
    <row r="695" spans="1:49" ht="16.5" customHeight="1">
      <c r="A695" s="155"/>
      <c r="B695" s="155"/>
      <c r="C695" s="1"/>
      <c r="D695" s="1"/>
      <c r="E695" s="1"/>
      <c r="F695" s="156"/>
      <c r="G695" s="157"/>
      <c r="H695" s="184"/>
      <c r="I695" s="184"/>
      <c r="J695" s="184"/>
      <c r="K695" s="184"/>
      <c r="L695" s="184"/>
      <c r="M695" s="4"/>
      <c r="N695" s="184"/>
      <c r="O695" s="1"/>
      <c r="P695" s="5"/>
      <c r="Q695" s="4"/>
      <c r="R695" s="1"/>
      <c r="S695" s="1"/>
      <c r="T695" s="1"/>
      <c r="U695" s="6"/>
      <c r="V695" s="184"/>
      <c r="W695" s="184"/>
      <c r="X695" s="155"/>
      <c r="Y695" s="155"/>
      <c r="Z695" s="155"/>
      <c r="AA695" s="155"/>
      <c r="AB695" s="155"/>
      <c r="AC695" s="184"/>
      <c r="AD695" s="155"/>
      <c r="AE695" s="155"/>
      <c r="AF695" s="155"/>
      <c r="AG695" s="155"/>
      <c r="AH695" s="155"/>
      <c r="AI695" s="155"/>
      <c r="AJ695" s="155"/>
      <c r="AK695" s="155"/>
      <c r="AL695" s="155"/>
      <c r="AM695" s="155"/>
      <c r="AN695" s="155"/>
      <c r="AO695" s="155"/>
      <c r="AP695" s="155"/>
      <c r="AQ695" s="155"/>
      <c r="AR695" s="155"/>
      <c r="AS695" s="155"/>
      <c r="AT695" s="155"/>
      <c r="AU695" s="155"/>
      <c r="AV695" s="155"/>
      <c r="AW695" s="155"/>
    </row>
    <row r="696" spans="1:49" ht="16.5" customHeight="1">
      <c r="A696" s="155"/>
      <c r="B696" s="155"/>
      <c r="C696" s="1"/>
      <c r="D696" s="1"/>
      <c r="E696" s="1"/>
      <c r="F696" s="156"/>
      <c r="G696" s="157"/>
      <c r="H696" s="184"/>
      <c r="I696" s="184"/>
      <c r="J696" s="184"/>
      <c r="K696" s="184"/>
      <c r="L696" s="184"/>
      <c r="M696" s="4"/>
      <c r="N696" s="184"/>
      <c r="O696" s="1"/>
      <c r="P696" s="5"/>
      <c r="Q696" s="4"/>
      <c r="R696" s="1"/>
      <c r="S696" s="1"/>
      <c r="T696" s="1"/>
      <c r="U696" s="6"/>
      <c r="V696" s="184"/>
      <c r="W696" s="184"/>
      <c r="X696" s="155"/>
      <c r="Y696" s="155"/>
      <c r="Z696" s="155"/>
      <c r="AA696" s="155"/>
      <c r="AB696" s="155"/>
      <c r="AC696" s="184"/>
      <c r="AD696" s="155"/>
      <c r="AE696" s="155"/>
      <c r="AF696" s="155"/>
      <c r="AG696" s="155"/>
      <c r="AH696" s="155"/>
      <c r="AI696" s="155"/>
      <c r="AJ696" s="155"/>
      <c r="AK696" s="155"/>
      <c r="AL696" s="155"/>
      <c r="AM696" s="155"/>
      <c r="AN696" s="155"/>
      <c r="AO696" s="155"/>
      <c r="AP696" s="155"/>
      <c r="AQ696" s="155"/>
      <c r="AR696" s="155"/>
      <c r="AS696" s="155"/>
      <c r="AT696" s="155"/>
      <c r="AU696" s="155"/>
      <c r="AV696" s="155"/>
      <c r="AW696" s="155"/>
    </row>
    <row r="697" spans="1:49" ht="16.5" customHeight="1">
      <c r="A697" s="155"/>
      <c r="B697" s="155"/>
      <c r="C697" s="1"/>
      <c r="D697" s="1"/>
      <c r="E697" s="1"/>
      <c r="F697" s="156"/>
      <c r="G697" s="157"/>
      <c r="H697" s="184"/>
      <c r="I697" s="184"/>
      <c r="J697" s="184"/>
      <c r="K697" s="184"/>
      <c r="L697" s="184"/>
      <c r="M697" s="4"/>
      <c r="N697" s="184"/>
      <c r="O697" s="1"/>
      <c r="P697" s="5"/>
      <c r="Q697" s="4"/>
      <c r="R697" s="1"/>
      <c r="S697" s="1"/>
      <c r="T697" s="1"/>
      <c r="U697" s="6"/>
      <c r="V697" s="184"/>
      <c r="W697" s="184"/>
      <c r="X697" s="155"/>
      <c r="Y697" s="155"/>
      <c r="Z697" s="155"/>
      <c r="AA697" s="155"/>
      <c r="AB697" s="155"/>
      <c r="AC697" s="184"/>
      <c r="AD697" s="155"/>
      <c r="AE697" s="155"/>
      <c r="AF697" s="155"/>
      <c r="AG697" s="155"/>
      <c r="AH697" s="155"/>
      <c r="AI697" s="155"/>
      <c r="AJ697" s="155"/>
      <c r="AK697" s="155"/>
      <c r="AL697" s="155"/>
      <c r="AM697" s="155"/>
      <c r="AN697" s="155"/>
      <c r="AO697" s="155"/>
      <c r="AP697" s="155"/>
      <c r="AQ697" s="155"/>
      <c r="AR697" s="155"/>
      <c r="AS697" s="155"/>
      <c r="AT697" s="155"/>
      <c r="AU697" s="155"/>
      <c r="AV697" s="155"/>
      <c r="AW697" s="155"/>
    </row>
    <row r="698" spans="1:49" ht="16.5" customHeight="1">
      <c r="A698" s="155"/>
      <c r="B698" s="155"/>
      <c r="C698" s="1"/>
      <c r="D698" s="1"/>
      <c r="E698" s="1"/>
      <c r="F698" s="156"/>
      <c r="G698" s="157"/>
      <c r="H698" s="184"/>
      <c r="I698" s="184"/>
      <c r="J698" s="184"/>
      <c r="K698" s="184"/>
      <c r="L698" s="184"/>
      <c r="M698" s="4"/>
      <c r="N698" s="184"/>
      <c r="O698" s="1"/>
      <c r="P698" s="5"/>
      <c r="Q698" s="4"/>
      <c r="R698" s="1"/>
      <c r="S698" s="1"/>
      <c r="T698" s="1"/>
      <c r="U698" s="6"/>
      <c r="V698" s="184"/>
      <c r="W698" s="184"/>
      <c r="X698" s="155"/>
      <c r="Y698" s="155"/>
      <c r="Z698" s="155"/>
      <c r="AA698" s="155"/>
      <c r="AB698" s="155"/>
      <c r="AC698" s="184"/>
      <c r="AD698" s="155"/>
      <c r="AE698" s="155"/>
      <c r="AF698" s="155"/>
      <c r="AG698" s="155"/>
      <c r="AH698" s="155"/>
      <c r="AI698" s="155"/>
      <c r="AJ698" s="155"/>
      <c r="AK698" s="155"/>
      <c r="AL698" s="155"/>
      <c r="AM698" s="155"/>
      <c r="AN698" s="155"/>
      <c r="AO698" s="155"/>
      <c r="AP698" s="155"/>
      <c r="AQ698" s="155"/>
      <c r="AR698" s="155"/>
      <c r="AS698" s="155"/>
      <c r="AT698" s="155"/>
      <c r="AU698" s="155"/>
      <c r="AV698" s="155"/>
      <c r="AW698" s="155"/>
    </row>
    <row r="699" spans="1:49" ht="16.5" customHeight="1">
      <c r="A699" s="155"/>
      <c r="B699" s="155"/>
      <c r="C699" s="1"/>
      <c r="D699" s="1"/>
      <c r="E699" s="1"/>
      <c r="F699" s="156"/>
      <c r="G699" s="157"/>
      <c r="H699" s="184"/>
      <c r="I699" s="184"/>
      <c r="J699" s="184"/>
      <c r="K699" s="184"/>
      <c r="L699" s="184"/>
      <c r="M699" s="4"/>
      <c r="N699" s="184"/>
      <c r="O699" s="1"/>
      <c r="P699" s="5"/>
      <c r="Q699" s="4"/>
      <c r="R699" s="1"/>
      <c r="S699" s="1"/>
      <c r="T699" s="1"/>
      <c r="U699" s="6"/>
      <c r="V699" s="184"/>
      <c r="W699" s="184"/>
      <c r="X699" s="155"/>
      <c r="Y699" s="155"/>
      <c r="Z699" s="155"/>
      <c r="AA699" s="155"/>
      <c r="AB699" s="155"/>
      <c r="AC699" s="184"/>
      <c r="AD699" s="155"/>
      <c r="AE699" s="155"/>
      <c r="AF699" s="155"/>
      <c r="AG699" s="155"/>
      <c r="AH699" s="155"/>
      <c r="AI699" s="155"/>
      <c r="AJ699" s="155"/>
      <c r="AK699" s="155"/>
      <c r="AL699" s="155"/>
      <c r="AM699" s="155"/>
      <c r="AN699" s="155"/>
      <c r="AO699" s="155"/>
      <c r="AP699" s="155"/>
      <c r="AQ699" s="155"/>
      <c r="AR699" s="155"/>
      <c r="AS699" s="155"/>
      <c r="AT699" s="155"/>
      <c r="AU699" s="155"/>
      <c r="AV699" s="155"/>
      <c r="AW699" s="155"/>
    </row>
    <row r="700" spans="1:49" ht="16.5" customHeight="1">
      <c r="A700" s="155"/>
      <c r="B700" s="155"/>
      <c r="C700" s="1"/>
      <c r="D700" s="1"/>
      <c r="E700" s="1"/>
      <c r="F700" s="156"/>
      <c r="G700" s="157"/>
      <c r="H700" s="184"/>
      <c r="I700" s="184"/>
      <c r="J700" s="184"/>
      <c r="K700" s="184"/>
      <c r="L700" s="184"/>
      <c r="M700" s="4"/>
      <c r="N700" s="184"/>
      <c r="O700" s="1"/>
      <c r="P700" s="5"/>
      <c r="Q700" s="4"/>
      <c r="R700" s="1"/>
      <c r="S700" s="1"/>
      <c r="T700" s="1"/>
      <c r="U700" s="6"/>
      <c r="V700" s="184"/>
      <c r="W700" s="184"/>
      <c r="X700" s="155"/>
      <c r="Y700" s="155"/>
      <c r="Z700" s="155"/>
      <c r="AA700" s="155"/>
      <c r="AB700" s="155"/>
      <c r="AC700" s="184"/>
      <c r="AD700" s="155"/>
      <c r="AE700" s="155"/>
      <c r="AF700" s="155"/>
      <c r="AG700" s="155"/>
      <c r="AH700" s="155"/>
      <c r="AI700" s="155"/>
      <c r="AJ700" s="155"/>
      <c r="AK700" s="155"/>
      <c r="AL700" s="155"/>
      <c r="AM700" s="155"/>
      <c r="AN700" s="155"/>
      <c r="AO700" s="155"/>
      <c r="AP700" s="155"/>
      <c r="AQ700" s="155"/>
      <c r="AR700" s="155"/>
      <c r="AS700" s="155"/>
      <c r="AT700" s="155"/>
      <c r="AU700" s="155"/>
      <c r="AV700" s="155"/>
      <c r="AW700" s="155"/>
    </row>
    <row r="701" spans="1:49" ht="16.5" customHeight="1">
      <c r="A701" s="155"/>
      <c r="B701" s="155"/>
      <c r="C701" s="1"/>
      <c r="D701" s="1"/>
      <c r="E701" s="1"/>
      <c r="F701" s="156"/>
      <c r="G701" s="157"/>
      <c r="H701" s="184"/>
      <c r="I701" s="184"/>
      <c r="J701" s="184"/>
      <c r="K701" s="184"/>
      <c r="L701" s="184"/>
      <c r="M701" s="4"/>
      <c r="N701" s="184"/>
      <c r="O701" s="1"/>
      <c r="P701" s="5"/>
      <c r="Q701" s="4"/>
      <c r="R701" s="1"/>
      <c r="S701" s="1"/>
      <c r="T701" s="1"/>
      <c r="U701" s="6"/>
      <c r="V701" s="184"/>
      <c r="W701" s="184"/>
      <c r="X701" s="155"/>
      <c r="Y701" s="155"/>
      <c r="Z701" s="155"/>
      <c r="AA701" s="155"/>
      <c r="AB701" s="155"/>
      <c r="AC701" s="184"/>
      <c r="AD701" s="155"/>
      <c r="AE701" s="155"/>
      <c r="AF701" s="155"/>
      <c r="AG701" s="155"/>
      <c r="AH701" s="155"/>
      <c r="AI701" s="155"/>
      <c r="AJ701" s="155"/>
      <c r="AK701" s="155"/>
      <c r="AL701" s="155"/>
      <c r="AM701" s="155"/>
      <c r="AN701" s="155"/>
      <c r="AO701" s="155"/>
      <c r="AP701" s="155"/>
      <c r="AQ701" s="155"/>
      <c r="AR701" s="155"/>
      <c r="AS701" s="155"/>
      <c r="AT701" s="155"/>
      <c r="AU701" s="155"/>
      <c r="AV701" s="155"/>
      <c r="AW701" s="155"/>
    </row>
    <row r="702" spans="1:49" ht="16.5" customHeight="1">
      <c r="A702" s="155"/>
      <c r="B702" s="155"/>
      <c r="C702" s="1"/>
      <c r="D702" s="1"/>
      <c r="E702" s="1"/>
      <c r="F702" s="156"/>
      <c r="G702" s="157"/>
      <c r="H702" s="184"/>
      <c r="I702" s="184"/>
      <c r="J702" s="184"/>
      <c r="K702" s="184"/>
      <c r="L702" s="184"/>
      <c r="M702" s="4"/>
      <c r="N702" s="184"/>
      <c r="O702" s="1"/>
      <c r="P702" s="5"/>
      <c r="Q702" s="4"/>
      <c r="R702" s="1"/>
      <c r="S702" s="1"/>
      <c r="T702" s="1"/>
      <c r="U702" s="6"/>
      <c r="V702" s="184"/>
      <c r="W702" s="184"/>
      <c r="X702" s="155"/>
      <c r="Y702" s="155"/>
      <c r="Z702" s="155"/>
      <c r="AA702" s="155"/>
      <c r="AB702" s="155"/>
      <c r="AC702" s="184"/>
      <c r="AD702" s="155"/>
      <c r="AE702" s="155"/>
      <c r="AF702" s="155"/>
      <c r="AG702" s="155"/>
      <c r="AH702" s="155"/>
      <c r="AI702" s="155"/>
      <c r="AJ702" s="155"/>
      <c r="AK702" s="155"/>
      <c r="AL702" s="155"/>
      <c r="AM702" s="155"/>
      <c r="AN702" s="155"/>
      <c r="AO702" s="155"/>
      <c r="AP702" s="155"/>
      <c r="AQ702" s="155"/>
      <c r="AR702" s="155"/>
      <c r="AS702" s="155"/>
      <c r="AT702" s="155"/>
      <c r="AU702" s="155"/>
      <c r="AV702" s="155"/>
      <c r="AW702" s="155"/>
    </row>
    <row r="703" spans="1:49" ht="16.5" customHeight="1">
      <c r="A703" s="155"/>
      <c r="B703" s="155"/>
      <c r="C703" s="1"/>
      <c r="D703" s="1"/>
      <c r="E703" s="1"/>
      <c r="F703" s="156"/>
      <c r="G703" s="157"/>
      <c r="H703" s="184"/>
      <c r="I703" s="184"/>
      <c r="J703" s="184"/>
      <c r="K703" s="184"/>
      <c r="L703" s="184"/>
      <c r="M703" s="4"/>
      <c r="N703" s="184"/>
      <c r="O703" s="1"/>
      <c r="P703" s="5"/>
      <c r="Q703" s="4"/>
      <c r="R703" s="1"/>
      <c r="S703" s="1"/>
      <c r="T703" s="1"/>
      <c r="U703" s="6"/>
      <c r="V703" s="184"/>
      <c r="W703" s="184"/>
      <c r="X703" s="155"/>
      <c r="Y703" s="155"/>
      <c r="Z703" s="155"/>
      <c r="AA703" s="155"/>
      <c r="AB703" s="155"/>
      <c r="AC703" s="184"/>
      <c r="AD703" s="155"/>
      <c r="AE703" s="155"/>
      <c r="AF703" s="155"/>
      <c r="AG703" s="155"/>
      <c r="AH703" s="155"/>
      <c r="AI703" s="155"/>
      <c r="AJ703" s="155"/>
      <c r="AK703" s="155"/>
      <c r="AL703" s="155"/>
      <c r="AM703" s="155"/>
      <c r="AN703" s="155"/>
      <c r="AO703" s="155"/>
      <c r="AP703" s="155"/>
      <c r="AQ703" s="155"/>
      <c r="AR703" s="155"/>
      <c r="AS703" s="155"/>
      <c r="AT703" s="155"/>
      <c r="AU703" s="155"/>
      <c r="AV703" s="155"/>
      <c r="AW703" s="155"/>
    </row>
    <row r="704" spans="1:49" ht="16.5" customHeight="1">
      <c r="A704" s="155"/>
      <c r="B704" s="155"/>
      <c r="C704" s="1"/>
      <c r="D704" s="1"/>
      <c r="E704" s="1"/>
      <c r="F704" s="156"/>
      <c r="G704" s="157"/>
      <c r="H704" s="184"/>
      <c r="I704" s="184"/>
      <c r="J704" s="184"/>
      <c r="K704" s="184"/>
      <c r="L704" s="184"/>
      <c r="M704" s="4"/>
      <c r="N704" s="184"/>
      <c r="O704" s="1"/>
      <c r="P704" s="5"/>
      <c r="Q704" s="4"/>
      <c r="R704" s="1"/>
      <c r="S704" s="1"/>
      <c r="T704" s="1"/>
      <c r="U704" s="6"/>
      <c r="V704" s="184"/>
      <c r="W704" s="184"/>
      <c r="X704" s="155"/>
      <c r="Y704" s="155"/>
      <c r="Z704" s="155"/>
      <c r="AA704" s="155"/>
      <c r="AB704" s="155"/>
      <c r="AC704" s="184"/>
      <c r="AD704" s="155"/>
      <c r="AE704" s="155"/>
      <c r="AF704" s="155"/>
      <c r="AG704" s="155"/>
      <c r="AH704" s="155"/>
      <c r="AI704" s="155"/>
      <c r="AJ704" s="155"/>
      <c r="AK704" s="155"/>
      <c r="AL704" s="155"/>
      <c r="AM704" s="155"/>
      <c r="AN704" s="155"/>
      <c r="AO704" s="155"/>
      <c r="AP704" s="155"/>
      <c r="AQ704" s="155"/>
      <c r="AR704" s="155"/>
      <c r="AS704" s="155"/>
      <c r="AT704" s="155"/>
      <c r="AU704" s="155"/>
      <c r="AV704" s="155"/>
      <c r="AW704" s="155"/>
    </row>
    <row r="705" spans="1:49" ht="16.5" customHeight="1">
      <c r="A705" s="155"/>
      <c r="B705" s="155"/>
      <c r="C705" s="1"/>
      <c r="D705" s="1"/>
      <c r="E705" s="1"/>
      <c r="F705" s="156"/>
      <c r="G705" s="157"/>
      <c r="H705" s="184"/>
      <c r="I705" s="184"/>
      <c r="J705" s="184"/>
      <c r="K705" s="184"/>
      <c r="L705" s="184"/>
      <c r="M705" s="4"/>
      <c r="N705" s="184"/>
      <c r="O705" s="1"/>
      <c r="P705" s="5"/>
      <c r="Q705" s="4"/>
      <c r="R705" s="1"/>
      <c r="S705" s="1"/>
      <c r="T705" s="1"/>
      <c r="U705" s="6"/>
      <c r="V705" s="184"/>
      <c r="W705" s="184"/>
      <c r="X705" s="155"/>
      <c r="Y705" s="155"/>
      <c r="Z705" s="155"/>
      <c r="AA705" s="155"/>
      <c r="AB705" s="155"/>
      <c r="AC705" s="184"/>
      <c r="AD705" s="155"/>
      <c r="AE705" s="155"/>
      <c r="AF705" s="155"/>
      <c r="AG705" s="155"/>
      <c r="AH705" s="155"/>
      <c r="AI705" s="155"/>
      <c r="AJ705" s="155"/>
      <c r="AK705" s="155"/>
      <c r="AL705" s="155"/>
      <c r="AM705" s="155"/>
      <c r="AN705" s="155"/>
      <c r="AO705" s="155"/>
      <c r="AP705" s="155"/>
      <c r="AQ705" s="155"/>
      <c r="AR705" s="155"/>
      <c r="AS705" s="155"/>
      <c r="AT705" s="155"/>
      <c r="AU705" s="155"/>
      <c r="AV705" s="155"/>
      <c r="AW705" s="155"/>
    </row>
    <row r="706" spans="1:49" ht="16.5" customHeight="1">
      <c r="A706" s="155"/>
      <c r="B706" s="155"/>
      <c r="C706" s="1"/>
      <c r="D706" s="1"/>
      <c r="E706" s="1"/>
      <c r="F706" s="156"/>
      <c r="G706" s="157"/>
      <c r="H706" s="184"/>
      <c r="I706" s="184"/>
      <c r="J706" s="184"/>
      <c r="K706" s="184"/>
      <c r="L706" s="184"/>
      <c r="M706" s="4"/>
      <c r="N706" s="184"/>
      <c r="O706" s="1"/>
      <c r="P706" s="5"/>
      <c r="Q706" s="4"/>
      <c r="R706" s="1"/>
      <c r="S706" s="1"/>
      <c r="T706" s="1"/>
      <c r="U706" s="6"/>
      <c r="V706" s="184"/>
      <c r="W706" s="184"/>
      <c r="X706" s="155"/>
      <c r="Y706" s="155"/>
      <c r="Z706" s="155"/>
      <c r="AA706" s="155"/>
      <c r="AB706" s="155"/>
      <c r="AC706" s="184"/>
      <c r="AD706" s="155"/>
      <c r="AE706" s="155"/>
      <c r="AF706" s="155"/>
      <c r="AG706" s="155"/>
      <c r="AH706" s="155"/>
      <c r="AI706" s="155"/>
      <c r="AJ706" s="155"/>
      <c r="AK706" s="155"/>
      <c r="AL706" s="155"/>
      <c r="AM706" s="155"/>
      <c r="AN706" s="155"/>
      <c r="AO706" s="155"/>
      <c r="AP706" s="155"/>
      <c r="AQ706" s="155"/>
      <c r="AR706" s="155"/>
      <c r="AS706" s="155"/>
      <c r="AT706" s="155"/>
      <c r="AU706" s="155"/>
      <c r="AV706" s="155"/>
      <c r="AW706" s="155"/>
    </row>
    <row r="707" spans="1:49" ht="16.5" customHeight="1">
      <c r="A707" s="155"/>
      <c r="B707" s="155"/>
      <c r="C707" s="1"/>
      <c r="D707" s="1"/>
      <c r="E707" s="1"/>
      <c r="F707" s="156"/>
      <c r="G707" s="157"/>
      <c r="H707" s="184"/>
      <c r="I707" s="184"/>
      <c r="J707" s="184"/>
      <c r="K707" s="184"/>
      <c r="L707" s="184"/>
      <c r="M707" s="4"/>
      <c r="N707" s="184"/>
      <c r="O707" s="1"/>
      <c r="P707" s="5"/>
      <c r="Q707" s="4"/>
      <c r="R707" s="1"/>
      <c r="S707" s="1"/>
      <c r="T707" s="1"/>
      <c r="U707" s="6"/>
      <c r="V707" s="184"/>
      <c r="W707" s="184"/>
      <c r="X707" s="155"/>
      <c r="Y707" s="155"/>
      <c r="Z707" s="155"/>
      <c r="AA707" s="155"/>
      <c r="AB707" s="155"/>
      <c r="AC707" s="184"/>
      <c r="AD707" s="155"/>
      <c r="AE707" s="155"/>
      <c r="AF707" s="155"/>
      <c r="AG707" s="155"/>
      <c r="AH707" s="155"/>
      <c r="AI707" s="155"/>
      <c r="AJ707" s="155"/>
      <c r="AK707" s="155"/>
      <c r="AL707" s="155"/>
      <c r="AM707" s="155"/>
      <c r="AN707" s="155"/>
      <c r="AO707" s="155"/>
      <c r="AP707" s="155"/>
      <c r="AQ707" s="155"/>
      <c r="AR707" s="155"/>
      <c r="AS707" s="155"/>
      <c r="AT707" s="155"/>
      <c r="AU707" s="155"/>
      <c r="AV707" s="155"/>
      <c r="AW707" s="155"/>
    </row>
    <row r="708" spans="1:49" ht="16.5" customHeight="1">
      <c r="A708" s="155"/>
      <c r="B708" s="155"/>
      <c r="C708" s="1"/>
      <c r="D708" s="1"/>
      <c r="E708" s="1"/>
      <c r="F708" s="156"/>
      <c r="G708" s="157"/>
      <c r="H708" s="184"/>
      <c r="I708" s="184"/>
      <c r="J708" s="184"/>
      <c r="K708" s="184"/>
      <c r="L708" s="184"/>
      <c r="M708" s="4"/>
      <c r="N708" s="184"/>
      <c r="O708" s="1"/>
      <c r="P708" s="5"/>
      <c r="Q708" s="4"/>
      <c r="R708" s="1"/>
      <c r="S708" s="1"/>
      <c r="T708" s="1"/>
      <c r="U708" s="6"/>
      <c r="V708" s="184"/>
      <c r="W708" s="184"/>
      <c r="X708" s="155"/>
      <c r="Y708" s="155"/>
      <c r="Z708" s="155"/>
      <c r="AA708" s="155"/>
      <c r="AB708" s="155"/>
      <c r="AC708" s="184"/>
      <c r="AD708" s="155"/>
      <c r="AE708" s="155"/>
      <c r="AF708" s="155"/>
      <c r="AG708" s="155"/>
      <c r="AH708" s="155"/>
      <c r="AI708" s="155"/>
      <c r="AJ708" s="155"/>
      <c r="AK708" s="155"/>
      <c r="AL708" s="155"/>
      <c r="AM708" s="155"/>
      <c r="AN708" s="155"/>
      <c r="AO708" s="155"/>
      <c r="AP708" s="155"/>
      <c r="AQ708" s="155"/>
      <c r="AR708" s="155"/>
      <c r="AS708" s="155"/>
      <c r="AT708" s="155"/>
      <c r="AU708" s="155"/>
      <c r="AV708" s="155"/>
      <c r="AW708" s="155"/>
    </row>
    <row r="709" spans="1:49" ht="16.5" customHeight="1">
      <c r="A709" s="155"/>
      <c r="B709" s="155"/>
      <c r="C709" s="1"/>
      <c r="D709" s="1"/>
      <c r="E709" s="1"/>
      <c r="F709" s="156"/>
      <c r="G709" s="157"/>
      <c r="H709" s="184"/>
      <c r="I709" s="184"/>
      <c r="J709" s="184"/>
      <c r="K709" s="184"/>
      <c r="L709" s="184"/>
      <c r="M709" s="4"/>
      <c r="N709" s="184"/>
      <c r="O709" s="1"/>
      <c r="P709" s="5"/>
      <c r="Q709" s="4"/>
      <c r="R709" s="1"/>
      <c r="S709" s="1"/>
      <c r="T709" s="1"/>
      <c r="U709" s="6"/>
      <c r="V709" s="184"/>
      <c r="W709" s="184"/>
      <c r="X709" s="155"/>
      <c r="Y709" s="155"/>
      <c r="Z709" s="155"/>
      <c r="AA709" s="155"/>
      <c r="AB709" s="155"/>
      <c r="AC709" s="184"/>
      <c r="AD709" s="155"/>
      <c r="AE709" s="155"/>
      <c r="AF709" s="155"/>
      <c r="AG709" s="155"/>
      <c r="AH709" s="155"/>
      <c r="AI709" s="155"/>
      <c r="AJ709" s="155"/>
      <c r="AK709" s="155"/>
      <c r="AL709" s="155"/>
      <c r="AM709" s="155"/>
      <c r="AN709" s="155"/>
      <c r="AO709" s="155"/>
      <c r="AP709" s="155"/>
      <c r="AQ709" s="155"/>
      <c r="AR709" s="155"/>
      <c r="AS709" s="155"/>
      <c r="AT709" s="155"/>
      <c r="AU709" s="155"/>
      <c r="AV709" s="155"/>
      <c r="AW709" s="155"/>
    </row>
    <row r="710" spans="1:49" ht="16.5" customHeight="1">
      <c r="A710" s="155"/>
      <c r="B710" s="155"/>
      <c r="C710" s="1"/>
      <c r="D710" s="1"/>
      <c r="E710" s="1"/>
      <c r="F710" s="156"/>
      <c r="G710" s="157"/>
      <c r="H710" s="184"/>
      <c r="I710" s="184"/>
      <c r="J710" s="184"/>
      <c r="K710" s="184"/>
      <c r="L710" s="184"/>
      <c r="M710" s="4"/>
      <c r="N710" s="184"/>
      <c r="O710" s="1"/>
      <c r="P710" s="5"/>
      <c r="Q710" s="4"/>
      <c r="R710" s="1"/>
      <c r="S710" s="1"/>
      <c r="T710" s="1"/>
      <c r="U710" s="6"/>
      <c r="V710" s="184"/>
      <c r="W710" s="184"/>
      <c r="X710" s="155"/>
      <c r="Y710" s="155"/>
      <c r="Z710" s="155"/>
      <c r="AA710" s="155"/>
      <c r="AB710" s="155"/>
      <c r="AC710" s="184"/>
      <c r="AD710" s="155"/>
      <c r="AE710" s="155"/>
      <c r="AF710" s="155"/>
      <c r="AG710" s="155"/>
      <c r="AH710" s="155"/>
      <c r="AI710" s="155"/>
      <c r="AJ710" s="155"/>
      <c r="AK710" s="155"/>
      <c r="AL710" s="155"/>
      <c r="AM710" s="155"/>
      <c r="AN710" s="155"/>
      <c r="AO710" s="155"/>
      <c r="AP710" s="155"/>
      <c r="AQ710" s="155"/>
      <c r="AR710" s="155"/>
      <c r="AS710" s="155"/>
      <c r="AT710" s="155"/>
      <c r="AU710" s="155"/>
      <c r="AV710" s="155"/>
      <c r="AW710" s="155"/>
    </row>
    <row r="711" spans="1:49" ht="16.5" customHeight="1">
      <c r="A711" s="155"/>
      <c r="B711" s="155"/>
      <c r="C711" s="1"/>
      <c r="D711" s="1"/>
      <c r="E711" s="1"/>
      <c r="F711" s="156"/>
      <c r="G711" s="157"/>
      <c r="H711" s="184"/>
      <c r="I711" s="184"/>
      <c r="J711" s="184"/>
      <c r="K711" s="184"/>
      <c r="L711" s="184"/>
      <c r="M711" s="4"/>
      <c r="N711" s="184"/>
      <c r="O711" s="1"/>
      <c r="P711" s="5"/>
      <c r="Q711" s="4"/>
      <c r="R711" s="1"/>
      <c r="S711" s="1"/>
      <c r="T711" s="1"/>
      <c r="U711" s="6"/>
      <c r="V711" s="184"/>
      <c r="W711" s="184"/>
      <c r="X711" s="155"/>
      <c r="Y711" s="155"/>
      <c r="Z711" s="155"/>
      <c r="AA711" s="155"/>
      <c r="AB711" s="155"/>
      <c r="AC711" s="184"/>
      <c r="AD711" s="155"/>
      <c r="AE711" s="155"/>
      <c r="AF711" s="155"/>
      <c r="AG711" s="155"/>
      <c r="AH711" s="155"/>
      <c r="AI711" s="155"/>
      <c r="AJ711" s="155"/>
      <c r="AK711" s="155"/>
      <c r="AL711" s="155"/>
      <c r="AM711" s="155"/>
      <c r="AN711" s="155"/>
      <c r="AO711" s="155"/>
      <c r="AP711" s="155"/>
      <c r="AQ711" s="155"/>
      <c r="AR711" s="155"/>
      <c r="AS711" s="155"/>
      <c r="AT711" s="155"/>
      <c r="AU711" s="155"/>
      <c r="AV711" s="155"/>
      <c r="AW711" s="155"/>
    </row>
    <row r="712" spans="1:49" ht="16.5" customHeight="1">
      <c r="A712" s="155"/>
      <c r="B712" s="155"/>
      <c r="C712" s="1"/>
      <c r="D712" s="1"/>
      <c r="E712" s="1"/>
      <c r="F712" s="156"/>
      <c r="G712" s="157"/>
      <c r="H712" s="184"/>
      <c r="I712" s="184"/>
      <c r="J712" s="184"/>
      <c r="K712" s="184"/>
      <c r="L712" s="184"/>
      <c r="M712" s="4"/>
      <c r="N712" s="184"/>
      <c r="O712" s="1"/>
      <c r="P712" s="5"/>
      <c r="Q712" s="4"/>
      <c r="R712" s="1"/>
      <c r="S712" s="1"/>
      <c r="T712" s="1"/>
      <c r="U712" s="6"/>
      <c r="V712" s="184"/>
      <c r="W712" s="184"/>
      <c r="X712" s="155"/>
      <c r="Y712" s="155"/>
      <c r="Z712" s="155"/>
      <c r="AA712" s="155"/>
      <c r="AB712" s="155"/>
      <c r="AC712" s="184"/>
      <c r="AD712" s="155"/>
      <c r="AE712" s="155"/>
      <c r="AF712" s="155"/>
      <c r="AG712" s="155"/>
      <c r="AH712" s="155"/>
      <c r="AI712" s="155"/>
      <c r="AJ712" s="155"/>
      <c r="AK712" s="155"/>
      <c r="AL712" s="155"/>
      <c r="AM712" s="155"/>
      <c r="AN712" s="155"/>
      <c r="AO712" s="155"/>
      <c r="AP712" s="155"/>
      <c r="AQ712" s="155"/>
      <c r="AR712" s="155"/>
      <c r="AS712" s="155"/>
      <c r="AT712" s="155"/>
      <c r="AU712" s="155"/>
      <c r="AV712" s="155"/>
      <c r="AW712" s="155"/>
    </row>
    <row r="713" spans="1:49" ht="16.5" customHeight="1">
      <c r="A713" s="155"/>
      <c r="B713" s="155"/>
      <c r="C713" s="1"/>
      <c r="D713" s="1"/>
      <c r="E713" s="1"/>
      <c r="F713" s="156"/>
      <c r="G713" s="157"/>
      <c r="H713" s="184"/>
      <c r="I713" s="184"/>
      <c r="J713" s="184"/>
      <c r="K713" s="184"/>
      <c r="L713" s="184"/>
      <c r="M713" s="4"/>
      <c r="N713" s="184"/>
      <c r="O713" s="1"/>
      <c r="P713" s="5"/>
      <c r="Q713" s="4"/>
      <c r="R713" s="1"/>
      <c r="S713" s="1"/>
      <c r="T713" s="1"/>
      <c r="U713" s="6"/>
      <c r="V713" s="184"/>
      <c r="W713" s="184"/>
      <c r="X713" s="155"/>
      <c r="Y713" s="155"/>
      <c r="Z713" s="155"/>
      <c r="AA713" s="155"/>
      <c r="AB713" s="155"/>
      <c r="AC713" s="184"/>
      <c r="AD713" s="155"/>
      <c r="AE713" s="155"/>
      <c r="AF713" s="155"/>
      <c r="AG713" s="155"/>
      <c r="AH713" s="155"/>
      <c r="AI713" s="155"/>
      <c r="AJ713" s="155"/>
      <c r="AK713" s="155"/>
      <c r="AL713" s="155"/>
      <c r="AM713" s="155"/>
      <c r="AN713" s="155"/>
      <c r="AO713" s="155"/>
      <c r="AP713" s="155"/>
      <c r="AQ713" s="155"/>
      <c r="AR713" s="155"/>
      <c r="AS713" s="155"/>
      <c r="AT713" s="155"/>
      <c r="AU713" s="155"/>
      <c r="AV713" s="155"/>
      <c r="AW713" s="155"/>
    </row>
    <row r="714" spans="1:49" ht="16.5" customHeight="1">
      <c r="A714" s="155"/>
      <c r="B714" s="155"/>
      <c r="C714" s="1"/>
      <c r="D714" s="1"/>
      <c r="E714" s="1"/>
      <c r="F714" s="156"/>
      <c r="G714" s="157"/>
      <c r="H714" s="184"/>
      <c r="I714" s="184"/>
      <c r="J714" s="184"/>
      <c r="K714" s="184"/>
      <c r="L714" s="184"/>
      <c r="M714" s="4"/>
      <c r="N714" s="184"/>
      <c r="O714" s="1"/>
      <c r="P714" s="5"/>
      <c r="Q714" s="4"/>
      <c r="R714" s="1"/>
      <c r="S714" s="1"/>
      <c r="T714" s="1"/>
      <c r="U714" s="6"/>
      <c r="V714" s="184"/>
      <c r="W714" s="184"/>
      <c r="X714" s="155"/>
      <c r="Y714" s="155"/>
      <c r="Z714" s="155"/>
      <c r="AA714" s="155"/>
      <c r="AB714" s="155"/>
      <c r="AC714" s="184"/>
      <c r="AD714" s="155"/>
      <c r="AE714" s="155"/>
      <c r="AF714" s="155"/>
      <c r="AG714" s="155"/>
      <c r="AH714" s="155"/>
      <c r="AI714" s="155"/>
      <c r="AJ714" s="155"/>
      <c r="AK714" s="155"/>
      <c r="AL714" s="155"/>
      <c r="AM714" s="155"/>
      <c r="AN714" s="155"/>
      <c r="AO714" s="155"/>
      <c r="AP714" s="155"/>
      <c r="AQ714" s="155"/>
      <c r="AR714" s="155"/>
      <c r="AS714" s="155"/>
      <c r="AT714" s="155"/>
      <c r="AU714" s="155"/>
      <c r="AV714" s="155"/>
      <c r="AW714" s="155"/>
    </row>
    <row r="715" spans="1:49" ht="16.5" customHeight="1">
      <c r="A715" s="155"/>
      <c r="B715" s="155"/>
      <c r="C715" s="1"/>
      <c r="D715" s="1"/>
      <c r="E715" s="1"/>
      <c r="F715" s="156"/>
      <c r="G715" s="157"/>
      <c r="H715" s="184"/>
      <c r="I715" s="184"/>
      <c r="J715" s="184"/>
      <c r="K715" s="184"/>
      <c r="L715" s="184"/>
      <c r="M715" s="4"/>
      <c r="N715" s="184"/>
      <c r="O715" s="1"/>
      <c r="P715" s="5"/>
      <c r="Q715" s="4"/>
      <c r="R715" s="1"/>
      <c r="S715" s="1"/>
      <c r="T715" s="1"/>
      <c r="U715" s="6"/>
      <c r="V715" s="184"/>
      <c r="W715" s="184"/>
      <c r="X715" s="155"/>
      <c r="Y715" s="155"/>
      <c r="Z715" s="155"/>
      <c r="AA715" s="155"/>
      <c r="AB715" s="155"/>
      <c r="AC715" s="184"/>
      <c r="AD715" s="155"/>
      <c r="AE715" s="155"/>
      <c r="AF715" s="155"/>
      <c r="AG715" s="155"/>
      <c r="AH715" s="155"/>
      <c r="AI715" s="155"/>
      <c r="AJ715" s="155"/>
      <c r="AK715" s="155"/>
      <c r="AL715" s="155"/>
      <c r="AM715" s="155"/>
      <c r="AN715" s="155"/>
      <c r="AO715" s="155"/>
      <c r="AP715" s="155"/>
      <c r="AQ715" s="155"/>
      <c r="AR715" s="155"/>
      <c r="AS715" s="155"/>
      <c r="AT715" s="155"/>
      <c r="AU715" s="155"/>
      <c r="AV715" s="155"/>
      <c r="AW715" s="155"/>
    </row>
    <row r="716" spans="1:49" ht="16.5" customHeight="1">
      <c r="A716" s="155"/>
      <c r="B716" s="155"/>
      <c r="C716" s="1"/>
      <c r="D716" s="1"/>
      <c r="E716" s="1"/>
      <c r="F716" s="156"/>
      <c r="G716" s="157"/>
      <c r="H716" s="184"/>
      <c r="I716" s="184"/>
      <c r="J716" s="184"/>
      <c r="K716" s="184"/>
      <c r="L716" s="184"/>
      <c r="M716" s="4"/>
      <c r="N716" s="184"/>
      <c r="O716" s="1"/>
      <c r="P716" s="5"/>
      <c r="Q716" s="4"/>
      <c r="R716" s="1"/>
      <c r="S716" s="1"/>
      <c r="T716" s="1"/>
      <c r="U716" s="6"/>
      <c r="V716" s="184"/>
      <c r="W716" s="184"/>
      <c r="X716" s="155"/>
      <c r="Y716" s="155"/>
      <c r="Z716" s="155"/>
      <c r="AA716" s="155"/>
      <c r="AB716" s="155"/>
      <c r="AC716" s="184"/>
      <c r="AD716" s="155"/>
      <c r="AE716" s="155"/>
      <c r="AF716" s="155"/>
      <c r="AG716" s="155"/>
      <c r="AH716" s="155"/>
      <c r="AI716" s="155"/>
      <c r="AJ716" s="155"/>
      <c r="AK716" s="155"/>
      <c r="AL716" s="155"/>
      <c r="AM716" s="155"/>
      <c r="AN716" s="155"/>
      <c r="AO716" s="155"/>
      <c r="AP716" s="155"/>
      <c r="AQ716" s="155"/>
      <c r="AR716" s="155"/>
      <c r="AS716" s="155"/>
      <c r="AT716" s="155"/>
      <c r="AU716" s="155"/>
      <c r="AV716" s="155"/>
      <c r="AW716" s="155"/>
    </row>
    <row r="717" spans="1:49" ht="16.5" customHeight="1">
      <c r="A717" s="155"/>
      <c r="B717" s="155"/>
      <c r="C717" s="1"/>
      <c r="D717" s="1"/>
      <c r="E717" s="1"/>
      <c r="F717" s="156"/>
      <c r="G717" s="157"/>
      <c r="H717" s="184"/>
      <c r="I717" s="184"/>
      <c r="J717" s="184"/>
      <c r="K717" s="184"/>
      <c r="L717" s="184"/>
      <c r="M717" s="4"/>
      <c r="N717" s="184"/>
      <c r="O717" s="1"/>
      <c r="P717" s="5"/>
      <c r="Q717" s="4"/>
      <c r="R717" s="1"/>
      <c r="S717" s="1"/>
      <c r="T717" s="1"/>
      <c r="U717" s="6"/>
      <c r="V717" s="184"/>
      <c r="W717" s="184"/>
      <c r="X717" s="155"/>
      <c r="Y717" s="155"/>
      <c r="Z717" s="155"/>
      <c r="AA717" s="155"/>
      <c r="AB717" s="155"/>
      <c r="AC717" s="184"/>
      <c r="AD717" s="155"/>
      <c r="AE717" s="155"/>
      <c r="AF717" s="155"/>
      <c r="AG717" s="155"/>
      <c r="AH717" s="155"/>
      <c r="AI717" s="155"/>
      <c r="AJ717" s="155"/>
      <c r="AK717" s="155"/>
      <c r="AL717" s="155"/>
      <c r="AM717" s="155"/>
      <c r="AN717" s="155"/>
      <c r="AO717" s="155"/>
      <c r="AP717" s="155"/>
      <c r="AQ717" s="155"/>
      <c r="AR717" s="155"/>
      <c r="AS717" s="155"/>
      <c r="AT717" s="155"/>
      <c r="AU717" s="155"/>
      <c r="AV717" s="155"/>
      <c r="AW717" s="155"/>
    </row>
    <row r="718" spans="1:49" ht="16.5" customHeight="1">
      <c r="A718" s="155"/>
      <c r="B718" s="155"/>
      <c r="C718" s="1"/>
      <c r="D718" s="1"/>
      <c r="E718" s="1"/>
      <c r="F718" s="156"/>
      <c r="G718" s="157"/>
      <c r="H718" s="184"/>
      <c r="I718" s="184"/>
      <c r="J718" s="184"/>
      <c r="K718" s="184"/>
      <c r="L718" s="184"/>
      <c r="M718" s="4"/>
      <c r="N718" s="184"/>
      <c r="O718" s="1"/>
      <c r="P718" s="5"/>
      <c r="Q718" s="4"/>
      <c r="R718" s="1"/>
      <c r="S718" s="1"/>
      <c r="T718" s="1"/>
      <c r="U718" s="6"/>
      <c r="V718" s="184"/>
      <c r="W718" s="184"/>
      <c r="X718" s="155"/>
      <c r="Y718" s="155"/>
      <c r="Z718" s="155"/>
      <c r="AA718" s="155"/>
      <c r="AB718" s="155"/>
      <c r="AC718" s="184"/>
      <c r="AD718" s="155"/>
      <c r="AE718" s="155"/>
      <c r="AF718" s="155"/>
      <c r="AG718" s="155"/>
      <c r="AH718" s="155"/>
      <c r="AI718" s="155"/>
      <c r="AJ718" s="155"/>
      <c r="AK718" s="155"/>
      <c r="AL718" s="155"/>
      <c r="AM718" s="155"/>
      <c r="AN718" s="155"/>
      <c r="AO718" s="155"/>
      <c r="AP718" s="155"/>
      <c r="AQ718" s="155"/>
      <c r="AR718" s="155"/>
      <c r="AS718" s="155"/>
      <c r="AT718" s="155"/>
      <c r="AU718" s="155"/>
      <c r="AV718" s="155"/>
      <c r="AW718" s="155"/>
    </row>
    <row r="719" spans="1:49" ht="16.5" customHeight="1">
      <c r="A719" s="155"/>
      <c r="B719" s="155"/>
      <c r="C719" s="1"/>
      <c r="D719" s="1"/>
      <c r="E719" s="1"/>
      <c r="F719" s="156"/>
      <c r="G719" s="157"/>
      <c r="H719" s="184"/>
      <c r="I719" s="184"/>
      <c r="J719" s="184"/>
      <c r="K719" s="184"/>
      <c r="L719" s="184"/>
      <c r="M719" s="4"/>
      <c r="N719" s="184"/>
      <c r="O719" s="1"/>
      <c r="P719" s="5"/>
      <c r="Q719" s="4"/>
      <c r="R719" s="1"/>
      <c r="S719" s="1"/>
      <c r="T719" s="1"/>
      <c r="U719" s="6"/>
      <c r="V719" s="184"/>
      <c r="W719" s="184"/>
      <c r="X719" s="155"/>
      <c r="Y719" s="155"/>
      <c r="Z719" s="155"/>
      <c r="AA719" s="155"/>
      <c r="AB719" s="155"/>
      <c r="AC719" s="184"/>
      <c r="AD719" s="155"/>
      <c r="AE719" s="155"/>
      <c r="AF719" s="155"/>
      <c r="AG719" s="155"/>
      <c r="AH719" s="155"/>
      <c r="AI719" s="155"/>
      <c r="AJ719" s="155"/>
      <c r="AK719" s="155"/>
      <c r="AL719" s="155"/>
      <c r="AM719" s="155"/>
      <c r="AN719" s="155"/>
      <c r="AO719" s="155"/>
      <c r="AP719" s="155"/>
      <c r="AQ719" s="155"/>
      <c r="AR719" s="155"/>
      <c r="AS719" s="155"/>
      <c r="AT719" s="155"/>
      <c r="AU719" s="155"/>
      <c r="AV719" s="155"/>
      <c r="AW719" s="155"/>
    </row>
    <row r="720" spans="1:49" ht="16.5" customHeight="1">
      <c r="A720" s="155"/>
      <c r="B720" s="155"/>
      <c r="C720" s="1"/>
      <c r="D720" s="1"/>
      <c r="E720" s="1"/>
      <c r="F720" s="156"/>
      <c r="G720" s="157"/>
      <c r="H720" s="184"/>
      <c r="I720" s="184"/>
      <c r="J720" s="184"/>
      <c r="K720" s="184"/>
      <c r="L720" s="184"/>
      <c r="M720" s="4"/>
      <c r="N720" s="184"/>
      <c r="O720" s="1"/>
      <c r="P720" s="5"/>
      <c r="Q720" s="4"/>
      <c r="R720" s="1"/>
      <c r="S720" s="1"/>
      <c r="T720" s="1"/>
      <c r="U720" s="6"/>
      <c r="V720" s="184"/>
      <c r="W720" s="184"/>
      <c r="X720" s="155"/>
      <c r="Y720" s="155"/>
      <c r="Z720" s="155"/>
      <c r="AA720" s="155"/>
      <c r="AB720" s="155"/>
      <c r="AC720" s="184"/>
      <c r="AD720" s="155"/>
      <c r="AE720" s="155"/>
      <c r="AF720" s="155"/>
      <c r="AG720" s="155"/>
      <c r="AH720" s="155"/>
      <c r="AI720" s="155"/>
      <c r="AJ720" s="155"/>
      <c r="AK720" s="155"/>
      <c r="AL720" s="155"/>
      <c r="AM720" s="155"/>
      <c r="AN720" s="155"/>
      <c r="AO720" s="155"/>
      <c r="AP720" s="155"/>
      <c r="AQ720" s="155"/>
      <c r="AR720" s="155"/>
      <c r="AS720" s="155"/>
      <c r="AT720" s="155"/>
      <c r="AU720" s="155"/>
      <c r="AV720" s="155"/>
      <c r="AW720" s="155"/>
    </row>
    <row r="721" spans="1:49" ht="16.5" customHeight="1">
      <c r="A721" s="155"/>
      <c r="B721" s="155"/>
      <c r="C721" s="1"/>
      <c r="D721" s="1"/>
      <c r="E721" s="1"/>
      <c r="F721" s="156"/>
      <c r="G721" s="157"/>
      <c r="H721" s="184"/>
      <c r="I721" s="184"/>
      <c r="J721" s="184"/>
      <c r="K721" s="184"/>
      <c r="L721" s="184"/>
      <c r="M721" s="4"/>
      <c r="N721" s="184"/>
      <c r="O721" s="1"/>
      <c r="P721" s="5"/>
      <c r="Q721" s="4"/>
      <c r="R721" s="1"/>
      <c r="S721" s="1"/>
      <c r="T721" s="1"/>
      <c r="U721" s="6"/>
      <c r="V721" s="184"/>
      <c r="W721" s="184"/>
      <c r="X721" s="155"/>
      <c r="Y721" s="155"/>
      <c r="Z721" s="155"/>
      <c r="AA721" s="155"/>
      <c r="AB721" s="155"/>
      <c r="AC721" s="184"/>
      <c r="AD721" s="155"/>
      <c r="AE721" s="155"/>
      <c r="AF721" s="155"/>
      <c r="AG721" s="155"/>
      <c r="AH721" s="155"/>
      <c r="AI721" s="155"/>
      <c r="AJ721" s="155"/>
      <c r="AK721" s="155"/>
      <c r="AL721" s="155"/>
      <c r="AM721" s="155"/>
      <c r="AN721" s="155"/>
      <c r="AO721" s="155"/>
      <c r="AP721" s="155"/>
      <c r="AQ721" s="155"/>
      <c r="AR721" s="155"/>
      <c r="AS721" s="155"/>
      <c r="AT721" s="155"/>
      <c r="AU721" s="155"/>
      <c r="AV721" s="155"/>
      <c r="AW721" s="155"/>
    </row>
    <row r="722" spans="1:49" ht="16.5" customHeight="1">
      <c r="A722" s="155"/>
      <c r="B722" s="155"/>
      <c r="C722" s="1"/>
      <c r="D722" s="1"/>
      <c r="E722" s="1"/>
      <c r="F722" s="156"/>
      <c r="G722" s="157"/>
      <c r="H722" s="184"/>
      <c r="I722" s="184"/>
      <c r="J722" s="184"/>
      <c r="K722" s="184"/>
      <c r="L722" s="184"/>
      <c r="M722" s="4"/>
      <c r="N722" s="184"/>
      <c r="O722" s="1"/>
      <c r="P722" s="5"/>
      <c r="Q722" s="4"/>
      <c r="R722" s="1"/>
      <c r="S722" s="1"/>
      <c r="T722" s="1"/>
      <c r="U722" s="6"/>
      <c r="V722" s="184"/>
      <c r="W722" s="184"/>
      <c r="X722" s="155"/>
      <c r="Y722" s="155"/>
      <c r="Z722" s="155"/>
      <c r="AA722" s="155"/>
      <c r="AB722" s="155"/>
      <c r="AC722" s="184"/>
      <c r="AD722" s="155"/>
      <c r="AE722" s="155"/>
      <c r="AF722" s="155"/>
      <c r="AG722" s="155"/>
      <c r="AH722" s="155"/>
      <c r="AI722" s="155"/>
      <c r="AJ722" s="155"/>
      <c r="AK722" s="155"/>
      <c r="AL722" s="155"/>
      <c r="AM722" s="155"/>
      <c r="AN722" s="155"/>
      <c r="AO722" s="155"/>
      <c r="AP722" s="155"/>
      <c r="AQ722" s="155"/>
      <c r="AR722" s="155"/>
      <c r="AS722" s="155"/>
      <c r="AT722" s="155"/>
      <c r="AU722" s="155"/>
      <c r="AV722" s="155"/>
      <c r="AW722" s="155"/>
    </row>
    <row r="723" spans="1:49" ht="16.5" customHeight="1">
      <c r="A723" s="155"/>
      <c r="B723" s="155"/>
      <c r="C723" s="1"/>
      <c r="D723" s="1"/>
      <c r="E723" s="1"/>
      <c r="F723" s="156"/>
      <c r="G723" s="157"/>
      <c r="H723" s="184"/>
      <c r="I723" s="184"/>
      <c r="J723" s="184"/>
      <c r="K723" s="184"/>
      <c r="L723" s="184"/>
      <c r="M723" s="4"/>
      <c r="N723" s="184"/>
      <c r="O723" s="1"/>
      <c r="P723" s="5"/>
      <c r="Q723" s="4"/>
      <c r="R723" s="1"/>
      <c r="S723" s="1"/>
      <c r="T723" s="1"/>
      <c r="U723" s="6"/>
      <c r="V723" s="184"/>
      <c r="W723" s="184"/>
      <c r="X723" s="155"/>
      <c r="Y723" s="155"/>
      <c r="Z723" s="155"/>
      <c r="AA723" s="155"/>
      <c r="AB723" s="155"/>
      <c r="AC723" s="184"/>
      <c r="AD723" s="155"/>
      <c r="AE723" s="155"/>
      <c r="AF723" s="155"/>
      <c r="AG723" s="155"/>
      <c r="AH723" s="155"/>
      <c r="AI723" s="155"/>
      <c r="AJ723" s="155"/>
      <c r="AK723" s="155"/>
      <c r="AL723" s="155"/>
      <c r="AM723" s="155"/>
      <c r="AN723" s="155"/>
      <c r="AO723" s="155"/>
      <c r="AP723" s="155"/>
      <c r="AQ723" s="155"/>
      <c r="AR723" s="155"/>
      <c r="AS723" s="155"/>
      <c r="AT723" s="155"/>
      <c r="AU723" s="155"/>
      <c r="AV723" s="155"/>
      <c r="AW723" s="155"/>
    </row>
    <row r="724" spans="1:49" ht="16.5" customHeight="1">
      <c r="A724" s="155"/>
      <c r="B724" s="155"/>
      <c r="C724" s="1"/>
      <c r="D724" s="1"/>
      <c r="E724" s="1"/>
      <c r="F724" s="156"/>
      <c r="G724" s="157"/>
      <c r="H724" s="184"/>
      <c r="I724" s="184"/>
      <c r="J724" s="184"/>
      <c r="K724" s="184"/>
      <c r="L724" s="184"/>
      <c r="M724" s="4"/>
      <c r="N724" s="184"/>
      <c r="O724" s="1"/>
      <c r="P724" s="5"/>
      <c r="Q724" s="4"/>
      <c r="R724" s="1"/>
      <c r="S724" s="1"/>
      <c r="T724" s="1"/>
      <c r="U724" s="6"/>
      <c r="V724" s="184"/>
      <c r="W724" s="184"/>
      <c r="X724" s="155"/>
      <c r="Y724" s="155"/>
      <c r="Z724" s="155"/>
      <c r="AA724" s="155"/>
      <c r="AB724" s="155"/>
      <c r="AC724" s="184"/>
      <c r="AD724" s="155"/>
      <c r="AE724" s="155"/>
      <c r="AF724" s="155"/>
      <c r="AG724" s="155"/>
      <c r="AH724" s="155"/>
      <c r="AI724" s="155"/>
      <c r="AJ724" s="155"/>
      <c r="AK724" s="155"/>
      <c r="AL724" s="155"/>
      <c r="AM724" s="155"/>
      <c r="AN724" s="155"/>
      <c r="AO724" s="155"/>
      <c r="AP724" s="155"/>
      <c r="AQ724" s="155"/>
      <c r="AR724" s="155"/>
      <c r="AS724" s="155"/>
      <c r="AT724" s="155"/>
      <c r="AU724" s="155"/>
      <c r="AV724" s="155"/>
      <c r="AW724" s="155"/>
    </row>
    <row r="725" spans="1:49" ht="16.5" customHeight="1">
      <c r="A725" s="155"/>
      <c r="B725" s="155"/>
      <c r="C725" s="1"/>
      <c r="D725" s="1"/>
      <c r="E725" s="1"/>
      <c r="F725" s="156"/>
      <c r="G725" s="157"/>
      <c r="H725" s="184"/>
      <c r="I725" s="184"/>
      <c r="J725" s="184"/>
      <c r="K725" s="184"/>
      <c r="L725" s="184"/>
      <c r="M725" s="4"/>
      <c r="N725" s="184"/>
      <c r="O725" s="1"/>
      <c r="P725" s="5"/>
      <c r="Q725" s="4"/>
      <c r="R725" s="1"/>
      <c r="S725" s="1"/>
      <c r="T725" s="1"/>
      <c r="U725" s="6"/>
      <c r="V725" s="184"/>
      <c r="W725" s="184"/>
      <c r="X725" s="155"/>
      <c r="Y725" s="155"/>
      <c r="Z725" s="155"/>
      <c r="AA725" s="155"/>
      <c r="AB725" s="155"/>
      <c r="AC725" s="184"/>
      <c r="AD725" s="155"/>
      <c r="AE725" s="155"/>
      <c r="AF725" s="155"/>
      <c r="AG725" s="155"/>
      <c r="AH725" s="155"/>
      <c r="AI725" s="155"/>
      <c r="AJ725" s="155"/>
      <c r="AK725" s="155"/>
      <c r="AL725" s="155"/>
      <c r="AM725" s="155"/>
      <c r="AN725" s="155"/>
      <c r="AO725" s="155"/>
      <c r="AP725" s="155"/>
      <c r="AQ725" s="155"/>
      <c r="AR725" s="155"/>
      <c r="AS725" s="155"/>
      <c r="AT725" s="155"/>
      <c r="AU725" s="155"/>
      <c r="AV725" s="155"/>
      <c r="AW725" s="155"/>
    </row>
    <row r="726" spans="1:49" ht="16.5" customHeight="1">
      <c r="A726" s="155"/>
      <c r="B726" s="155"/>
      <c r="C726" s="1"/>
      <c r="D726" s="1"/>
      <c r="E726" s="1"/>
      <c r="F726" s="156"/>
      <c r="G726" s="157"/>
      <c r="H726" s="184"/>
      <c r="I726" s="184"/>
      <c r="J726" s="184"/>
      <c r="K726" s="184"/>
      <c r="L726" s="184"/>
      <c r="M726" s="4"/>
      <c r="N726" s="184"/>
      <c r="O726" s="1"/>
      <c r="P726" s="5"/>
      <c r="Q726" s="4"/>
      <c r="R726" s="1"/>
      <c r="S726" s="1"/>
      <c r="T726" s="1"/>
      <c r="U726" s="6"/>
      <c r="V726" s="184"/>
      <c r="W726" s="184"/>
      <c r="X726" s="155"/>
      <c r="Y726" s="155"/>
      <c r="Z726" s="155"/>
      <c r="AA726" s="155"/>
      <c r="AB726" s="155"/>
      <c r="AC726" s="184"/>
      <c r="AD726" s="155"/>
      <c r="AE726" s="155"/>
      <c r="AF726" s="155"/>
      <c r="AG726" s="155"/>
      <c r="AH726" s="155"/>
      <c r="AI726" s="155"/>
      <c r="AJ726" s="155"/>
      <c r="AK726" s="155"/>
      <c r="AL726" s="155"/>
      <c r="AM726" s="155"/>
      <c r="AN726" s="155"/>
      <c r="AO726" s="155"/>
      <c r="AP726" s="155"/>
      <c r="AQ726" s="155"/>
      <c r="AR726" s="155"/>
      <c r="AS726" s="155"/>
      <c r="AT726" s="155"/>
      <c r="AU726" s="155"/>
      <c r="AV726" s="155"/>
      <c r="AW726" s="155"/>
    </row>
    <row r="727" spans="1:49" ht="16.5" customHeight="1">
      <c r="A727" s="155"/>
      <c r="B727" s="155"/>
      <c r="C727" s="1"/>
      <c r="D727" s="1"/>
      <c r="E727" s="1"/>
      <c r="F727" s="156"/>
      <c r="G727" s="157"/>
      <c r="H727" s="184"/>
      <c r="I727" s="184"/>
      <c r="J727" s="184"/>
      <c r="K727" s="184"/>
      <c r="L727" s="184"/>
      <c r="M727" s="4"/>
      <c r="N727" s="184"/>
      <c r="O727" s="1"/>
      <c r="P727" s="5"/>
      <c r="Q727" s="4"/>
      <c r="R727" s="1"/>
      <c r="S727" s="1"/>
      <c r="T727" s="1"/>
      <c r="U727" s="6"/>
      <c r="V727" s="184"/>
      <c r="W727" s="184"/>
      <c r="X727" s="155"/>
      <c r="Y727" s="155"/>
      <c r="Z727" s="155"/>
      <c r="AA727" s="155"/>
      <c r="AB727" s="155"/>
      <c r="AC727" s="184"/>
      <c r="AD727" s="155"/>
      <c r="AE727" s="155"/>
      <c r="AF727" s="155"/>
      <c r="AG727" s="155"/>
      <c r="AH727" s="155"/>
      <c r="AI727" s="155"/>
      <c r="AJ727" s="155"/>
      <c r="AK727" s="155"/>
      <c r="AL727" s="155"/>
      <c r="AM727" s="155"/>
      <c r="AN727" s="155"/>
      <c r="AO727" s="155"/>
      <c r="AP727" s="155"/>
      <c r="AQ727" s="155"/>
      <c r="AR727" s="155"/>
      <c r="AS727" s="155"/>
      <c r="AT727" s="155"/>
      <c r="AU727" s="155"/>
      <c r="AV727" s="155"/>
      <c r="AW727" s="155"/>
    </row>
    <row r="728" spans="1:49" ht="16.5" customHeight="1">
      <c r="A728" s="155"/>
      <c r="B728" s="155"/>
      <c r="C728" s="1"/>
      <c r="D728" s="1"/>
      <c r="E728" s="1"/>
      <c r="F728" s="156"/>
      <c r="G728" s="157"/>
      <c r="H728" s="184"/>
      <c r="I728" s="184"/>
      <c r="J728" s="184"/>
      <c r="K728" s="184"/>
      <c r="L728" s="184"/>
      <c r="M728" s="4"/>
      <c r="N728" s="184"/>
      <c r="O728" s="1"/>
      <c r="P728" s="5"/>
      <c r="Q728" s="4"/>
      <c r="R728" s="1"/>
      <c r="S728" s="1"/>
      <c r="T728" s="1"/>
      <c r="U728" s="6"/>
      <c r="V728" s="184"/>
      <c r="W728" s="184"/>
      <c r="X728" s="155"/>
      <c r="Y728" s="155"/>
      <c r="Z728" s="155"/>
      <c r="AA728" s="155"/>
      <c r="AB728" s="155"/>
      <c r="AC728" s="184"/>
      <c r="AD728" s="155"/>
      <c r="AE728" s="155"/>
      <c r="AF728" s="155"/>
      <c r="AG728" s="155"/>
      <c r="AH728" s="155"/>
      <c r="AI728" s="155"/>
      <c r="AJ728" s="155"/>
      <c r="AK728" s="155"/>
      <c r="AL728" s="155"/>
      <c r="AM728" s="155"/>
      <c r="AN728" s="155"/>
      <c r="AO728" s="155"/>
      <c r="AP728" s="155"/>
      <c r="AQ728" s="155"/>
      <c r="AR728" s="155"/>
      <c r="AS728" s="155"/>
      <c r="AT728" s="155"/>
      <c r="AU728" s="155"/>
      <c r="AV728" s="155"/>
      <c r="AW728" s="155"/>
    </row>
    <row r="729" spans="1:49" ht="16.5" customHeight="1">
      <c r="A729" s="155"/>
      <c r="B729" s="155"/>
      <c r="C729" s="1"/>
      <c r="D729" s="1"/>
      <c r="E729" s="1"/>
      <c r="F729" s="156"/>
      <c r="G729" s="157"/>
      <c r="H729" s="184"/>
      <c r="I729" s="184"/>
      <c r="J729" s="184"/>
      <c r="K729" s="184"/>
      <c r="L729" s="184"/>
      <c r="M729" s="4"/>
      <c r="N729" s="184"/>
      <c r="O729" s="1"/>
      <c r="P729" s="5"/>
      <c r="Q729" s="4"/>
      <c r="R729" s="1"/>
      <c r="S729" s="1"/>
      <c r="T729" s="1"/>
      <c r="U729" s="6"/>
      <c r="V729" s="184"/>
      <c r="W729" s="184"/>
      <c r="X729" s="155"/>
      <c r="Y729" s="155"/>
      <c r="Z729" s="155"/>
      <c r="AA729" s="155"/>
      <c r="AB729" s="155"/>
      <c r="AC729" s="184"/>
      <c r="AD729" s="155"/>
      <c r="AE729" s="155"/>
      <c r="AF729" s="155"/>
      <c r="AG729" s="155"/>
      <c r="AH729" s="155"/>
      <c r="AI729" s="155"/>
      <c r="AJ729" s="155"/>
      <c r="AK729" s="155"/>
      <c r="AL729" s="155"/>
      <c r="AM729" s="155"/>
      <c r="AN729" s="155"/>
      <c r="AO729" s="155"/>
      <c r="AP729" s="155"/>
      <c r="AQ729" s="155"/>
      <c r="AR729" s="155"/>
      <c r="AS729" s="155"/>
      <c r="AT729" s="155"/>
      <c r="AU729" s="155"/>
      <c r="AV729" s="155"/>
      <c r="AW729" s="155"/>
    </row>
    <row r="730" spans="1:49" ht="16.5" customHeight="1">
      <c r="A730" s="155"/>
      <c r="B730" s="155"/>
      <c r="C730" s="1"/>
      <c r="D730" s="1"/>
      <c r="E730" s="1"/>
      <c r="F730" s="156"/>
      <c r="G730" s="157"/>
      <c r="H730" s="184"/>
      <c r="I730" s="184"/>
      <c r="J730" s="184"/>
      <c r="K730" s="184"/>
      <c r="L730" s="184"/>
      <c r="M730" s="4"/>
      <c r="N730" s="184"/>
      <c r="O730" s="1"/>
      <c r="P730" s="5"/>
      <c r="Q730" s="4"/>
      <c r="R730" s="1"/>
      <c r="S730" s="1"/>
      <c r="T730" s="1"/>
      <c r="U730" s="6"/>
      <c r="V730" s="184"/>
      <c r="W730" s="184"/>
      <c r="X730" s="155"/>
      <c r="Y730" s="155"/>
      <c r="Z730" s="155"/>
      <c r="AA730" s="155"/>
      <c r="AB730" s="155"/>
      <c r="AC730" s="184"/>
      <c r="AD730" s="155"/>
      <c r="AE730" s="155"/>
      <c r="AF730" s="155"/>
      <c r="AG730" s="155"/>
      <c r="AH730" s="155"/>
      <c r="AI730" s="155"/>
      <c r="AJ730" s="155"/>
      <c r="AK730" s="155"/>
      <c r="AL730" s="155"/>
      <c r="AM730" s="155"/>
      <c r="AN730" s="155"/>
      <c r="AO730" s="155"/>
      <c r="AP730" s="155"/>
      <c r="AQ730" s="155"/>
      <c r="AR730" s="155"/>
      <c r="AS730" s="155"/>
      <c r="AT730" s="155"/>
      <c r="AU730" s="155"/>
      <c r="AV730" s="155"/>
      <c r="AW730" s="155"/>
    </row>
    <row r="731" spans="1:49" ht="16.5" customHeight="1">
      <c r="A731" s="155"/>
      <c r="B731" s="155"/>
      <c r="C731" s="1"/>
      <c r="D731" s="1"/>
      <c r="E731" s="1"/>
      <c r="F731" s="156"/>
      <c r="G731" s="157"/>
      <c r="H731" s="184"/>
      <c r="I731" s="184"/>
      <c r="J731" s="184"/>
      <c r="K731" s="184"/>
      <c r="L731" s="184"/>
      <c r="M731" s="4"/>
      <c r="N731" s="184"/>
      <c r="O731" s="1"/>
      <c r="P731" s="5"/>
      <c r="Q731" s="4"/>
      <c r="R731" s="1"/>
      <c r="S731" s="1"/>
      <c r="T731" s="1"/>
      <c r="U731" s="6"/>
      <c r="V731" s="184"/>
      <c r="W731" s="184"/>
      <c r="X731" s="155"/>
      <c r="Y731" s="155"/>
      <c r="Z731" s="155"/>
      <c r="AA731" s="155"/>
      <c r="AB731" s="155"/>
      <c r="AC731" s="184"/>
      <c r="AD731" s="155"/>
      <c r="AE731" s="155"/>
      <c r="AF731" s="155"/>
      <c r="AG731" s="155"/>
      <c r="AH731" s="155"/>
      <c r="AI731" s="155"/>
      <c r="AJ731" s="155"/>
      <c r="AK731" s="155"/>
      <c r="AL731" s="155"/>
      <c r="AM731" s="155"/>
      <c r="AN731" s="155"/>
      <c r="AO731" s="155"/>
      <c r="AP731" s="155"/>
      <c r="AQ731" s="155"/>
      <c r="AR731" s="155"/>
      <c r="AS731" s="155"/>
      <c r="AT731" s="155"/>
      <c r="AU731" s="155"/>
      <c r="AV731" s="155"/>
      <c r="AW731" s="155"/>
    </row>
    <row r="732" spans="1:49" ht="16.5" customHeight="1">
      <c r="A732" s="155"/>
      <c r="B732" s="155"/>
      <c r="C732" s="1"/>
      <c r="D732" s="1"/>
      <c r="E732" s="1"/>
      <c r="F732" s="156"/>
      <c r="G732" s="157"/>
      <c r="H732" s="184"/>
      <c r="I732" s="184"/>
      <c r="J732" s="184"/>
      <c r="K732" s="184"/>
      <c r="L732" s="184"/>
      <c r="M732" s="4"/>
      <c r="N732" s="184"/>
      <c r="O732" s="1"/>
      <c r="P732" s="5"/>
      <c r="Q732" s="4"/>
      <c r="R732" s="1"/>
      <c r="S732" s="1"/>
      <c r="T732" s="1"/>
      <c r="U732" s="6"/>
      <c r="V732" s="184"/>
      <c r="W732" s="184"/>
      <c r="X732" s="155"/>
      <c r="Y732" s="155"/>
      <c r="Z732" s="155"/>
      <c r="AA732" s="155"/>
      <c r="AB732" s="155"/>
      <c r="AC732" s="184"/>
      <c r="AD732" s="155"/>
      <c r="AE732" s="155"/>
      <c r="AF732" s="155"/>
      <c r="AG732" s="155"/>
      <c r="AH732" s="155"/>
      <c r="AI732" s="155"/>
      <c r="AJ732" s="155"/>
      <c r="AK732" s="155"/>
      <c r="AL732" s="155"/>
      <c r="AM732" s="155"/>
      <c r="AN732" s="155"/>
      <c r="AO732" s="155"/>
      <c r="AP732" s="155"/>
      <c r="AQ732" s="155"/>
      <c r="AR732" s="155"/>
      <c r="AS732" s="155"/>
      <c r="AT732" s="155"/>
      <c r="AU732" s="155"/>
      <c r="AV732" s="155"/>
      <c r="AW732" s="155"/>
    </row>
    <row r="733" spans="1:49" ht="16.5" customHeight="1">
      <c r="A733" s="155"/>
      <c r="B733" s="155"/>
      <c r="C733" s="1"/>
      <c r="D733" s="1"/>
      <c r="E733" s="1"/>
      <c r="F733" s="156"/>
      <c r="G733" s="157"/>
      <c r="H733" s="184"/>
      <c r="I733" s="184"/>
      <c r="J733" s="184"/>
      <c r="K733" s="184"/>
      <c r="L733" s="184"/>
      <c r="M733" s="4"/>
      <c r="N733" s="184"/>
      <c r="O733" s="1"/>
      <c r="P733" s="5"/>
      <c r="Q733" s="4"/>
      <c r="R733" s="1"/>
      <c r="S733" s="1"/>
      <c r="T733" s="1"/>
      <c r="U733" s="6"/>
      <c r="V733" s="184"/>
      <c r="W733" s="184"/>
      <c r="X733" s="155"/>
      <c r="Y733" s="155"/>
      <c r="Z733" s="155"/>
      <c r="AA733" s="155"/>
      <c r="AB733" s="155"/>
      <c r="AC733" s="184"/>
      <c r="AD733" s="155"/>
      <c r="AE733" s="155"/>
      <c r="AF733" s="155"/>
      <c r="AG733" s="155"/>
      <c r="AH733" s="155"/>
      <c r="AI733" s="155"/>
      <c r="AJ733" s="155"/>
      <c r="AK733" s="155"/>
      <c r="AL733" s="155"/>
      <c r="AM733" s="155"/>
      <c r="AN733" s="155"/>
      <c r="AO733" s="155"/>
      <c r="AP733" s="155"/>
      <c r="AQ733" s="155"/>
      <c r="AR733" s="155"/>
      <c r="AS733" s="155"/>
      <c r="AT733" s="155"/>
      <c r="AU733" s="155"/>
      <c r="AV733" s="155"/>
      <c r="AW733" s="155"/>
    </row>
    <row r="734" spans="1:49" ht="16.5" customHeight="1">
      <c r="A734" s="155"/>
      <c r="B734" s="155"/>
      <c r="C734" s="1"/>
      <c r="D734" s="1"/>
      <c r="E734" s="1"/>
      <c r="F734" s="156"/>
      <c r="G734" s="157"/>
      <c r="H734" s="184"/>
      <c r="I734" s="184"/>
      <c r="J734" s="184"/>
      <c r="K734" s="184"/>
      <c r="L734" s="184"/>
      <c r="M734" s="4"/>
      <c r="N734" s="184"/>
      <c r="O734" s="1"/>
      <c r="P734" s="5"/>
      <c r="Q734" s="4"/>
      <c r="R734" s="1"/>
      <c r="S734" s="1"/>
      <c r="T734" s="1"/>
      <c r="U734" s="6"/>
      <c r="V734" s="184"/>
      <c r="W734" s="184"/>
      <c r="X734" s="155"/>
      <c r="Y734" s="155"/>
      <c r="Z734" s="155"/>
      <c r="AA734" s="155"/>
      <c r="AB734" s="155"/>
      <c r="AC734" s="184"/>
      <c r="AD734" s="155"/>
      <c r="AE734" s="155"/>
      <c r="AF734" s="155"/>
      <c r="AG734" s="155"/>
      <c r="AH734" s="155"/>
      <c r="AI734" s="155"/>
      <c r="AJ734" s="155"/>
      <c r="AK734" s="155"/>
      <c r="AL734" s="155"/>
      <c r="AM734" s="155"/>
      <c r="AN734" s="155"/>
      <c r="AO734" s="155"/>
      <c r="AP734" s="155"/>
      <c r="AQ734" s="155"/>
      <c r="AR734" s="155"/>
      <c r="AS734" s="155"/>
      <c r="AT734" s="155"/>
      <c r="AU734" s="155"/>
      <c r="AV734" s="155"/>
      <c r="AW734" s="155"/>
    </row>
    <row r="735" spans="1:49" ht="16.5" customHeight="1">
      <c r="A735" s="155"/>
      <c r="B735" s="155"/>
      <c r="C735" s="1"/>
      <c r="D735" s="1"/>
      <c r="E735" s="1"/>
      <c r="F735" s="156"/>
      <c r="G735" s="157"/>
      <c r="H735" s="184"/>
      <c r="I735" s="184"/>
      <c r="J735" s="184"/>
      <c r="K735" s="184"/>
      <c r="L735" s="184"/>
      <c r="M735" s="4"/>
      <c r="N735" s="184"/>
      <c r="O735" s="1"/>
      <c r="P735" s="5"/>
      <c r="Q735" s="4"/>
      <c r="R735" s="1"/>
      <c r="S735" s="1"/>
      <c r="T735" s="1"/>
      <c r="U735" s="6"/>
      <c r="V735" s="184"/>
      <c r="W735" s="184"/>
      <c r="X735" s="155"/>
      <c r="Y735" s="155"/>
      <c r="Z735" s="155"/>
      <c r="AA735" s="155"/>
      <c r="AB735" s="155"/>
      <c r="AC735" s="184"/>
      <c r="AD735" s="155"/>
      <c r="AE735" s="155"/>
      <c r="AF735" s="155"/>
      <c r="AG735" s="155"/>
      <c r="AH735" s="155"/>
      <c r="AI735" s="155"/>
      <c r="AJ735" s="155"/>
      <c r="AK735" s="155"/>
      <c r="AL735" s="155"/>
      <c r="AM735" s="155"/>
      <c r="AN735" s="155"/>
      <c r="AO735" s="155"/>
      <c r="AP735" s="155"/>
      <c r="AQ735" s="155"/>
      <c r="AR735" s="155"/>
      <c r="AS735" s="155"/>
      <c r="AT735" s="155"/>
      <c r="AU735" s="155"/>
      <c r="AV735" s="155"/>
      <c r="AW735" s="155"/>
    </row>
    <row r="736" spans="1:49" ht="16.5" customHeight="1">
      <c r="A736" s="155"/>
      <c r="B736" s="155"/>
      <c r="C736" s="1"/>
      <c r="D736" s="1"/>
      <c r="E736" s="1"/>
      <c r="F736" s="156"/>
      <c r="G736" s="157"/>
      <c r="H736" s="184"/>
      <c r="I736" s="184"/>
      <c r="J736" s="184"/>
      <c r="K736" s="184"/>
      <c r="L736" s="184"/>
      <c r="M736" s="4"/>
      <c r="N736" s="184"/>
      <c r="O736" s="1"/>
      <c r="P736" s="5"/>
      <c r="Q736" s="4"/>
      <c r="R736" s="1"/>
      <c r="S736" s="1"/>
      <c r="T736" s="1"/>
      <c r="U736" s="6"/>
      <c r="V736" s="184"/>
      <c r="W736" s="184"/>
      <c r="X736" s="155"/>
      <c r="Y736" s="155"/>
      <c r="Z736" s="155"/>
      <c r="AA736" s="155"/>
      <c r="AB736" s="155"/>
      <c r="AC736" s="184"/>
      <c r="AD736" s="155"/>
      <c r="AE736" s="155"/>
      <c r="AF736" s="155"/>
      <c r="AG736" s="155"/>
      <c r="AH736" s="155"/>
      <c r="AI736" s="155"/>
      <c r="AJ736" s="155"/>
      <c r="AK736" s="155"/>
      <c r="AL736" s="155"/>
      <c r="AM736" s="155"/>
      <c r="AN736" s="155"/>
      <c r="AO736" s="155"/>
      <c r="AP736" s="155"/>
      <c r="AQ736" s="155"/>
      <c r="AR736" s="155"/>
      <c r="AS736" s="155"/>
      <c r="AT736" s="155"/>
      <c r="AU736" s="155"/>
      <c r="AV736" s="155"/>
      <c r="AW736" s="155"/>
    </row>
    <row r="737" spans="1:49" ht="16.5" customHeight="1">
      <c r="A737" s="155"/>
      <c r="B737" s="155"/>
      <c r="C737" s="1"/>
      <c r="D737" s="1"/>
      <c r="E737" s="1"/>
      <c r="F737" s="156"/>
      <c r="G737" s="157"/>
      <c r="H737" s="184"/>
      <c r="I737" s="184"/>
      <c r="J737" s="184"/>
      <c r="K737" s="184"/>
      <c r="L737" s="184"/>
      <c r="M737" s="4"/>
      <c r="N737" s="184"/>
      <c r="O737" s="1"/>
      <c r="P737" s="5"/>
      <c r="Q737" s="4"/>
      <c r="R737" s="1"/>
      <c r="S737" s="1"/>
      <c r="T737" s="1"/>
      <c r="U737" s="6"/>
      <c r="V737" s="184"/>
      <c r="W737" s="184"/>
      <c r="X737" s="155"/>
      <c r="Y737" s="155"/>
      <c r="Z737" s="155"/>
      <c r="AA737" s="155"/>
      <c r="AB737" s="155"/>
      <c r="AC737" s="184"/>
      <c r="AD737" s="155"/>
      <c r="AE737" s="155"/>
      <c r="AF737" s="155"/>
      <c r="AG737" s="155"/>
      <c r="AH737" s="155"/>
      <c r="AI737" s="155"/>
      <c r="AJ737" s="155"/>
      <c r="AK737" s="155"/>
      <c r="AL737" s="155"/>
      <c r="AM737" s="155"/>
      <c r="AN737" s="155"/>
      <c r="AO737" s="155"/>
      <c r="AP737" s="155"/>
      <c r="AQ737" s="155"/>
      <c r="AR737" s="155"/>
      <c r="AS737" s="155"/>
      <c r="AT737" s="155"/>
      <c r="AU737" s="155"/>
      <c r="AV737" s="155"/>
      <c r="AW737" s="155"/>
    </row>
    <row r="738" spans="1:49" ht="16.5" customHeight="1">
      <c r="A738" s="155"/>
      <c r="B738" s="155"/>
      <c r="C738" s="1"/>
      <c r="D738" s="1"/>
      <c r="E738" s="1"/>
      <c r="F738" s="156"/>
      <c r="G738" s="157"/>
      <c r="H738" s="184"/>
      <c r="I738" s="184"/>
      <c r="J738" s="184"/>
      <c r="K738" s="184"/>
      <c r="L738" s="184"/>
      <c r="M738" s="4"/>
      <c r="N738" s="184"/>
      <c r="O738" s="1"/>
      <c r="P738" s="5"/>
      <c r="Q738" s="4"/>
      <c r="R738" s="1"/>
      <c r="S738" s="1"/>
      <c r="T738" s="1"/>
      <c r="U738" s="6"/>
      <c r="V738" s="184"/>
      <c r="W738" s="184"/>
      <c r="X738" s="155"/>
      <c r="Y738" s="155"/>
      <c r="Z738" s="155"/>
      <c r="AA738" s="155"/>
      <c r="AB738" s="155"/>
      <c r="AC738" s="184"/>
      <c r="AD738" s="155"/>
      <c r="AE738" s="155"/>
      <c r="AF738" s="155"/>
      <c r="AG738" s="155"/>
      <c r="AH738" s="155"/>
      <c r="AI738" s="155"/>
      <c r="AJ738" s="155"/>
      <c r="AK738" s="155"/>
      <c r="AL738" s="155"/>
      <c r="AM738" s="155"/>
      <c r="AN738" s="155"/>
      <c r="AO738" s="155"/>
      <c r="AP738" s="155"/>
      <c r="AQ738" s="155"/>
      <c r="AR738" s="155"/>
      <c r="AS738" s="155"/>
      <c r="AT738" s="155"/>
      <c r="AU738" s="155"/>
      <c r="AV738" s="155"/>
      <c r="AW738" s="155"/>
    </row>
    <row r="739" spans="1:49" ht="16.5" customHeight="1">
      <c r="A739" s="155"/>
      <c r="B739" s="155"/>
      <c r="C739" s="1"/>
      <c r="D739" s="1"/>
      <c r="E739" s="1"/>
      <c r="F739" s="156"/>
      <c r="G739" s="157"/>
      <c r="H739" s="184"/>
      <c r="I739" s="184"/>
      <c r="J739" s="184"/>
      <c r="K739" s="184"/>
      <c r="L739" s="184"/>
      <c r="M739" s="4"/>
      <c r="N739" s="184"/>
      <c r="O739" s="1"/>
      <c r="P739" s="5"/>
      <c r="Q739" s="4"/>
      <c r="R739" s="1"/>
      <c r="S739" s="1"/>
      <c r="T739" s="1"/>
      <c r="U739" s="6"/>
      <c r="V739" s="184"/>
      <c r="W739" s="184"/>
      <c r="X739" s="155"/>
      <c r="Y739" s="155"/>
      <c r="Z739" s="155"/>
      <c r="AA739" s="155"/>
      <c r="AB739" s="155"/>
      <c r="AC739" s="184"/>
      <c r="AD739" s="155"/>
      <c r="AE739" s="155"/>
      <c r="AF739" s="155"/>
      <c r="AG739" s="155"/>
      <c r="AH739" s="155"/>
      <c r="AI739" s="155"/>
      <c r="AJ739" s="155"/>
      <c r="AK739" s="155"/>
      <c r="AL739" s="155"/>
      <c r="AM739" s="155"/>
      <c r="AN739" s="155"/>
      <c r="AO739" s="155"/>
      <c r="AP739" s="155"/>
      <c r="AQ739" s="155"/>
      <c r="AR739" s="155"/>
      <c r="AS739" s="155"/>
      <c r="AT739" s="155"/>
      <c r="AU739" s="155"/>
      <c r="AV739" s="155"/>
      <c r="AW739" s="155"/>
    </row>
    <row r="740" spans="1:49" ht="16.5" customHeight="1">
      <c r="A740" s="155"/>
      <c r="B740" s="155"/>
      <c r="C740" s="1"/>
      <c r="D740" s="1"/>
      <c r="E740" s="1"/>
      <c r="F740" s="156"/>
      <c r="G740" s="157"/>
      <c r="H740" s="184"/>
      <c r="I740" s="184"/>
      <c r="J740" s="184"/>
      <c r="K740" s="184"/>
      <c r="L740" s="184"/>
      <c r="M740" s="4"/>
      <c r="N740" s="184"/>
      <c r="O740" s="1"/>
      <c r="P740" s="5"/>
      <c r="Q740" s="4"/>
      <c r="R740" s="1"/>
      <c r="S740" s="1"/>
      <c r="T740" s="1"/>
      <c r="U740" s="6"/>
      <c r="V740" s="184"/>
      <c r="W740" s="184"/>
      <c r="X740" s="155"/>
      <c r="Y740" s="155"/>
      <c r="Z740" s="155"/>
      <c r="AA740" s="155"/>
      <c r="AB740" s="155"/>
      <c r="AC740" s="184"/>
      <c r="AD740" s="155"/>
      <c r="AE740" s="155"/>
      <c r="AF740" s="155"/>
      <c r="AG740" s="155"/>
      <c r="AH740" s="155"/>
      <c r="AI740" s="155"/>
      <c r="AJ740" s="155"/>
      <c r="AK740" s="155"/>
      <c r="AL740" s="155"/>
      <c r="AM740" s="155"/>
      <c r="AN740" s="155"/>
      <c r="AO740" s="155"/>
      <c r="AP740" s="155"/>
      <c r="AQ740" s="155"/>
      <c r="AR740" s="155"/>
      <c r="AS740" s="155"/>
      <c r="AT740" s="155"/>
      <c r="AU740" s="155"/>
      <c r="AV740" s="155"/>
      <c r="AW740" s="155"/>
    </row>
    <row r="741" spans="1:49" ht="16.5" customHeight="1">
      <c r="A741" s="155"/>
      <c r="B741" s="155"/>
      <c r="C741" s="1"/>
      <c r="D741" s="1"/>
      <c r="E741" s="1"/>
      <c r="F741" s="156"/>
      <c r="G741" s="157"/>
      <c r="H741" s="184"/>
      <c r="I741" s="184"/>
      <c r="J741" s="184"/>
      <c r="K741" s="184"/>
      <c r="L741" s="184"/>
      <c r="M741" s="4"/>
      <c r="N741" s="184"/>
      <c r="O741" s="1"/>
      <c r="P741" s="5"/>
      <c r="Q741" s="4"/>
      <c r="R741" s="1"/>
      <c r="S741" s="1"/>
      <c r="T741" s="1"/>
      <c r="U741" s="6"/>
      <c r="V741" s="184"/>
      <c r="W741" s="184"/>
      <c r="X741" s="155"/>
      <c r="Y741" s="155"/>
      <c r="Z741" s="155"/>
      <c r="AA741" s="155"/>
      <c r="AB741" s="155"/>
      <c r="AC741" s="184"/>
      <c r="AD741" s="155"/>
      <c r="AE741" s="155"/>
      <c r="AF741" s="155"/>
      <c r="AG741" s="155"/>
      <c r="AH741" s="155"/>
      <c r="AI741" s="155"/>
      <c r="AJ741" s="155"/>
      <c r="AK741" s="155"/>
      <c r="AL741" s="155"/>
      <c r="AM741" s="155"/>
      <c r="AN741" s="155"/>
      <c r="AO741" s="155"/>
      <c r="AP741" s="155"/>
      <c r="AQ741" s="155"/>
      <c r="AR741" s="155"/>
      <c r="AS741" s="155"/>
      <c r="AT741" s="155"/>
      <c r="AU741" s="155"/>
      <c r="AV741" s="155"/>
      <c r="AW741" s="155"/>
    </row>
    <row r="742" spans="1:49" ht="16.5" customHeight="1">
      <c r="A742" s="155"/>
      <c r="B742" s="155"/>
      <c r="C742" s="1"/>
      <c r="D742" s="1"/>
      <c r="E742" s="1"/>
      <c r="F742" s="156"/>
      <c r="G742" s="157"/>
      <c r="H742" s="184"/>
      <c r="I742" s="184"/>
      <c r="J742" s="184"/>
      <c r="K742" s="184"/>
      <c r="L742" s="184"/>
      <c r="M742" s="4"/>
      <c r="N742" s="184"/>
      <c r="O742" s="1"/>
      <c r="P742" s="5"/>
      <c r="Q742" s="4"/>
      <c r="R742" s="1"/>
      <c r="S742" s="1"/>
      <c r="T742" s="1"/>
      <c r="U742" s="6"/>
      <c r="V742" s="184"/>
      <c r="W742" s="184"/>
      <c r="X742" s="155"/>
      <c r="Y742" s="155"/>
      <c r="Z742" s="155"/>
      <c r="AA742" s="155"/>
      <c r="AB742" s="155"/>
      <c r="AC742" s="184"/>
      <c r="AD742" s="155"/>
      <c r="AE742" s="155"/>
      <c r="AF742" s="155"/>
      <c r="AG742" s="155"/>
      <c r="AH742" s="155"/>
      <c r="AI742" s="155"/>
      <c r="AJ742" s="155"/>
      <c r="AK742" s="155"/>
      <c r="AL742" s="155"/>
      <c r="AM742" s="155"/>
      <c r="AN742" s="155"/>
      <c r="AO742" s="155"/>
      <c r="AP742" s="155"/>
      <c r="AQ742" s="155"/>
      <c r="AR742" s="155"/>
      <c r="AS742" s="155"/>
      <c r="AT742" s="155"/>
      <c r="AU742" s="155"/>
      <c r="AV742" s="155"/>
      <c r="AW742" s="155"/>
    </row>
    <row r="743" spans="1:49" ht="16.5" customHeight="1">
      <c r="A743" s="155"/>
      <c r="B743" s="155"/>
      <c r="C743" s="1"/>
      <c r="D743" s="1"/>
      <c r="E743" s="1"/>
      <c r="F743" s="156"/>
      <c r="G743" s="157"/>
      <c r="H743" s="184"/>
      <c r="I743" s="184"/>
      <c r="J743" s="184"/>
      <c r="K743" s="184"/>
      <c r="L743" s="184"/>
      <c r="M743" s="4"/>
      <c r="N743" s="184"/>
      <c r="O743" s="1"/>
      <c r="P743" s="5"/>
      <c r="Q743" s="4"/>
      <c r="R743" s="1"/>
      <c r="S743" s="1"/>
      <c r="T743" s="1"/>
      <c r="U743" s="6"/>
      <c r="V743" s="184"/>
      <c r="W743" s="184"/>
      <c r="X743" s="155"/>
      <c r="Y743" s="155"/>
      <c r="Z743" s="155"/>
      <c r="AA743" s="155"/>
      <c r="AB743" s="155"/>
      <c r="AC743" s="184"/>
      <c r="AD743" s="155"/>
      <c r="AE743" s="155"/>
      <c r="AF743" s="155"/>
      <c r="AG743" s="155"/>
      <c r="AH743" s="155"/>
      <c r="AI743" s="155"/>
      <c r="AJ743" s="155"/>
      <c r="AK743" s="155"/>
      <c r="AL743" s="155"/>
      <c r="AM743" s="155"/>
      <c r="AN743" s="155"/>
      <c r="AO743" s="155"/>
      <c r="AP743" s="155"/>
      <c r="AQ743" s="155"/>
      <c r="AR743" s="155"/>
      <c r="AS743" s="155"/>
      <c r="AT743" s="155"/>
      <c r="AU743" s="155"/>
      <c r="AV743" s="155"/>
      <c r="AW743" s="155"/>
    </row>
    <row r="744" spans="1:49" ht="16.5" customHeight="1">
      <c r="A744" s="155"/>
      <c r="B744" s="155"/>
      <c r="C744" s="1"/>
      <c r="D744" s="1"/>
      <c r="E744" s="1"/>
      <c r="F744" s="156"/>
      <c r="G744" s="157"/>
      <c r="H744" s="184"/>
      <c r="I744" s="184"/>
      <c r="J744" s="184"/>
      <c r="K744" s="184"/>
      <c r="L744" s="184"/>
      <c r="M744" s="4"/>
      <c r="N744" s="184"/>
      <c r="O744" s="1"/>
      <c r="P744" s="5"/>
      <c r="Q744" s="4"/>
      <c r="R744" s="1"/>
      <c r="S744" s="1"/>
      <c r="T744" s="1"/>
      <c r="U744" s="6"/>
      <c r="V744" s="184"/>
      <c r="W744" s="184"/>
      <c r="X744" s="155"/>
      <c r="Y744" s="155"/>
      <c r="Z744" s="155"/>
      <c r="AA744" s="155"/>
      <c r="AB744" s="155"/>
      <c r="AC744" s="184"/>
      <c r="AD744" s="155"/>
      <c r="AE744" s="155"/>
      <c r="AF744" s="155"/>
      <c r="AG744" s="155"/>
      <c r="AH744" s="155"/>
      <c r="AI744" s="155"/>
      <c r="AJ744" s="155"/>
      <c r="AK744" s="155"/>
      <c r="AL744" s="155"/>
      <c r="AM744" s="155"/>
      <c r="AN744" s="155"/>
      <c r="AO744" s="155"/>
      <c r="AP744" s="155"/>
      <c r="AQ744" s="155"/>
      <c r="AR744" s="155"/>
      <c r="AS744" s="155"/>
      <c r="AT744" s="155"/>
      <c r="AU744" s="155"/>
      <c r="AV744" s="155"/>
      <c r="AW744" s="155"/>
    </row>
    <row r="745" spans="1:49" ht="16.5" customHeight="1">
      <c r="A745" s="155"/>
      <c r="B745" s="155"/>
      <c r="C745" s="1"/>
      <c r="D745" s="1"/>
      <c r="E745" s="1"/>
      <c r="F745" s="156"/>
      <c r="G745" s="157"/>
      <c r="H745" s="184"/>
      <c r="I745" s="184"/>
      <c r="J745" s="184"/>
      <c r="K745" s="184"/>
      <c r="L745" s="184"/>
      <c r="M745" s="4"/>
      <c r="N745" s="184"/>
      <c r="O745" s="1"/>
      <c r="P745" s="5"/>
      <c r="Q745" s="4"/>
      <c r="R745" s="1"/>
      <c r="S745" s="1"/>
      <c r="T745" s="1"/>
      <c r="U745" s="6"/>
      <c r="V745" s="184"/>
      <c r="W745" s="184"/>
      <c r="X745" s="155"/>
      <c r="Y745" s="155"/>
      <c r="Z745" s="155"/>
      <c r="AA745" s="155"/>
      <c r="AB745" s="155"/>
      <c r="AC745" s="184"/>
      <c r="AD745" s="155"/>
      <c r="AE745" s="155"/>
      <c r="AF745" s="155"/>
      <c r="AG745" s="155"/>
      <c r="AH745" s="155"/>
      <c r="AI745" s="155"/>
      <c r="AJ745" s="155"/>
      <c r="AK745" s="155"/>
      <c r="AL745" s="155"/>
      <c r="AM745" s="155"/>
      <c r="AN745" s="155"/>
      <c r="AO745" s="155"/>
      <c r="AP745" s="155"/>
      <c r="AQ745" s="155"/>
      <c r="AR745" s="155"/>
      <c r="AS745" s="155"/>
      <c r="AT745" s="155"/>
      <c r="AU745" s="155"/>
      <c r="AV745" s="155"/>
      <c r="AW745" s="155"/>
    </row>
    <row r="746" spans="1:49" ht="16.5" customHeight="1">
      <c r="A746" s="155"/>
      <c r="B746" s="155"/>
      <c r="C746" s="1"/>
      <c r="D746" s="1"/>
      <c r="E746" s="1"/>
      <c r="F746" s="156"/>
      <c r="G746" s="157"/>
      <c r="H746" s="184"/>
      <c r="I746" s="184"/>
      <c r="J746" s="184"/>
      <c r="K746" s="184"/>
      <c r="L746" s="184"/>
      <c r="M746" s="4"/>
      <c r="N746" s="184"/>
      <c r="O746" s="1"/>
      <c r="P746" s="5"/>
      <c r="Q746" s="4"/>
      <c r="R746" s="1"/>
      <c r="S746" s="1"/>
      <c r="T746" s="1"/>
      <c r="U746" s="6"/>
      <c r="V746" s="184"/>
      <c r="W746" s="184"/>
      <c r="X746" s="155"/>
      <c r="Y746" s="155"/>
      <c r="Z746" s="155"/>
      <c r="AA746" s="155"/>
      <c r="AB746" s="155"/>
      <c r="AC746" s="184"/>
      <c r="AD746" s="155"/>
      <c r="AE746" s="155"/>
      <c r="AF746" s="155"/>
      <c r="AG746" s="155"/>
      <c r="AH746" s="155"/>
      <c r="AI746" s="155"/>
      <c r="AJ746" s="155"/>
      <c r="AK746" s="155"/>
      <c r="AL746" s="155"/>
      <c r="AM746" s="155"/>
      <c r="AN746" s="155"/>
      <c r="AO746" s="155"/>
      <c r="AP746" s="155"/>
      <c r="AQ746" s="155"/>
      <c r="AR746" s="155"/>
      <c r="AS746" s="155"/>
      <c r="AT746" s="155"/>
      <c r="AU746" s="155"/>
      <c r="AV746" s="155"/>
      <c r="AW746" s="155"/>
    </row>
    <row r="747" spans="1:49" ht="16.5" customHeight="1">
      <c r="A747" s="155"/>
      <c r="B747" s="155"/>
      <c r="C747" s="1"/>
      <c r="D747" s="1"/>
      <c r="E747" s="1"/>
      <c r="F747" s="156"/>
      <c r="G747" s="157"/>
      <c r="H747" s="184"/>
      <c r="I747" s="184"/>
      <c r="J747" s="184"/>
      <c r="K747" s="184"/>
      <c r="L747" s="184"/>
      <c r="M747" s="4"/>
      <c r="N747" s="184"/>
      <c r="O747" s="1"/>
      <c r="P747" s="5"/>
      <c r="Q747" s="4"/>
      <c r="R747" s="1"/>
      <c r="S747" s="1"/>
      <c r="T747" s="1"/>
      <c r="U747" s="6"/>
      <c r="V747" s="184"/>
      <c r="W747" s="184"/>
      <c r="X747" s="155"/>
      <c r="Y747" s="155"/>
      <c r="Z747" s="155"/>
      <c r="AA747" s="155"/>
      <c r="AB747" s="155"/>
      <c r="AC747" s="184"/>
      <c r="AD747" s="155"/>
      <c r="AE747" s="155"/>
      <c r="AF747" s="155"/>
      <c r="AG747" s="155"/>
      <c r="AH747" s="155"/>
      <c r="AI747" s="155"/>
      <c r="AJ747" s="155"/>
      <c r="AK747" s="155"/>
      <c r="AL747" s="155"/>
      <c r="AM747" s="155"/>
      <c r="AN747" s="155"/>
      <c r="AO747" s="155"/>
      <c r="AP747" s="155"/>
      <c r="AQ747" s="155"/>
      <c r="AR747" s="155"/>
      <c r="AS747" s="155"/>
      <c r="AT747" s="155"/>
      <c r="AU747" s="155"/>
      <c r="AV747" s="155"/>
      <c r="AW747" s="155"/>
    </row>
    <row r="748" spans="1:49" ht="16.5" customHeight="1">
      <c r="A748" s="155"/>
      <c r="B748" s="155"/>
      <c r="C748" s="1"/>
      <c r="D748" s="1"/>
      <c r="E748" s="1"/>
      <c r="F748" s="156"/>
      <c r="G748" s="157"/>
      <c r="H748" s="184"/>
      <c r="I748" s="184"/>
      <c r="J748" s="184"/>
      <c r="K748" s="184"/>
      <c r="L748" s="184"/>
      <c r="M748" s="4"/>
      <c r="N748" s="184"/>
      <c r="O748" s="1"/>
      <c r="P748" s="5"/>
      <c r="Q748" s="4"/>
      <c r="R748" s="1"/>
      <c r="S748" s="1"/>
      <c r="T748" s="1"/>
      <c r="U748" s="6"/>
      <c r="V748" s="184"/>
      <c r="W748" s="184"/>
      <c r="X748" s="155"/>
      <c r="Y748" s="155"/>
      <c r="Z748" s="155"/>
      <c r="AA748" s="155"/>
      <c r="AB748" s="155"/>
      <c r="AC748" s="184"/>
      <c r="AD748" s="155"/>
      <c r="AE748" s="155"/>
      <c r="AF748" s="155"/>
      <c r="AG748" s="155"/>
      <c r="AH748" s="155"/>
      <c r="AI748" s="155"/>
      <c r="AJ748" s="155"/>
      <c r="AK748" s="155"/>
      <c r="AL748" s="155"/>
      <c r="AM748" s="155"/>
      <c r="AN748" s="155"/>
      <c r="AO748" s="155"/>
      <c r="AP748" s="155"/>
      <c r="AQ748" s="155"/>
      <c r="AR748" s="155"/>
      <c r="AS748" s="155"/>
      <c r="AT748" s="155"/>
      <c r="AU748" s="155"/>
      <c r="AV748" s="155"/>
      <c r="AW748" s="155"/>
    </row>
    <row r="749" spans="1:49" ht="16.5" customHeight="1">
      <c r="A749" s="155"/>
      <c r="B749" s="155"/>
      <c r="C749" s="1"/>
      <c r="D749" s="1"/>
      <c r="E749" s="1"/>
      <c r="F749" s="156"/>
      <c r="G749" s="157"/>
      <c r="H749" s="184"/>
      <c r="I749" s="184"/>
      <c r="J749" s="184"/>
      <c r="K749" s="184"/>
      <c r="L749" s="184"/>
      <c r="M749" s="4"/>
      <c r="N749" s="184"/>
      <c r="O749" s="1"/>
      <c r="P749" s="5"/>
      <c r="Q749" s="4"/>
      <c r="R749" s="1"/>
      <c r="S749" s="1"/>
      <c r="T749" s="1"/>
      <c r="U749" s="6"/>
      <c r="V749" s="184"/>
      <c r="W749" s="184"/>
      <c r="X749" s="155"/>
      <c r="Y749" s="155"/>
      <c r="Z749" s="155"/>
      <c r="AA749" s="155"/>
      <c r="AB749" s="155"/>
      <c r="AC749" s="184"/>
      <c r="AD749" s="155"/>
      <c r="AE749" s="155"/>
      <c r="AF749" s="155"/>
      <c r="AG749" s="155"/>
      <c r="AH749" s="155"/>
      <c r="AI749" s="155"/>
      <c r="AJ749" s="155"/>
      <c r="AK749" s="155"/>
      <c r="AL749" s="155"/>
      <c r="AM749" s="155"/>
      <c r="AN749" s="155"/>
      <c r="AO749" s="155"/>
      <c r="AP749" s="155"/>
      <c r="AQ749" s="155"/>
      <c r="AR749" s="155"/>
      <c r="AS749" s="155"/>
      <c r="AT749" s="155"/>
      <c r="AU749" s="155"/>
      <c r="AV749" s="155"/>
      <c r="AW749" s="155"/>
    </row>
    <row r="750" spans="1:49" ht="16.5" customHeight="1">
      <c r="A750" s="155"/>
      <c r="B750" s="155"/>
      <c r="C750" s="1"/>
      <c r="D750" s="1"/>
      <c r="E750" s="1"/>
      <c r="F750" s="156"/>
      <c r="G750" s="157"/>
      <c r="H750" s="184"/>
      <c r="I750" s="184"/>
      <c r="J750" s="184"/>
      <c r="K750" s="184"/>
      <c r="L750" s="184"/>
      <c r="M750" s="4"/>
      <c r="N750" s="184"/>
      <c r="O750" s="1"/>
      <c r="P750" s="5"/>
      <c r="Q750" s="4"/>
      <c r="R750" s="1"/>
      <c r="S750" s="1"/>
      <c r="T750" s="1"/>
      <c r="U750" s="6"/>
      <c r="V750" s="184"/>
      <c r="W750" s="184"/>
      <c r="X750" s="155"/>
      <c r="Y750" s="155"/>
      <c r="Z750" s="155"/>
      <c r="AA750" s="155"/>
      <c r="AB750" s="155"/>
      <c r="AC750" s="184"/>
      <c r="AD750" s="155"/>
      <c r="AE750" s="155"/>
      <c r="AF750" s="155"/>
      <c r="AG750" s="155"/>
      <c r="AH750" s="155"/>
      <c r="AI750" s="155"/>
      <c r="AJ750" s="155"/>
      <c r="AK750" s="155"/>
      <c r="AL750" s="155"/>
      <c r="AM750" s="155"/>
      <c r="AN750" s="155"/>
      <c r="AO750" s="155"/>
      <c r="AP750" s="155"/>
      <c r="AQ750" s="155"/>
      <c r="AR750" s="155"/>
      <c r="AS750" s="155"/>
      <c r="AT750" s="155"/>
      <c r="AU750" s="155"/>
      <c r="AV750" s="155"/>
      <c r="AW750" s="155"/>
    </row>
    <row r="751" spans="1:49" ht="16.5" customHeight="1">
      <c r="A751" s="155"/>
      <c r="B751" s="155"/>
      <c r="C751" s="1"/>
      <c r="D751" s="1"/>
      <c r="E751" s="1"/>
      <c r="F751" s="156"/>
      <c r="G751" s="157"/>
      <c r="H751" s="184"/>
      <c r="I751" s="184"/>
      <c r="J751" s="184"/>
      <c r="K751" s="184"/>
      <c r="L751" s="184"/>
      <c r="M751" s="4"/>
      <c r="N751" s="184"/>
      <c r="O751" s="1"/>
      <c r="P751" s="5"/>
      <c r="Q751" s="4"/>
      <c r="R751" s="1"/>
      <c r="S751" s="1"/>
      <c r="T751" s="1"/>
      <c r="U751" s="6"/>
      <c r="V751" s="184"/>
      <c r="W751" s="184"/>
      <c r="X751" s="155"/>
      <c r="Y751" s="155"/>
      <c r="Z751" s="155"/>
      <c r="AA751" s="155"/>
      <c r="AB751" s="155"/>
      <c r="AC751" s="184"/>
      <c r="AD751" s="155"/>
      <c r="AE751" s="155"/>
      <c r="AF751" s="155"/>
      <c r="AG751" s="155"/>
      <c r="AH751" s="155"/>
      <c r="AI751" s="155"/>
      <c r="AJ751" s="155"/>
      <c r="AK751" s="155"/>
      <c r="AL751" s="155"/>
      <c r="AM751" s="155"/>
      <c r="AN751" s="155"/>
      <c r="AO751" s="155"/>
      <c r="AP751" s="155"/>
      <c r="AQ751" s="155"/>
      <c r="AR751" s="155"/>
      <c r="AS751" s="155"/>
      <c r="AT751" s="155"/>
      <c r="AU751" s="155"/>
      <c r="AV751" s="155"/>
      <c r="AW751" s="155"/>
    </row>
    <row r="752" spans="1:49" ht="16.5" customHeight="1">
      <c r="A752" s="155"/>
      <c r="B752" s="155"/>
      <c r="C752" s="1"/>
      <c r="D752" s="1"/>
      <c r="E752" s="1"/>
      <c r="F752" s="156"/>
      <c r="G752" s="157"/>
      <c r="H752" s="184"/>
      <c r="I752" s="184"/>
      <c r="J752" s="184"/>
      <c r="K752" s="184"/>
      <c r="L752" s="184"/>
      <c r="M752" s="4"/>
      <c r="N752" s="184"/>
      <c r="O752" s="1"/>
      <c r="P752" s="5"/>
      <c r="Q752" s="4"/>
      <c r="R752" s="1"/>
      <c r="S752" s="1"/>
      <c r="T752" s="1"/>
      <c r="U752" s="6"/>
      <c r="V752" s="184"/>
      <c r="W752" s="184"/>
      <c r="X752" s="155"/>
      <c r="Y752" s="155"/>
      <c r="Z752" s="155"/>
      <c r="AA752" s="155"/>
      <c r="AB752" s="155"/>
      <c r="AC752" s="184"/>
      <c r="AD752" s="155"/>
      <c r="AE752" s="155"/>
      <c r="AF752" s="155"/>
      <c r="AG752" s="155"/>
      <c r="AH752" s="155"/>
      <c r="AI752" s="155"/>
      <c r="AJ752" s="155"/>
      <c r="AK752" s="155"/>
      <c r="AL752" s="155"/>
      <c r="AM752" s="155"/>
      <c r="AN752" s="155"/>
      <c r="AO752" s="155"/>
      <c r="AP752" s="155"/>
      <c r="AQ752" s="155"/>
      <c r="AR752" s="155"/>
      <c r="AS752" s="155"/>
      <c r="AT752" s="155"/>
      <c r="AU752" s="155"/>
      <c r="AV752" s="155"/>
      <c r="AW752" s="155"/>
    </row>
    <row r="753" spans="1:49" ht="16.5" customHeight="1">
      <c r="A753" s="155"/>
      <c r="B753" s="155"/>
      <c r="C753" s="1"/>
      <c r="D753" s="1"/>
      <c r="E753" s="1"/>
      <c r="F753" s="156"/>
      <c r="G753" s="157"/>
      <c r="H753" s="184"/>
      <c r="I753" s="184"/>
      <c r="J753" s="184"/>
      <c r="K753" s="184"/>
      <c r="L753" s="184"/>
      <c r="M753" s="4"/>
      <c r="N753" s="184"/>
      <c r="O753" s="1"/>
      <c r="P753" s="5"/>
      <c r="Q753" s="4"/>
      <c r="R753" s="1"/>
      <c r="S753" s="1"/>
      <c r="T753" s="1"/>
      <c r="U753" s="6"/>
      <c r="V753" s="184"/>
      <c r="W753" s="184"/>
      <c r="X753" s="155"/>
      <c r="Y753" s="155"/>
      <c r="Z753" s="155"/>
      <c r="AA753" s="155"/>
      <c r="AB753" s="155"/>
      <c r="AC753" s="184"/>
      <c r="AD753" s="155"/>
      <c r="AE753" s="155"/>
      <c r="AF753" s="155"/>
      <c r="AG753" s="155"/>
      <c r="AH753" s="155"/>
      <c r="AI753" s="155"/>
      <c r="AJ753" s="155"/>
      <c r="AK753" s="155"/>
      <c r="AL753" s="155"/>
      <c r="AM753" s="155"/>
      <c r="AN753" s="155"/>
      <c r="AO753" s="155"/>
      <c r="AP753" s="155"/>
      <c r="AQ753" s="155"/>
      <c r="AR753" s="155"/>
      <c r="AS753" s="155"/>
      <c r="AT753" s="155"/>
      <c r="AU753" s="155"/>
      <c r="AV753" s="155"/>
      <c r="AW753" s="155"/>
    </row>
    <row r="754" spans="1:49" ht="16.5" customHeight="1">
      <c r="A754" s="155"/>
      <c r="B754" s="155"/>
      <c r="C754" s="1"/>
      <c r="D754" s="1"/>
      <c r="E754" s="1"/>
      <c r="F754" s="156"/>
      <c r="G754" s="157"/>
      <c r="H754" s="184"/>
      <c r="I754" s="184"/>
      <c r="J754" s="184"/>
      <c r="K754" s="184"/>
      <c r="L754" s="184"/>
      <c r="M754" s="4"/>
      <c r="N754" s="184"/>
      <c r="O754" s="1"/>
      <c r="P754" s="5"/>
      <c r="Q754" s="4"/>
      <c r="R754" s="1"/>
      <c r="S754" s="1"/>
      <c r="T754" s="1"/>
      <c r="U754" s="6"/>
      <c r="V754" s="184"/>
      <c r="W754" s="184"/>
      <c r="X754" s="155"/>
      <c r="Y754" s="155"/>
      <c r="Z754" s="155"/>
      <c r="AA754" s="155"/>
      <c r="AB754" s="155"/>
      <c r="AC754" s="184"/>
      <c r="AD754" s="155"/>
      <c r="AE754" s="155"/>
      <c r="AF754" s="155"/>
      <c r="AG754" s="155"/>
      <c r="AH754" s="155"/>
      <c r="AI754" s="155"/>
      <c r="AJ754" s="155"/>
      <c r="AK754" s="155"/>
      <c r="AL754" s="155"/>
      <c r="AM754" s="155"/>
      <c r="AN754" s="155"/>
      <c r="AO754" s="155"/>
      <c r="AP754" s="155"/>
      <c r="AQ754" s="155"/>
      <c r="AR754" s="155"/>
      <c r="AS754" s="155"/>
      <c r="AT754" s="155"/>
      <c r="AU754" s="155"/>
      <c r="AV754" s="155"/>
      <c r="AW754" s="155"/>
    </row>
    <row r="755" spans="1:49" ht="16.5" customHeight="1">
      <c r="A755" s="155"/>
      <c r="B755" s="155"/>
      <c r="C755" s="1"/>
      <c r="D755" s="1"/>
      <c r="E755" s="1"/>
      <c r="F755" s="156"/>
      <c r="G755" s="157"/>
      <c r="H755" s="184"/>
      <c r="I755" s="184"/>
      <c r="J755" s="184"/>
      <c r="K755" s="184"/>
      <c r="L755" s="184"/>
      <c r="M755" s="4"/>
      <c r="N755" s="184"/>
      <c r="O755" s="1"/>
      <c r="P755" s="5"/>
      <c r="Q755" s="4"/>
      <c r="R755" s="1"/>
      <c r="S755" s="1"/>
      <c r="T755" s="1"/>
      <c r="U755" s="6"/>
      <c r="V755" s="184"/>
      <c r="W755" s="184"/>
      <c r="X755" s="155"/>
      <c r="Y755" s="155"/>
      <c r="Z755" s="155"/>
      <c r="AA755" s="155"/>
      <c r="AB755" s="155"/>
      <c r="AC755" s="184"/>
      <c r="AD755" s="155"/>
      <c r="AE755" s="155"/>
      <c r="AF755" s="155"/>
      <c r="AG755" s="155"/>
      <c r="AH755" s="155"/>
      <c r="AI755" s="155"/>
      <c r="AJ755" s="155"/>
      <c r="AK755" s="155"/>
      <c r="AL755" s="155"/>
      <c r="AM755" s="155"/>
      <c r="AN755" s="155"/>
      <c r="AO755" s="155"/>
      <c r="AP755" s="155"/>
      <c r="AQ755" s="155"/>
      <c r="AR755" s="155"/>
      <c r="AS755" s="155"/>
      <c r="AT755" s="155"/>
      <c r="AU755" s="155"/>
      <c r="AV755" s="155"/>
      <c r="AW755" s="155"/>
    </row>
    <row r="756" spans="1:49" ht="16.5" customHeight="1">
      <c r="A756" s="155"/>
      <c r="B756" s="155"/>
      <c r="C756" s="1"/>
      <c r="D756" s="1"/>
      <c r="E756" s="1"/>
      <c r="F756" s="156"/>
      <c r="G756" s="157"/>
      <c r="H756" s="184"/>
      <c r="I756" s="184"/>
      <c r="J756" s="184"/>
      <c r="K756" s="184"/>
      <c r="L756" s="184"/>
      <c r="M756" s="4"/>
      <c r="N756" s="184"/>
      <c r="O756" s="1"/>
      <c r="P756" s="5"/>
      <c r="Q756" s="4"/>
      <c r="R756" s="1"/>
      <c r="S756" s="1"/>
      <c r="T756" s="1"/>
      <c r="U756" s="6"/>
      <c r="V756" s="184"/>
      <c r="W756" s="184"/>
      <c r="X756" s="155"/>
      <c r="Y756" s="155"/>
      <c r="Z756" s="155"/>
      <c r="AA756" s="155"/>
      <c r="AB756" s="155"/>
      <c r="AC756" s="184"/>
      <c r="AD756" s="155"/>
      <c r="AE756" s="155"/>
      <c r="AF756" s="155"/>
      <c r="AG756" s="155"/>
      <c r="AH756" s="155"/>
      <c r="AI756" s="155"/>
      <c r="AJ756" s="155"/>
      <c r="AK756" s="155"/>
      <c r="AL756" s="155"/>
      <c r="AM756" s="155"/>
      <c r="AN756" s="155"/>
      <c r="AO756" s="155"/>
      <c r="AP756" s="155"/>
      <c r="AQ756" s="155"/>
      <c r="AR756" s="155"/>
      <c r="AS756" s="155"/>
      <c r="AT756" s="155"/>
      <c r="AU756" s="155"/>
      <c r="AV756" s="155"/>
      <c r="AW756" s="155"/>
    </row>
    <row r="757" spans="1:49" ht="16.5" customHeight="1">
      <c r="A757" s="155"/>
      <c r="B757" s="155"/>
      <c r="C757" s="1"/>
      <c r="D757" s="1"/>
      <c r="E757" s="1"/>
      <c r="F757" s="156"/>
      <c r="G757" s="157"/>
      <c r="H757" s="184"/>
      <c r="I757" s="184"/>
      <c r="J757" s="184"/>
      <c r="K757" s="184"/>
      <c r="L757" s="184"/>
      <c r="M757" s="4"/>
      <c r="N757" s="184"/>
      <c r="O757" s="1"/>
      <c r="P757" s="5"/>
      <c r="Q757" s="4"/>
      <c r="R757" s="1"/>
      <c r="S757" s="1"/>
      <c r="T757" s="1"/>
      <c r="U757" s="6"/>
      <c r="V757" s="184"/>
      <c r="W757" s="184"/>
      <c r="X757" s="155"/>
      <c r="Y757" s="155"/>
      <c r="Z757" s="155"/>
      <c r="AA757" s="155"/>
      <c r="AB757" s="155"/>
      <c r="AC757" s="184"/>
      <c r="AD757" s="155"/>
      <c r="AE757" s="155"/>
      <c r="AF757" s="155"/>
      <c r="AG757" s="155"/>
      <c r="AH757" s="155"/>
      <c r="AI757" s="155"/>
      <c r="AJ757" s="155"/>
      <c r="AK757" s="155"/>
      <c r="AL757" s="155"/>
      <c r="AM757" s="155"/>
      <c r="AN757" s="155"/>
      <c r="AO757" s="155"/>
      <c r="AP757" s="155"/>
      <c r="AQ757" s="155"/>
      <c r="AR757" s="155"/>
      <c r="AS757" s="155"/>
      <c r="AT757" s="155"/>
      <c r="AU757" s="155"/>
      <c r="AV757" s="155"/>
      <c r="AW757" s="155"/>
    </row>
    <row r="758" spans="1:49" ht="16.5" customHeight="1">
      <c r="A758" s="155"/>
      <c r="B758" s="155"/>
      <c r="C758" s="1"/>
      <c r="D758" s="1"/>
      <c r="E758" s="1"/>
      <c r="F758" s="156"/>
      <c r="G758" s="157"/>
      <c r="H758" s="184"/>
      <c r="I758" s="184"/>
      <c r="J758" s="184"/>
      <c r="K758" s="184"/>
      <c r="L758" s="184"/>
      <c r="M758" s="4"/>
      <c r="N758" s="184"/>
      <c r="O758" s="1"/>
      <c r="P758" s="5"/>
      <c r="Q758" s="4"/>
      <c r="R758" s="1"/>
      <c r="S758" s="1"/>
      <c r="T758" s="1"/>
      <c r="U758" s="6"/>
      <c r="V758" s="184"/>
      <c r="W758" s="184"/>
      <c r="X758" s="155"/>
      <c r="Y758" s="155"/>
      <c r="Z758" s="155"/>
      <c r="AA758" s="155"/>
      <c r="AB758" s="155"/>
      <c r="AC758" s="184"/>
      <c r="AD758" s="155"/>
      <c r="AE758" s="155"/>
      <c r="AF758" s="155"/>
      <c r="AG758" s="155"/>
      <c r="AH758" s="155"/>
      <c r="AI758" s="155"/>
      <c r="AJ758" s="155"/>
      <c r="AK758" s="155"/>
      <c r="AL758" s="155"/>
      <c r="AM758" s="155"/>
      <c r="AN758" s="155"/>
      <c r="AO758" s="155"/>
      <c r="AP758" s="155"/>
      <c r="AQ758" s="155"/>
      <c r="AR758" s="155"/>
      <c r="AS758" s="155"/>
      <c r="AT758" s="155"/>
      <c r="AU758" s="155"/>
      <c r="AV758" s="155"/>
      <c r="AW758" s="155"/>
    </row>
    <row r="759" spans="1:49" ht="16.5" customHeight="1">
      <c r="A759" s="155"/>
      <c r="B759" s="155"/>
      <c r="C759" s="1"/>
      <c r="D759" s="1"/>
      <c r="E759" s="1"/>
      <c r="F759" s="156"/>
      <c r="G759" s="157"/>
      <c r="H759" s="184"/>
      <c r="I759" s="184"/>
      <c r="J759" s="184"/>
      <c r="K759" s="184"/>
      <c r="L759" s="184"/>
      <c r="M759" s="4"/>
      <c r="N759" s="184"/>
      <c r="O759" s="1"/>
      <c r="P759" s="5"/>
      <c r="Q759" s="4"/>
      <c r="R759" s="1"/>
      <c r="S759" s="1"/>
      <c r="T759" s="1"/>
      <c r="U759" s="6"/>
      <c r="V759" s="184"/>
      <c r="W759" s="184"/>
      <c r="X759" s="155"/>
      <c r="Y759" s="155"/>
      <c r="Z759" s="155"/>
      <c r="AA759" s="155"/>
      <c r="AB759" s="155"/>
      <c r="AC759" s="184"/>
      <c r="AD759" s="155"/>
      <c r="AE759" s="155"/>
      <c r="AF759" s="155"/>
      <c r="AG759" s="155"/>
      <c r="AH759" s="155"/>
      <c r="AI759" s="155"/>
      <c r="AJ759" s="155"/>
      <c r="AK759" s="155"/>
      <c r="AL759" s="155"/>
      <c r="AM759" s="155"/>
      <c r="AN759" s="155"/>
      <c r="AO759" s="155"/>
      <c r="AP759" s="155"/>
      <c r="AQ759" s="155"/>
      <c r="AR759" s="155"/>
      <c r="AS759" s="155"/>
      <c r="AT759" s="155"/>
      <c r="AU759" s="155"/>
      <c r="AV759" s="155"/>
      <c r="AW759" s="155"/>
    </row>
    <row r="760" spans="1:49" ht="16.5" customHeight="1">
      <c r="A760" s="155"/>
      <c r="B760" s="155"/>
      <c r="C760" s="1"/>
      <c r="D760" s="1"/>
      <c r="E760" s="1"/>
      <c r="F760" s="156"/>
      <c r="G760" s="157"/>
      <c r="H760" s="184"/>
      <c r="I760" s="184"/>
      <c r="J760" s="184"/>
      <c r="K760" s="184"/>
      <c r="L760" s="184"/>
      <c r="M760" s="4"/>
      <c r="N760" s="184"/>
      <c r="O760" s="1"/>
      <c r="P760" s="5"/>
      <c r="Q760" s="4"/>
      <c r="R760" s="1"/>
      <c r="S760" s="1"/>
      <c r="T760" s="1"/>
      <c r="U760" s="6"/>
      <c r="V760" s="184"/>
      <c r="W760" s="184"/>
      <c r="X760" s="155"/>
      <c r="Y760" s="155"/>
      <c r="Z760" s="155"/>
      <c r="AA760" s="155"/>
      <c r="AB760" s="155"/>
      <c r="AC760" s="184"/>
      <c r="AD760" s="155"/>
      <c r="AE760" s="155"/>
      <c r="AF760" s="155"/>
      <c r="AG760" s="155"/>
      <c r="AH760" s="155"/>
      <c r="AI760" s="155"/>
      <c r="AJ760" s="155"/>
      <c r="AK760" s="155"/>
      <c r="AL760" s="155"/>
      <c r="AM760" s="155"/>
      <c r="AN760" s="155"/>
      <c r="AO760" s="155"/>
      <c r="AP760" s="155"/>
      <c r="AQ760" s="155"/>
      <c r="AR760" s="155"/>
      <c r="AS760" s="155"/>
      <c r="AT760" s="155"/>
      <c r="AU760" s="155"/>
      <c r="AV760" s="155"/>
      <c r="AW760" s="155"/>
    </row>
    <row r="761" spans="1:49" ht="16.5" customHeight="1">
      <c r="A761" s="155"/>
      <c r="B761" s="155"/>
      <c r="C761" s="1"/>
      <c r="D761" s="1"/>
      <c r="E761" s="1"/>
      <c r="F761" s="156"/>
      <c r="G761" s="157"/>
      <c r="H761" s="184"/>
      <c r="I761" s="184"/>
      <c r="J761" s="184"/>
      <c r="K761" s="184"/>
      <c r="L761" s="184"/>
      <c r="M761" s="4"/>
      <c r="N761" s="184"/>
      <c r="O761" s="1"/>
      <c r="P761" s="5"/>
      <c r="Q761" s="4"/>
      <c r="R761" s="1"/>
      <c r="S761" s="1"/>
      <c r="T761" s="1"/>
      <c r="U761" s="6"/>
      <c r="V761" s="184"/>
      <c r="W761" s="184"/>
      <c r="X761" s="155"/>
      <c r="Y761" s="155"/>
      <c r="Z761" s="155"/>
      <c r="AA761" s="155"/>
      <c r="AB761" s="155"/>
      <c r="AC761" s="184"/>
      <c r="AD761" s="155"/>
      <c r="AE761" s="155"/>
      <c r="AF761" s="155"/>
      <c r="AG761" s="155"/>
      <c r="AH761" s="155"/>
      <c r="AI761" s="155"/>
      <c r="AJ761" s="155"/>
      <c r="AK761" s="155"/>
      <c r="AL761" s="155"/>
      <c r="AM761" s="155"/>
      <c r="AN761" s="155"/>
      <c r="AO761" s="155"/>
      <c r="AP761" s="155"/>
      <c r="AQ761" s="155"/>
      <c r="AR761" s="155"/>
      <c r="AS761" s="155"/>
      <c r="AT761" s="155"/>
      <c r="AU761" s="155"/>
      <c r="AV761" s="155"/>
      <c r="AW761" s="155"/>
    </row>
    <row r="762" spans="1:49" ht="16.5" customHeight="1">
      <c r="A762" s="155"/>
      <c r="B762" s="155"/>
      <c r="C762" s="1"/>
      <c r="D762" s="1"/>
      <c r="E762" s="1"/>
      <c r="F762" s="156"/>
      <c r="G762" s="157"/>
      <c r="H762" s="184"/>
      <c r="I762" s="184"/>
      <c r="J762" s="184"/>
      <c r="K762" s="184"/>
      <c r="L762" s="184"/>
      <c r="M762" s="4"/>
      <c r="N762" s="184"/>
      <c r="O762" s="1"/>
      <c r="P762" s="5"/>
      <c r="Q762" s="4"/>
      <c r="R762" s="1"/>
      <c r="S762" s="1"/>
      <c r="T762" s="1"/>
      <c r="U762" s="6"/>
      <c r="V762" s="184"/>
      <c r="W762" s="184"/>
      <c r="X762" s="155"/>
      <c r="Y762" s="155"/>
      <c r="Z762" s="155"/>
      <c r="AA762" s="155"/>
      <c r="AB762" s="155"/>
      <c r="AC762" s="184"/>
      <c r="AD762" s="155"/>
      <c r="AE762" s="155"/>
      <c r="AF762" s="155"/>
      <c r="AG762" s="155"/>
      <c r="AH762" s="155"/>
      <c r="AI762" s="155"/>
      <c r="AJ762" s="155"/>
      <c r="AK762" s="155"/>
      <c r="AL762" s="155"/>
      <c r="AM762" s="155"/>
      <c r="AN762" s="155"/>
      <c r="AO762" s="155"/>
      <c r="AP762" s="155"/>
      <c r="AQ762" s="155"/>
      <c r="AR762" s="155"/>
      <c r="AS762" s="155"/>
      <c r="AT762" s="155"/>
      <c r="AU762" s="155"/>
      <c r="AV762" s="155"/>
      <c r="AW762" s="155"/>
    </row>
    <row r="763" spans="1:49" ht="16.5" customHeight="1">
      <c r="A763" s="155"/>
      <c r="B763" s="155"/>
      <c r="C763" s="1"/>
      <c r="D763" s="1"/>
      <c r="E763" s="1"/>
      <c r="F763" s="156"/>
      <c r="G763" s="157"/>
      <c r="H763" s="184"/>
      <c r="I763" s="184"/>
      <c r="J763" s="184"/>
      <c r="K763" s="184"/>
      <c r="L763" s="184"/>
      <c r="M763" s="4"/>
      <c r="N763" s="184"/>
      <c r="O763" s="1"/>
      <c r="P763" s="5"/>
      <c r="Q763" s="4"/>
      <c r="R763" s="1"/>
      <c r="S763" s="1"/>
      <c r="T763" s="1"/>
      <c r="U763" s="6"/>
      <c r="V763" s="184"/>
      <c r="W763" s="184"/>
      <c r="X763" s="155"/>
      <c r="Y763" s="155"/>
      <c r="Z763" s="155"/>
      <c r="AA763" s="155"/>
      <c r="AB763" s="155"/>
      <c r="AC763" s="184"/>
      <c r="AD763" s="155"/>
      <c r="AE763" s="155"/>
      <c r="AF763" s="155"/>
      <c r="AG763" s="155"/>
      <c r="AH763" s="155"/>
      <c r="AI763" s="155"/>
      <c r="AJ763" s="155"/>
      <c r="AK763" s="155"/>
      <c r="AL763" s="155"/>
      <c r="AM763" s="155"/>
      <c r="AN763" s="155"/>
      <c r="AO763" s="155"/>
      <c r="AP763" s="155"/>
      <c r="AQ763" s="155"/>
      <c r="AR763" s="155"/>
      <c r="AS763" s="155"/>
      <c r="AT763" s="155"/>
      <c r="AU763" s="155"/>
      <c r="AV763" s="155"/>
      <c r="AW763" s="155"/>
    </row>
    <row r="764" spans="1:49" ht="16.5" customHeight="1">
      <c r="A764" s="155"/>
      <c r="B764" s="155"/>
      <c r="C764" s="1"/>
      <c r="D764" s="1"/>
      <c r="E764" s="1"/>
      <c r="F764" s="156"/>
      <c r="G764" s="157"/>
      <c r="H764" s="184"/>
      <c r="I764" s="184"/>
      <c r="J764" s="184"/>
      <c r="K764" s="184"/>
      <c r="L764" s="184"/>
      <c r="M764" s="4"/>
      <c r="N764" s="184"/>
      <c r="O764" s="1"/>
      <c r="P764" s="5"/>
      <c r="Q764" s="4"/>
      <c r="R764" s="1"/>
      <c r="S764" s="1"/>
      <c r="T764" s="1"/>
      <c r="U764" s="6"/>
      <c r="V764" s="184"/>
      <c r="W764" s="184"/>
      <c r="X764" s="155"/>
      <c r="Y764" s="155"/>
      <c r="Z764" s="155"/>
      <c r="AA764" s="155"/>
      <c r="AB764" s="155"/>
      <c r="AC764" s="184"/>
      <c r="AD764" s="155"/>
      <c r="AE764" s="155"/>
      <c r="AF764" s="155"/>
      <c r="AG764" s="155"/>
      <c r="AH764" s="155"/>
      <c r="AI764" s="155"/>
      <c r="AJ764" s="155"/>
      <c r="AK764" s="155"/>
      <c r="AL764" s="155"/>
      <c r="AM764" s="155"/>
      <c r="AN764" s="155"/>
      <c r="AO764" s="155"/>
      <c r="AP764" s="155"/>
      <c r="AQ764" s="155"/>
      <c r="AR764" s="155"/>
      <c r="AS764" s="155"/>
      <c r="AT764" s="155"/>
      <c r="AU764" s="155"/>
      <c r="AV764" s="155"/>
      <c r="AW764" s="155"/>
    </row>
    <row r="765" spans="1:49" ht="16.5" customHeight="1">
      <c r="A765" s="155"/>
      <c r="B765" s="155"/>
      <c r="C765" s="1"/>
      <c r="D765" s="1"/>
      <c r="E765" s="1"/>
      <c r="F765" s="156"/>
      <c r="G765" s="157"/>
      <c r="H765" s="184"/>
      <c r="I765" s="184"/>
      <c r="J765" s="184"/>
      <c r="K765" s="184"/>
      <c r="L765" s="184"/>
      <c r="M765" s="4"/>
      <c r="N765" s="184"/>
      <c r="O765" s="1"/>
      <c r="P765" s="5"/>
      <c r="Q765" s="4"/>
      <c r="R765" s="1"/>
      <c r="S765" s="1"/>
      <c r="T765" s="1"/>
      <c r="U765" s="6"/>
      <c r="V765" s="184"/>
      <c r="W765" s="184"/>
      <c r="X765" s="155"/>
      <c r="Y765" s="155"/>
      <c r="Z765" s="155"/>
      <c r="AA765" s="155"/>
      <c r="AB765" s="155"/>
      <c r="AC765" s="184"/>
      <c r="AD765" s="155"/>
      <c r="AE765" s="155"/>
      <c r="AF765" s="155"/>
      <c r="AG765" s="155"/>
      <c r="AH765" s="155"/>
      <c r="AI765" s="155"/>
      <c r="AJ765" s="155"/>
      <c r="AK765" s="155"/>
      <c r="AL765" s="155"/>
      <c r="AM765" s="155"/>
      <c r="AN765" s="155"/>
      <c r="AO765" s="155"/>
      <c r="AP765" s="155"/>
      <c r="AQ765" s="155"/>
      <c r="AR765" s="155"/>
      <c r="AS765" s="155"/>
      <c r="AT765" s="155"/>
      <c r="AU765" s="155"/>
      <c r="AV765" s="155"/>
      <c r="AW765" s="155"/>
    </row>
    <row r="766" spans="1:49" ht="16.5" customHeight="1">
      <c r="A766" s="155"/>
      <c r="B766" s="155"/>
      <c r="C766" s="1"/>
      <c r="D766" s="1"/>
      <c r="E766" s="1"/>
      <c r="F766" s="156"/>
      <c r="G766" s="157"/>
      <c r="H766" s="184"/>
      <c r="I766" s="184"/>
      <c r="J766" s="184"/>
      <c r="K766" s="184"/>
      <c r="L766" s="184"/>
      <c r="M766" s="4"/>
      <c r="N766" s="184"/>
      <c r="O766" s="1"/>
      <c r="P766" s="5"/>
      <c r="Q766" s="4"/>
      <c r="R766" s="1"/>
      <c r="S766" s="1"/>
      <c r="T766" s="1"/>
      <c r="U766" s="6"/>
      <c r="V766" s="184"/>
      <c r="W766" s="184"/>
      <c r="X766" s="155"/>
      <c r="Y766" s="155"/>
      <c r="Z766" s="155"/>
      <c r="AA766" s="155"/>
      <c r="AB766" s="155"/>
      <c r="AC766" s="184"/>
      <c r="AD766" s="155"/>
      <c r="AE766" s="155"/>
      <c r="AF766" s="155"/>
      <c r="AG766" s="155"/>
      <c r="AH766" s="155"/>
      <c r="AI766" s="155"/>
      <c r="AJ766" s="155"/>
      <c r="AK766" s="155"/>
      <c r="AL766" s="155"/>
      <c r="AM766" s="155"/>
      <c r="AN766" s="155"/>
      <c r="AO766" s="155"/>
      <c r="AP766" s="155"/>
      <c r="AQ766" s="155"/>
      <c r="AR766" s="155"/>
      <c r="AS766" s="155"/>
      <c r="AT766" s="155"/>
      <c r="AU766" s="155"/>
      <c r="AV766" s="155"/>
      <c r="AW766" s="155"/>
    </row>
    <row r="767" spans="1:49" ht="16.5" customHeight="1">
      <c r="A767" s="155"/>
      <c r="B767" s="155"/>
      <c r="C767" s="1"/>
      <c r="D767" s="1"/>
      <c r="E767" s="1"/>
      <c r="F767" s="156"/>
      <c r="G767" s="157"/>
      <c r="H767" s="184"/>
      <c r="I767" s="184"/>
      <c r="J767" s="184"/>
      <c r="K767" s="184"/>
      <c r="L767" s="184"/>
      <c r="M767" s="4"/>
      <c r="N767" s="184"/>
      <c r="O767" s="1"/>
      <c r="P767" s="5"/>
      <c r="Q767" s="4"/>
      <c r="R767" s="1"/>
      <c r="S767" s="1"/>
      <c r="T767" s="1"/>
      <c r="U767" s="6"/>
      <c r="V767" s="184"/>
      <c r="W767" s="184"/>
      <c r="X767" s="155"/>
      <c r="Y767" s="155"/>
      <c r="Z767" s="155"/>
      <c r="AA767" s="155"/>
      <c r="AB767" s="155"/>
      <c r="AC767" s="184"/>
      <c r="AD767" s="155"/>
      <c r="AE767" s="155"/>
      <c r="AF767" s="155"/>
      <c r="AG767" s="155"/>
      <c r="AH767" s="155"/>
      <c r="AI767" s="155"/>
      <c r="AJ767" s="155"/>
      <c r="AK767" s="155"/>
      <c r="AL767" s="155"/>
      <c r="AM767" s="155"/>
      <c r="AN767" s="155"/>
      <c r="AO767" s="155"/>
      <c r="AP767" s="155"/>
      <c r="AQ767" s="155"/>
      <c r="AR767" s="155"/>
      <c r="AS767" s="155"/>
      <c r="AT767" s="155"/>
      <c r="AU767" s="155"/>
      <c r="AV767" s="155"/>
      <c r="AW767" s="155"/>
    </row>
    <row r="768" spans="1:49" ht="16.5" customHeight="1">
      <c r="A768" s="155"/>
      <c r="B768" s="155"/>
      <c r="C768" s="1"/>
      <c r="D768" s="1"/>
      <c r="E768" s="1"/>
      <c r="F768" s="156"/>
      <c r="G768" s="157"/>
      <c r="H768" s="184"/>
      <c r="I768" s="184"/>
      <c r="J768" s="184"/>
      <c r="K768" s="184"/>
      <c r="L768" s="184"/>
      <c r="M768" s="4"/>
      <c r="N768" s="184"/>
      <c r="O768" s="1"/>
      <c r="P768" s="5"/>
      <c r="Q768" s="4"/>
      <c r="R768" s="1"/>
      <c r="S768" s="1"/>
      <c r="T768" s="1"/>
      <c r="U768" s="6"/>
      <c r="V768" s="184"/>
      <c r="W768" s="184"/>
      <c r="X768" s="155"/>
      <c r="Y768" s="155"/>
      <c r="Z768" s="155"/>
      <c r="AA768" s="155"/>
      <c r="AB768" s="155"/>
      <c r="AC768" s="184"/>
      <c r="AD768" s="155"/>
      <c r="AE768" s="155"/>
      <c r="AF768" s="155"/>
      <c r="AG768" s="155"/>
      <c r="AH768" s="155"/>
      <c r="AI768" s="155"/>
      <c r="AJ768" s="155"/>
      <c r="AK768" s="155"/>
      <c r="AL768" s="155"/>
      <c r="AM768" s="155"/>
      <c r="AN768" s="155"/>
      <c r="AO768" s="155"/>
      <c r="AP768" s="155"/>
      <c r="AQ768" s="155"/>
      <c r="AR768" s="155"/>
      <c r="AS768" s="155"/>
      <c r="AT768" s="155"/>
      <c r="AU768" s="155"/>
      <c r="AV768" s="155"/>
      <c r="AW768" s="155"/>
    </row>
    <row r="769" spans="1:49" ht="16.5" customHeight="1">
      <c r="A769" s="155"/>
      <c r="B769" s="155"/>
      <c r="C769" s="1"/>
      <c r="D769" s="1"/>
      <c r="E769" s="1"/>
      <c r="F769" s="156"/>
      <c r="G769" s="157"/>
      <c r="H769" s="184"/>
      <c r="I769" s="184"/>
      <c r="J769" s="184"/>
      <c r="K769" s="184"/>
      <c r="L769" s="184"/>
      <c r="M769" s="4"/>
      <c r="N769" s="184"/>
      <c r="O769" s="1"/>
      <c r="P769" s="5"/>
      <c r="Q769" s="4"/>
      <c r="R769" s="1"/>
      <c r="S769" s="1"/>
      <c r="T769" s="1"/>
      <c r="U769" s="6"/>
      <c r="V769" s="184"/>
      <c r="W769" s="184"/>
      <c r="X769" s="155"/>
      <c r="Y769" s="155"/>
      <c r="Z769" s="155"/>
      <c r="AA769" s="155"/>
      <c r="AB769" s="155"/>
      <c r="AC769" s="184"/>
      <c r="AD769" s="155"/>
      <c r="AE769" s="155"/>
      <c r="AF769" s="155"/>
      <c r="AG769" s="155"/>
      <c r="AH769" s="155"/>
      <c r="AI769" s="155"/>
      <c r="AJ769" s="155"/>
      <c r="AK769" s="155"/>
      <c r="AL769" s="155"/>
      <c r="AM769" s="155"/>
      <c r="AN769" s="155"/>
      <c r="AO769" s="155"/>
      <c r="AP769" s="155"/>
      <c r="AQ769" s="155"/>
      <c r="AR769" s="155"/>
      <c r="AS769" s="155"/>
      <c r="AT769" s="155"/>
      <c r="AU769" s="155"/>
      <c r="AV769" s="155"/>
      <c r="AW769" s="155"/>
    </row>
    <row r="770" spans="1:49" ht="16.5" customHeight="1">
      <c r="A770" s="155"/>
      <c r="B770" s="155"/>
      <c r="C770" s="1"/>
      <c r="D770" s="1"/>
      <c r="E770" s="1"/>
      <c r="F770" s="156"/>
      <c r="G770" s="157"/>
      <c r="H770" s="184"/>
      <c r="I770" s="184"/>
      <c r="J770" s="184"/>
      <c r="K770" s="184"/>
      <c r="L770" s="184"/>
      <c r="M770" s="4"/>
      <c r="N770" s="184"/>
      <c r="O770" s="1"/>
      <c r="P770" s="5"/>
      <c r="Q770" s="4"/>
      <c r="R770" s="1"/>
      <c r="S770" s="1"/>
      <c r="T770" s="1"/>
      <c r="U770" s="6"/>
      <c r="V770" s="184"/>
      <c r="W770" s="184"/>
      <c r="X770" s="155"/>
      <c r="Y770" s="155"/>
      <c r="Z770" s="155"/>
      <c r="AA770" s="155"/>
      <c r="AB770" s="155"/>
      <c r="AC770" s="184"/>
      <c r="AD770" s="155"/>
      <c r="AE770" s="155"/>
      <c r="AF770" s="155"/>
      <c r="AG770" s="155"/>
      <c r="AH770" s="155"/>
      <c r="AI770" s="155"/>
      <c r="AJ770" s="155"/>
      <c r="AK770" s="155"/>
      <c r="AL770" s="155"/>
      <c r="AM770" s="155"/>
      <c r="AN770" s="155"/>
      <c r="AO770" s="155"/>
      <c r="AP770" s="155"/>
      <c r="AQ770" s="155"/>
      <c r="AR770" s="155"/>
      <c r="AS770" s="155"/>
      <c r="AT770" s="155"/>
      <c r="AU770" s="155"/>
      <c r="AV770" s="155"/>
      <c r="AW770" s="155"/>
    </row>
    <row r="771" spans="1:49" ht="16.5" customHeight="1">
      <c r="A771" s="155"/>
      <c r="B771" s="155"/>
      <c r="C771" s="1"/>
      <c r="D771" s="1"/>
      <c r="E771" s="1"/>
      <c r="F771" s="156"/>
      <c r="G771" s="157"/>
      <c r="H771" s="184"/>
      <c r="I771" s="184"/>
      <c r="J771" s="184"/>
      <c r="K771" s="184"/>
      <c r="L771" s="184"/>
      <c r="M771" s="4"/>
      <c r="N771" s="184"/>
      <c r="O771" s="1"/>
      <c r="P771" s="5"/>
      <c r="Q771" s="4"/>
      <c r="R771" s="1"/>
      <c r="S771" s="1"/>
      <c r="T771" s="1"/>
      <c r="U771" s="6"/>
      <c r="V771" s="184"/>
      <c r="W771" s="184"/>
      <c r="X771" s="155"/>
      <c r="Y771" s="155"/>
      <c r="Z771" s="155"/>
      <c r="AA771" s="155"/>
      <c r="AB771" s="155"/>
      <c r="AC771" s="184"/>
      <c r="AD771" s="155"/>
      <c r="AE771" s="155"/>
      <c r="AF771" s="155"/>
      <c r="AG771" s="155"/>
      <c r="AH771" s="155"/>
      <c r="AI771" s="155"/>
      <c r="AJ771" s="155"/>
      <c r="AK771" s="155"/>
      <c r="AL771" s="155"/>
      <c r="AM771" s="155"/>
      <c r="AN771" s="155"/>
      <c r="AO771" s="155"/>
      <c r="AP771" s="155"/>
      <c r="AQ771" s="155"/>
      <c r="AR771" s="155"/>
      <c r="AS771" s="155"/>
      <c r="AT771" s="155"/>
      <c r="AU771" s="155"/>
      <c r="AV771" s="155"/>
      <c r="AW771" s="155"/>
    </row>
    <row r="772" spans="1:49" ht="16.5" customHeight="1">
      <c r="A772" s="155"/>
      <c r="B772" s="155"/>
      <c r="C772" s="1"/>
      <c r="D772" s="1"/>
      <c r="E772" s="1"/>
      <c r="F772" s="156"/>
      <c r="G772" s="157"/>
      <c r="H772" s="184"/>
      <c r="I772" s="184"/>
      <c r="J772" s="184"/>
      <c r="K772" s="184"/>
      <c r="L772" s="184"/>
      <c r="M772" s="4"/>
      <c r="N772" s="184"/>
      <c r="O772" s="1"/>
      <c r="P772" s="5"/>
      <c r="Q772" s="4"/>
      <c r="R772" s="1"/>
      <c r="S772" s="1"/>
      <c r="T772" s="1"/>
      <c r="U772" s="6"/>
      <c r="V772" s="184"/>
      <c r="W772" s="184"/>
      <c r="X772" s="155"/>
      <c r="Y772" s="155"/>
      <c r="Z772" s="155"/>
      <c r="AA772" s="155"/>
      <c r="AB772" s="155"/>
      <c r="AC772" s="184"/>
      <c r="AD772" s="155"/>
      <c r="AE772" s="155"/>
      <c r="AF772" s="155"/>
      <c r="AG772" s="155"/>
      <c r="AH772" s="155"/>
      <c r="AI772" s="155"/>
      <c r="AJ772" s="155"/>
      <c r="AK772" s="155"/>
      <c r="AL772" s="155"/>
      <c r="AM772" s="155"/>
      <c r="AN772" s="155"/>
      <c r="AO772" s="155"/>
      <c r="AP772" s="155"/>
      <c r="AQ772" s="155"/>
      <c r="AR772" s="155"/>
      <c r="AS772" s="155"/>
      <c r="AT772" s="155"/>
      <c r="AU772" s="155"/>
      <c r="AV772" s="155"/>
      <c r="AW772" s="155"/>
    </row>
    <row r="773" spans="1:49" ht="16.5" customHeight="1">
      <c r="A773" s="155"/>
      <c r="B773" s="155"/>
      <c r="C773" s="1"/>
      <c r="D773" s="1"/>
      <c r="E773" s="1"/>
      <c r="F773" s="156"/>
      <c r="G773" s="157"/>
      <c r="H773" s="184"/>
      <c r="I773" s="184"/>
      <c r="J773" s="184"/>
      <c r="K773" s="184"/>
      <c r="L773" s="184"/>
      <c r="M773" s="4"/>
      <c r="N773" s="184"/>
      <c r="O773" s="1"/>
      <c r="P773" s="5"/>
      <c r="Q773" s="4"/>
      <c r="R773" s="1"/>
      <c r="S773" s="1"/>
      <c r="T773" s="1"/>
      <c r="U773" s="6"/>
      <c r="V773" s="184"/>
      <c r="W773" s="184"/>
      <c r="X773" s="155"/>
      <c r="Y773" s="155"/>
      <c r="Z773" s="155"/>
      <c r="AA773" s="155"/>
      <c r="AB773" s="155"/>
      <c r="AC773" s="184"/>
      <c r="AD773" s="155"/>
      <c r="AE773" s="155"/>
      <c r="AF773" s="155"/>
      <c r="AG773" s="155"/>
      <c r="AH773" s="155"/>
      <c r="AI773" s="155"/>
      <c r="AJ773" s="155"/>
      <c r="AK773" s="155"/>
      <c r="AL773" s="155"/>
      <c r="AM773" s="155"/>
      <c r="AN773" s="155"/>
      <c r="AO773" s="155"/>
      <c r="AP773" s="155"/>
      <c r="AQ773" s="155"/>
      <c r="AR773" s="155"/>
      <c r="AS773" s="155"/>
      <c r="AT773" s="155"/>
      <c r="AU773" s="155"/>
      <c r="AV773" s="155"/>
      <c r="AW773" s="155"/>
    </row>
    <row r="774" spans="1:49" ht="16.5" customHeight="1">
      <c r="A774" s="155"/>
      <c r="B774" s="155"/>
      <c r="C774" s="1"/>
      <c r="D774" s="1"/>
      <c r="E774" s="1"/>
      <c r="F774" s="156"/>
      <c r="G774" s="157"/>
      <c r="H774" s="184"/>
      <c r="I774" s="184"/>
      <c r="J774" s="184"/>
      <c r="K774" s="184"/>
      <c r="L774" s="184"/>
      <c r="M774" s="4"/>
      <c r="N774" s="184"/>
      <c r="O774" s="1"/>
      <c r="P774" s="5"/>
      <c r="Q774" s="4"/>
      <c r="R774" s="1"/>
      <c r="S774" s="1"/>
      <c r="T774" s="1"/>
      <c r="U774" s="6"/>
      <c r="V774" s="184"/>
      <c r="W774" s="184"/>
      <c r="X774" s="155"/>
      <c r="Y774" s="155"/>
      <c r="Z774" s="155"/>
      <c r="AA774" s="155"/>
      <c r="AB774" s="155"/>
      <c r="AC774" s="184"/>
      <c r="AD774" s="155"/>
      <c r="AE774" s="155"/>
      <c r="AF774" s="155"/>
      <c r="AG774" s="155"/>
      <c r="AH774" s="155"/>
      <c r="AI774" s="155"/>
      <c r="AJ774" s="155"/>
      <c r="AK774" s="155"/>
      <c r="AL774" s="155"/>
      <c r="AM774" s="155"/>
      <c r="AN774" s="155"/>
      <c r="AO774" s="155"/>
      <c r="AP774" s="155"/>
      <c r="AQ774" s="155"/>
      <c r="AR774" s="155"/>
      <c r="AS774" s="155"/>
      <c r="AT774" s="155"/>
      <c r="AU774" s="155"/>
      <c r="AV774" s="155"/>
      <c r="AW774" s="155"/>
    </row>
    <row r="775" spans="1:49" ht="16.5" customHeight="1">
      <c r="A775" s="155"/>
      <c r="B775" s="155"/>
      <c r="C775" s="1"/>
      <c r="D775" s="1"/>
      <c r="E775" s="1"/>
      <c r="F775" s="156"/>
      <c r="G775" s="157"/>
      <c r="H775" s="184"/>
      <c r="I775" s="184"/>
      <c r="J775" s="184"/>
      <c r="K775" s="184"/>
      <c r="L775" s="184"/>
      <c r="M775" s="4"/>
      <c r="N775" s="184"/>
      <c r="O775" s="1"/>
      <c r="P775" s="5"/>
      <c r="Q775" s="4"/>
      <c r="R775" s="1"/>
      <c r="S775" s="1"/>
      <c r="T775" s="1"/>
      <c r="U775" s="6"/>
      <c r="V775" s="184"/>
      <c r="W775" s="184"/>
      <c r="X775" s="155"/>
      <c r="Y775" s="155"/>
      <c r="Z775" s="155"/>
      <c r="AA775" s="155"/>
      <c r="AB775" s="155"/>
      <c r="AC775" s="184"/>
      <c r="AD775" s="155"/>
      <c r="AE775" s="155"/>
      <c r="AF775" s="155"/>
      <c r="AG775" s="155"/>
      <c r="AH775" s="155"/>
      <c r="AI775" s="155"/>
      <c r="AJ775" s="155"/>
      <c r="AK775" s="155"/>
      <c r="AL775" s="155"/>
      <c r="AM775" s="155"/>
      <c r="AN775" s="155"/>
      <c r="AO775" s="155"/>
      <c r="AP775" s="155"/>
      <c r="AQ775" s="155"/>
      <c r="AR775" s="155"/>
      <c r="AS775" s="155"/>
      <c r="AT775" s="155"/>
      <c r="AU775" s="155"/>
      <c r="AV775" s="155"/>
      <c r="AW775" s="155"/>
    </row>
    <row r="776" spans="1:49" ht="16.5" customHeight="1">
      <c r="A776" s="155"/>
      <c r="B776" s="155"/>
      <c r="C776" s="1"/>
      <c r="D776" s="1"/>
      <c r="E776" s="1"/>
      <c r="F776" s="156"/>
      <c r="G776" s="157"/>
      <c r="H776" s="184"/>
      <c r="I776" s="184"/>
      <c r="J776" s="184"/>
      <c r="K776" s="184"/>
      <c r="L776" s="184"/>
      <c r="M776" s="4"/>
      <c r="N776" s="184"/>
      <c r="O776" s="1"/>
      <c r="P776" s="5"/>
      <c r="Q776" s="4"/>
      <c r="R776" s="1"/>
      <c r="S776" s="1"/>
      <c r="T776" s="1"/>
      <c r="U776" s="6"/>
      <c r="V776" s="184"/>
      <c r="W776" s="184"/>
      <c r="X776" s="155"/>
      <c r="Y776" s="155"/>
      <c r="Z776" s="155"/>
      <c r="AA776" s="155"/>
      <c r="AB776" s="155"/>
      <c r="AC776" s="184"/>
      <c r="AD776" s="155"/>
      <c r="AE776" s="155"/>
      <c r="AF776" s="155"/>
      <c r="AG776" s="155"/>
      <c r="AH776" s="155"/>
      <c r="AI776" s="155"/>
      <c r="AJ776" s="155"/>
      <c r="AK776" s="155"/>
      <c r="AL776" s="155"/>
      <c r="AM776" s="155"/>
      <c r="AN776" s="155"/>
      <c r="AO776" s="155"/>
      <c r="AP776" s="155"/>
      <c r="AQ776" s="155"/>
      <c r="AR776" s="155"/>
      <c r="AS776" s="155"/>
      <c r="AT776" s="155"/>
      <c r="AU776" s="155"/>
      <c r="AV776" s="155"/>
      <c r="AW776" s="155"/>
    </row>
    <row r="777" spans="1:49" ht="16.5" customHeight="1">
      <c r="A777" s="155"/>
      <c r="B777" s="155"/>
      <c r="C777" s="1"/>
      <c r="D777" s="1"/>
      <c r="E777" s="1"/>
      <c r="F777" s="156"/>
      <c r="G777" s="157"/>
      <c r="H777" s="184"/>
      <c r="I777" s="184"/>
      <c r="J777" s="184"/>
      <c r="K777" s="184"/>
      <c r="L777" s="184"/>
      <c r="M777" s="4"/>
      <c r="N777" s="184"/>
      <c r="O777" s="1"/>
      <c r="P777" s="5"/>
      <c r="Q777" s="4"/>
      <c r="R777" s="1"/>
      <c r="S777" s="1"/>
      <c r="T777" s="1"/>
      <c r="U777" s="6"/>
      <c r="V777" s="184"/>
      <c r="W777" s="184"/>
      <c r="X777" s="155"/>
      <c r="Y777" s="155"/>
      <c r="Z777" s="155"/>
      <c r="AA777" s="155"/>
      <c r="AB777" s="155"/>
      <c r="AC777" s="184"/>
      <c r="AD777" s="155"/>
      <c r="AE777" s="155"/>
      <c r="AF777" s="155"/>
      <c r="AG777" s="155"/>
      <c r="AH777" s="155"/>
      <c r="AI777" s="155"/>
      <c r="AJ777" s="155"/>
      <c r="AK777" s="155"/>
      <c r="AL777" s="155"/>
      <c r="AM777" s="155"/>
      <c r="AN777" s="155"/>
      <c r="AO777" s="155"/>
      <c r="AP777" s="155"/>
      <c r="AQ777" s="155"/>
      <c r="AR777" s="155"/>
      <c r="AS777" s="155"/>
      <c r="AT777" s="155"/>
      <c r="AU777" s="155"/>
      <c r="AV777" s="155"/>
      <c r="AW777" s="155"/>
    </row>
    <row r="778" spans="1:49" ht="16.5" customHeight="1">
      <c r="A778" s="155"/>
      <c r="B778" s="155"/>
      <c r="C778" s="1"/>
      <c r="D778" s="1"/>
      <c r="E778" s="1"/>
      <c r="F778" s="156"/>
      <c r="G778" s="157"/>
      <c r="H778" s="184"/>
      <c r="I778" s="184"/>
      <c r="J778" s="184"/>
      <c r="K778" s="184"/>
      <c r="L778" s="184"/>
      <c r="M778" s="4"/>
      <c r="N778" s="184"/>
      <c r="O778" s="1"/>
      <c r="P778" s="5"/>
      <c r="Q778" s="4"/>
      <c r="R778" s="1"/>
      <c r="S778" s="1"/>
      <c r="T778" s="1"/>
      <c r="U778" s="6"/>
      <c r="V778" s="184"/>
      <c r="W778" s="184"/>
      <c r="X778" s="155"/>
      <c r="Y778" s="155"/>
      <c r="Z778" s="155"/>
      <c r="AA778" s="155"/>
      <c r="AB778" s="155"/>
      <c r="AC778" s="184"/>
      <c r="AD778" s="155"/>
      <c r="AE778" s="155"/>
      <c r="AF778" s="155"/>
      <c r="AG778" s="155"/>
      <c r="AH778" s="155"/>
      <c r="AI778" s="155"/>
      <c r="AJ778" s="155"/>
      <c r="AK778" s="155"/>
      <c r="AL778" s="155"/>
      <c r="AM778" s="155"/>
      <c r="AN778" s="155"/>
      <c r="AO778" s="155"/>
      <c r="AP778" s="155"/>
      <c r="AQ778" s="155"/>
      <c r="AR778" s="155"/>
      <c r="AS778" s="155"/>
      <c r="AT778" s="155"/>
      <c r="AU778" s="155"/>
      <c r="AV778" s="155"/>
      <c r="AW778" s="155"/>
    </row>
    <row r="779" spans="1:49" ht="16.5" customHeight="1">
      <c r="A779" s="155"/>
      <c r="B779" s="155"/>
      <c r="C779" s="1"/>
      <c r="D779" s="1"/>
      <c r="E779" s="1"/>
      <c r="F779" s="156"/>
      <c r="G779" s="157"/>
      <c r="H779" s="184"/>
      <c r="I779" s="184"/>
      <c r="J779" s="184"/>
      <c r="K779" s="184"/>
      <c r="L779" s="184"/>
      <c r="M779" s="4"/>
      <c r="N779" s="184"/>
      <c r="O779" s="1"/>
      <c r="P779" s="5"/>
      <c r="Q779" s="4"/>
      <c r="R779" s="1"/>
      <c r="S779" s="1"/>
      <c r="T779" s="1"/>
      <c r="U779" s="6"/>
      <c r="V779" s="184"/>
      <c r="W779" s="184"/>
      <c r="X779" s="155"/>
      <c r="Y779" s="155"/>
      <c r="Z779" s="155"/>
      <c r="AA779" s="155"/>
      <c r="AB779" s="155"/>
      <c r="AC779" s="184"/>
      <c r="AD779" s="155"/>
      <c r="AE779" s="155"/>
      <c r="AF779" s="155"/>
      <c r="AG779" s="155"/>
      <c r="AH779" s="155"/>
      <c r="AI779" s="155"/>
      <c r="AJ779" s="155"/>
      <c r="AK779" s="155"/>
      <c r="AL779" s="155"/>
      <c r="AM779" s="155"/>
      <c r="AN779" s="155"/>
      <c r="AO779" s="155"/>
      <c r="AP779" s="155"/>
      <c r="AQ779" s="155"/>
      <c r="AR779" s="155"/>
      <c r="AS779" s="155"/>
      <c r="AT779" s="155"/>
      <c r="AU779" s="155"/>
      <c r="AV779" s="155"/>
      <c r="AW779" s="155"/>
    </row>
    <row r="780" spans="1:49" ht="16.5" customHeight="1">
      <c r="A780" s="155"/>
      <c r="B780" s="155"/>
      <c r="C780" s="1"/>
      <c r="D780" s="1"/>
      <c r="E780" s="1"/>
      <c r="F780" s="156"/>
      <c r="G780" s="157"/>
      <c r="H780" s="184"/>
      <c r="I780" s="184"/>
      <c r="J780" s="184"/>
      <c r="K780" s="184"/>
      <c r="L780" s="184"/>
      <c r="M780" s="4"/>
      <c r="N780" s="184"/>
      <c r="O780" s="1"/>
      <c r="P780" s="5"/>
      <c r="Q780" s="4"/>
      <c r="R780" s="1"/>
      <c r="S780" s="1"/>
      <c r="T780" s="1"/>
      <c r="U780" s="6"/>
      <c r="V780" s="184"/>
      <c r="W780" s="184"/>
      <c r="X780" s="155"/>
      <c r="Y780" s="155"/>
      <c r="Z780" s="155"/>
      <c r="AA780" s="155"/>
      <c r="AB780" s="155"/>
      <c r="AC780" s="184"/>
      <c r="AD780" s="155"/>
      <c r="AE780" s="155"/>
      <c r="AF780" s="155"/>
      <c r="AG780" s="155"/>
      <c r="AH780" s="155"/>
      <c r="AI780" s="155"/>
      <c r="AJ780" s="155"/>
      <c r="AK780" s="155"/>
      <c r="AL780" s="155"/>
      <c r="AM780" s="155"/>
      <c r="AN780" s="155"/>
      <c r="AO780" s="155"/>
      <c r="AP780" s="155"/>
      <c r="AQ780" s="155"/>
      <c r="AR780" s="155"/>
      <c r="AS780" s="155"/>
      <c r="AT780" s="155"/>
      <c r="AU780" s="155"/>
      <c r="AV780" s="155"/>
      <c r="AW780" s="155"/>
    </row>
    <row r="781" spans="1:49" ht="16.5" customHeight="1">
      <c r="A781" s="155"/>
      <c r="B781" s="155"/>
      <c r="C781" s="1"/>
      <c r="D781" s="1"/>
      <c r="E781" s="1"/>
      <c r="F781" s="156"/>
      <c r="G781" s="157"/>
      <c r="H781" s="184"/>
      <c r="I781" s="184"/>
      <c r="J781" s="184"/>
      <c r="K781" s="184"/>
      <c r="L781" s="184"/>
      <c r="M781" s="4"/>
      <c r="N781" s="184"/>
      <c r="O781" s="1"/>
      <c r="P781" s="5"/>
      <c r="Q781" s="4"/>
      <c r="R781" s="1"/>
      <c r="S781" s="1"/>
      <c r="T781" s="1"/>
      <c r="U781" s="6"/>
      <c r="V781" s="184"/>
      <c r="W781" s="184"/>
      <c r="X781" s="155"/>
      <c r="Y781" s="155"/>
      <c r="Z781" s="155"/>
      <c r="AA781" s="155"/>
      <c r="AB781" s="155"/>
      <c r="AC781" s="184"/>
      <c r="AD781" s="155"/>
      <c r="AE781" s="155"/>
      <c r="AF781" s="155"/>
      <c r="AG781" s="155"/>
      <c r="AH781" s="155"/>
      <c r="AI781" s="155"/>
      <c r="AJ781" s="155"/>
      <c r="AK781" s="155"/>
      <c r="AL781" s="155"/>
      <c r="AM781" s="155"/>
      <c r="AN781" s="155"/>
      <c r="AO781" s="155"/>
      <c r="AP781" s="155"/>
      <c r="AQ781" s="155"/>
      <c r="AR781" s="155"/>
      <c r="AS781" s="155"/>
      <c r="AT781" s="155"/>
      <c r="AU781" s="155"/>
      <c r="AV781" s="155"/>
      <c r="AW781" s="155"/>
    </row>
    <row r="782" spans="1:49" ht="16.5" customHeight="1">
      <c r="A782" s="155"/>
      <c r="B782" s="155"/>
      <c r="C782" s="1"/>
      <c r="D782" s="1"/>
      <c r="E782" s="1"/>
      <c r="F782" s="156"/>
      <c r="G782" s="157"/>
      <c r="H782" s="184"/>
      <c r="I782" s="184"/>
      <c r="J782" s="184"/>
      <c r="K782" s="184"/>
      <c r="L782" s="184"/>
      <c r="M782" s="4"/>
      <c r="N782" s="184"/>
      <c r="O782" s="1"/>
      <c r="P782" s="5"/>
      <c r="Q782" s="4"/>
      <c r="R782" s="1"/>
      <c r="S782" s="1"/>
      <c r="T782" s="1"/>
      <c r="U782" s="6"/>
      <c r="V782" s="184"/>
      <c r="W782" s="184"/>
      <c r="X782" s="155"/>
      <c r="Y782" s="155"/>
      <c r="Z782" s="155"/>
      <c r="AA782" s="155"/>
      <c r="AB782" s="155"/>
      <c r="AC782" s="184"/>
      <c r="AD782" s="155"/>
      <c r="AE782" s="155"/>
      <c r="AF782" s="155"/>
      <c r="AG782" s="155"/>
      <c r="AH782" s="155"/>
      <c r="AI782" s="155"/>
      <c r="AJ782" s="155"/>
      <c r="AK782" s="155"/>
      <c r="AL782" s="155"/>
      <c r="AM782" s="155"/>
      <c r="AN782" s="155"/>
      <c r="AO782" s="155"/>
      <c r="AP782" s="155"/>
      <c r="AQ782" s="155"/>
      <c r="AR782" s="155"/>
      <c r="AS782" s="155"/>
      <c r="AT782" s="155"/>
      <c r="AU782" s="155"/>
      <c r="AV782" s="155"/>
      <c r="AW782" s="155"/>
    </row>
    <row r="783" spans="1:49" ht="16.5" customHeight="1">
      <c r="A783" s="155"/>
      <c r="B783" s="155"/>
      <c r="C783" s="1"/>
      <c r="D783" s="1"/>
      <c r="E783" s="1"/>
      <c r="F783" s="156"/>
      <c r="G783" s="157"/>
      <c r="H783" s="184"/>
      <c r="I783" s="184"/>
      <c r="J783" s="184"/>
      <c r="K783" s="184"/>
      <c r="L783" s="184"/>
      <c r="M783" s="4"/>
      <c r="N783" s="184"/>
      <c r="O783" s="1"/>
      <c r="P783" s="5"/>
      <c r="Q783" s="4"/>
      <c r="R783" s="1"/>
      <c r="S783" s="1"/>
      <c r="T783" s="1"/>
      <c r="U783" s="6"/>
      <c r="V783" s="184"/>
      <c r="W783" s="184"/>
      <c r="X783" s="155"/>
      <c r="Y783" s="155"/>
      <c r="Z783" s="155"/>
      <c r="AA783" s="155"/>
      <c r="AB783" s="155"/>
      <c r="AC783" s="184"/>
      <c r="AD783" s="155"/>
      <c r="AE783" s="155"/>
      <c r="AF783" s="155"/>
      <c r="AG783" s="155"/>
      <c r="AH783" s="155"/>
      <c r="AI783" s="155"/>
      <c r="AJ783" s="155"/>
      <c r="AK783" s="155"/>
      <c r="AL783" s="155"/>
      <c r="AM783" s="155"/>
      <c r="AN783" s="155"/>
      <c r="AO783" s="155"/>
      <c r="AP783" s="155"/>
      <c r="AQ783" s="155"/>
      <c r="AR783" s="155"/>
      <c r="AS783" s="155"/>
      <c r="AT783" s="155"/>
      <c r="AU783" s="155"/>
      <c r="AV783" s="155"/>
      <c r="AW783" s="155"/>
    </row>
    <row r="784" spans="1:49" ht="16.5" customHeight="1">
      <c r="A784" s="155"/>
      <c r="B784" s="155"/>
      <c r="C784" s="1"/>
      <c r="D784" s="1"/>
      <c r="E784" s="1"/>
      <c r="F784" s="156"/>
      <c r="G784" s="157"/>
      <c r="H784" s="184"/>
      <c r="I784" s="184"/>
      <c r="J784" s="184"/>
      <c r="K784" s="184"/>
      <c r="L784" s="184"/>
      <c r="M784" s="4"/>
      <c r="N784" s="184"/>
      <c r="O784" s="1"/>
      <c r="P784" s="5"/>
      <c r="Q784" s="4"/>
      <c r="R784" s="1"/>
      <c r="S784" s="1"/>
      <c r="T784" s="1"/>
      <c r="U784" s="6"/>
      <c r="V784" s="184"/>
      <c r="W784" s="184"/>
      <c r="X784" s="155"/>
      <c r="Y784" s="155"/>
      <c r="Z784" s="155"/>
      <c r="AA784" s="155"/>
      <c r="AB784" s="155"/>
      <c r="AC784" s="184"/>
      <c r="AD784" s="155"/>
      <c r="AE784" s="155"/>
      <c r="AF784" s="155"/>
      <c r="AG784" s="155"/>
      <c r="AH784" s="155"/>
      <c r="AI784" s="155"/>
      <c r="AJ784" s="155"/>
      <c r="AK784" s="155"/>
      <c r="AL784" s="155"/>
      <c r="AM784" s="155"/>
      <c r="AN784" s="155"/>
      <c r="AO784" s="155"/>
      <c r="AP784" s="155"/>
      <c r="AQ784" s="155"/>
      <c r="AR784" s="155"/>
      <c r="AS784" s="155"/>
      <c r="AT784" s="155"/>
      <c r="AU784" s="155"/>
      <c r="AV784" s="155"/>
      <c r="AW784" s="155"/>
    </row>
    <row r="785" spans="1:49" ht="16.5" customHeight="1">
      <c r="A785" s="155"/>
      <c r="B785" s="155"/>
      <c r="C785" s="1"/>
      <c r="D785" s="1"/>
      <c r="E785" s="1"/>
      <c r="F785" s="156"/>
      <c r="G785" s="157"/>
      <c r="H785" s="184"/>
      <c r="I785" s="184"/>
      <c r="J785" s="184"/>
      <c r="K785" s="184"/>
      <c r="L785" s="184"/>
      <c r="M785" s="4"/>
      <c r="N785" s="184"/>
      <c r="O785" s="1"/>
      <c r="P785" s="5"/>
      <c r="Q785" s="4"/>
      <c r="R785" s="1"/>
      <c r="S785" s="1"/>
      <c r="T785" s="1"/>
      <c r="U785" s="6"/>
      <c r="V785" s="184"/>
      <c r="W785" s="184"/>
      <c r="X785" s="155"/>
      <c r="Y785" s="155"/>
      <c r="Z785" s="155"/>
      <c r="AA785" s="155"/>
      <c r="AB785" s="155"/>
      <c r="AC785" s="184"/>
      <c r="AD785" s="155"/>
      <c r="AE785" s="155"/>
      <c r="AF785" s="155"/>
      <c r="AG785" s="155"/>
      <c r="AH785" s="155"/>
      <c r="AI785" s="155"/>
      <c r="AJ785" s="155"/>
      <c r="AK785" s="155"/>
      <c r="AL785" s="155"/>
      <c r="AM785" s="155"/>
      <c r="AN785" s="155"/>
      <c r="AO785" s="155"/>
      <c r="AP785" s="155"/>
      <c r="AQ785" s="155"/>
      <c r="AR785" s="155"/>
      <c r="AS785" s="155"/>
      <c r="AT785" s="155"/>
      <c r="AU785" s="155"/>
      <c r="AV785" s="155"/>
      <c r="AW785" s="155"/>
    </row>
    <row r="786" spans="1:49" ht="16.5" customHeight="1">
      <c r="A786" s="155"/>
      <c r="B786" s="155"/>
      <c r="C786" s="1"/>
      <c r="D786" s="1"/>
      <c r="E786" s="1"/>
      <c r="F786" s="156"/>
      <c r="G786" s="157"/>
      <c r="H786" s="184"/>
      <c r="I786" s="184"/>
      <c r="J786" s="184"/>
      <c r="K786" s="184"/>
      <c r="L786" s="184"/>
      <c r="M786" s="4"/>
      <c r="N786" s="184"/>
      <c r="O786" s="1"/>
      <c r="P786" s="5"/>
      <c r="Q786" s="4"/>
      <c r="R786" s="1"/>
      <c r="S786" s="1"/>
      <c r="T786" s="1"/>
      <c r="U786" s="6"/>
      <c r="V786" s="184"/>
      <c r="W786" s="184"/>
      <c r="X786" s="155"/>
      <c r="Y786" s="155"/>
      <c r="Z786" s="155"/>
      <c r="AA786" s="155"/>
      <c r="AB786" s="155"/>
      <c r="AC786" s="184"/>
      <c r="AD786" s="155"/>
      <c r="AE786" s="155"/>
      <c r="AF786" s="155"/>
      <c r="AG786" s="155"/>
      <c r="AH786" s="155"/>
      <c r="AI786" s="155"/>
      <c r="AJ786" s="155"/>
      <c r="AK786" s="155"/>
      <c r="AL786" s="155"/>
      <c r="AM786" s="155"/>
      <c r="AN786" s="155"/>
      <c r="AO786" s="155"/>
      <c r="AP786" s="155"/>
      <c r="AQ786" s="155"/>
      <c r="AR786" s="155"/>
      <c r="AS786" s="155"/>
      <c r="AT786" s="155"/>
      <c r="AU786" s="155"/>
      <c r="AV786" s="155"/>
      <c r="AW786" s="155"/>
    </row>
    <row r="787" spans="1:49" ht="16.5" customHeight="1">
      <c r="A787" s="155"/>
      <c r="B787" s="155"/>
      <c r="C787" s="1"/>
      <c r="D787" s="1"/>
      <c r="E787" s="1"/>
      <c r="F787" s="156"/>
      <c r="G787" s="157"/>
      <c r="H787" s="184"/>
      <c r="I787" s="184"/>
      <c r="J787" s="184"/>
      <c r="K787" s="184"/>
      <c r="L787" s="184"/>
      <c r="M787" s="4"/>
      <c r="N787" s="184"/>
      <c r="O787" s="1"/>
      <c r="P787" s="5"/>
      <c r="Q787" s="4"/>
      <c r="R787" s="1"/>
      <c r="S787" s="1"/>
      <c r="T787" s="1"/>
      <c r="U787" s="6"/>
      <c r="V787" s="184"/>
      <c r="W787" s="184"/>
      <c r="X787" s="155"/>
      <c r="Y787" s="155"/>
      <c r="Z787" s="155"/>
      <c r="AA787" s="155"/>
      <c r="AB787" s="155"/>
      <c r="AC787" s="184"/>
      <c r="AD787" s="155"/>
      <c r="AE787" s="155"/>
      <c r="AF787" s="155"/>
      <c r="AG787" s="155"/>
      <c r="AH787" s="155"/>
      <c r="AI787" s="155"/>
      <c r="AJ787" s="155"/>
      <c r="AK787" s="155"/>
      <c r="AL787" s="155"/>
      <c r="AM787" s="155"/>
      <c r="AN787" s="155"/>
      <c r="AO787" s="155"/>
      <c r="AP787" s="155"/>
      <c r="AQ787" s="155"/>
      <c r="AR787" s="155"/>
      <c r="AS787" s="155"/>
      <c r="AT787" s="155"/>
      <c r="AU787" s="155"/>
      <c r="AV787" s="155"/>
      <c r="AW787" s="155"/>
    </row>
    <row r="788" spans="1:49" ht="16.5" customHeight="1">
      <c r="A788" s="155"/>
      <c r="B788" s="155"/>
      <c r="C788" s="1"/>
      <c r="D788" s="1"/>
      <c r="E788" s="1"/>
      <c r="F788" s="156"/>
      <c r="G788" s="157"/>
      <c r="H788" s="184"/>
      <c r="I788" s="184"/>
      <c r="J788" s="184"/>
      <c r="K788" s="184"/>
      <c r="L788" s="184"/>
      <c r="M788" s="4"/>
      <c r="N788" s="184"/>
      <c r="O788" s="1"/>
      <c r="P788" s="5"/>
      <c r="Q788" s="4"/>
      <c r="R788" s="1"/>
      <c r="S788" s="1"/>
      <c r="T788" s="1"/>
      <c r="U788" s="6"/>
      <c r="V788" s="184"/>
      <c r="W788" s="184"/>
      <c r="X788" s="155"/>
      <c r="Y788" s="155"/>
      <c r="Z788" s="155"/>
      <c r="AA788" s="155"/>
      <c r="AB788" s="155"/>
      <c r="AC788" s="184"/>
      <c r="AD788" s="155"/>
      <c r="AE788" s="155"/>
      <c r="AF788" s="155"/>
      <c r="AG788" s="155"/>
      <c r="AH788" s="155"/>
      <c r="AI788" s="155"/>
      <c r="AJ788" s="155"/>
      <c r="AK788" s="155"/>
      <c r="AL788" s="155"/>
      <c r="AM788" s="155"/>
      <c r="AN788" s="155"/>
      <c r="AO788" s="155"/>
      <c r="AP788" s="155"/>
      <c r="AQ788" s="155"/>
      <c r="AR788" s="155"/>
      <c r="AS788" s="155"/>
      <c r="AT788" s="155"/>
      <c r="AU788" s="155"/>
      <c r="AV788" s="155"/>
      <c r="AW788" s="155"/>
    </row>
    <row r="789" spans="1:49" ht="16.5" customHeight="1">
      <c r="A789" s="155"/>
      <c r="B789" s="155"/>
      <c r="C789" s="1"/>
      <c r="D789" s="1"/>
      <c r="E789" s="1"/>
      <c r="F789" s="156"/>
      <c r="G789" s="157"/>
      <c r="H789" s="184"/>
      <c r="I789" s="184"/>
      <c r="J789" s="184"/>
      <c r="K789" s="184"/>
      <c r="L789" s="184"/>
      <c r="M789" s="4"/>
      <c r="N789" s="184"/>
      <c r="O789" s="1"/>
      <c r="P789" s="5"/>
      <c r="Q789" s="4"/>
      <c r="R789" s="1"/>
      <c r="S789" s="1"/>
      <c r="T789" s="1"/>
      <c r="U789" s="6"/>
      <c r="V789" s="184"/>
      <c r="W789" s="184"/>
      <c r="X789" s="155"/>
      <c r="Y789" s="155"/>
      <c r="Z789" s="155"/>
      <c r="AA789" s="155"/>
      <c r="AB789" s="155"/>
      <c r="AC789" s="184"/>
      <c r="AD789" s="155"/>
      <c r="AE789" s="155"/>
      <c r="AF789" s="155"/>
      <c r="AG789" s="155"/>
      <c r="AH789" s="155"/>
      <c r="AI789" s="155"/>
      <c r="AJ789" s="155"/>
      <c r="AK789" s="155"/>
      <c r="AL789" s="155"/>
      <c r="AM789" s="155"/>
      <c r="AN789" s="155"/>
      <c r="AO789" s="155"/>
      <c r="AP789" s="155"/>
      <c r="AQ789" s="155"/>
      <c r="AR789" s="155"/>
      <c r="AS789" s="155"/>
      <c r="AT789" s="155"/>
      <c r="AU789" s="155"/>
      <c r="AV789" s="155"/>
      <c r="AW789" s="155"/>
    </row>
    <row r="790" spans="1:49" ht="16.5" customHeight="1">
      <c r="A790" s="155"/>
      <c r="B790" s="155"/>
      <c r="C790" s="1"/>
      <c r="D790" s="1"/>
      <c r="E790" s="1"/>
      <c r="F790" s="156"/>
      <c r="G790" s="157"/>
      <c r="H790" s="184"/>
      <c r="I790" s="184"/>
      <c r="J790" s="184"/>
      <c r="K790" s="184"/>
      <c r="L790" s="184"/>
      <c r="M790" s="4"/>
      <c r="N790" s="184"/>
      <c r="O790" s="1"/>
      <c r="P790" s="5"/>
      <c r="Q790" s="4"/>
      <c r="R790" s="1"/>
      <c r="S790" s="1"/>
      <c r="T790" s="1"/>
      <c r="U790" s="6"/>
      <c r="V790" s="184"/>
      <c r="W790" s="184"/>
      <c r="X790" s="155"/>
      <c r="Y790" s="155"/>
      <c r="Z790" s="155"/>
      <c r="AA790" s="155"/>
      <c r="AB790" s="155"/>
      <c r="AC790" s="184"/>
      <c r="AD790" s="155"/>
      <c r="AE790" s="155"/>
      <c r="AF790" s="155"/>
      <c r="AG790" s="155"/>
      <c r="AH790" s="155"/>
      <c r="AI790" s="155"/>
      <c r="AJ790" s="155"/>
      <c r="AK790" s="155"/>
      <c r="AL790" s="155"/>
      <c r="AM790" s="155"/>
      <c r="AN790" s="155"/>
      <c r="AO790" s="155"/>
      <c r="AP790" s="155"/>
      <c r="AQ790" s="155"/>
      <c r="AR790" s="155"/>
      <c r="AS790" s="155"/>
      <c r="AT790" s="155"/>
      <c r="AU790" s="155"/>
      <c r="AV790" s="155"/>
      <c r="AW790" s="155"/>
    </row>
    <row r="791" spans="1:49" ht="16.5" customHeight="1">
      <c r="A791" s="155"/>
      <c r="B791" s="155"/>
      <c r="C791" s="1"/>
      <c r="D791" s="1"/>
      <c r="E791" s="1"/>
      <c r="F791" s="156"/>
      <c r="G791" s="157"/>
      <c r="H791" s="184"/>
      <c r="I791" s="184"/>
      <c r="J791" s="184"/>
      <c r="K791" s="184"/>
      <c r="L791" s="184"/>
      <c r="M791" s="4"/>
      <c r="N791" s="184"/>
      <c r="O791" s="1"/>
      <c r="P791" s="5"/>
      <c r="Q791" s="4"/>
      <c r="R791" s="1"/>
      <c r="S791" s="1"/>
      <c r="T791" s="1"/>
      <c r="U791" s="6"/>
      <c r="V791" s="184"/>
      <c r="W791" s="184"/>
      <c r="X791" s="155"/>
      <c r="Y791" s="155"/>
      <c r="Z791" s="155"/>
      <c r="AA791" s="155"/>
      <c r="AB791" s="155"/>
      <c r="AC791" s="184"/>
      <c r="AD791" s="155"/>
      <c r="AE791" s="155"/>
      <c r="AF791" s="155"/>
      <c r="AG791" s="155"/>
      <c r="AH791" s="155"/>
      <c r="AI791" s="155"/>
      <c r="AJ791" s="155"/>
      <c r="AK791" s="155"/>
      <c r="AL791" s="155"/>
      <c r="AM791" s="155"/>
      <c r="AN791" s="155"/>
      <c r="AO791" s="155"/>
      <c r="AP791" s="155"/>
      <c r="AQ791" s="155"/>
      <c r="AR791" s="155"/>
      <c r="AS791" s="155"/>
      <c r="AT791" s="155"/>
      <c r="AU791" s="155"/>
      <c r="AV791" s="155"/>
      <c r="AW791" s="155"/>
    </row>
    <row r="792" spans="1:49" ht="16.5" customHeight="1">
      <c r="A792" s="155"/>
      <c r="B792" s="155"/>
      <c r="C792" s="1"/>
      <c r="D792" s="1"/>
      <c r="E792" s="1"/>
      <c r="F792" s="156"/>
      <c r="G792" s="157"/>
      <c r="H792" s="184"/>
      <c r="I792" s="184"/>
      <c r="J792" s="184"/>
      <c r="K792" s="184"/>
      <c r="L792" s="184"/>
      <c r="M792" s="4"/>
      <c r="N792" s="184"/>
      <c r="O792" s="1"/>
      <c r="P792" s="5"/>
      <c r="Q792" s="4"/>
      <c r="R792" s="1"/>
      <c r="S792" s="1"/>
      <c r="T792" s="1"/>
      <c r="U792" s="6"/>
      <c r="V792" s="184"/>
      <c r="W792" s="184"/>
      <c r="X792" s="155"/>
      <c r="Y792" s="155"/>
      <c r="Z792" s="155"/>
      <c r="AA792" s="155"/>
      <c r="AB792" s="155"/>
      <c r="AC792" s="184"/>
      <c r="AD792" s="155"/>
      <c r="AE792" s="155"/>
      <c r="AF792" s="155"/>
      <c r="AG792" s="155"/>
      <c r="AH792" s="155"/>
      <c r="AI792" s="155"/>
      <c r="AJ792" s="155"/>
      <c r="AK792" s="155"/>
      <c r="AL792" s="155"/>
      <c r="AM792" s="155"/>
      <c r="AN792" s="155"/>
      <c r="AO792" s="155"/>
      <c r="AP792" s="155"/>
      <c r="AQ792" s="155"/>
      <c r="AR792" s="155"/>
      <c r="AS792" s="155"/>
      <c r="AT792" s="155"/>
      <c r="AU792" s="155"/>
      <c r="AV792" s="155"/>
      <c r="AW792" s="155"/>
    </row>
    <row r="793" spans="1:49" ht="16.5" customHeight="1">
      <c r="A793" s="155"/>
      <c r="B793" s="155"/>
      <c r="C793" s="1"/>
      <c r="D793" s="1"/>
      <c r="E793" s="1"/>
      <c r="F793" s="156"/>
      <c r="G793" s="157"/>
      <c r="H793" s="184"/>
      <c r="I793" s="184"/>
      <c r="J793" s="184"/>
      <c r="K793" s="184"/>
      <c r="L793" s="184"/>
      <c r="M793" s="4"/>
      <c r="N793" s="184"/>
      <c r="O793" s="1"/>
      <c r="P793" s="5"/>
      <c r="Q793" s="4"/>
      <c r="R793" s="1"/>
      <c r="S793" s="1"/>
      <c r="T793" s="1"/>
      <c r="U793" s="6"/>
      <c r="V793" s="184"/>
      <c r="W793" s="184"/>
      <c r="X793" s="155"/>
      <c r="Y793" s="155"/>
      <c r="Z793" s="155"/>
      <c r="AA793" s="155"/>
      <c r="AB793" s="155"/>
      <c r="AC793" s="184"/>
      <c r="AD793" s="155"/>
      <c r="AE793" s="155"/>
      <c r="AF793" s="155"/>
      <c r="AG793" s="155"/>
      <c r="AH793" s="155"/>
      <c r="AI793" s="155"/>
      <c r="AJ793" s="155"/>
      <c r="AK793" s="155"/>
      <c r="AL793" s="155"/>
      <c r="AM793" s="155"/>
      <c r="AN793" s="155"/>
      <c r="AO793" s="155"/>
      <c r="AP793" s="155"/>
      <c r="AQ793" s="155"/>
      <c r="AR793" s="155"/>
      <c r="AS793" s="155"/>
      <c r="AT793" s="155"/>
      <c r="AU793" s="155"/>
      <c r="AV793" s="155"/>
      <c r="AW793" s="155"/>
    </row>
    <row r="794" spans="1:49" ht="16.5" customHeight="1">
      <c r="A794" s="155"/>
      <c r="B794" s="155"/>
      <c r="C794" s="1"/>
      <c r="D794" s="1"/>
      <c r="E794" s="1"/>
      <c r="F794" s="156"/>
      <c r="G794" s="157"/>
      <c r="H794" s="184"/>
      <c r="I794" s="184"/>
      <c r="J794" s="184"/>
      <c r="K794" s="184"/>
      <c r="L794" s="184"/>
      <c r="M794" s="4"/>
      <c r="N794" s="184"/>
      <c r="O794" s="1"/>
      <c r="P794" s="5"/>
      <c r="Q794" s="4"/>
      <c r="R794" s="1"/>
      <c r="S794" s="1"/>
      <c r="T794" s="1"/>
      <c r="U794" s="6"/>
      <c r="V794" s="184"/>
      <c r="W794" s="184"/>
      <c r="X794" s="155"/>
      <c r="Y794" s="155"/>
      <c r="Z794" s="155"/>
      <c r="AA794" s="155"/>
      <c r="AB794" s="155"/>
      <c r="AC794" s="184"/>
      <c r="AD794" s="155"/>
      <c r="AE794" s="155"/>
      <c r="AF794" s="155"/>
      <c r="AG794" s="155"/>
      <c r="AH794" s="155"/>
      <c r="AI794" s="155"/>
      <c r="AJ794" s="155"/>
      <c r="AK794" s="155"/>
      <c r="AL794" s="155"/>
      <c r="AM794" s="155"/>
      <c r="AN794" s="155"/>
      <c r="AO794" s="155"/>
      <c r="AP794" s="155"/>
      <c r="AQ794" s="155"/>
      <c r="AR794" s="155"/>
      <c r="AS794" s="155"/>
      <c r="AT794" s="155"/>
      <c r="AU794" s="155"/>
      <c r="AV794" s="155"/>
      <c r="AW794" s="155"/>
    </row>
    <row r="795" spans="1:49" ht="16.5" customHeight="1">
      <c r="A795" s="155"/>
      <c r="B795" s="155"/>
      <c r="C795" s="1"/>
      <c r="D795" s="1"/>
      <c r="E795" s="1"/>
      <c r="F795" s="156"/>
      <c r="G795" s="157"/>
      <c r="H795" s="184"/>
      <c r="I795" s="184"/>
      <c r="J795" s="184"/>
      <c r="K795" s="184"/>
      <c r="L795" s="184"/>
      <c r="M795" s="4"/>
      <c r="N795" s="184"/>
      <c r="O795" s="1"/>
      <c r="P795" s="5"/>
      <c r="Q795" s="4"/>
      <c r="R795" s="1"/>
      <c r="S795" s="1"/>
      <c r="T795" s="1"/>
      <c r="U795" s="6"/>
      <c r="V795" s="184"/>
      <c r="W795" s="184"/>
      <c r="X795" s="155"/>
      <c r="Y795" s="155"/>
      <c r="Z795" s="155"/>
      <c r="AA795" s="155"/>
      <c r="AB795" s="155"/>
      <c r="AC795" s="184"/>
      <c r="AD795" s="155"/>
      <c r="AE795" s="155"/>
      <c r="AF795" s="155"/>
      <c r="AG795" s="155"/>
      <c r="AH795" s="155"/>
      <c r="AI795" s="155"/>
      <c r="AJ795" s="155"/>
      <c r="AK795" s="155"/>
      <c r="AL795" s="155"/>
      <c r="AM795" s="155"/>
      <c r="AN795" s="155"/>
      <c r="AO795" s="155"/>
      <c r="AP795" s="155"/>
      <c r="AQ795" s="155"/>
      <c r="AR795" s="155"/>
      <c r="AS795" s="155"/>
      <c r="AT795" s="155"/>
      <c r="AU795" s="155"/>
      <c r="AV795" s="155"/>
      <c r="AW795" s="155"/>
    </row>
    <row r="796" spans="1:49" ht="16.5" customHeight="1">
      <c r="A796" s="155"/>
      <c r="B796" s="155"/>
      <c r="C796" s="1"/>
      <c r="D796" s="1"/>
      <c r="E796" s="1"/>
      <c r="F796" s="156"/>
      <c r="G796" s="157"/>
      <c r="H796" s="184"/>
      <c r="I796" s="184"/>
      <c r="J796" s="184"/>
      <c r="K796" s="184"/>
      <c r="L796" s="184"/>
      <c r="M796" s="4"/>
      <c r="N796" s="184"/>
      <c r="O796" s="1"/>
      <c r="P796" s="5"/>
      <c r="Q796" s="4"/>
      <c r="R796" s="1"/>
      <c r="S796" s="1"/>
      <c r="T796" s="1"/>
      <c r="U796" s="6"/>
      <c r="V796" s="184"/>
      <c r="W796" s="184"/>
      <c r="X796" s="155"/>
      <c r="Y796" s="155"/>
      <c r="Z796" s="155"/>
      <c r="AA796" s="155"/>
      <c r="AB796" s="155"/>
      <c r="AC796" s="184"/>
      <c r="AD796" s="155"/>
      <c r="AE796" s="155"/>
      <c r="AF796" s="155"/>
      <c r="AG796" s="155"/>
      <c r="AH796" s="155"/>
      <c r="AI796" s="155"/>
      <c r="AJ796" s="155"/>
      <c r="AK796" s="155"/>
      <c r="AL796" s="155"/>
      <c r="AM796" s="155"/>
      <c r="AN796" s="155"/>
      <c r="AO796" s="155"/>
      <c r="AP796" s="155"/>
      <c r="AQ796" s="155"/>
      <c r="AR796" s="155"/>
      <c r="AS796" s="155"/>
      <c r="AT796" s="155"/>
      <c r="AU796" s="155"/>
      <c r="AV796" s="155"/>
      <c r="AW796" s="155"/>
    </row>
    <row r="797" spans="1:49" ht="16.5" customHeight="1">
      <c r="A797" s="155"/>
      <c r="B797" s="155"/>
      <c r="C797" s="1"/>
      <c r="D797" s="1"/>
      <c r="E797" s="1"/>
      <c r="F797" s="156"/>
      <c r="G797" s="157"/>
      <c r="H797" s="184"/>
      <c r="I797" s="184"/>
      <c r="J797" s="184"/>
      <c r="K797" s="184"/>
      <c r="L797" s="184"/>
      <c r="M797" s="4"/>
      <c r="N797" s="184"/>
      <c r="O797" s="1"/>
      <c r="P797" s="5"/>
      <c r="Q797" s="4"/>
      <c r="R797" s="1"/>
      <c r="S797" s="1"/>
      <c r="T797" s="1"/>
      <c r="U797" s="6"/>
      <c r="V797" s="184"/>
      <c r="W797" s="184"/>
      <c r="X797" s="155"/>
      <c r="Y797" s="155"/>
      <c r="Z797" s="155"/>
      <c r="AA797" s="155"/>
      <c r="AB797" s="155"/>
      <c r="AC797" s="184"/>
      <c r="AD797" s="155"/>
      <c r="AE797" s="155"/>
      <c r="AF797" s="155"/>
      <c r="AG797" s="155"/>
      <c r="AH797" s="155"/>
      <c r="AI797" s="155"/>
      <c r="AJ797" s="155"/>
      <c r="AK797" s="155"/>
      <c r="AL797" s="155"/>
      <c r="AM797" s="155"/>
      <c r="AN797" s="155"/>
      <c r="AO797" s="155"/>
      <c r="AP797" s="155"/>
      <c r="AQ797" s="155"/>
      <c r="AR797" s="155"/>
      <c r="AS797" s="155"/>
      <c r="AT797" s="155"/>
      <c r="AU797" s="155"/>
      <c r="AV797" s="155"/>
      <c r="AW797" s="155"/>
    </row>
    <row r="798" spans="1:49" ht="16.5" customHeight="1">
      <c r="A798" s="155"/>
      <c r="B798" s="155"/>
      <c r="C798" s="1"/>
      <c r="D798" s="1"/>
      <c r="E798" s="1"/>
      <c r="F798" s="156"/>
      <c r="G798" s="157"/>
      <c r="H798" s="184"/>
      <c r="I798" s="184"/>
      <c r="J798" s="184"/>
      <c r="K798" s="184"/>
      <c r="L798" s="184"/>
      <c r="M798" s="4"/>
      <c r="N798" s="184"/>
      <c r="O798" s="1"/>
      <c r="P798" s="5"/>
      <c r="Q798" s="4"/>
      <c r="R798" s="1"/>
      <c r="S798" s="1"/>
      <c r="T798" s="1"/>
      <c r="U798" s="6"/>
      <c r="V798" s="184"/>
      <c r="W798" s="184"/>
      <c r="X798" s="155"/>
      <c r="Y798" s="155"/>
      <c r="Z798" s="155"/>
      <c r="AA798" s="155"/>
      <c r="AB798" s="155"/>
      <c r="AC798" s="184"/>
      <c r="AD798" s="155"/>
      <c r="AE798" s="155"/>
      <c r="AF798" s="155"/>
      <c r="AG798" s="155"/>
      <c r="AH798" s="155"/>
      <c r="AI798" s="155"/>
      <c r="AJ798" s="155"/>
      <c r="AK798" s="155"/>
      <c r="AL798" s="155"/>
      <c r="AM798" s="155"/>
      <c r="AN798" s="155"/>
      <c r="AO798" s="155"/>
      <c r="AP798" s="155"/>
      <c r="AQ798" s="155"/>
      <c r="AR798" s="155"/>
      <c r="AS798" s="155"/>
      <c r="AT798" s="155"/>
      <c r="AU798" s="155"/>
      <c r="AV798" s="155"/>
      <c r="AW798" s="155"/>
    </row>
    <row r="799" spans="1:49" ht="16.5" customHeight="1">
      <c r="A799" s="155"/>
      <c r="B799" s="155"/>
      <c r="C799" s="1"/>
      <c r="D799" s="1"/>
      <c r="E799" s="1"/>
      <c r="F799" s="156"/>
      <c r="G799" s="157"/>
      <c r="H799" s="184"/>
      <c r="I799" s="184"/>
      <c r="J799" s="184"/>
      <c r="K799" s="184"/>
      <c r="L799" s="184"/>
      <c r="M799" s="4"/>
      <c r="N799" s="184"/>
      <c r="O799" s="1"/>
      <c r="P799" s="5"/>
      <c r="Q799" s="4"/>
      <c r="R799" s="1"/>
      <c r="S799" s="1"/>
      <c r="T799" s="1"/>
      <c r="U799" s="6"/>
      <c r="V799" s="184"/>
      <c r="W799" s="184"/>
      <c r="X799" s="155"/>
      <c r="Y799" s="155"/>
      <c r="Z799" s="155"/>
      <c r="AA799" s="155"/>
      <c r="AB799" s="155"/>
      <c r="AC799" s="184"/>
      <c r="AD799" s="155"/>
      <c r="AE799" s="155"/>
      <c r="AF799" s="155"/>
      <c r="AG799" s="155"/>
      <c r="AH799" s="155"/>
      <c r="AI799" s="155"/>
      <c r="AJ799" s="155"/>
      <c r="AK799" s="155"/>
      <c r="AL799" s="155"/>
      <c r="AM799" s="155"/>
      <c r="AN799" s="155"/>
      <c r="AO799" s="155"/>
      <c r="AP799" s="155"/>
      <c r="AQ799" s="155"/>
      <c r="AR799" s="155"/>
      <c r="AS799" s="155"/>
      <c r="AT799" s="155"/>
      <c r="AU799" s="155"/>
      <c r="AV799" s="155"/>
      <c r="AW799" s="155"/>
    </row>
    <row r="800" spans="1:49" ht="16.5" customHeight="1">
      <c r="A800" s="155"/>
      <c r="B800" s="155"/>
      <c r="C800" s="1"/>
      <c r="D800" s="1"/>
      <c r="E800" s="1"/>
      <c r="F800" s="156"/>
      <c r="G800" s="157"/>
      <c r="H800" s="184"/>
      <c r="I800" s="184"/>
      <c r="J800" s="184"/>
      <c r="K800" s="184"/>
      <c r="L800" s="184"/>
      <c r="M800" s="4"/>
      <c r="N800" s="184"/>
      <c r="O800" s="1"/>
      <c r="P800" s="5"/>
      <c r="Q800" s="4"/>
      <c r="R800" s="1"/>
      <c r="S800" s="1"/>
      <c r="T800" s="1"/>
      <c r="U800" s="6"/>
      <c r="V800" s="184"/>
      <c r="W800" s="184"/>
      <c r="X800" s="155"/>
      <c r="Y800" s="155"/>
      <c r="Z800" s="155"/>
      <c r="AA800" s="155"/>
      <c r="AB800" s="155"/>
      <c r="AC800" s="184"/>
      <c r="AD800" s="155"/>
      <c r="AE800" s="155"/>
      <c r="AF800" s="155"/>
      <c r="AG800" s="155"/>
      <c r="AH800" s="155"/>
      <c r="AI800" s="155"/>
      <c r="AJ800" s="155"/>
      <c r="AK800" s="155"/>
      <c r="AL800" s="155"/>
      <c r="AM800" s="155"/>
      <c r="AN800" s="155"/>
      <c r="AO800" s="155"/>
      <c r="AP800" s="155"/>
      <c r="AQ800" s="155"/>
      <c r="AR800" s="155"/>
      <c r="AS800" s="155"/>
      <c r="AT800" s="155"/>
      <c r="AU800" s="155"/>
      <c r="AV800" s="155"/>
      <c r="AW800" s="155"/>
    </row>
    <row r="801" spans="1:49" ht="16.5" customHeight="1">
      <c r="A801" s="155"/>
      <c r="B801" s="155"/>
      <c r="C801" s="1"/>
      <c r="D801" s="1"/>
      <c r="E801" s="1"/>
      <c r="F801" s="156"/>
      <c r="G801" s="157"/>
      <c r="H801" s="184"/>
      <c r="I801" s="184"/>
      <c r="J801" s="184"/>
      <c r="K801" s="184"/>
      <c r="L801" s="184"/>
      <c r="M801" s="4"/>
      <c r="N801" s="184"/>
      <c r="O801" s="1"/>
      <c r="P801" s="5"/>
      <c r="Q801" s="4"/>
      <c r="R801" s="1"/>
      <c r="S801" s="1"/>
      <c r="T801" s="1"/>
      <c r="U801" s="6"/>
      <c r="V801" s="184"/>
      <c r="W801" s="184"/>
      <c r="X801" s="155"/>
      <c r="Y801" s="155"/>
      <c r="Z801" s="155"/>
      <c r="AA801" s="155"/>
      <c r="AB801" s="155"/>
      <c r="AC801" s="184"/>
      <c r="AD801" s="155"/>
      <c r="AE801" s="155"/>
      <c r="AF801" s="155"/>
      <c r="AG801" s="155"/>
      <c r="AH801" s="155"/>
      <c r="AI801" s="155"/>
      <c r="AJ801" s="155"/>
      <c r="AK801" s="155"/>
      <c r="AL801" s="155"/>
      <c r="AM801" s="155"/>
      <c r="AN801" s="155"/>
      <c r="AO801" s="155"/>
      <c r="AP801" s="155"/>
      <c r="AQ801" s="155"/>
      <c r="AR801" s="155"/>
      <c r="AS801" s="155"/>
      <c r="AT801" s="155"/>
      <c r="AU801" s="155"/>
      <c r="AV801" s="155"/>
      <c r="AW801" s="155"/>
    </row>
    <row r="802" spans="1:49" ht="16.5" customHeight="1">
      <c r="A802" s="155"/>
      <c r="B802" s="155"/>
      <c r="C802" s="1"/>
      <c r="D802" s="1"/>
      <c r="E802" s="1"/>
      <c r="F802" s="156"/>
      <c r="G802" s="157"/>
      <c r="H802" s="184"/>
      <c r="I802" s="184"/>
      <c r="J802" s="184"/>
      <c r="K802" s="184"/>
      <c r="L802" s="184"/>
      <c r="M802" s="4"/>
      <c r="N802" s="184"/>
      <c r="O802" s="1"/>
      <c r="P802" s="5"/>
      <c r="Q802" s="4"/>
      <c r="R802" s="1"/>
      <c r="S802" s="1"/>
      <c r="T802" s="1"/>
      <c r="U802" s="6"/>
      <c r="V802" s="184"/>
      <c r="W802" s="184"/>
      <c r="X802" s="155"/>
      <c r="Y802" s="155"/>
      <c r="Z802" s="155"/>
      <c r="AA802" s="155"/>
      <c r="AB802" s="155"/>
      <c r="AC802" s="184"/>
      <c r="AD802" s="155"/>
      <c r="AE802" s="155"/>
      <c r="AF802" s="155"/>
      <c r="AG802" s="155"/>
      <c r="AH802" s="155"/>
      <c r="AI802" s="155"/>
      <c r="AJ802" s="155"/>
      <c r="AK802" s="155"/>
      <c r="AL802" s="155"/>
      <c r="AM802" s="155"/>
      <c r="AN802" s="155"/>
      <c r="AO802" s="155"/>
      <c r="AP802" s="155"/>
      <c r="AQ802" s="155"/>
      <c r="AR802" s="155"/>
      <c r="AS802" s="155"/>
      <c r="AT802" s="155"/>
      <c r="AU802" s="155"/>
      <c r="AV802" s="155"/>
      <c r="AW802" s="155"/>
    </row>
    <row r="803" spans="1:49" ht="16.5" customHeight="1">
      <c r="A803" s="155"/>
      <c r="B803" s="155"/>
      <c r="C803" s="1"/>
      <c r="D803" s="1"/>
      <c r="E803" s="1"/>
      <c r="F803" s="156"/>
      <c r="G803" s="157"/>
      <c r="H803" s="184"/>
      <c r="I803" s="184"/>
      <c r="J803" s="184"/>
      <c r="K803" s="184"/>
      <c r="L803" s="184"/>
      <c r="M803" s="4"/>
      <c r="N803" s="184"/>
      <c r="O803" s="1"/>
      <c r="P803" s="5"/>
      <c r="Q803" s="4"/>
      <c r="R803" s="1"/>
      <c r="S803" s="1"/>
      <c r="T803" s="1"/>
      <c r="U803" s="6"/>
      <c r="V803" s="184"/>
      <c r="W803" s="184"/>
      <c r="X803" s="155"/>
      <c r="Y803" s="155"/>
      <c r="Z803" s="155"/>
      <c r="AA803" s="155"/>
      <c r="AB803" s="155"/>
      <c r="AC803" s="184"/>
      <c r="AD803" s="155"/>
      <c r="AE803" s="155"/>
      <c r="AF803" s="155"/>
      <c r="AG803" s="155"/>
      <c r="AH803" s="155"/>
      <c r="AI803" s="155"/>
      <c r="AJ803" s="155"/>
      <c r="AK803" s="155"/>
      <c r="AL803" s="155"/>
      <c r="AM803" s="155"/>
      <c r="AN803" s="155"/>
      <c r="AO803" s="155"/>
      <c r="AP803" s="155"/>
      <c r="AQ803" s="155"/>
      <c r="AR803" s="155"/>
      <c r="AS803" s="155"/>
      <c r="AT803" s="155"/>
      <c r="AU803" s="155"/>
      <c r="AV803" s="155"/>
      <c r="AW803" s="155"/>
    </row>
    <row r="804" spans="1:49" ht="16.5" customHeight="1">
      <c r="A804" s="155"/>
      <c r="B804" s="155"/>
      <c r="C804" s="1"/>
      <c r="D804" s="1"/>
      <c r="E804" s="1"/>
      <c r="F804" s="156"/>
      <c r="G804" s="157"/>
      <c r="H804" s="184"/>
      <c r="I804" s="184"/>
      <c r="J804" s="184"/>
      <c r="K804" s="184"/>
      <c r="L804" s="184"/>
      <c r="M804" s="4"/>
      <c r="N804" s="184"/>
      <c r="O804" s="1"/>
      <c r="P804" s="5"/>
      <c r="Q804" s="4"/>
      <c r="R804" s="1"/>
      <c r="S804" s="1"/>
      <c r="T804" s="1"/>
      <c r="U804" s="6"/>
      <c r="V804" s="184"/>
      <c r="W804" s="184"/>
      <c r="X804" s="155"/>
      <c r="Y804" s="155"/>
      <c r="Z804" s="155"/>
      <c r="AA804" s="155"/>
      <c r="AB804" s="155"/>
      <c r="AC804" s="184"/>
      <c r="AD804" s="155"/>
      <c r="AE804" s="155"/>
      <c r="AF804" s="155"/>
      <c r="AG804" s="155"/>
      <c r="AH804" s="155"/>
      <c r="AI804" s="155"/>
      <c r="AJ804" s="155"/>
      <c r="AK804" s="155"/>
      <c r="AL804" s="155"/>
      <c r="AM804" s="155"/>
      <c r="AN804" s="155"/>
      <c r="AO804" s="155"/>
      <c r="AP804" s="155"/>
      <c r="AQ804" s="155"/>
      <c r="AR804" s="155"/>
      <c r="AS804" s="155"/>
      <c r="AT804" s="155"/>
      <c r="AU804" s="155"/>
      <c r="AV804" s="155"/>
      <c r="AW804" s="155"/>
    </row>
    <row r="805" spans="1:49" ht="16.5" customHeight="1">
      <c r="A805" s="155"/>
      <c r="B805" s="155"/>
      <c r="C805" s="1"/>
      <c r="D805" s="1"/>
      <c r="E805" s="1"/>
      <c r="F805" s="156"/>
      <c r="G805" s="157"/>
      <c r="H805" s="184"/>
      <c r="I805" s="184"/>
      <c r="J805" s="184"/>
      <c r="K805" s="184"/>
      <c r="L805" s="184"/>
      <c r="M805" s="4"/>
      <c r="N805" s="184"/>
      <c r="O805" s="1"/>
      <c r="P805" s="5"/>
      <c r="Q805" s="4"/>
      <c r="R805" s="1"/>
      <c r="S805" s="1"/>
      <c r="T805" s="1"/>
      <c r="U805" s="6"/>
      <c r="V805" s="184"/>
      <c r="W805" s="184"/>
      <c r="X805" s="155"/>
      <c r="Y805" s="155"/>
      <c r="Z805" s="155"/>
      <c r="AA805" s="155"/>
      <c r="AB805" s="155"/>
      <c r="AC805" s="184"/>
      <c r="AD805" s="155"/>
      <c r="AE805" s="155"/>
      <c r="AF805" s="155"/>
      <c r="AG805" s="155"/>
      <c r="AH805" s="155"/>
      <c r="AI805" s="155"/>
      <c r="AJ805" s="155"/>
      <c r="AK805" s="155"/>
      <c r="AL805" s="155"/>
      <c r="AM805" s="155"/>
      <c r="AN805" s="155"/>
      <c r="AO805" s="155"/>
      <c r="AP805" s="155"/>
      <c r="AQ805" s="155"/>
      <c r="AR805" s="155"/>
      <c r="AS805" s="155"/>
      <c r="AT805" s="155"/>
      <c r="AU805" s="155"/>
      <c r="AV805" s="155"/>
      <c r="AW805" s="155"/>
    </row>
    <row r="806" spans="1:49" ht="16.5" customHeight="1">
      <c r="A806" s="155"/>
      <c r="B806" s="155"/>
      <c r="C806" s="1"/>
      <c r="D806" s="1"/>
      <c r="E806" s="1"/>
      <c r="F806" s="156"/>
      <c r="G806" s="157"/>
      <c r="H806" s="184"/>
      <c r="I806" s="184"/>
      <c r="J806" s="184"/>
      <c r="K806" s="184"/>
      <c r="L806" s="184"/>
      <c r="M806" s="4"/>
      <c r="N806" s="184"/>
      <c r="O806" s="1"/>
      <c r="P806" s="5"/>
      <c r="Q806" s="4"/>
      <c r="R806" s="1"/>
      <c r="S806" s="1"/>
      <c r="T806" s="1"/>
      <c r="U806" s="6"/>
      <c r="V806" s="184"/>
      <c r="W806" s="184"/>
      <c r="X806" s="155"/>
      <c r="Y806" s="155"/>
      <c r="Z806" s="155"/>
      <c r="AA806" s="155"/>
      <c r="AB806" s="155"/>
      <c r="AC806" s="184"/>
      <c r="AD806" s="155"/>
      <c r="AE806" s="155"/>
      <c r="AF806" s="155"/>
      <c r="AG806" s="155"/>
      <c r="AH806" s="155"/>
      <c r="AI806" s="155"/>
      <c r="AJ806" s="155"/>
      <c r="AK806" s="155"/>
      <c r="AL806" s="155"/>
      <c r="AM806" s="155"/>
      <c r="AN806" s="155"/>
      <c r="AO806" s="155"/>
      <c r="AP806" s="155"/>
      <c r="AQ806" s="155"/>
      <c r="AR806" s="155"/>
      <c r="AS806" s="155"/>
      <c r="AT806" s="155"/>
      <c r="AU806" s="155"/>
      <c r="AV806" s="155"/>
      <c r="AW806" s="155"/>
    </row>
    <row r="807" spans="1:49" ht="16.5" customHeight="1">
      <c r="A807" s="155"/>
      <c r="B807" s="155"/>
      <c r="C807" s="1"/>
      <c r="D807" s="1"/>
      <c r="E807" s="1"/>
      <c r="F807" s="156"/>
      <c r="G807" s="157"/>
      <c r="H807" s="184"/>
      <c r="I807" s="184"/>
      <c r="J807" s="184"/>
      <c r="K807" s="184"/>
      <c r="L807" s="184"/>
      <c r="M807" s="4"/>
      <c r="N807" s="184"/>
      <c r="O807" s="1"/>
      <c r="P807" s="5"/>
      <c r="Q807" s="4"/>
      <c r="R807" s="1"/>
      <c r="S807" s="1"/>
      <c r="T807" s="1"/>
      <c r="U807" s="6"/>
      <c r="V807" s="184"/>
      <c r="W807" s="184"/>
      <c r="X807" s="155"/>
      <c r="Y807" s="155"/>
      <c r="Z807" s="155"/>
      <c r="AA807" s="155"/>
      <c r="AB807" s="155"/>
      <c r="AC807" s="184"/>
      <c r="AD807" s="155"/>
      <c r="AE807" s="155"/>
      <c r="AF807" s="155"/>
      <c r="AG807" s="155"/>
      <c r="AH807" s="155"/>
      <c r="AI807" s="155"/>
      <c r="AJ807" s="155"/>
      <c r="AK807" s="155"/>
      <c r="AL807" s="155"/>
      <c r="AM807" s="155"/>
      <c r="AN807" s="155"/>
      <c r="AO807" s="155"/>
      <c r="AP807" s="155"/>
      <c r="AQ807" s="155"/>
      <c r="AR807" s="155"/>
      <c r="AS807" s="155"/>
      <c r="AT807" s="155"/>
      <c r="AU807" s="155"/>
      <c r="AV807" s="155"/>
      <c r="AW807" s="155"/>
    </row>
    <row r="808" spans="1:49" ht="16.5" customHeight="1">
      <c r="A808" s="155"/>
      <c r="B808" s="155"/>
      <c r="C808" s="1"/>
      <c r="D808" s="1"/>
      <c r="E808" s="1"/>
      <c r="F808" s="156"/>
      <c r="G808" s="157"/>
      <c r="H808" s="184"/>
      <c r="I808" s="184"/>
      <c r="J808" s="184"/>
      <c r="K808" s="184"/>
      <c r="L808" s="184"/>
      <c r="M808" s="4"/>
      <c r="N808" s="184"/>
      <c r="O808" s="1"/>
      <c r="P808" s="5"/>
      <c r="Q808" s="4"/>
      <c r="R808" s="1"/>
      <c r="S808" s="1"/>
      <c r="T808" s="1"/>
      <c r="U808" s="6"/>
      <c r="V808" s="184"/>
      <c r="W808" s="184"/>
      <c r="X808" s="155"/>
      <c r="Y808" s="155"/>
      <c r="Z808" s="155"/>
      <c r="AA808" s="155"/>
      <c r="AB808" s="155"/>
      <c r="AC808" s="184"/>
      <c r="AD808" s="155"/>
      <c r="AE808" s="155"/>
      <c r="AF808" s="155"/>
      <c r="AG808" s="155"/>
      <c r="AH808" s="155"/>
      <c r="AI808" s="155"/>
      <c r="AJ808" s="155"/>
      <c r="AK808" s="155"/>
      <c r="AL808" s="155"/>
      <c r="AM808" s="155"/>
      <c r="AN808" s="155"/>
      <c r="AO808" s="155"/>
      <c r="AP808" s="155"/>
      <c r="AQ808" s="155"/>
      <c r="AR808" s="155"/>
      <c r="AS808" s="155"/>
      <c r="AT808" s="155"/>
      <c r="AU808" s="155"/>
      <c r="AV808" s="155"/>
      <c r="AW808" s="155"/>
    </row>
    <row r="809" spans="1:49" ht="16.5" customHeight="1">
      <c r="A809" s="155"/>
      <c r="B809" s="155"/>
      <c r="C809" s="1"/>
      <c r="D809" s="1"/>
      <c r="E809" s="1"/>
      <c r="F809" s="156"/>
      <c r="G809" s="157"/>
      <c r="H809" s="184"/>
      <c r="I809" s="184"/>
      <c r="J809" s="184"/>
      <c r="K809" s="184"/>
      <c r="L809" s="184"/>
      <c r="M809" s="4"/>
      <c r="N809" s="184"/>
      <c r="O809" s="1"/>
      <c r="P809" s="5"/>
      <c r="Q809" s="4"/>
      <c r="R809" s="1"/>
      <c r="S809" s="1"/>
      <c r="T809" s="1"/>
      <c r="U809" s="6"/>
      <c r="V809" s="184"/>
      <c r="W809" s="184"/>
      <c r="X809" s="155"/>
      <c r="Y809" s="155"/>
      <c r="Z809" s="155"/>
      <c r="AA809" s="155"/>
      <c r="AB809" s="155"/>
      <c r="AC809" s="184"/>
      <c r="AD809" s="155"/>
      <c r="AE809" s="155"/>
      <c r="AF809" s="155"/>
      <c r="AG809" s="155"/>
      <c r="AH809" s="155"/>
      <c r="AI809" s="155"/>
      <c r="AJ809" s="155"/>
      <c r="AK809" s="155"/>
      <c r="AL809" s="155"/>
      <c r="AM809" s="155"/>
      <c r="AN809" s="155"/>
      <c r="AO809" s="155"/>
      <c r="AP809" s="155"/>
      <c r="AQ809" s="155"/>
      <c r="AR809" s="155"/>
      <c r="AS809" s="155"/>
      <c r="AT809" s="155"/>
      <c r="AU809" s="155"/>
      <c r="AV809" s="155"/>
      <c r="AW809" s="155"/>
    </row>
    <row r="810" spans="1:49" ht="16.5" customHeight="1">
      <c r="A810" s="155"/>
      <c r="B810" s="155"/>
      <c r="C810" s="1"/>
      <c r="D810" s="1"/>
      <c r="E810" s="1"/>
      <c r="F810" s="156"/>
      <c r="G810" s="157"/>
      <c r="H810" s="184"/>
      <c r="I810" s="184"/>
      <c r="J810" s="184"/>
      <c r="K810" s="184"/>
      <c r="L810" s="184"/>
      <c r="M810" s="4"/>
      <c r="N810" s="184"/>
      <c r="O810" s="1"/>
      <c r="P810" s="5"/>
      <c r="Q810" s="4"/>
      <c r="R810" s="1"/>
      <c r="S810" s="1"/>
      <c r="T810" s="1"/>
      <c r="U810" s="6"/>
      <c r="V810" s="184"/>
      <c r="W810" s="184"/>
      <c r="X810" s="155"/>
      <c r="Y810" s="155"/>
      <c r="Z810" s="155"/>
      <c r="AA810" s="155"/>
      <c r="AB810" s="155"/>
      <c r="AC810" s="184"/>
      <c r="AD810" s="155"/>
      <c r="AE810" s="155"/>
      <c r="AF810" s="155"/>
      <c r="AG810" s="155"/>
      <c r="AH810" s="155"/>
      <c r="AI810" s="155"/>
      <c r="AJ810" s="155"/>
      <c r="AK810" s="155"/>
      <c r="AL810" s="155"/>
      <c r="AM810" s="155"/>
      <c r="AN810" s="155"/>
      <c r="AO810" s="155"/>
      <c r="AP810" s="155"/>
      <c r="AQ810" s="155"/>
      <c r="AR810" s="155"/>
      <c r="AS810" s="155"/>
      <c r="AT810" s="155"/>
      <c r="AU810" s="155"/>
      <c r="AV810" s="155"/>
      <c r="AW810" s="155"/>
    </row>
    <row r="811" spans="1:49" ht="16.5" customHeight="1">
      <c r="A811" s="155"/>
      <c r="B811" s="155"/>
      <c r="C811" s="1"/>
      <c r="D811" s="1"/>
      <c r="E811" s="1"/>
      <c r="F811" s="156"/>
      <c r="G811" s="157"/>
      <c r="H811" s="184"/>
      <c r="I811" s="184"/>
      <c r="J811" s="184"/>
      <c r="K811" s="184"/>
      <c r="L811" s="184"/>
      <c r="M811" s="4"/>
      <c r="N811" s="184"/>
      <c r="O811" s="1"/>
      <c r="P811" s="5"/>
      <c r="Q811" s="4"/>
      <c r="R811" s="1"/>
      <c r="S811" s="1"/>
      <c r="T811" s="1"/>
      <c r="U811" s="6"/>
      <c r="V811" s="184"/>
      <c r="W811" s="184"/>
      <c r="X811" s="155"/>
      <c r="Y811" s="155"/>
      <c r="Z811" s="155"/>
      <c r="AA811" s="155"/>
      <c r="AB811" s="155"/>
      <c r="AC811" s="184"/>
      <c r="AD811" s="155"/>
      <c r="AE811" s="155"/>
      <c r="AF811" s="155"/>
      <c r="AG811" s="155"/>
      <c r="AH811" s="155"/>
      <c r="AI811" s="155"/>
      <c r="AJ811" s="155"/>
      <c r="AK811" s="155"/>
      <c r="AL811" s="155"/>
      <c r="AM811" s="155"/>
      <c r="AN811" s="155"/>
      <c r="AO811" s="155"/>
      <c r="AP811" s="155"/>
      <c r="AQ811" s="155"/>
      <c r="AR811" s="155"/>
      <c r="AS811" s="155"/>
      <c r="AT811" s="155"/>
      <c r="AU811" s="155"/>
      <c r="AV811" s="155"/>
      <c r="AW811" s="155"/>
    </row>
    <row r="812" spans="1:49" ht="16.5" customHeight="1">
      <c r="A812" s="155"/>
      <c r="B812" s="155"/>
      <c r="C812" s="1"/>
      <c r="D812" s="1"/>
      <c r="E812" s="1"/>
      <c r="F812" s="156"/>
      <c r="G812" s="157"/>
      <c r="H812" s="184"/>
      <c r="I812" s="184"/>
      <c r="J812" s="184"/>
      <c r="K812" s="184"/>
      <c r="L812" s="184"/>
      <c r="M812" s="4"/>
      <c r="N812" s="184"/>
      <c r="O812" s="1"/>
      <c r="P812" s="5"/>
      <c r="Q812" s="4"/>
      <c r="R812" s="1"/>
      <c r="S812" s="1"/>
      <c r="T812" s="1"/>
      <c r="U812" s="6"/>
      <c r="V812" s="184"/>
      <c r="W812" s="184"/>
      <c r="X812" s="155"/>
      <c r="Y812" s="155"/>
      <c r="Z812" s="155"/>
      <c r="AA812" s="155"/>
      <c r="AB812" s="155"/>
      <c r="AC812" s="184"/>
      <c r="AD812" s="155"/>
      <c r="AE812" s="155"/>
      <c r="AF812" s="155"/>
      <c r="AG812" s="155"/>
      <c r="AH812" s="155"/>
      <c r="AI812" s="155"/>
      <c r="AJ812" s="155"/>
      <c r="AK812" s="155"/>
      <c r="AL812" s="155"/>
      <c r="AM812" s="155"/>
      <c r="AN812" s="155"/>
      <c r="AO812" s="155"/>
      <c r="AP812" s="155"/>
      <c r="AQ812" s="155"/>
      <c r="AR812" s="155"/>
      <c r="AS812" s="155"/>
      <c r="AT812" s="155"/>
      <c r="AU812" s="155"/>
      <c r="AV812" s="155"/>
      <c r="AW812" s="155"/>
    </row>
    <row r="813" spans="1:49" ht="16.5" customHeight="1">
      <c r="A813" s="155"/>
      <c r="B813" s="155"/>
      <c r="C813" s="1"/>
      <c r="D813" s="1"/>
      <c r="E813" s="1"/>
      <c r="F813" s="156"/>
      <c r="G813" s="157"/>
      <c r="H813" s="184"/>
      <c r="I813" s="184"/>
      <c r="J813" s="184"/>
      <c r="K813" s="184"/>
      <c r="L813" s="184"/>
      <c r="M813" s="4"/>
      <c r="N813" s="184"/>
      <c r="O813" s="1"/>
      <c r="P813" s="5"/>
      <c r="Q813" s="4"/>
      <c r="R813" s="1"/>
      <c r="S813" s="1"/>
      <c r="T813" s="1"/>
      <c r="U813" s="6"/>
      <c r="V813" s="184"/>
      <c r="W813" s="184"/>
      <c r="X813" s="155"/>
      <c r="Y813" s="155"/>
      <c r="Z813" s="155"/>
      <c r="AA813" s="155"/>
      <c r="AB813" s="155"/>
      <c r="AC813" s="184"/>
      <c r="AD813" s="155"/>
      <c r="AE813" s="155"/>
      <c r="AF813" s="155"/>
      <c r="AG813" s="155"/>
      <c r="AH813" s="155"/>
      <c r="AI813" s="155"/>
      <c r="AJ813" s="155"/>
      <c r="AK813" s="155"/>
      <c r="AL813" s="155"/>
      <c r="AM813" s="155"/>
      <c r="AN813" s="155"/>
      <c r="AO813" s="155"/>
      <c r="AP813" s="155"/>
      <c r="AQ813" s="155"/>
      <c r="AR813" s="155"/>
      <c r="AS813" s="155"/>
      <c r="AT813" s="155"/>
      <c r="AU813" s="155"/>
      <c r="AV813" s="155"/>
      <c r="AW813" s="155"/>
    </row>
    <row r="814" spans="1:49" ht="16.5" customHeight="1">
      <c r="A814" s="155"/>
      <c r="B814" s="155"/>
      <c r="C814" s="1"/>
      <c r="D814" s="1"/>
      <c r="E814" s="1"/>
      <c r="F814" s="156"/>
      <c r="G814" s="157"/>
      <c r="H814" s="184"/>
      <c r="I814" s="184"/>
      <c r="J814" s="184"/>
      <c r="K814" s="184"/>
      <c r="L814" s="184"/>
      <c r="M814" s="4"/>
      <c r="N814" s="184"/>
      <c r="O814" s="1"/>
      <c r="P814" s="5"/>
      <c r="Q814" s="4"/>
      <c r="R814" s="1"/>
      <c r="S814" s="1"/>
      <c r="T814" s="1"/>
      <c r="U814" s="6"/>
      <c r="V814" s="184"/>
      <c r="W814" s="184"/>
      <c r="X814" s="155"/>
      <c r="Y814" s="155"/>
      <c r="Z814" s="155"/>
      <c r="AA814" s="155"/>
      <c r="AB814" s="155"/>
      <c r="AC814" s="184"/>
      <c r="AD814" s="155"/>
      <c r="AE814" s="155"/>
      <c r="AF814" s="155"/>
      <c r="AG814" s="155"/>
      <c r="AH814" s="155"/>
      <c r="AI814" s="155"/>
      <c r="AJ814" s="155"/>
      <c r="AK814" s="155"/>
      <c r="AL814" s="155"/>
      <c r="AM814" s="155"/>
      <c r="AN814" s="155"/>
      <c r="AO814" s="155"/>
      <c r="AP814" s="155"/>
      <c r="AQ814" s="155"/>
      <c r="AR814" s="155"/>
      <c r="AS814" s="155"/>
      <c r="AT814" s="155"/>
      <c r="AU814" s="155"/>
      <c r="AV814" s="155"/>
      <c r="AW814" s="155"/>
    </row>
    <row r="815" spans="1:49" ht="16.5" customHeight="1">
      <c r="A815" s="155"/>
      <c r="B815" s="155"/>
      <c r="C815" s="1"/>
      <c r="D815" s="1"/>
      <c r="E815" s="1"/>
      <c r="F815" s="156"/>
      <c r="G815" s="157"/>
      <c r="H815" s="184"/>
      <c r="I815" s="184"/>
      <c r="J815" s="184"/>
      <c r="K815" s="184"/>
      <c r="L815" s="184"/>
      <c r="M815" s="4"/>
      <c r="N815" s="184"/>
      <c r="O815" s="1"/>
      <c r="P815" s="5"/>
      <c r="Q815" s="4"/>
      <c r="R815" s="1"/>
      <c r="S815" s="1"/>
      <c r="T815" s="1"/>
      <c r="U815" s="6"/>
      <c r="V815" s="184"/>
      <c r="W815" s="184"/>
      <c r="X815" s="155"/>
      <c r="Y815" s="155"/>
      <c r="Z815" s="155"/>
      <c r="AA815" s="155"/>
      <c r="AB815" s="155"/>
      <c r="AC815" s="184"/>
      <c r="AD815" s="155"/>
      <c r="AE815" s="155"/>
      <c r="AF815" s="155"/>
      <c r="AG815" s="155"/>
      <c r="AH815" s="155"/>
      <c r="AI815" s="155"/>
      <c r="AJ815" s="155"/>
      <c r="AK815" s="155"/>
      <c r="AL815" s="155"/>
      <c r="AM815" s="155"/>
      <c r="AN815" s="155"/>
      <c r="AO815" s="155"/>
      <c r="AP815" s="155"/>
      <c r="AQ815" s="155"/>
      <c r="AR815" s="155"/>
      <c r="AS815" s="155"/>
      <c r="AT815" s="155"/>
      <c r="AU815" s="155"/>
      <c r="AV815" s="155"/>
      <c r="AW815" s="155"/>
    </row>
    <row r="816" spans="1:49" ht="16.5" customHeight="1">
      <c r="A816" s="155"/>
      <c r="B816" s="155"/>
      <c r="C816" s="1"/>
      <c r="D816" s="1"/>
      <c r="E816" s="1"/>
      <c r="F816" s="156"/>
      <c r="G816" s="157"/>
      <c r="H816" s="184"/>
      <c r="I816" s="184"/>
      <c r="J816" s="184"/>
      <c r="K816" s="184"/>
      <c r="L816" s="184"/>
      <c r="M816" s="4"/>
      <c r="N816" s="184"/>
      <c r="O816" s="1"/>
      <c r="P816" s="5"/>
      <c r="Q816" s="4"/>
      <c r="R816" s="1"/>
      <c r="S816" s="1"/>
      <c r="T816" s="1"/>
      <c r="U816" s="6"/>
      <c r="V816" s="184"/>
      <c r="W816" s="184"/>
      <c r="X816" s="155"/>
      <c r="Y816" s="155"/>
      <c r="Z816" s="155"/>
      <c r="AA816" s="155"/>
      <c r="AB816" s="155"/>
      <c r="AC816" s="184"/>
      <c r="AD816" s="155"/>
      <c r="AE816" s="155"/>
      <c r="AF816" s="155"/>
      <c r="AG816" s="155"/>
      <c r="AH816" s="155"/>
      <c r="AI816" s="155"/>
      <c r="AJ816" s="155"/>
      <c r="AK816" s="155"/>
      <c r="AL816" s="155"/>
      <c r="AM816" s="155"/>
      <c r="AN816" s="155"/>
      <c r="AO816" s="155"/>
      <c r="AP816" s="155"/>
      <c r="AQ816" s="155"/>
      <c r="AR816" s="155"/>
      <c r="AS816" s="155"/>
      <c r="AT816" s="155"/>
      <c r="AU816" s="155"/>
      <c r="AV816" s="155"/>
      <c r="AW816" s="155"/>
    </row>
    <row r="817" spans="1:49" ht="16.5" customHeight="1">
      <c r="A817" s="155"/>
      <c r="B817" s="155"/>
      <c r="C817" s="1"/>
      <c r="D817" s="1"/>
      <c r="E817" s="1"/>
      <c r="F817" s="156"/>
      <c r="G817" s="157"/>
      <c r="H817" s="184"/>
      <c r="I817" s="184"/>
      <c r="J817" s="184"/>
      <c r="K817" s="184"/>
      <c r="L817" s="184"/>
      <c r="M817" s="4"/>
      <c r="N817" s="184"/>
      <c r="O817" s="1"/>
      <c r="P817" s="5"/>
      <c r="Q817" s="4"/>
      <c r="R817" s="1"/>
      <c r="S817" s="1"/>
      <c r="T817" s="1"/>
      <c r="U817" s="6"/>
      <c r="V817" s="184"/>
      <c r="W817" s="184"/>
      <c r="X817" s="155"/>
      <c r="Y817" s="155"/>
      <c r="Z817" s="155"/>
      <c r="AA817" s="155"/>
      <c r="AB817" s="155"/>
      <c r="AC817" s="184"/>
      <c r="AD817" s="155"/>
      <c r="AE817" s="155"/>
      <c r="AF817" s="155"/>
      <c r="AG817" s="155"/>
      <c r="AH817" s="155"/>
      <c r="AI817" s="155"/>
      <c r="AJ817" s="155"/>
      <c r="AK817" s="155"/>
      <c r="AL817" s="155"/>
      <c r="AM817" s="155"/>
      <c r="AN817" s="155"/>
      <c r="AO817" s="155"/>
      <c r="AP817" s="155"/>
      <c r="AQ817" s="155"/>
      <c r="AR817" s="155"/>
      <c r="AS817" s="155"/>
      <c r="AT817" s="155"/>
      <c r="AU817" s="155"/>
      <c r="AV817" s="155"/>
      <c r="AW817" s="155"/>
    </row>
    <row r="818" spans="1:49" ht="16.5" customHeight="1">
      <c r="A818" s="155"/>
      <c r="B818" s="155"/>
      <c r="C818" s="1"/>
      <c r="D818" s="1"/>
      <c r="E818" s="1"/>
      <c r="F818" s="156"/>
      <c r="G818" s="157"/>
      <c r="H818" s="184"/>
      <c r="I818" s="184"/>
      <c r="J818" s="184"/>
      <c r="K818" s="184"/>
      <c r="L818" s="184"/>
      <c r="M818" s="4"/>
      <c r="N818" s="184"/>
      <c r="O818" s="1"/>
      <c r="P818" s="5"/>
      <c r="Q818" s="4"/>
      <c r="R818" s="1"/>
      <c r="S818" s="1"/>
      <c r="T818" s="1"/>
      <c r="U818" s="6"/>
      <c r="V818" s="184"/>
      <c r="W818" s="184"/>
      <c r="X818" s="155"/>
      <c r="Y818" s="155"/>
      <c r="Z818" s="155"/>
      <c r="AA818" s="155"/>
      <c r="AB818" s="155"/>
      <c r="AC818" s="184"/>
      <c r="AD818" s="155"/>
      <c r="AE818" s="155"/>
      <c r="AF818" s="155"/>
      <c r="AG818" s="155"/>
      <c r="AH818" s="155"/>
      <c r="AI818" s="155"/>
      <c r="AJ818" s="155"/>
      <c r="AK818" s="155"/>
      <c r="AL818" s="155"/>
      <c r="AM818" s="155"/>
      <c r="AN818" s="155"/>
      <c r="AO818" s="155"/>
      <c r="AP818" s="155"/>
      <c r="AQ818" s="155"/>
      <c r="AR818" s="155"/>
      <c r="AS818" s="155"/>
      <c r="AT818" s="155"/>
      <c r="AU818" s="155"/>
      <c r="AV818" s="155"/>
      <c r="AW818" s="155"/>
    </row>
    <row r="819" spans="1:49" ht="16.5" customHeight="1">
      <c r="A819" s="155"/>
      <c r="B819" s="155"/>
      <c r="C819" s="1"/>
      <c r="D819" s="1"/>
      <c r="E819" s="1"/>
      <c r="F819" s="156"/>
      <c r="G819" s="157"/>
      <c r="H819" s="184"/>
      <c r="I819" s="184"/>
      <c r="J819" s="184"/>
      <c r="K819" s="184"/>
      <c r="L819" s="184"/>
      <c r="M819" s="4"/>
      <c r="N819" s="184"/>
      <c r="O819" s="1"/>
      <c r="P819" s="5"/>
      <c r="Q819" s="4"/>
      <c r="R819" s="1"/>
      <c r="S819" s="1"/>
      <c r="T819" s="1"/>
      <c r="U819" s="6"/>
      <c r="V819" s="184"/>
      <c r="W819" s="184"/>
      <c r="X819" s="155"/>
      <c r="Y819" s="155"/>
      <c r="Z819" s="155"/>
      <c r="AA819" s="155"/>
      <c r="AB819" s="155"/>
      <c r="AC819" s="184"/>
      <c r="AD819" s="155"/>
      <c r="AE819" s="155"/>
      <c r="AF819" s="155"/>
      <c r="AG819" s="155"/>
      <c r="AH819" s="155"/>
      <c r="AI819" s="155"/>
      <c r="AJ819" s="155"/>
      <c r="AK819" s="155"/>
      <c r="AL819" s="155"/>
      <c r="AM819" s="155"/>
      <c r="AN819" s="155"/>
      <c r="AO819" s="155"/>
      <c r="AP819" s="155"/>
      <c r="AQ819" s="155"/>
      <c r="AR819" s="155"/>
      <c r="AS819" s="155"/>
      <c r="AT819" s="155"/>
      <c r="AU819" s="155"/>
      <c r="AV819" s="155"/>
      <c r="AW819" s="155"/>
    </row>
    <row r="820" spans="1:49" ht="16.5" customHeight="1">
      <c r="A820" s="155"/>
      <c r="B820" s="155"/>
      <c r="C820" s="1"/>
      <c r="D820" s="1"/>
      <c r="E820" s="1"/>
      <c r="F820" s="156"/>
      <c r="G820" s="157"/>
      <c r="H820" s="184"/>
      <c r="I820" s="184"/>
      <c r="J820" s="184"/>
      <c r="K820" s="184"/>
      <c r="L820" s="184"/>
      <c r="M820" s="4"/>
      <c r="N820" s="184"/>
      <c r="O820" s="1"/>
      <c r="P820" s="5"/>
      <c r="Q820" s="4"/>
      <c r="R820" s="1"/>
      <c r="S820" s="1"/>
      <c r="T820" s="1"/>
      <c r="U820" s="6"/>
      <c r="V820" s="184"/>
      <c r="W820" s="184"/>
      <c r="X820" s="155"/>
      <c r="Y820" s="155"/>
      <c r="Z820" s="155"/>
      <c r="AA820" s="155"/>
      <c r="AB820" s="155"/>
      <c r="AC820" s="184"/>
      <c r="AD820" s="155"/>
      <c r="AE820" s="155"/>
      <c r="AF820" s="155"/>
      <c r="AG820" s="155"/>
      <c r="AH820" s="155"/>
      <c r="AI820" s="155"/>
      <c r="AJ820" s="155"/>
      <c r="AK820" s="155"/>
      <c r="AL820" s="155"/>
      <c r="AM820" s="155"/>
      <c r="AN820" s="155"/>
      <c r="AO820" s="155"/>
      <c r="AP820" s="155"/>
      <c r="AQ820" s="155"/>
      <c r="AR820" s="155"/>
      <c r="AS820" s="155"/>
      <c r="AT820" s="155"/>
      <c r="AU820" s="155"/>
      <c r="AV820" s="155"/>
      <c r="AW820" s="155"/>
    </row>
    <row r="821" spans="1:49" ht="16.5" customHeight="1">
      <c r="A821" s="155"/>
      <c r="B821" s="155"/>
      <c r="C821" s="1"/>
      <c r="D821" s="1"/>
      <c r="E821" s="1"/>
      <c r="F821" s="156"/>
      <c r="G821" s="157"/>
      <c r="H821" s="184"/>
      <c r="I821" s="184"/>
      <c r="J821" s="184"/>
      <c r="K821" s="184"/>
      <c r="L821" s="184"/>
      <c r="M821" s="4"/>
      <c r="N821" s="184"/>
      <c r="O821" s="1"/>
      <c r="P821" s="5"/>
      <c r="Q821" s="4"/>
      <c r="R821" s="1"/>
      <c r="S821" s="1"/>
      <c r="T821" s="1"/>
      <c r="U821" s="6"/>
      <c r="V821" s="184"/>
      <c r="W821" s="184"/>
      <c r="X821" s="155"/>
      <c r="Y821" s="155"/>
      <c r="Z821" s="155"/>
      <c r="AA821" s="155"/>
      <c r="AB821" s="155"/>
      <c r="AC821" s="184"/>
      <c r="AD821" s="155"/>
      <c r="AE821" s="155"/>
      <c r="AF821" s="155"/>
      <c r="AG821" s="155"/>
      <c r="AH821" s="155"/>
      <c r="AI821" s="155"/>
      <c r="AJ821" s="155"/>
      <c r="AK821" s="155"/>
      <c r="AL821" s="155"/>
      <c r="AM821" s="155"/>
      <c r="AN821" s="155"/>
      <c r="AO821" s="155"/>
      <c r="AP821" s="155"/>
      <c r="AQ821" s="155"/>
      <c r="AR821" s="155"/>
      <c r="AS821" s="155"/>
      <c r="AT821" s="155"/>
      <c r="AU821" s="155"/>
      <c r="AV821" s="155"/>
      <c r="AW821" s="155"/>
    </row>
    <row r="822" spans="1:49" ht="16.5" customHeight="1">
      <c r="A822" s="155"/>
      <c r="B822" s="155"/>
      <c r="C822" s="1"/>
      <c r="D822" s="1"/>
      <c r="E822" s="1"/>
      <c r="F822" s="156"/>
      <c r="G822" s="157"/>
      <c r="H822" s="184"/>
      <c r="I822" s="184"/>
      <c r="J822" s="184"/>
      <c r="K822" s="184"/>
      <c r="L822" s="184"/>
      <c r="M822" s="4"/>
      <c r="N822" s="184"/>
      <c r="O822" s="1"/>
      <c r="P822" s="5"/>
      <c r="Q822" s="4"/>
      <c r="R822" s="1"/>
      <c r="S822" s="1"/>
      <c r="T822" s="1"/>
      <c r="U822" s="6"/>
      <c r="V822" s="184"/>
      <c r="W822" s="184"/>
      <c r="X822" s="155"/>
      <c r="Y822" s="155"/>
      <c r="Z822" s="155"/>
      <c r="AA822" s="155"/>
      <c r="AB822" s="155"/>
      <c r="AC822" s="184"/>
      <c r="AD822" s="155"/>
      <c r="AE822" s="155"/>
      <c r="AF822" s="155"/>
      <c r="AG822" s="155"/>
      <c r="AH822" s="155"/>
      <c r="AI822" s="155"/>
      <c r="AJ822" s="155"/>
      <c r="AK822" s="155"/>
      <c r="AL822" s="155"/>
      <c r="AM822" s="155"/>
      <c r="AN822" s="155"/>
      <c r="AO822" s="155"/>
      <c r="AP822" s="155"/>
      <c r="AQ822" s="155"/>
      <c r="AR822" s="155"/>
      <c r="AS822" s="155"/>
      <c r="AT822" s="155"/>
      <c r="AU822" s="155"/>
      <c r="AV822" s="155"/>
      <c r="AW822" s="155"/>
    </row>
    <row r="823" spans="1:49" ht="16.5" customHeight="1">
      <c r="A823" s="155"/>
      <c r="B823" s="155"/>
      <c r="C823" s="1"/>
      <c r="D823" s="1"/>
      <c r="E823" s="1"/>
      <c r="F823" s="156"/>
      <c r="G823" s="157"/>
      <c r="H823" s="184"/>
      <c r="I823" s="184"/>
      <c r="J823" s="184"/>
      <c r="K823" s="184"/>
      <c r="L823" s="184"/>
      <c r="M823" s="4"/>
      <c r="N823" s="184"/>
      <c r="O823" s="1"/>
      <c r="P823" s="5"/>
      <c r="Q823" s="4"/>
      <c r="R823" s="1"/>
      <c r="S823" s="1"/>
      <c r="T823" s="1"/>
      <c r="U823" s="6"/>
      <c r="V823" s="184"/>
      <c r="W823" s="184"/>
      <c r="X823" s="155"/>
      <c r="Y823" s="155"/>
      <c r="Z823" s="155"/>
      <c r="AA823" s="155"/>
      <c r="AB823" s="155"/>
      <c r="AC823" s="184"/>
      <c r="AD823" s="155"/>
      <c r="AE823" s="155"/>
      <c r="AF823" s="155"/>
      <c r="AG823" s="155"/>
      <c r="AH823" s="155"/>
      <c r="AI823" s="155"/>
      <c r="AJ823" s="155"/>
      <c r="AK823" s="155"/>
      <c r="AL823" s="155"/>
      <c r="AM823" s="155"/>
      <c r="AN823" s="155"/>
      <c r="AO823" s="155"/>
      <c r="AP823" s="155"/>
      <c r="AQ823" s="155"/>
      <c r="AR823" s="155"/>
      <c r="AS823" s="155"/>
      <c r="AT823" s="155"/>
      <c r="AU823" s="155"/>
      <c r="AV823" s="155"/>
      <c r="AW823" s="155"/>
    </row>
    <row r="824" spans="1:49" ht="16.5" customHeight="1">
      <c r="A824" s="155"/>
      <c r="B824" s="155"/>
      <c r="C824" s="1"/>
      <c r="D824" s="1"/>
      <c r="E824" s="1"/>
      <c r="F824" s="156"/>
      <c r="G824" s="157"/>
      <c r="H824" s="184"/>
      <c r="I824" s="184"/>
      <c r="J824" s="184"/>
      <c r="K824" s="184"/>
      <c r="L824" s="184"/>
      <c r="M824" s="4"/>
      <c r="N824" s="184"/>
      <c r="O824" s="1"/>
      <c r="P824" s="5"/>
      <c r="Q824" s="4"/>
      <c r="R824" s="1"/>
      <c r="S824" s="1"/>
      <c r="T824" s="1"/>
      <c r="U824" s="6"/>
      <c r="V824" s="184"/>
      <c r="W824" s="184"/>
      <c r="X824" s="155"/>
      <c r="Y824" s="155"/>
      <c r="Z824" s="155"/>
      <c r="AA824" s="155"/>
      <c r="AB824" s="155"/>
      <c r="AC824" s="184"/>
      <c r="AD824" s="155"/>
      <c r="AE824" s="155"/>
      <c r="AF824" s="155"/>
      <c r="AG824" s="155"/>
      <c r="AH824" s="155"/>
      <c r="AI824" s="155"/>
      <c r="AJ824" s="155"/>
      <c r="AK824" s="155"/>
      <c r="AL824" s="155"/>
      <c r="AM824" s="155"/>
      <c r="AN824" s="155"/>
      <c r="AO824" s="155"/>
      <c r="AP824" s="155"/>
      <c r="AQ824" s="155"/>
      <c r="AR824" s="155"/>
      <c r="AS824" s="155"/>
      <c r="AT824" s="155"/>
      <c r="AU824" s="155"/>
      <c r="AV824" s="155"/>
      <c r="AW824" s="155"/>
    </row>
    <row r="825" spans="1:49" ht="16.5" customHeight="1">
      <c r="A825" s="155"/>
      <c r="B825" s="155"/>
      <c r="C825" s="1"/>
      <c r="D825" s="1"/>
      <c r="E825" s="1"/>
      <c r="F825" s="156"/>
      <c r="G825" s="157"/>
      <c r="H825" s="184"/>
      <c r="I825" s="184"/>
      <c r="J825" s="184"/>
      <c r="K825" s="184"/>
      <c r="L825" s="184"/>
      <c r="M825" s="4"/>
      <c r="N825" s="184"/>
      <c r="O825" s="1"/>
      <c r="P825" s="5"/>
      <c r="Q825" s="4"/>
      <c r="R825" s="1"/>
      <c r="S825" s="1"/>
      <c r="T825" s="1"/>
      <c r="U825" s="6"/>
      <c r="V825" s="184"/>
      <c r="W825" s="184"/>
      <c r="X825" s="155"/>
      <c r="Y825" s="155"/>
      <c r="Z825" s="155"/>
      <c r="AA825" s="155"/>
      <c r="AB825" s="155"/>
      <c r="AC825" s="184"/>
      <c r="AD825" s="155"/>
      <c r="AE825" s="155"/>
      <c r="AF825" s="155"/>
      <c r="AG825" s="155"/>
      <c r="AH825" s="155"/>
      <c r="AI825" s="155"/>
      <c r="AJ825" s="155"/>
      <c r="AK825" s="155"/>
      <c r="AL825" s="155"/>
      <c r="AM825" s="155"/>
      <c r="AN825" s="155"/>
      <c r="AO825" s="155"/>
      <c r="AP825" s="155"/>
      <c r="AQ825" s="155"/>
      <c r="AR825" s="155"/>
      <c r="AS825" s="155"/>
      <c r="AT825" s="155"/>
      <c r="AU825" s="155"/>
      <c r="AV825" s="155"/>
      <c r="AW825" s="155"/>
    </row>
    <row r="826" spans="1:49" ht="16.5" customHeight="1">
      <c r="A826" s="155"/>
      <c r="B826" s="155"/>
      <c r="C826" s="1"/>
      <c r="D826" s="1"/>
      <c r="E826" s="1"/>
      <c r="F826" s="156"/>
      <c r="G826" s="157"/>
      <c r="H826" s="184"/>
      <c r="I826" s="184"/>
      <c r="J826" s="184"/>
      <c r="K826" s="184"/>
      <c r="L826" s="184"/>
      <c r="M826" s="4"/>
      <c r="N826" s="184"/>
      <c r="O826" s="1"/>
      <c r="P826" s="5"/>
      <c r="Q826" s="4"/>
      <c r="R826" s="1"/>
      <c r="S826" s="1"/>
      <c r="T826" s="1"/>
      <c r="U826" s="6"/>
      <c r="V826" s="184"/>
      <c r="W826" s="184"/>
      <c r="X826" s="155"/>
      <c r="Y826" s="155"/>
      <c r="Z826" s="155"/>
      <c r="AA826" s="155"/>
      <c r="AB826" s="155"/>
      <c r="AC826" s="184"/>
      <c r="AD826" s="155"/>
      <c r="AE826" s="155"/>
      <c r="AF826" s="155"/>
      <c r="AG826" s="155"/>
      <c r="AH826" s="155"/>
      <c r="AI826" s="155"/>
      <c r="AJ826" s="155"/>
      <c r="AK826" s="155"/>
      <c r="AL826" s="155"/>
      <c r="AM826" s="155"/>
      <c r="AN826" s="155"/>
      <c r="AO826" s="155"/>
      <c r="AP826" s="155"/>
      <c r="AQ826" s="155"/>
      <c r="AR826" s="155"/>
      <c r="AS826" s="155"/>
      <c r="AT826" s="155"/>
      <c r="AU826" s="155"/>
      <c r="AV826" s="155"/>
      <c r="AW826" s="155"/>
    </row>
    <row r="827" spans="1:49" ht="16.5" customHeight="1">
      <c r="A827" s="155"/>
      <c r="B827" s="155"/>
      <c r="C827" s="1"/>
      <c r="D827" s="1"/>
      <c r="E827" s="1"/>
      <c r="F827" s="156"/>
      <c r="G827" s="157"/>
      <c r="H827" s="184"/>
      <c r="I827" s="184"/>
      <c r="J827" s="184"/>
      <c r="K827" s="184"/>
      <c r="L827" s="184"/>
      <c r="M827" s="4"/>
      <c r="N827" s="184"/>
      <c r="O827" s="1"/>
      <c r="P827" s="5"/>
      <c r="Q827" s="4"/>
      <c r="R827" s="1"/>
      <c r="S827" s="1"/>
      <c r="T827" s="1"/>
      <c r="U827" s="6"/>
      <c r="V827" s="184"/>
      <c r="W827" s="184"/>
      <c r="X827" s="155"/>
      <c r="Y827" s="155"/>
      <c r="Z827" s="155"/>
      <c r="AA827" s="155"/>
      <c r="AB827" s="155"/>
      <c r="AC827" s="184"/>
      <c r="AD827" s="155"/>
      <c r="AE827" s="155"/>
      <c r="AF827" s="155"/>
      <c r="AG827" s="155"/>
      <c r="AH827" s="155"/>
      <c r="AI827" s="155"/>
      <c r="AJ827" s="155"/>
      <c r="AK827" s="155"/>
      <c r="AL827" s="155"/>
      <c r="AM827" s="155"/>
      <c r="AN827" s="155"/>
      <c r="AO827" s="155"/>
      <c r="AP827" s="155"/>
      <c r="AQ827" s="155"/>
      <c r="AR827" s="155"/>
      <c r="AS827" s="155"/>
      <c r="AT827" s="155"/>
      <c r="AU827" s="155"/>
      <c r="AV827" s="155"/>
      <c r="AW827" s="155"/>
    </row>
    <row r="828" spans="1:49" ht="16.5" customHeight="1">
      <c r="A828" s="155"/>
      <c r="B828" s="155"/>
      <c r="C828" s="1"/>
      <c r="D828" s="1"/>
      <c r="E828" s="1"/>
      <c r="F828" s="156"/>
      <c r="G828" s="157"/>
      <c r="H828" s="184"/>
      <c r="I828" s="184"/>
      <c r="J828" s="184"/>
      <c r="K828" s="184"/>
      <c r="L828" s="184"/>
      <c r="M828" s="4"/>
      <c r="N828" s="184"/>
      <c r="O828" s="1"/>
      <c r="P828" s="5"/>
      <c r="Q828" s="4"/>
      <c r="R828" s="1"/>
      <c r="S828" s="1"/>
      <c r="T828" s="1"/>
      <c r="U828" s="6"/>
      <c r="V828" s="184"/>
      <c r="W828" s="184"/>
      <c r="X828" s="155"/>
      <c r="Y828" s="155"/>
      <c r="Z828" s="155"/>
      <c r="AA828" s="155"/>
      <c r="AB828" s="155"/>
      <c r="AC828" s="184"/>
      <c r="AD828" s="155"/>
      <c r="AE828" s="155"/>
      <c r="AF828" s="155"/>
      <c r="AG828" s="155"/>
      <c r="AH828" s="155"/>
      <c r="AI828" s="155"/>
      <c r="AJ828" s="155"/>
      <c r="AK828" s="155"/>
      <c r="AL828" s="155"/>
      <c r="AM828" s="155"/>
      <c r="AN828" s="155"/>
      <c r="AO828" s="155"/>
      <c r="AP828" s="155"/>
      <c r="AQ828" s="155"/>
      <c r="AR828" s="155"/>
      <c r="AS828" s="155"/>
      <c r="AT828" s="155"/>
      <c r="AU828" s="155"/>
      <c r="AV828" s="155"/>
      <c r="AW828" s="155"/>
    </row>
    <row r="829" spans="1:49" ht="16.5" customHeight="1">
      <c r="A829" s="155"/>
      <c r="B829" s="155"/>
      <c r="C829" s="1"/>
      <c r="D829" s="1"/>
      <c r="E829" s="1"/>
      <c r="F829" s="156"/>
      <c r="G829" s="157"/>
      <c r="H829" s="184"/>
      <c r="I829" s="184"/>
      <c r="J829" s="184"/>
      <c r="K829" s="184"/>
      <c r="L829" s="184"/>
      <c r="M829" s="4"/>
      <c r="N829" s="184"/>
      <c r="O829" s="1"/>
      <c r="P829" s="5"/>
      <c r="Q829" s="4"/>
      <c r="R829" s="1"/>
      <c r="S829" s="1"/>
      <c r="T829" s="1"/>
      <c r="U829" s="6"/>
      <c r="V829" s="184"/>
      <c r="W829" s="184"/>
      <c r="X829" s="155"/>
      <c r="Y829" s="155"/>
      <c r="Z829" s="155"/>
      <c r="AA829" s="155"/>
      <c r="AB829" s="155"/>
      <c r="AC829" s="184"/>
      <c r="AD829" s="155"/>
      <c r="AE829" s="155"/>
      <c r="AF829" s="155"/>
      <c r="AG829" s="155"/>
      <c r="AH829" s="155"/>
      <c r="AI829" s="155"/>
      <c r="AJ829" s="155"/>
      <c r="AK829" s="155"/>
      <c r="AL829" s="155"/>
      <c r="AM829" s="155"/>
      <c r="AN829" s="155"/>
      <c r="AO829" s="155"/>
      <c r="AP829" s="155"/>
      <c r="AQ829" s="155"/>
      <c r="AR829" s="155"/>
      <c r="AS829" s="155"/>
      <c r="AT829" s="155"/>
      <c r="AU829" s="155"/>
      <c r="AV829" s="155"/>
      <c r="AW829" s="155"/>
    </row>
    <row r="830" spans="1:49" ht="16.5" customHeight="1">
      <c r="A830" s="155"/>
      <c r="B830" s="155"/>
      <c r="C830" s="1"/>
      <c r="D830" s="1"/>
      <c r="E830" s="1"/>
      <c r="F830" s="156"/>
      <c r="G830" s="157"/>
      <c r="H830" s="184"/>
      <c r="I830" s="184"/>
      <c r="J830" s="184"/>
      <c r="K830" s="184"/>
      <c r="L830" s="184"/>
      <c r="M830" s="4"/>
      <c r="N830" s="184"/>
      <c r="O830" s="1"/>
      <c r="P830" s="5"/>
      <c r="Q830" s="4"/>
      <c r="R830" s="1"/>
      <c r="S830" s="1"/>
      <c r="T830" s="1"/>
      <c r="U830" s="6"/>
      <c r="V830" s="184"/>
      <c r="W830" s="184"/>
      <c r="X830" s="155"/>
      <c r="Y830" s="155"/>
      <c r="Z830" s="155"/>
      <c r="AA830" s="155"/>
      <c r="AB830" s="155"/>
      <c r="AC830" s="184"/>
      <c r="AD830" s="155"/>
      <c r="AE830" s="155"/>
      <c r="AF830" s="155"/>
      <c r="AG830" s="155"/>
      <c r="AH830" s="155"/>
      <c r="AI830" s="155"/>
      <c r="AJ830" s="155"/>
      <c r="AK830" s="155"/>
      <c r="AL830" s="155"/>
      <c r="AM830" s="155"/>
      <c r="AN830" s="155"/>
      <c r="AO830" s="155"/>
      <c r="AP830" s="155"/>
      <c r="AQ830" s="155"/>
      <c r="AR830" s="155"/>
      <c r="AS830" s="155"/>
      <c r="AT830" s="155"/>
      <c r="AU830" s="155"/>
      <c r="AV830" s="155"/>
      <c r="AW830" s="155"/>
    </row>
    <row r="831" spans="1:49" ht="16.5" customHeight="1">
      <c r="A831" s="155"/>
      <c r="B831" s="155"/>
      <c r="C831" s="1"/>
      <c r="D831" s="1"/>
      <c r="E831" s="1"/>
      <c r="F831" s="156"/>
      <c r="G831" s="157"/>
      <c r="H831" s="184"/>
      <c r="I831" s="184"/>
      <c r="J831" s="184"/>
      <c r="K831" s="184"/>
      <c r="L831" s="184"/>
      <c r="M831" s="4"/>
      <c r="N831" s="184"/>
      <c r="O831" s="1"/>
      <c r="P831" s="5"/>
      <c r="Q831" s="4"/>
      <c r="R831" s="1"/>
      <c r="S831" s="1"/>
      <c r="T831" s="1"/>
      <c r="U831" s="6"/>
      <c r="V831" s="184"/>
      <c r="W831" s="184"/>
      <c r="X831" s="155"/>
      <c r="Y831" s="155"/>
      <c r="Z831" s="155"/>
      <c r="AA831" s="155"/>
      <c r="AB831" s="155"/>
      <c r="AC831" s="184"/>
      <c r="AD831" s="155"/>
      <c r="AE831" s="155"/>
      <c r="AF831" s="155"/>
      <c r="AG831" s="155"/>
      <c r="AH831" s="155"/>
      <c r="AI831" s="155"/>
      <c r="AJ831" s="155"/>
      <c r="AK831" s="155"/>
      <c r="AL831" s="155"/>
      <c r="AM831" s="155"/>
      <c r="AN831" s="155"/>
      <c r="AO831" s="155"/>
      <c r="AP831" s="155"/>
      <c r="AQ831" s="155"/>
      <c r="AR831" s="155"/>
      <c r="AS831" s="155"/>
      <c r="AT831" s="155"/>
      <c r="AU831" s="155"/>
      <c r="AV831" s="155"/>
      <c r="AW831" s="155"/>
    </row>
    <row r="832" spans="1:49" ht="16.5" customHeight="1">
      <c r="A832" s="155"/>
      <c r="B832" s="155"/>
      <c r="C832" s="1"/>
      <c r="D832" s="1"/>
      <c r="E832" s="1"/>
      <c r="F832" s="156"/>
      <c r="G832" s="157"/>
      <c r="H832" s="184"/>
      <c r="I832" s="184"/>
      <c r="J832" s="184"/>
      <c r="K832" s="184"/>
      <c r="L832" s="184"/>
      <c r="M832" s="4"/>
      <c r="N832" s="184"/>
      <c r="O832" s="1"/>
      <c r="P832" s="5"/>
      <c r="Q832" s="4"/>
      <c r="R832" s="1"/>
      <c r="S832" s="1"/>
      <c r="T832" s="1"/>
      <c r="U832" s="6"/>
      <c r="V832" s="184"/>
      <c r="W832" s="184"/>
      <c r="X832" s="155"/>
      <c r="Y832" s="155"/>
      <c r="Z832" s="155"/>
      <c r="AA832" s="155"/>
      <c r="AB832" s="155"/>
      <c r="AC832" s="184"/>
      <c r="AD832" s="155"/>
      <c r="AE832" s="155"/>
      <c r="AF832" s="155"/>
      <c r="AG832" s="155"/>
      <c r="AH832" s="155"/>
      <c r="AI832" s="155"/>
      <c r="AJ832" s="155"/>
      <c r="AK832" s="155"/>
      <c r="AL832" s="155"/>
      <c r="AM832" s="155"/>
      <c r="AN832" s="155"/>
      <c r="AO832" s="155"/>
      <c r="AP832" s="155"/>
      <c r="AQ832" s="155"/>
      <c r="AR832" s="155"/>
      <c r="AS832" s="155"/>
      <c r="AT832" s="155"/>
      <c r="AU832" s="155"/>
      <c r="AV832" s="155"/>
      <c r="AW832" s="155"/>
    </row>
    <row r="833" spans="1:49" ht="16.5" customHeight="1">
      <c r="A833" s="155"/>
      <c r="B833" s="155"/>
      <c r="C833" s="1"/>
      <c r="D833" s="1"/>
      <c r="E833" s="1"/>
      <c r="F833" s="156"/>
      <c r="G833" s="157"/>
      <c r="H833" s="184"/>
      <c r="I833" s="184"/>
      <c r="J833" s="184"/>
      <c r="K833" s="184"/>
      <c r="L833" s="184"/>
      <c r="M833" s="4"/>
      <c r="N833" s="184"/>
      <c r="O833" s="1"/>
      <c r="P833" s="5"/>
      <c r="Q833" s="4"/>
      <c r="R833" s="1"/>
      <c r="S833" s="1"/>
      <c r="T833" s="1"/>
      <c r="U833" s="6"/>
      <c r="V833" s="184"/>
      <c r="W833" s="184"/>
      <c r="X833" s="155"/>
      <c r="Y833" s="155"/>
      <c r="Z833" s="155"/>
      <c r="AA833" s="155"/>
      <c r="AB833" s="155"/>
      <c r="AC833" s="184"/>
      <c r="AD833" s="155"/>
      <c r="AE833" s="155"/>
      <c r="AF833" s="155"/>
      <c r="AG833" s="155"/>
      <c r="AH833" s="155"/>
      <c r="AI833" s="155"/>
      <c r="AJ833" s="155"/>
      <c r="AK833" s="155"/>
      <c r="AL833" s="155"/>
      <c r="AM833" s="155"/>
      <c r="AN833" s="155"/>
      <c r="AO833" s="155"/>
      <c r="AP833" s="155"/>
      <c r="AQ833" s="155"/>
      <c r="AR833" s="155"/>
      <c r="AS833" s="155"/>
      <c r="AT833" s="155"/>
      <c r="AU833" s="155"/>
      <c r="AV833" s="155"/>
      <c r="AW833" s="155"/>
    </row>
    <row r="834" spans="1:49" ht="16.5" customHeight="1">
      <c r="A834" s="155"/>
      <c r="B834" s="155"/>
      <c r="C834" s="1"/>
      <c r="D834" s="1"/>
      <c r="E834" s="1"/>
      <c r="F834" s="156"/>
      <c r="G834" s="157"/>
      <c r="H834" s="184"/>
      <c r="I834" s="184"/>
      <c r="J834" s="184"/>
      <c r="K834" s="184"/>
      <c r="L834" s="184"/>
      <c r="M834" s="4"/>
      <c r="N834" s="184"/>
      <c r="O834" s="1"/>
      <c r="P834" s="5"/>
      <c r="Q834" s="4"/>
      <c r="R834" s="1"/>
      <c r="S834" s="1"/>
      <c r="T834" s="1"/>
      <c r="U834" s="6"/>
      <c r="V834" s="184"/>
      <c r="W834" s="184"/>
      <c r="X834" s="155"/>
      <c r="Y834" s="155"/>
      <c r="Z834" s="155"/>
      <c r="AA834" s="155"/>
      <c r="AB834" s="155"/>
      <c r="AC834" s="184"/>
      <c r="AD834" s="155"/>
      <c r="AE834" s="155"/>
      <c r="AF834" s="155"/>
      <c r="AG834" s="155"/>
      <c r="AH834" s="155"/>
      <c r="AI834" s="155"/>
      <c r="AJ834" s="155"/>
      <c r="AK834" s="155"/>
      <c r="AL834" s="155"/>
      <c r="AM834" s="155"/>
      <c r="AN834" s="155"/>
      <c r="AO834" s="155"/>
      <c r="AP834" s="155"/>
      <c r="AQ834" s="155"/>
      <c r="AR834" s="155"/>
      <c r="AS834" s="155"/>
      <c r="AT834" s="155"/>
      <c r="AU834" s="155"/>
      <c r="AV834" s="155"/>
      <c r="AW834" s="155"/>
    </row>
    <row r="835" spans="1:49" ht="16.5" customHeight="1">
      <c r="A835" s="155"/>
      <c r="B835" s="155"/>
      <c r="C835" s="1"/>
      <c r="D835" s="1"/>
      <c r="E835" s="1"/>
      <c r="F835" s="156"/>
      <c r="G835" s="157"/>
      <c r="H835" s="184"/>
      <c r="I835" s="184"/>
      <c r="J835" s="184"/>
      <c r="K835" s="184"/>
      <c r="L835" s="184"/>
      <c r="M835" s="4"/>
      <c r="N835" s="184"/>
      <c r="O835" s="1"/>
      <c r="P835" s="5"/>
      <c r="Q835" s="4"/>
      <c r="R835" s="1"/>
      <c r="S835" s="1"/>
      <c r="T835" s="1"/>
      <c r="U835" s="6"/>
      <c r="V835" s="184"/>
      <c r="W835" s="184"/>
      <c r="X835" s="155"/>
      <c r="Y835" s="155"/>
      <c r="Z835" s="155"/>
      <c r="AA835" s="155"/>
      <c r="AB835" s="155"/>
      <c r="AC835" s="184"/>
      <c r="AD835" s="155"/>
      <c r="AE835" s="155"/>
      <c r="AF835" s="155"/>
      <c r="AG835" s="155"/>
      <c r="AH835" s="155"/>
      <c r="AI835" s="155"/>
      <c r="AJ835" s="155"/>
      <c r="AK835" s="155"/>
      <c r="AL835" s="155"/>
      <c r="AM835" s="155"/>
      <c r="AN835" s="155"/>
      <c r="AO835" s="155"/>
      <c r="AP835" s="155"/>
      <c r="AQ835" s="155"/>
      <c r="AR835" s="155"/>
      <c r="AS835" s="155"/>
      <c r="AT835" s="155"/>
      <c r="AU835" s="155"/>
      <c r="AV835" s="155"/>
      <c r="AW835" s="155"/>
    </row>
    <row r="836" spans="1:49" ht="16.5" customHeight="1">
      <c r="A836" s="155"/>
      <c r="B836" s="155"/>
      <c r="C836" s="1"/>
      <c r="D836" s="1"/>
      <c r="E836" s="1"/>
      <c r="F836" s="156"/>
      <c r="G836" s="157"/>
      <c r="H836" s="184"/>
      <c r="I836" s="184"/>
      <c r="J836" s="184"/>
      <c r="K836" s="184"/>
      <c r="L836" s="184"/>
      <c r="M836" s="4"/>
      <c r="N836" s="184"/>
      <c r="O836" s="1"/>
      <c r="P836" s="5"/>
      <c r="Q836" s="4"/>
      <c r="R836" s="1"/>
      <c r="S836" s="1"/>
      <c r="T836" s="1"/>
      <c r="U836" s="6"/>
      <c r="V836" s="184"/>
      <c r="W836" s="184"/>
      <c r="X836" s="155"/>
      <c r="Y836" s="155"/>
      <c r="Z836" s="155"/>
      <c r="AA836" s="155"/>
      <c r="AB836" s="155"/>
      <c r="AC836" s="184"/>
      <c r="AD836" s="155"/>
      <c r="AE836" s="155"/>
      <c r="AF836" s="155"/>
      <c r="AG836" s="155"/>
      <c r="AH836" s="155"/>
      <c r="AI836" s="155"/>
      <c r="AJ836" s="155"/>
      <c r="AK836" s="155"/>
      <c r="AL836" s="155"/>
      <c r="AM836" s="155"/>
      <c r="AN836" s="155"/>
      <c r="AO836" s="155"/>
      <c r="AP836" s="155"/>
      <c r="AQ836" s="155"/>
      <c r="AR836" s="155"/>
      <c r="AS836" s="155"/>
      <c r="AT836" s="155"/>
      <c r="AU836" s="155"/>
      <c r="AV836" s="155"/>
      <c r="AW836" s="155"/>
    </row>
    <row r="837" spans="1:49" ht="16.5" customHeight="1">
      <c r="A837" s="155"/>
      <c r="B837" s="155"/>
      <c r="C837" s="1"/>
      <c r="D837" s="1"/>
      <c r="E837" s="1"/>
      <c r="F837" s="156"/>
      <c r="G837" s="157"/>
      <c r="H837" s="184"/>
      <c r="I837" s="184"/>
      <c r="J837" s="184"/>
      <c r="K837" s="184"/>
      <c r="L837" s="184"/>
      <c r="M837" s="4"/>
      <c r="N837" s="184"/>
      <c r="O837" s="1"/>
      <c r="P837" s="5"/>
      <c r="Q837" s="4"/>
      <c r="R837" s="1"/>
      <c r="S837" s="1"/>
      <c r="T837" s="1"/>
      <c r="U837" s="6"/>
      <c r="V837" s="184"/>
      <c r="W837" s="184"/>
      <c r="X837" s="155"/>
      <c r="Y837" s="155"/>
      <c r="Z837" s="155"/>
      <c r="AA837" s="155"/>
      <c r="AB837" s="155"/>
      <c r="AC837" s="184"/>
      <c r="AD837" s="155"/>
      <c r="AE837" s="155"/>
      <c r="AF837" s="155"/>
      <c r="AG837" s="155"/>
      <c r="AH837" s="155"/>
      <c r="AI837" s="155"/>
      <c r="AJ837" s="155"/>
      <c r="AK837" s="155"/>
      <c r="AL837" s="155"/>
      <c r="AM837" s="155"/>
      <c r="AN837" s="155"/>
      <c r="AO837" s="155"/>
      <c r="AP837" s="155"/>
      <c r="AQ837" s="155"/>
      <c r="AR837" s="155"/>
      <c r="AS837" s="155"/>
      <c r="AT837" s="155"/>
      <c r="AU837" s="155"/>
      <c r="AV837" s="155"/>
      <c r="AW837" s="155"/>
    </row>
    <row r="838" spans="1:49" ht="16.5" customHeight="1">
      <c r="A838" s="155"/>
      <c r="B838" s="155"/>
      <c r="C838" s="1"/>
      <c r="D838" s="1"/>
      <c r="E838" s="1"/>
      <c r="F838" s="156"/>
      <c r="G838" s="157"/>
      <c r="H838" s="184"/>
      <c r="I838" s="184"/>
      <c r="J838" s="184"/>
      <c r="K838" s="184"/>
      <c r="L838" s="184"/>
      <c r="M838" s="4"/>
      <c r="N838" s="184"/>
      <c r="O838" s="1"/>
      <c r="P838" s="5"/>
      <c r="Q838" s="4"/>
      <c r="R838" s="1"/>
      <c r="S838" s="1"/>
      <c r="T838" s="1"/>
      <c r="U838" s="6"/>
      <c r="V838" s="184"/>
      <c r="W838" s="184"/>
      <c r="X838" s="155"/>
      <c r="Y838" s="155"/>
      <c r="Z838" s="155"/>
      <c r="AA838" s="155"/>
      <c r="AB838" s="155"/>
      <c r="AC838" s="184"/>
      <c r="AD838" s="155"/>
      <c r="AE838" s="155"/>
      <c r="AF838" s="155"/>
      <c r="AG838" s="155"/>
      <c r="AH838" s="155"/>
      <c r="AI838" s="155"/>
      <c r="AJ838" s="155"/>
      <c r="AK838" s="155"/>
      <c r="AL838" s="155"/>
      <c r="AM838" s="155"/>
      <c r="AN838" s="155"/>
      <c r="AO838" s="155"/>
      <c r="AP838" s="155"/>
      <c r="AQ838" s="155"/>
      <c r="AR838" s="155"/>
      <c r="AS838" s="155"/>
      <c r="AT838" s="155"/>
      <c r="AU838" s="155"/>
      <c r="AV838" s="155"/>
      <c r="AW838" s="155"/>
    </row>
    <row r="839" spans="1:49" ht="16.5" customHeight="1">
      <c r="A839" s="155"/>
      <c r="B839" s="155"/>
      <c r="C839" s="1"/>
      <c r="D839" s="1"/>
      <c r="E839" s="1"/>
      <c r="F839" s="156"/>
      <c r="G839" s="157"/>
      <c r="H839" s="184"/>
      <c r="I839" s="184"/>
      <c r="J839" s="184"/>
      <c r="K839" s="184"/>
      <c r="L839" s="184"/>
      <c r="M839" s="4"/>
      <c r="N839" s="184"/>
      <c r="O839" s="1"/>
      <c r="P839" s="5"/>
      <c r="Q839" s="4"/>
      <c r="R839" s="1"/>
      <c r="S839" s="1"/>
      <c r="T839" s="1"/>
      <c r="U839" s="6"/>
      <c r="V839" s="184"/>
      <c r="W839" s="184"/>
      <c r="X839" s="155"/>
      <c r="Y839" s="155"/>
      <c r="Z839" s="155"/>
      <c r="AA839" s="155"/>
      <c r="AB839" s="155"/>
      <c r="AC839" s="184"/>
      <c r="AD839" s="155"/>
      <c r="AE839" s="155"/>
      <c r="AF839" s="155"/>
      <c r="AG839" s="155"/>
      <c r="AH839" s="155"/>
      <c r="AI839" s="155"/>
      <c r="AJ839" s="155"/>
      <c r="AK839" s="155"/>
      <c r="AL839" s="155"/>
      <c r="AM839" s="155"/>
      <c r="AN839" s="155"/>
      <c r="AO839" s="155"/>
      <c r="AP839" s="155"/>
      <c r="AQ839" s="155"/>
      <c r="AR839" s="155"/>
      <c r="AS839" s="155"/>
      <c r="AT839" s="155"/>
      <c r="AU839" s="155"/>
      <c r="AV839" s="155"/>
      <c r="AW839" s="155"/>
    </row>
    <row r="840" spans="1:49" ht="16.5" customHeight="1">
      <c r="A840" s="155"/>
      <c r="B840" s="155"/>
      <c r="C840" s="1"/>
      <c r="D840" s="1"/>
      <c r="E840" s="1"/>
      <c r="F840" s="156"/>
      <c r="G840" s="157"/>
      <c r="H840" s="184"/>
      <c r="I840" s="184"/>
      <c r="J840" s="184"/>
      <c r="K840" s="184"/>
      <c r="L840" s="184"/>
      <c r="M840" s="4"/>
      <c r="N840" s="184"/>
      <c r="O840" s="1"/>
      <c r="P840" s="5"/>
      <c r="Q840" s="4"/>
      <c r="R840" s="1"/>
      <c r="S840" s="1"/>
      <c r="T840" s="1"/>
      <c r="U840" s="6"/>
      <c r="V840" s="184"/>
      <c r="W840" s="184"/>
      <c r="X840" s="155"/>
      <c r="Y840" s="155"/>
      <c r="Z840" s="155"/>
      <c r="AA840" s="155"/>
      <c r="AB840" s="155"/>
      <c r="AC840" s="184"/>
      <c r="AD840" s="155"/>
      <c r="AE840" s="155"/>
      <c r="AF840" s="155"/>
      <c r="AG840" s="155"/>
      <c r="AH840" s="155"/>
      <c r="AI840" s="155"/>
      <c r="AJ840" s="155"/>
      <c r="AK840" s="155"/>
      <c r="AL840" s="155"/>
      <c r="AM840" s="155"/>
      <c r="AN840" s="155"/>
      <c r="AO840" s="155"/>
      <c r="AP840" s="155"/>
      <c r="AQ840" s="155"/>
      <c r="AR840" s="155"/>
      <c r="AS840" s="155"/>
      <c r="AT840" s="155"/>
      <c r="AU840" s="155"/>
      <c r="AV840" s="155"/>
      <c r="AW840" s="155"/>
    </row>
    <row r="841" spans="1:49" ht="16.5" customHeight="1">
      <c r="A841" s="155"/>
      <c r="B841" s="155"/>
      <c r="C841" s="1"/>
      <c r="D841" s="1"/>
      <c r="E841" s="1"/>
      <c r="F841" s="156"/>
      <c r="G841" s="157"/>
      <c r="H841" s="184"/>
      <c r="I841" s="184"/>
      <c r="J841" s="184"/>
      <c r="K841" s="184"/>
      <c r="L841" s="184"/>
      <c r="M841" s="4"/>
      <c r="N841" s="184"/>
      <c r="O841" s="1"/>
      <c r="P841" s="5"/>
      <c r="Q841" s="4"/>
      <c r="R841" s="1"/>
      <c r="S841" s="1"/>
      <c r="T841" s="1"/>
      <c r="U841" s="6"/>
      <c r="V841" s="184"/>
      <c r="W841" s="184"/>
      <c r="X841" s="155"/>
      <c r="Y841" s="155"/>
      <c r="Z841" s="155"/>
      <c r="AA841" s="155"/>
      <c r="AB841" s="155"/>
      <c r="AC841" s="184"/>
      <c r="AD841" s="155"/>
      <c r="AE841" s="155"/>
      <c r="AF841" s="155"/>
      <c r="AG841" s="155"/>
      <c r="AH841" s="155"/>
      <c r="AI841" s="155"/>
      <c r="AJ841" s="155"/>
      <c r="AK841" s="155"/>
      <c r="AL841" s="155"/>
      <c r="AM841" s="155"/>
      <c r="AN841" s="155"/>
      <c r="AO841" s="155"/>
      <c r="AP841" s="155"/>
      <c r="AQ841" s="155"/>
      <c r="AR841" s="155"/>
      <c r="AS841" s="155"/>
      <c r="AT841" s="155"/>
      <c r="AU841" s="155"/>
      <c r="AV841" s="155"/>
      <c r="AW841" s="155"/>
    </row>
    <row r="842" spans="1:49" ht="16.5" customHeight="1">
      <c r="A842" s="155"/>
      <c r="B842" s="155"/>
      <c r="C842" s="1"/>
      <c r="D842" s="1"/>
      <c r="E842" s="1"/>
      <c r="F842" s="156"/>
      <c r="G842" s="157"/>
      <c r="H842" s="184"/>
      <c r="I842" s="184"/>
      <c r="J842" s="184"/>
      <c r="K842" s="184"/>
      <c r="L842" s="184"/>
      <c r="M842" s="4"/>
      <c r="N842" s="184"/>
      <c r="O842" s="1"/>
      <c r="P842" s="5"/>
      <c r="Q842" s="4"/>
      <c r="R842" s="1"/>
      <c r="S842" s="1"/>
      <c r="T842" s="1"/>
      <c r="U842" s="6"/>
      <c r="V842" s="184"/>
      <c r="W842" s="184"/>
      <c r="X842" s="155"/>
      <c r="Y842" s="155"/>
      <c r="Z842" s="155"/>
      <c r="AA842" s="155"/>
      <c r="AB842" s="155"/>
      <c r="AC842" s="184"/>
      <c r="AD842" s="155"/>
      <c r="AE842" s="155"/>
      <c r="AF842" s="155"/>
      <c r="AG842" s="155"/>
      <c r="AH842" s="155"/>
      <c r="AI842" s="155"/>
      <c r="AJ842" s="155"/>
      <c r="AK842" s="155"/>
      <c r="AL842" s="155"/>
      <c r="AM842" s="155"/>
      <c r="AN842" s="155"/>
      <c r="AO842" s="155"/>
      <c r="AP842" s="155"/>
      <c r="AQ842" s="155"/>
      <c r="AR842" s="155"/>
      <c r="AS842" s="155"/>
      <c r="AT842" s="155"/>
      <c r="AU842" s="155"/>
      <c r="AV842" s="155"/>
      <c r="AW842" s="155"/>
    </row>
    <row r="843" spans="1:49" ht="16.5" customHeight="1">
      <c r="A843" s="155"/>
      <c r="B843" s="155"/>
      <c r="C843" s="1"/>
      <c r="D843" s="1"/>
      <c r="E843" s="1"/>
      <c r="F843" s="156"/>
      <c r="G843" s="157"/>
      <c r="H843" s="184"/>
      <c r="I843" s="184"/>
      <c r="J843" s="184"/>
      <c r="K843" s="184"/>
      <c r="L843" s="184"/>
      <c r="M843" s="4"/>
      <c r="N843" s="184"/>
      <c r="O843" s="1"/>
      <c r="P843" s="5"/>
      <c r="Q843" s="4"/>
      <c r="R843" s="1"/>
      <c r="S843" s="1"/>
      <c r="T843" s="1"/>
      <c r="U843" s="6"/>
      <c r="V843" s="184"/>
      <c r="W843" s="184"/>
      <c r="X843" s="155"/>
      <c r="Y843" s="155"/>
      <c r="Z843" s="155"/>
      <c r="AA843" s="155"/>
      <c r="AB843" s="155"/>
      <c r="AC843" s="184"/>
      <c r="AD843" s="155"/>
      <c r="AE843" s="155"/>
      <c r="AF843" s="155"/>
      <c r="AG843" s="155"/>
      <c r="AH843" s="155"/>
      <c r="AI843" s="155"/>
      <c r="AJ843" s="155"/>
      <c r="AK843" s="155"/>
      <c r="AL843" s="155"/>
      <c r="AM843" s="155"/>
      <c r="AN843" s="155"/>
      <c r="AO843" s="155"/>
      <c r="AP843" s="155"/>
      <c r="AQ843" s="155"/>
      <c r="AR843" s="155"/>
      <c r="AS843" s="155"/>
      <c r="AT843" s="155"/>
      <c r="AU843" s="155"/>
      <c r="AV843" s="155"/>
      <c r="AW843" s="155"/>
    </row>
    <row r="844" spans="1:49" ht="16.5" customHeight="1">
      <c r="A844" s="155"/>
      <c r="B844" s="155"/>
      <c r="C844" s="1"/>
      <c r="D844" s="1"/>
      <c r="E844" s="1"/>
      <c r="F844" s="156"/>
      <c r="G844" s="157"/>
      <c r="H844" s="184"/>
      <c r="I844" s="184"/>
      <c r="J844" s="184"/>
      <c r="K844" s="184"/>
      <c r="L844" s="184"/>
      <c r="M844" s="4"/>
      <c r="N844" s="184"/>
      <c r="O844" s="1"/>
      <c r="P844" s="5"/>
      <c r="Q844" s="4"/>
      <c r="R844" s="1"/>
      <c r="S844" s="1"/>
      <c r="T844" s="1"/>
      <c r="U844" s="6"/>
      <c r="V844" s="184"/>
      <c r="W844" s="184"/>
      <c r="X844" s="155"/>
      <c r="Y844" s="155"/>
      <c r="Z844" s="155"/>
      <c r="AA844" s="155"/>
      <c r="AB844" s="155"/>
      <c r="AC844" s="184"/>
      <c r="AD844" s="155"/>
      <c r="AE844" s="155"/>
      <c r="AF844" s="155"/>
      <c r="AG844" s="155"/>
      <c r="AH844" s="155"/>
      <c r="AI844" s="155"/>
      <c r="AJ844" s="155"/>
      <c r="AK844" s="155"/>
      <c r="AL844" s="155"/>
      <c r="AM844" s="155"/>
      <c r="AN844" s="155"/>
      <c r="AO844" s="155"/>
      <c r="AP844" s="155"/>
      <c r="AQ844" s="155"/>
      <c r="AR844" s="155"/>
      <c r="AS844" s="155"/>
      <c r="AT844" s="155"/>
      <c r="AU844" s="155"/>
      <c r="AV844" s="155"/>
      <c r="AW844" s="155"/>
    </row>
    <row r="845" spans="1:49" ht="16.5" customHeight="1">
      <c r="A845" s="155"/>
      <c r="B845" s="155"/>
      <c r="C845" s="1"/>
      <c r="D845" s="1"/>
      <c r="E845" s="1"/>
      <c r="F845" s="156"/>
      <c r="G845" s="157"/>
      <c r="H845" s="184"/>
      <c r="I845" s="184"/>
      <c r="J845" s="184"/>
      <c r="K845" s="184"/>
      <c r="L845" s="184"/>
      <c r="M845" s="4"/>
      <c r="N845" s="184"/>
      <c r="O845" s="1"/>
      <c r="P845" s="5"/>
      <c r="Q845" s="4"/>
      <c r="R845" s="1"/>
      <c r="S845" s="1"/>
      <c r="T845" s="1"/>
      <c r="U845" s="6"/>
      <c r="V845" s="184"/>
      <c r="W845" s="184"/>
      <c r="X845" s="155"/>
      <c r="Y845" s="155"/>
      <c r="Z845" s="155"/>
      <c r="AA845" s="155"/>
      <c r="AB845" s="155"/>
      <c r="AC845" s="184"/>
      <c r="AD845" s="155"/>
      <c r="AE845" s="155"/>
      <c r="AF845" s="155"/>
      <c r="AG845" s="155"/>
      <c r="AH845" s="155"/>
      <c r="AI845" s="155"/>
      <c r="AJ845" s="155"/>
      <c r="AK845" s="155"/>
      <c r="AL845" s="155"/>
      <c r="AM845" s="155"/>
      <c r="AN845" s="155"/>
      <c r="AO845" s="155"/>
      <c r="AP845" s="155"/>
      <c r="AQ845" s="155"/>
      <c r="AR845" s="155"/>
      <c r="AS845" s="155"/>
      <c r="AT845" s="155"/>
      <c r="AU845" s="155"/>
      <c r="AV845" s="155"/>
      <c r="AW845" s="155"/>
    </row>
    <row r="846" spans="1:49" ht="16.5" customHeight="1">
      <c r="A846" s="155"/>
      <c r="B846" s="155"/>
      <c r="C846" s="1"/>
      <c r="D846" s="1"/>
      <c r="E846" s="1"/>
      <c r="F846" s="156"/>
      <c r="G846" s="157"/>
      <c r="H846" s="184"/>
      <c r="I846" s="184"/>
      <c r="J846" s="184"/>
      <c r="K846" s="184"/>
      <c r="L846" s="184"/>
      <c r="M846" s="4"/>
      <c r="N846" s="184"/>
      <c r="O846" s="1"/>
      <c r="P846" s="5"/>
      <c r="Q846" s="4"/>
      <c r="R846" s="1"/>
      <c r="S846" s="1"/>
      <c r="T846" s="1"/>
      <c r="U846" s="6"/>
      <c r="V846" s="184"/>
      <c r="W846" s="184"/>
      <c r="X846" s="155"/>
      <c r="Y846" s="155"/>
      <c r="Z846" s="155"/>
      <c r="AA846" s="155"/>
      <c r="AB846" s="155"/>
      <c r="AC846" s="184"/>
      <c r="AD846" s="155"/>
      <c r="AE846" s="155"/>
      <c r="AF846" s="155"/>
      <c r="AG846" s="155"/>
      <c r="AH846" s="155"/>
      <c r="AI846" s="155"/>
      <c r="AJ846" s="155"/>
      <c r="AK846" s="155"/>
      <c r="AL846" s="155"/>
      <c r="AM846" s="155"/>
      <c r="AN846" s="155"/>
      <c r="AO846" s="155"/>
      <c r="AP846" s="155"/>
      <c r="AQ846" s="155"/>
      <c r="AR846" s="155"/>
      <c r="AS846" s="155"/>
      <c r="AT846" s="155"/>
      <c r="AU846" s="155"/>
      <c r="AV846" s="155"/>
      <c r="AW846" s="155"/>
    </row>
    <row r="847" spans="1:49" ht="16.5" customHeight="1">
      <c r="A847" s="155"/>
      <c r="B847" s="155"/>
      <c r="C847" s="1"/>
      <c r="D847" s="1"/>
      <c r="E847" s="1"/>
      <c r="F847" s="156"/>
      <c r="G847" s="157"/>
      <c r="H847" s="184"/>
      <c r="I847" s="184"/>
      <c r="J847" s="184"/>
      <c r="K847" s="184"/>
      <c r="L847" s="184"/>
      <c r="M847" s="4"/>
      <c r="N847" s="184"/>
      <c r="O847" s="1"/>
      <c r="P847" s="5"/>
      <c r="Q847" s="4"/>
      <c r="R847" s="1"/>
      <c r="S847" s="1"/>
      <c r="T847" s="1"/>
      <c r="U847" s="6"/>
      <c r="V847" s="184"/>
      <c r="W847" s="184"/>
      <c r="X847" s="155"/>
      <c r="Y847" s="155"/>
      <c r="Z847" s="155"/>
      <c r="AA847" s="155"/>
      <c r="AB847" s="155"/>
      <c r="AC847" s="184"/>
      <c r="AD847" s="155"/>
      <c r="AE847" s="155"/>
      <c r="AF847" s="155"/>
      <c r="AG847" s="155"/>
      <c r="AH847" s="155"/>
      <c r="AI847" s="155"/>
      <c r="AJ847" s="155"/>
      <c r="AK847" s="155"/>
      <c r="AL847" s="155"/>
      <c r="AM847" s="155"/>
      <c r="AN847" s="155"/>
      <c r="AO847" s="155"/>
      <c r="AP847" s="155"/>
      <c r="AQ847" s="155"/>
      <c r="AR847" s="155"/>
      <c r="AS847" s="155"/>
      <c r="AT847" s="155"/>
      <c r="AU847" s="155"/>
      <c r="AV847" s="155"/>
      <c r="AW847" s="155"/>
    </row>
    <row r="848" spans="1:49" ht="16.5" customHeight="1">
      <c r="A848" s="155"/>
      <c r="B848" s="155"/>
      <c r="C848" s="1"/>
      <c r="D848" s="1"/>
      <c r="E848" s="1"/>
      <c r="F848" s="156"/>
      <c r="G848" s="157"/>
      <c r="H848" s="184"/>
      <c r="I848" s="184"/>
      <c r="J848" s="184"/>
      <c r="K848" s="184"/>
      <c r="L848" s="184"/>
      <c r="M848" s="4"/>
      <c r="N848" s="184"/>
      <c r="O848" s="1"/>
      <c r="P848" s="5"/>
      <c r="Q848" s="4"/>
      <c r="R848" s="1"/>
      <c r="S848" s="1"/>
      <c r="T848" s="1"/>
      <c r="U848" s="6"/>
      <c r="V848" s="184"/>
      <c r="W848" s="184"/>
      <c r="X848" s="155"/>
      <c r="Y848" s="155"/>
      <c r="Z848" s="155"/>
      <c r="AA848" s="155"/>
      <c r="AB848" s="155"/>
      <c r="AC848" s="184"/>
      <c r="AD848" s="155"/>
      <c r="AE848" s="155"/>
      <c r="AF848" s="155"/>
      <c r="AG848" s="155"/>
      <c r="AH848" s="155"/>
      <c r="AI848" s="155"/>
      <c r="AJ848" s="155"/>
      <c r="AK848" s="155"/>
      <c r="AL848" s="155"/>
      <c r="AM848" s="155"/>
      <c r="AN848" s="155"/>
      <c r="AO848" s="155"/>
      <c r="AP848" s="155"/>
      <c r="AQ848" s="155"/>
      <c r="AR848" s="155"/>
      <c r="AS848" s="155"/>
      <c r="AT848" s="155"/>
      <c r="AU848" s="155"/>
      <c r="AV848" s="155"/>
      <c r="AW848" s="155"/>
    </row>
    <row r="849" spans="1:49" ht="16.5" customHeight="1">
      <c r="A849" s="155"/>
      <c r="B849" s="155"/>
      <c r="C849" s="1"/>
      <c r="D849" s="1"/>
      <c r="E849" s="1"/>
      <c r="F849" s="156"/>
      <c r="G849" s="157"/>
      <c r="H849" s="184"/>
      <c r="I849" s="184"/>
      <c r="J849" s="184"/>
      <c r="K849" s="184"/>
      <c r="L849" s="184"/>
      <c r="M849" s="4"/>
      <c r="N849" s="184"/>
      <c r="O849" s="1"/>
      <c r="P849" s="5"/>
      <c r="Q849" s="4"/>
      <c r="R849" s="1"/>
      <c r="S849" s="1"/>
      <c r="T849" s="1"/>
      <c r="U849" s="6"/>
      <c r="V849" s="184"/>
      <c r="W849" s="184"/>
      <c r="X849" s="155"/>
      <c r="Y849" s="155"/>
      <c r="Z849" s="155"/>
      <c r="AA849" s="155"/>
      <c r="AB849" s="155"/>
      <c r="AC849" s="184"/>
      <c r="AD849" s="155"/>
      <c r="AE849" s="155"/>
      <c r="AF849" s="155"/>
      <c r="AG849" s="155"/>
      <c r="AH849" s="155"/>
      <c r="AI849" s="155"/>
      <c r="AJ849" s="155"/>
      <c r="AK849" s="155"/>
      <c r="AL849" s="155"/>
      <c r="AM849" s="155"/>
      <c r="AN849" s="155"/>
      <c r="AO849" s="155"/>
      <c r="AP849" s="155"/>
      <c r="AQ849" s="155"/>
      <c r="AR849" s="155"/>
      <c r="AS849" s="155"/>
      <c r="AT849" s="155"/>
      <c r="AU849" s="155"/>
      <c r="AV849" s="155"/>
      <c r="AW849" s="155"/>
    </row>
    <row r="850" spans="1:49" ht="16.5" customHeight="1">
      <c r="A850" s="155"/>
      <c r="B850" s="155"/>
      <c r="C850" s="1"/>
      <c r="D850" s="1"/>
      <c r="E850" s="1"/>
      <c r="F850" s="156"/>
      <c r="G850" s="157"/>
      <c r="H850" s="184"/>
      <c r="I850" s="184"/>
      <c r="J850" s="184"/>
      <c r="K850" s="184"/>
      <c r="L850" s="184"/>
      <c r="M850" s="4"/>
      <c r="N850" s="184"/>
      <c r="O850" s="1"/>
      <c r="P850" s="5"/>
      <c r="Q850" s="4"/>
      <c r="R850" s="1"/>
      <c r="S850" s="1"/>
      <c r="T850" s="1"/>
      <c r="U850" s="6"/>
      <c r="V850" s="184"/>
      <c r="W850" s="184"/>
      <c r="X850" s="155"/>
      <c r="Y850" s="155"/>
      <c r="Z850" s="155"/>
      <c r="AA850" s="155"/>
      <c r="AB850" s="155"/>
      <c r="AC850" s="184"/>
      <c r="AD850" s="155"/>
      <c r="AE850" s="155"/>
      <c r="AF850" s="155"/>
      <c r="AG850" s="155"/>
      <c r="AH850" s="155"/>
      <c r="AI850" s="155"/>
      <c r="AJ850" s="155"/>
      <c r="AK850" s="155"/>
      <c r="AL850" s="155"/>
      <c r="AM850" s="155"/>
      <c r="AN850" s="155"/>
      <c r="AO850" s="155"/>
      <c r="AP850" s="155"/>
      <c r="AQ850" s="155"/>
      <c r="AR850" s="155"/>
      <c r="AS850" s="155"/>
      <c r="AT850" s="155"/>
      <c r="AU850" s="155"/>
      <c r="AV850" s="155"/>
      <c r="AW850" s="155"/>
    </row>
    <row r="851" spans="1:49" ht="16.5" customHeight="1">
      <c r="A851" s="155"/>
      <c r="B851" s="155"/>
      <c r="C851" s="1"/>
      <c r="D851" s="1"/>
      <c r="E851" s="1"/>
      <c r="F851" s="156"/>
      <c r="G851" s="157"/>
      <c r="H851" s="184"/>
      <c r="I851" s="184"/>
      <c r="J851" s="184"/>
      <c r="K851" s="184"/>
      <c r="L851" s="184"/>
      <c r="M851" s="4"/>
      <c r="N851" s="184"/>
      <c r="O851" s="1"/>
      <c r="P851" s="5"/>
      <c r="Q851" s="4"/>
      <c r="R851" s="1"/>
      <c r="S851" s="1"/>
      <c r="T851" s="1"/>
      <c r="U851" s="6"/>
      <c r="V851" s="184"/>
      <c r="W851" s="184"/>
      <c r="X851" s="155"/>
      <c r="Y851" s="155"/>
      <c r="Z851" s="155"/>
      <c r="AA851" s="155"/>
      <c r="AB851" s="155"/>
      <c r="AC851" s="184"/>
      <c r="AD851" s="155"/>
      <c r="AE851" s="155"/>
      <c r="AF851" s="155"/>
      <c r="AG851" s="155"/>
      <c r="AH851" s="155"/>
      <c r="AI851" s="155"/>
      <c r="AJ851" s="155"/>
      <c r="AK851" s="155"/>
      <c r="AL851" s="155"/>
      <c r="AM851" s="155"/>
      <c r="AN851" s="155"/>
      <c r="AO851" s="155"/>
      <c r="AP851" s="155"/>
      <c r="AQ851" s="155"/>
      <c r="AR851" s="155"/>
      <c r="AS851" s="155"/>
      <c r="AT851" s="155"/>
      <c r="AU851" s="155"/>
      <c r="AV851" s="155"/>
      <c r="AW851" s="155"/>
    </row>
    <row r="852" spans="1:49" ht="16.5" customHeight="1">
      <c r="A852" s="155"/>
      <c r="B852" s="155"/>
      <c r="C852" s="1"/>
      <c r="D852" s="1"/>
      <c r="E852" s="1"/>
      <c r="F852" s="156"/>
      <c r="G852" s="157"/>
      <c r="H852" s="184"/>
      <c r="I852" s="184"/>
      <c r="J852" s="184"/>
      <c r="K852" s="184"/>
      <c r="L852" s="184"/>
      <c r="M852" s="4"/>
      <c r="N852" s="184"/>
      <c r="O852" s="1"/>
      <c r="P852" s="5"/>
      <c r="Q852" s="4"/>
      <c r="R852" s="1"/>
      <c r="S852" s="1"/>
      <c r="T852" s="1"/>
      <c r="U852" s="6"/>
      <c r="V852" s="184"/>
      <c r="W852" s="184"/>
      <c r="X852" s="155"/>
      <c r="Y852" s="155"/>
      <c r="Z852" s="155"/>
      <c r="AA852" s="155"/>
      <c r="AB852" s="155"/>
      <c r="AC852" s="184"/>
      <c r="AD852" s="155"/>
      <c r="AE852" s="155"/>
      <c r="AF852" s="155"/>
      <c r="AG852" s="155"/>
      <c r="AH852" s="155"/>
      <c r="AI852" s="155"/>
      <c r="AJ852" s="155"/>
      <c r="AK852" s="155"/>
      <c r="AL852" s="155"/>
      <c r="AM852" s="155"/>
      <c r="AN852" s="155"/>
      <c r="AO852" s="155"/>
      <c r="AP852" s="155"/>
      <c r="AQ852" s="155"/>
      <c r="AR852" s="155"/>
      <c r="AS852" s="155"/>
      <c r="AT852" s="155"/>
      <c r="AU852" s="155"/>
      <c r="AV852" s="155"/>
      <c r="AW852" s="155"/>
    </row>
    <row r="853" spans="1:49" ht="16.5" customHeight="1">
      <c r="A853" s="155"/>
      <c r="B853" s="155"/>
      <c r="C853" s="1"/>
      <c r="D853" s="1"/>
      <c r="E853" s="1"/>
      <c r="F853" s="156"/>
      <c r="G853" s="157"/>
      <c r="H853" s="184"/>
      <c r="I853" s="184"/>
      <c r="J853" s="184"/>
      <c r="K853" s="184"/>
      <c r="L853" s="184"/>
      <c r="M853" s="4"/>
      <c r="N853" s="184"/>
      <c r="O853" s="1"/>
      <c r="P853" s="5"/>
      <c r="Q853" s="4"/>
      <c r="R853" s="1"/>
      <c r="S853" s="1"/>
      <c r="T853" s="1"/>
      <c r="U853" s="6"/>
      <c r="V853" s="184"/>
      <c r="W853" s="184"/>
      <c r="X853" s="155"/>
      <c r="Y853" s="155"/>
      <c r="Z853" s="155"/>
      <c r="AA853" s="155"/>
      <c r="AB853" s="155"/>
      <c r="AC853" s="184"/>
      <c r="AD853" s="155"/>
      <c r="AE853" s="155"/>
      <c r="AF853" s="155"/>
      <c r="AG853" s="155"/>
      <c r="AH853" s="155"/>
      <c r="AI853" s="155"/>
      <c r="AJ853" s="155"/>
      <c r="AK853" s="155"/>
      <c r="AL853" s="155"/>
      <c r="AM853" s="155"/>
      <c r="AN853" s="155"/>
      <c r="AO853" s="155"/>
      <c r="AP853" s="155"/>
      <c r="AQ853" s="155"/>
      <c r="AR853" s="155"/>
      <c r="AS853" s="155"/>
      <c r="AT853" s="155"/>
      <c r="AU853" s="155"/>
      <c r="AV853" s="155"/>
      <c r="AW853" s="155"/>
    </row>
    <row r="854" spans="1:49" ht="16.5" customHeight="1">
      <c r="A854" s="155"/>
      <c r="B854" s="155"/>
      <c r="C854" s="1"/>
      <c r="D854" s="1"/>
      <c r="E854" s="1"/>
      <c r="F854" s="156"/>
      <c r="G854" s="157"/>
      <c r="H854" s="184"/>
      <c r="I854" s="184"/>
      <c r="J854" s="184"/>
      <c r="K854" s="184"/>
      <c r="L854" s="184"/>
      <c r="M854" s="4"/>
      <c r="N854" s="184"/>
      <c r="O854" s="1"/>
      <c r="P854" s="5"/>
      <c r="Q854" s="4"/>
      <c r="R854" s="1"/>
      <c r="S854" s="1"/>
      <c r="T854" s="1"/>
      <c r="U854" s="6"/>
      <c r="V854" s="184"/>
      <c r="W854" s="184"/>
      <c r="X854" s="155"/>
      <c r="Y854" s="155"/>
      <c r="Z854" s="155"/>
      <c r="AA854" s="155"/>
      <c r="AB854" s="155"/>
      <c r="AC854" s="184"/>
      <c r="AD854" s="155"/>
      <c r="AE854" s="155"/>
      <c r="AF854" s="155"/>
      <c r="AG854" s="155"/>
      <c r="AH854" s="155"/>
      <c r="AI854" s="155"/>
      <c r="AJ854" s="155"/>
      <c r="AK854" s="155"/>
      <c r="AL854" s="155"/>
      <c r="AM854" s="155"/>
      <c r="AN854" s="155"/>
      <c r="AO854" s="155"/>
      <c r="AP854" s="155"/>
      <c r="AQ854" s="155"/>
      <c r="AR854" s="155"/>
      <c r="AS854" s="155"/>
      <c r="AT854" s="155"/>
      <c r="AU854" s="155"/>
      <c r="AV854" s="155"/>
      <c r="AW854" s="155"/>
    </row>
    <row r="855" spans="1:49" ht="16.5" customHeight="1">
      <c r="A855" s="155"/>
      <c r="B855" s="155"/>
      <c r="C855" s="1"/>
      <c r="D855" s="1"/>
      <c r="E855" s="1"/>
      <c r="F855" s="156"/>
      <c r="G855" s="157"/>
      <c r="H855" s="184"/>
      <c r="I855" s="184"/>
      <c r="J855" s="184"/>
      <c r="K855" s="184"/>
      <c r="L855" s="184"/>
      <c r="M855" s="4"/>
      <c r="N855" s="184"/>
      <c r="O855" s="1"/>
      <c r="P855" s="5"/>
      <c r="Q855" s="4"/>
      <c r="R855" s="1"/>
      <c r="S855" s="1"/>
      <c r="T855" s="1"/>
      <c r="U855" s="6"/>
      <c r="V855" s="184"/>
      <c r="W855" s="184"/>
      <c r="X855" s="155"/>
      <c r="Y855" s="155"/>
      <c r="Z855" s="155"/>
      <c r="AA855" s="155"/>
      <c r="AB855" s="155"/>
      <c r="AC855" s="184"/>
      <c r="AD855" s="155"/>
      <c r="AE855" s="155"/>
      <c r="AF855" s="155"/>
      <c r="AG855" s="155"/>
      <c r="AH855" s="155"/>
      <c r="AI855" s="155"/>
      <c r="AJ855" s="155"/>
      <c r="AK855" s="155"/>
      <c r="AL855" s="155"/>
      <c r="AM855" s="155"/>
      <c r="AN855" s="155"/>
      <c r="AO855" s="155"/>
      <c r="AP855" s="155"/>
      <c r="AQ855" s="155"/>
      <c r="AR855" s="155"/>
      <c r="AS855" s="155"/>
      <c r="AT855" s="155"/>
      <c r="AU855" s="155"/>
      <c r="AV855" s="155"/>
      <c r="AW855" s="155"/>
    </row>
    <row r="856" spans="1:49" ht="16.5" customHeight="1">
      <c r="A856" s="155"/>
      <c r="B856" s="155"/>
      <c r="C856" s="1"/>
      <c r="D856" s="1"/>
      <c r="E856" s="1"/>
      <c r="F856" s="156"/>
      <c r="G856" s="157"/>
      <c r="H856" s="184"/>
      <c r="I856" s="184"/>
      <c r="J856" s="184"/>
      <c r="K856" s="184"/>
      <c r="L856" s="184"/>
      <c r="M856" s="4"/>
      <c r="N856" s="184"/>
      <c r="O856" s="1"/>
      <c r="P856" s="5"/>
      <c r="Q856" s="4"/>
      <c r="R856" s="1"/>
      <c r="S856" s="1"/>
      <c r="T856" s="1"/>
      <c r="U856" s="6"/>
      <c r="V856" s="184"/>
      <c r="W856" s="184"/>
      <c r="X856" s="155"/>
      <c r="Y856" s="155"/>
      <c r="Z856" s="155"/>
      <c r="AA856" s="155"/>
      <c r="AB856" s="155"/>
      <c r="AC856" s="184"/>
      <c r="AD856" s="155"/>
      <c r="AE856" s="155"/>
      <c r="AF856" s="155"/>
      <c r="AG856" s="155"/>
      <c r="AH856" s="155"/>
      <c r="AI856" s="155"/>
      <c r="AJ856" s="155"/>
      <c r="AK856" s="155"/>
      <c r="AL856" s="155"/>
      <c r="AM856" s="155"/>
      <c r="AN856" s="155"/>
      <c r="AO856" s="155"/>
      <c r="AP856" s="155"/>
      <c r="AQ856" s="155"/>
      <c r="AR856" s="155"/>
      <c r="AS856" s="155"/>
      <c r="AT856" s="155"/>
      <c r="AU856" s="155"/>
      <c r="AV856" s="155"/>
      <c r="AW856" s="155"/>
    </row>
    <row r="857" spans="1:49" ht="16.5" customHeight="1">
      <c r="A857" s="155"/>
      <c r="B857" s="155"/>
      <c r="C857" s="1"/>
      <c r="D857" s="1"/>
      <c r="E857" s="1"/>
      <c r="F857" s="156"/>
      <c r="G857" s="157"/>
      <c r="H857" s="184"/>
      <c r="I857" s="184"/>
      <c r="J857" s="184"/>
      <c r="K857" s="184"/>
      <c r="L857" s="184"/>
      <c r="M857" s="4"/>
      <c r="N857" s="184"/>
      <c r="O857" s="1"/>
      <c r="P857" s="5"/>
      <c r="Q857" s="4"/>
      <c r="R857" s="1"/>
      <c r="S857" s="1"/>
      <c r="T857" s="1"/>
      <c r="U857" s="6"/>
      <c r="V857" s="184"/>
      <c r="W857" s="184"/>
      <c r="X857" s="155"/>
      <c r="Y857" s="155"/>
      <c r="Z857" s="155"/>
      <c r="AA857" s="155"/>
      <c r="AB857" s="155"/>
      <c r="AC857" s="184"/>
      <c r="AD857" s="155"/>
      <c r="AE857" s="155"/>
      <c r="AF857" s="155"/>
      <c r="AG857" s="155"/>
      <c r="AH857" s="155"/>
      <c r="AI857" s="155"/>
      <c r="AJ857" s="155"/>
      <c r="AK857" s="155"/>
      <c r="AL857" s="155"/>
      <c r="AM857" s="155"/>
      <c r="AN857" s="155"/>
      <c r="AO857" s="155"/>
      <c r="AP857" s="155"/>
      <c r="AQ857" s="155"/>
      <c r="AR857" s="155"/>
      <c r="AS857" s="155"/>
      <c r="AT857" s="155"/>
      <c r="AU857" s="155"/>
      <c r="AV857" s="155"/>
      <c r="AW857" s="155"/>
    </row>
    <row r="858" spans="1:49" ht="16.5" customHeight="1">
      <c r="A858" s="155"/>
      <c r="B858" s="155"/>
      <c r="C858" s="1"/>
      <c r="D858" s="1"/>
      <c r="E858" s="1"/>
      <c r="F858" s="156"/>
      <c r="G858" s="157"/>
      <c r="H858" s="184"/>
      <c r="I858" s="184"/>
      <c r="J858" s="184"/>
      <c r="K858" s="184"/>
      <c r="L858" s="184"/>
      <c r="M858" s="4"/>
      <c r="N858" s="184"/>
      <c r="O858" s="1"/>
      <c r="P858" s="5"/>
      <c r="Q858" s="4"/>
      <c r="R858" s="1"/>
      <c r="S858" s="1"/>
      <c r="T858" s="1"/>
      <c r="U858" s="6"/>
      <c r="V858" s="184"/>
      <c r="W858" s="184"/>
      <c r="X858" s="155"/>
      <c r="Y858" s="155"/>
      <c r="Z858" s="155"/>
      <c r="AA858" s="155"/>
      <c r="AB858" s="155"/>
      <c r="AC858" s="184"/>
      <c r="AD858" s="155"/>
      <c r="AE858" s="155"/>
      <c r="AF858" s="155"/>
      <c r="AG858" s="155"/>
      <c r="AH858" s="155"/>
      <c r="AI858" s="155"/>
      <c r="AJ858" s="155"/>
      <c r="AK858" s="155"/>
      <c r="AL858" s="155"/>
      <c r="AM858" s="155"/>
      <c r="AN858" s="155"/>
      <c r="AO858" s="155"/>
      <c r="AP858" s="155"/>
      <c r="AQ858" s="155"/>
      <c r="AR858" s="155"/>
      <c r="AS858" s="155"/>
      <c r="AT858" s="155"/>
      <c r="AU858" s="155"/>
      <c r="AV858" s="155"/>
      <c r="AW858" s="155"/>
    </row>
    <row r="859" spans="1:49" ht="16.5" customHeight="1">
      <c r="A859" s="155"/>
      <c r="B859" s="155"/>
      <c r="C859" s="1"/>
      <c r="D859" s="1"/>
      <c r="E859" s="1"/>
      <c r="F859" s="156"/>
      <c r="G859" s="157"/>
      <c r="H859" s="184"/>
      <c r="I859" s="184"/>
      <c r="J859" s="184"/>
      <c r="K859" s="184"/>
      <c r="L859" s="184"/>
      <c r="M859" s="4"/>
      <c r="N859" s="184"/>
      <c r="O859" s="1"/>
      <c r="P859" s="5"/>
      <c r="Q859" s="4"/>
      <c r="R859" s="1"/>
      <c r="S859" s="1"/>
      <c r="T859" s="1"/>
      <c r="U859" s="6"/>
      <c r="V859" s="184"/>
      <c r="W859" s="184"/>
      <c r="X859" s="155"/>
      <c r="Y859" s="155"/>
      <c r="Z859" s="155"/>
      <c r="AA859" s="155"/>
      <c r="AB859" s="155"/>
      <c r="AC859" s="184"/>
      <c r="AD859" s="155"/>
      <c r="AE859" s="155"/>
      <c r="AF859" s="155"/>
      <c r="AG859" s="155"/>
      <c r="AH859" s="155"/>
      <c r="AI859" s="155"/>
      <c r="AJ859" s="155"/>
      <c r="AK859" s="155"/>
      <c r="AL859" s="155"/>
      <c r="AM859" s="155"/>
      <c r="AN859" s="155"/>
      <c r="AO859" s="155"/>
      <c r="AP859" s="155"/>
      <c r="AQ859" s="155"/>
      <c r="AR859" s="155"/>
      <c r="AS859" s="155"/>
      <c r="AT859" s="155"/>
      <c r="AU859" s="155"/>
      <c r="AV859" s="155"/>
      <c r="AW859" s="155"/>
    </row>
    <row r="860" spans="1:49" ht="16.5" customHeight="1">
      <c r="A860" s="155"/>
      <c r="B860" s="155"/>
      <c r="C860" s="1"/>
      <c r="D860" s="1"/>
      <c r="E860" s="1"/>
      <c r="F860" s="156"/>
      <c r="G860" s="157"/>
      <c r="H860" s="184"/>
      <c r="I860" s="184"/>
      <c r="J860" s="184"/>
      <c r="K860" s="184"/>
      <c r="L860" s="184"/>
      <c r="M860" s="4"/>
      <c r="N860" s="184"/>
      <c r="O860" s="1"/>
      <c r="P860" s="5"/>
      <c r="Q860" s="4"/>
      <c r="R860" s="1"/>
      <c r="S860" s="1"/>
      <c r="T860" s="1"/>
      <c r="U860" s="6"/>
      <c r="V860" s="184"/>
      <c r="W860" s="184"/>
      <c r="X860" s="155"/>
      <c r="Y860" s="155"/>
      <c r="Z860" s="155"/>
      <c r="AA860" s="155"/>
      <c r="AB860" s="155"/>
      <c r="AC860" s="184"/>
      <c r="AD860" s="155"/>
      <c r="AE860" s="155"/>
      <c r="AF860" s="155"/>
      <c r="AG860" s="155"/>
      <c r="AH860" s="155"/>
      <c r="AI860" s="155"/>
      <c r="AJ860" s="155"/>
      <c r="AK860" s="155"/>
      <c r="AL860" s="155"/>
      <c r="AM860" s="155"/>
      <c r="AN860" s="155"/>
      <c r="AO860" s="155"/>
      <c r="AP860" s="155"/>
      <c r="AQ860" s="155"/>
      <c r="AR860" s="155"/>
      <c r="AS860" s="155"/>
      <c r="AT860" s="155"/>
      <c r="AU860" s="155"/>
      <c r="AV860" s="155"/>
      <c r="AW860" s="155"/>
    </row>
    <row r="861" spans="1:49" ht="16.5" customHeight="1">
      <c r="A861" s="155"/>
      <c r="B861" s="155"/>
      <c r="C861" s="1"/>
      <c r="D861" s="1"/>
      <c r="E861" s="1"/>
      <c r="F861" s="156"/>
      <c r="G861" s="157"/>
      <c r="H861" s="184"/>
      <c r="I861" s="184"/>
      <c r="J861" s="184"/>
      <c r="K861" s="184"/>
      <c r="L861" s="184"/>
      <c r="M861" s="4"/>
      <c r="N861" s="184"/>
      <c r="O861" s="1"/>
      <c r="P861" s="5"/>
      <c r="Q861" s="4"/>
      <c r="R861" s="1"/>
      <c r="S861" s="1"/>
      <c r="T861" s="1"/>
      <c r="U861" s="6"/>
      <c r="V861" s="184"/>
      <c r="W861" s="184"/>
      <c r="X861" s="155"/>
      <c r="Y861" s="155"/>
      <c r="Z861" s="155"/>
      <c r="AA861" s="155"/>
      <c r="AB861" s="155"/>
      <c r="AC861" s="184"/>
      <c r="AD861" s="155"/>
      <c r="AE861" s="155"/>
      <c r="AF861" s="155"/>
      <c r="AG861" s="155"/>
      <c r="AH861" s="155"/>
      <c r="AI861" s="155"/>
      <c r="AJ861" s="155"/>
      <c r="AK861" s="155"/>
      <c r="AL861" s="155"/>
      <c r="AM861" s="155"/>
      <c r="AN861" s="155"/>
      <c r="AO861" s="155"/>
      <c r="AP861" s="155"/>
      <c r="AQ861" s="155"/>
      <c r="AR861" s="155"/>
      <c r="AS861" s="155"/>
      <c r="AT861" s="155"/>
      <c r="AU861" s="155"/>
      <c r="AV861" s="155"/>
      <c r="AW861" s="155"/>
    </row>
    <row r="862" spans="1:49" ht="16.5" customHeight="1">
      <c r="A862" s="155"/>
      <c r="B862" s="155"/>
      <c r="C862" s="1"/>
      <c r="D862" s="1"/>
      <c r="E862" s="1"/>
      <c r="F862" s="156"/>
      <c r="G862" s="157"/>
      <c r="H862" s="184"/>
      <c r="I862" s="184"/>
      <c r="J862" s="184"/>
      <c r="K862" s="184"/>
      <c r="L862" s="184"/>
      <c r="M862" s="4"/>
      <c r="N862" s="184"/>
      <c r="O862" s="1"/>
      <c r="P862" s="5"/>
      <c r="Q862" s="4"/>
      <c r="R862" s="1"/>
      <c r="S862" s="1"/>
      <c r="T862" s="1"/>
      <c r="U862" s="6"/>
      <c r="V862" s="184"/>
      <c r="W862" s="184"/>
      <c r="X862" s="155"/>
      <c r="Y862" s="155"/>
      <c r="Z862" s="155"/>
      <c r="AA862" s="155"/>
      <c r="AB862" s="155"/>
      <c r="AC862" s="184"/>
      <c r="AD862" s="155"/>
      <c r="AE862" s="155"/>
      <c r="AF862" s="155"/>
      <c r="AG862" s="155"/>
      <c r="AH862" s="155"/>
      <c r="AI862" s="155"/>
      <c r="AJ862" s="155"/>
      <c r="AK862" s="155"/>
      <c r="AL862" s="155"/>
      <c r="AM862" s="155"/>
      <c r="AN862" s="155"/>
      <c r="AO862" s="155"/>
      <c r="AP862" s="155"/>
      <c r="AQ862" s="155"/>
      <c r="AR862" s="155"/>
      <c r="AS862" s="155"/>
      <c r="AT862" s="155"/>
      <c r="AU862" s="155"/>
      <c r="AV862" s="155"/>
      <c r="AW862" s="155"/>
    </row>
    <row r="863" spans="1:49" ht="16.5" customHeight="1">
      <c r="A863" s="155"/>
      <c r="B863" s="155"/>
      <c r="C863" s="1"/>
      <c r="D863" s="1"/>
      <c r="E863" s="1"/>
      <c r="F863" s="156"/>
      <c r="G863" s="157"/>
      <c r="H863" s="184"/>
      <c r="I863" s="184"/>
      <c r="J863" s="184"/>
      <c r="K863" s="184"/>
      <c r="L863" s="184"/>
      <c r="M863" s="4"/>
      <c r="N863" s="184"/>
      <c r="O863" s="1"/>
      <c r="P863" s="5"/>
      <c r="Q863" s="4"/>
      <c r="R863" s="1"/>
      <c r="S863" s="1"/>
      <c r="T863" s="1"/>
      <c r="U863" s="6"/>
      <c r="V863" s="184"/>
      <c r="W863" s="184"/>
      <c r="X863" s="155"/>
      <c r="Y863" s="155"/>
      <c r="Z863" s="155"/>
      <c r="AA863" s="155"/>
      <c r="AB863" s="155"/>
      <c r="AC863" s="184"/>
      <c r="AD863" s="155"/>
      <c r="AE863" s="155"/>
      <c r="AF863" s="155"/>
      <c r="AG863" s="155"/>
      <c r="AH863" s="155"/>
      <c r="AI863" s="155"/>
      <c r="AJ863" s="155"/>
      <c r="AK863" s="155"/>
      <c r="AL863" s="155"/>
      <c r="AM863" s="155"/>
      <c r="AN863" s="155"/>
      <c r="AO863" s="155"/>
      <c r="AP863" s="155"/>
      <c r="AQ863" s="155"/>
      <c r="AR863" s="155"/>
      <c r="AS863" s="155"/>
      <c r="AT863" s="155"/>
      <c r="AU863" s="155"/>
      <c r="AV863" s="155"/>
      <c r="AW863" s="155"/>
    </row>
    <row r="864" spans="1:49" ht="16.5" customHeight="1">
      <c r="A864" s="155"/>
      <c r="B864" s="155"/>
      <c r="C864" s="1"/>
      <c r="D864" s="1"/>
      <c r="E864" s="1"/>
      <c r="F864" s="156"/>
      <c r="G864" s="157"/>
      <c r="H864" s="184"/>
      <c r="I864" s="184"/>
      <c r="J864" s="184"/>
      <c r="K864" s="184"/>
      <c r="L864" s="184"/>
      <c r="M864" s="4"/>
      <c r="N864" s="184"/>
      <c r="O864" s="1"/>
      <c r="P864" s="5"/>
      <c r="Q864" s="4"/>
      <c r="R864" s="1"/>
      <c r="S864" s="1"/>
      <c r="T864" s="1"/>
      <c r="U864" s="6"/>
      <c r="V864" s="184"/>
      <c r="W864" s="184"/>
      <c r="X864" s="155"/>
      <c r="Y864" s="155"/>
      <c r="Z864" s="155"/>
      <c r="AA864" s="155"/>
      <c r="AB864" s="155"/>
      <c r="AC864" s="184"/>
      <c r="AD864" s="155"/>
      <c r="AE864" s="155"/>
      <c r="AF864" s="155"/>
      <c r="AG864" s="155"/>
      <c r="AH864" s="155"/>
      <c r="AI864" s="155"/>
      <c r="AJ864" s="155"/>
      <c r="AK864" s="155"/>
      <c r="AL864" s="155"/>
      <c r="AM864" s="155"/>
      <c r="AN864" s="155"/>
      <c r="AO864" s="155"/>
      <c r="AP864" s="155"/>
      <c r="AQ864" s="155"/>
      <c r="AR864" s="155"/>
      <c r="AS864" s="155"/>
      <c r="AT864" s="155"/>
      <c r="AU864" s="155"/>
      <c r="AV864" s="155"/>
      <c r="AW864" s="155"/>
    </row>
    <row r="865" spans="1:49" ht="16.5" customHeight="1">
      <c r="A865" s="155"/>
      <c r="B865" s="155"/>
      <c r="C865" s="1"/>
      <c r="D865" s="1"/>
      <c r="E865" s="1"/>
      <c r="F865" s="156"/>
      <c r="G865" s="157"/>
      <c r="H865" s="184"/>
      <c r="I865" s="184"/>
      <c r="J865" s="184"/>
      <c r="K865" s="184"/>
      <c r="L865" s="184"/>
      <c r="M865" s="4"/>
      <c r="N865" s="184"/>
      <c r="O865" s="1"/>
      <c r="P865" s="5"/>
      <c r="Q865" s="4"/>
      <c r="R865" s="1"/>
      <c r="S865" s="1"/>
      <c r="T865" s="1"/>
      <c r="U865" s="6"/>
      <c r="V865" s="184"/>
      <c r="W865" s="184"/>
      <c r="X865" s="155"/>
      <c r="Y865" s="155"/>
      <c r="Z865" s="155"/>
      <c r="AA865" s="155"/>
      <c r="AB865" s="155"/>
      <c r="AC865" s="184"/>
      <c r="AD865" s="155"/>
      <c r="AE865" s="155"/>
      <c r="AF865" s="155"/>
      <c r="AG865" s="155"/>
      <c r="AH865" s="155"/>
      <c r="AI865" s="155"/>
      <c r="AJ865" s="155"/>
      <c r="AK865" s="155"/>
      <c r="AL865" s="155"/>
      <c r="AM865" s="155"/>
      <c r="AN865" s="155"/>
      <c r="AO865" s="155"/>
      <c r="AP865" s="155"/>
      <c r="AQ865" s="155"/>
      <c r="AR865" s="155"/>
      <c r="AS865" s="155"/>
      <c r="AT865" s="155"/>
      <c r="AU865" s="155"/>
      <c r="AV865" s="155"/>
      <c r="AW865" s="155"/>
    </row>
    <row r="866" spans="1:49" ht="16.5" customHeight="1">
      <c r="A866" s="155"/>
      <c r="B866" s="155"/>
      <c r="C866" s="1"/>
      <c r="D866" s="1"/>
      <c r="E866" s="1"/>
      <c r="F866" s="156"/>
      <c r="G866" s="157"/>
      <c r="H866" s="184"/>
      <c r="I866" s="184"/>
      <c r="J866" s="184"/>
      <c r="K866" s="184"/>
      <c r="L866" s="184"/>
      <c r="M866" s="4"/>
      <c r="N866" s="184"/>
      <c r="O866" s="1"/>
      <c r="P866" s="5"/>
      <c r="Q866" s="4"/>
      <c r="R866" s="1"/>
      <c r="S866" s="1"/>
      <c r="T866" s="1"/>
      <c r="U866" s="6"/>
      <c r="V866" s="184"/>
      <c r="W866" s="184"/>
      <c r="X866" s="155"/>
      <c r="Y866" s="155"/>
      <c r="Z866" s="155"/>
      <c r="AA866" s="155"/>
      <c r="AB866" s="155"/>
      <c r="AC866" s="184"/>
      <c r="AD866" s="155"/>
      <c r="AE866" s="155"/>
      <c r="AF866" s="155"/>
      <c r="AG866" s="155"/>
      <c r="AH866" s="155"/>
      <c r="AI866" s="155"/>
      <c r="AJ866" s="155"/>
      <c r="AK866" s="155"/>
      <c r="AL866" s="155"/>
      <c r="AM866" s="155"/>
      <c r="AN866" s="155"/>
      <c r="AO866" s="155"/>
      <c r="AP866" s="155"/>
      <c r="AQ866" s="155"/>
      <c r="AR866" s="155"/>
      <c r="AS866" s="155"/>
      <c r="AT866" s="155"/>
      <c r="AU866" s="155"/>
      <c r="AV866" s="155"/>
      <c r="AW866" s="155"/>
    </row>
    <row r="867" spans="1:49" ht="16.5" customHeight="1">
      <c r="A867" s="155"/>
      <c r="B867" s="155"/>
      <c r="C867" s="1"/>
      <c r="D867" s="1"/>
      <c r="E867" s="1"/>
      <c r="F867" s="156"/>
      <c r="G867" s="157"/>
      <c r="H867" s="184"/>
      <c r="I867" s="184"/>
      <c r="J867" s="184"/>
      <c r="K867" s="184"/>
      <c r="L867" s="184"/>
      <c r="M867" s="4"/>
      <c r="N867" s="184"/>
      <c r="O867" s="1"/>
      <c r="P867" s="5"/>
      <c r="Q867" s="4"/>
      <c r="R867" s="1"/>
      <c r="S867" s="1"/>
      <c r="T867" s="1"/>
      <c r="U867" s="6"/>
      <c r="V867" s="184"/>
      <c r="W867" s="184"/>
      <c r="X867" s="155"/>
      <c r="Y867" s="155"/>
      <c r="Z867" s="155"/>
      <c r="AA867" s="155"/>
      <c r="AB867" s="155"/>
      <c r="AC867" s="184"/>
      <c r="AD867" s="155"/>
      <c r="AE867" s="155"/>
      <c r="AF867" s="155"/>
      <c r="AG867" s="155"/>
      <c r="AH867" s="155"/>
      <c r="AI867" s="155"/>
      <c r="AJ867" s="155"/>
      <c r="AK867" s="155"/>
      <c r="AL867" s="155"/>
      <c r="AM867" s="155"/>
      <c r="AN867" s="155"/>
      <c r="AO867" s="155"/>
      <c r="AP867" s="155"/>
      <c r="AQ867" s="155"/>
      <c r="AR867" s="155"/>
      <c r="AS867" s="155"/>
      <c r="AT867" s="155"/>
      <c r="AU867" s="155"/>
      <c r="AV867" s="155"/>
      <c r="AW867" s="155"/>
    </row>
    <row r="868" spans="1:49" ht="16.5" customHeight="1">
      <c r="A868" s="155"/>
      <c r="B868" s="155"/>
      <c r="C868" s="1"/>
      <c r="D868" s="1"/>
      <c r="E868" s="1"/>
      <c r="F868" s="156"/>
      <c r="G868" s="157"/>
      <c r="H868" s="184"/>
      <c r="I868" s="184"/>
      <c r="J868" s="184"/>
      <c r="K868" s="184"/>
      <c r="L868" s="184"/>
      <c r="M868" s="4"/>
      <c r="N868" s="184"/>
      <c r="O868" s="1"/>
      <c r="P868" s="5"/>
      <c r="Q868" s="4"/>
      <c r="R868" s="1"/>
      <c r="S868" s="1"/>
      <c r="T868" s="1"/>
      <c r="U868" s="6"/>
      <c r="V868" s="184"/>
      <c r="W868" s="184"/>
      <c r="X868" s="155"/>
      <c r="Y868" s="155"/>
      <c r="Z868" s="155"/>
      <c r="AA868" s="155"/>
      <c r="AB868" s="155"/>
      <c r="AC868" s="184"/>
      <c r="AD868" s="155"/>
      <c r="AE868" s="155"/>
      <c r="AF868" s="155"/>
      <c r="AG868" s="155"/>
      <c r="AH868" s="155"/>
      <c r="AI868" s="155"/>
      <c r="AJ868" s="155"/>
      <c r="AK868" s="155"/>
      <c r="AL868" s="155"/>
      <c r="AM868" s="155"/>
      <c r="AN868" s="155"/>
      <c r="AO868" s="155"/>
      <c r="AP868" s="155"/>
      <c r="AQ868" s="155"/>
      <c r="AR868" s="155"/>
      <c r="AS868" s="155"/>
      <c r="AT868" s="155"/>
      <c r="AU868" s="155"/>
      <c r="AV868" s="155"/>
      <c r="AW868" s="155"/>
    </row>
    <row r="869" spans="1:49" ht="16.5" customHeight="1">
      <c r="A869" s="155"/>
      <c r="B869" s="155"/>
      <c r="C869" s="1"/>
      <c r="D869" s="1"/>
      <c r="E869" s="1"/>
      <c r="F869" s="156"/>
      <c r="G869" s="157"/>
      <c r="H869" s="184"/>
      <c r="I869" s="184"/>
      <c r="J869" s="184"/>
      <c r="K869" s="184"/>
      <c r="L869" s="184"/>
      <c r="M869" s="4"/>
      <c r="N869" s="184"/>
      <c r="O869" s="1"/>
      <c r="P869" s="5"/>
      <c r="Q869" s="4"/>
      <c r="R869" s="1"/>
      <c r="S869" s="1"/>
      <c r="T869" s="1"/>
      <c r="U869" s="6"/>
      <c r="V869" s="184"/>
      <c r="W869" s="184"/>
      <c r="X869" s="155"/>
      <c r="Y869" s="155"/>
      <c r="Z869" s="155"/>
      <c r="AA869" s="155"/>
      <c r="AB869" s="155"/>
      <c r="AC869" s="184"/>
      <c r="AD869" s="155"/>
      <c r="AE869" s="155"/>
      <c r="AF869" s="155"/>
      <c r="AG869" s="155"/>
      <c r="AH869" s="155"/>
      <c r="AI869" s="155"/>
      <c r="AJ869" s="155"/>
      <c r="AK869" s="155"/>
      <c r="AL869" s="155"/>
      <c r="AM869" s="155"/>
      <c r="AN869" s="155"/>
      <c r="AO869" s="155"/>
      <c r="AP869" s="155"/>
      <c r="AQ869" s="155"/>
      <c r="AR869" s="155"/>
      <c r="AS869" s="155"/>
      <c r="AT869" s="155"/>
      <c r="AU869" s="155"/>
      <c r="AV869" s="155"/>
      <c r="AW869" s="155"/>
    </row>
    <row r="870" spans="1:49" ht="16.5" customHeight="1">
      <c r="A870" s="155"/>
      <c r="B870" s="155"/>
      <c r="C870" s="1"/>
      <c r="D870" s="1"/>
      <c r="E870" s="1"/>
      <c r="F870" s="156"/>
      <c r="G870" s="157"/>
      <c r="H870" s="184"/>
      <c r="I870" s="184"/>
      <c r="J870" s="184"/>
      <c r="K870" s="184"/>
      <c r="L870" s="184"/>
      <c r="M870" s="4"/>
      <c r="N870" s="184"/>
      <c r="O870" s="1"/>
      <c r="P870" s="5"/>
      <c r="Q870" s="4"/>
      <c r="R870" s="1"/>
      <c r="S870" s="1"/>
      <c r="T870" s="1"/>
      <c r="U870" s="6"/>
      <c r="V870" s="184"/>
      <c r="W870" s="184"/>
      <c r="X870" s="155"/>
      <c r="Y870" s="155"/>
      <c r="Z870" s="155"/>
      <c r="AA870" s="155"/>
      <c r="AB870" s="155"/>
      <c r="AC870" s="184"/>
      <c r="AD870" s="155"/>
      <c r="AE870" s="155"/>
      <c r="AF870" s="155"/>
      <c r="AG870" s="155"/>
      <c r="AH870" s="155"/>
      <c r="AI870" s="155"/>
      <c r="AJ870" s="155"/>
      <c r="AK870" s="155"/>
      <c r="AL870" s="155"/>
      <c r="AM870" s="155"/>
      <c r="AN870" s="155"/>
      <c r="AO870" s="155"/>
      <c r="AP870" s="155"/>
      <c r="AQ870" s="155"/>
      <c r="AR870" s="155"/>
      <c r="AS870" s="155"/>
      <c r="AT870" s="155"/>
      <c r="AU870" s="155"/>
      <c r="AV870" s="155"/>
      <c r="AW870" s="155"/>
    </row>
    <row r="871" spans="1:49" ht="16.5" customHeight="1">
      <c r="A871" s="155"/>
      <c r="B871" s="155"/>
      <c r="C871" s="1"/>
      <c r="D871" s="1"/>
      <c r="E871" s="1"/>
      <c r="F871" s="156"/>
      <c r="G871" s="157"/>
      <c r="H871" s="184"/>
      <c r="I871" s="184"/>
      <c r="J871" s="184"/>
      <c r="K871" s="184"/>
      <c r="L871" s="184"/>
      <c r="M871" s="4"/>
      <c r="N871" s="184"/>
      <c r="O871" s="1"/>
      <c r="P871" s="5"/>
      <c r="Q871" s="4"/>
      <c r="R871" s="1"/>
      <c r="S871" s="1"/>
      <c r="T871" s="1"/>
      <c r="U871" s="6"/>
      <c r="V871" s="184"/>
      <c r="W871" s="184"/>
      <c r="X871" s="155"/>
      <c r="Y871" s="155"/>
      <c r="Z871" s="155"/>
      <c r="AA871" s="155"/>
      <c r="AB871" s="155"/>
      <c r="AC871" s="184"/>
      <c r="AD871" s="155"/>
      <c r="AE871" s="155"/>
      <c r="AF871" s="155"/>
      <c r="AG871" s="155"/>
      <c r="AH871" s="155"/>
      <c r="AI871" s="155"/>
      <c r="AJ871" s="155"/>
      <c r="AK871" s="155"/>
      <c r="AL871" s="155"/>
      <c r="AM871" s="155"/>
      <c r="AN871" s="155"/>
      <c r="AO871" s="155"/>
      <c r="AP871" s="155"/>
      <c r="AQ871" s="155"/>
      <c r="AR871" s="155"/>
      <c r="AS871" s="155"/>
      <c r="AT871" s="155"/>
      <c r="AU871" s="155"/>
      <c r="AV871" s="155"/>
      <c r="AW871" s="155"/>
    </row>
    <row r="872" spans="1:49" ht="16.5" customHeight="1">
      <c r="A872" s="155"/>
      <c r="B872" s="155"/>
      <c r="C872" s="1"/>
      <c r="D872" s="1"/>
      <c r="E872" s="1"/>
      <c r="F872" s="156"/>
      <c r="G872" s="157"/>
      <c r="H872" s="184"/>
      <c r="I872" s="184"/>
      <c r="J872" s="184"/>
      <c r="K872" s="184"/>
      <c r="L872" s="184"/>
      <c r="M872" s="4"/>
      <c r="N872" s="184"/>
      <c r="O872" s="1"/>
      <c r="P872" s="5"/>
      <c r="Q872" s="4"/>
      <c r="R872" s="1"/>
      <c r="S872" s="1"/>
      <c r="T872" s="1"/>
      <c r="U872" s="6"/>
      <c r="V872" s="184"/>
      <c r="W872" s="184"/>
      <c r="X872" s="155"/>
      <c r="Y872" s="155"/>
      <c r="Z872" s="155"/>
      <c r="AA872" s="155"/>
      <c r="AB872" s="155"/>
      <c r="AC872" s="184"/>
      <c r="AD872" s="155"/>
      <c r="AE872" s="155"/>
      <c r="AF872" s="155"/>
      <c r="AG872" s="155"/>
      <c r="AH872" s="155"/>
      <c r="AI872" s="155"/>
      <c r="AJ872" s="155"/>
      <c r="AK872" s="155"/>
      <c r="AL872" s="155"/>
      <c r="AM872" s="155"/>
      <c r="AN872" s="155"/>
      <c r="AO872" s="155"/>
      <c r="AP872" s="155"/>
      <c r="AQ872" s="155"/>
      <c r="AR872" s="155"/>
      <c r="AS872" s="155"/>
      <c r="AT872" s="155"/>
      <c r="AU872" s="155"/>
      <c r="AV872" s="155"/>
      <c r="AW872" s="155"/>
    </row>
    <row r="873" spans="1:49" ht="16.5" customHeight="1">
      <c r="A873" s="155"/>
      <c r="B873" s="155"/>
      <c r="C873" s="1"/>
      <c r="D873" s="1"/>
      <c r="E873" s="1"/>
      <c r="F873" s="156"/>
      <c r="G873" s="157"/>
      <c r="H873" s="184"/>
      <c r="I873" s="184"/>
      <c r="J873" s="184"/>
      <c r="K873" s="184"/>
      <c r="L873" s="184"/>
      <c r="M873" s="4"/>
      <c r="N873" s="184"/>
      <c r="O873" s="1"/>
      <c r="P873" s="5"/>
      <c r="Q873" s="4"/>
      <c r="R873" s="1"/>
      <c r="S873" s="1"/>
      <c r="T873" s="1"/>
      <c r="U873" s="6"/>
      <c r="V873" s="184"/>
      <c r="W873" s="184"/>
      <c r="X873" s="155"/>
      <c r="Y873" s="155"/>
      <c r="Z873" s="155"/>
      <c r="AA873" s="155"/>
      <c r="AB873" s="155"/>
      <c r="AC873" s="184"/>
      <c r="AD873" s="155"/>
      <c r="AE873" s="155"/>
      <c r="AF873" s="155"/>
      <c r="AG873" s="155"/>
      <c r="AH873" s="155"/>
      <c r="AI873" s="155"/>
      <c r="AJ873" s="155"/>
      <c r="AK873" s="155"/>
      <c r="AL873" s="155"/>
      <c r="AM873" s="155"/>
      <c r="AN873" s="155"/>
      <c r="AO873" s="155"/>
      <c r="AP873" s="155"/>
      <c r="AQ873" s="155"/>
      <c r="AR873" s="155"/>
      <c r="AS873" s="155"/>
      <c r="AT873" s="155"/>
      <c r="AU873" s="155"/>
      <c r="AV873" s="155"/>
      <c r="AW873" s="155"/>
    </row>
    <row r="874" spans="1:49" ht="16.5" customHeight="1">
      <c r="A874" s="155"/>
      <c r="B874" s="155"/>
      <c r="C874" s="1"/>
      <c r="D874" s="1"/>
      <c r="E874" s="1"/>
      <c r="F874" s="156"/>
      <c r="G874" s="157"/>
      <c r="H874" s="184"/>
      <c r="I874" s="184"/>
      <c r="J874" s="184"/>
      <c r="K874" s="184"/>
      <c r="L874" s="184"/>
      <c r="M874" s="4"/>
      <c r="N874" s="184"/>
      <c r="O874" s="1"/>
      <c r="P874" s="5"/>
      <c r="Q874" s="4"/>
      <c r="R874" s="1"/>
      <c r="S874" s="1"/>
      <c r="T874" s="1"/>
      <c r="U874" s="6"/>
      <c r="V874" s="184"/>
      <c r="W874" s="184"/>
      <c r="X874" s="155"/>
      <c r="Y874" s="155"/>
      <c r="Z874" s="155"/>
      <c r="AA874" s="155"/>
      <c r="AB874" s="155"/>
      <c r="AC874" s="184"/>
      <c r="AD874" s="155"/>
      <c r="AE874" s="155"/>
      <c r="AF874" s="155"/>
      <c r="AG874" s="155"/>
      <c r="AH874" s="155"/>
      <c r="AI874" s="155"/>
      <c r="AJ874" s="155"/>
      <c r="AK874" s="155"/>
      <c r="AL874" s="155"/>
      <c r="AM874" s="155"/>
      <c r="AN874" s="155"/>
      <c r="AO874" s="155"/>
      <c r="AP874" s="155"/>
      <c r="AQ874" s="155"/>
      <c r="AR874" s="155"/>
      <c r="AS874" s="155"/>
      <c r="AT874" s="155"/>
      <c r="AU874" s="155"/>
      <c r="AV874" s="155"/>
      <c r="AW874" s="155"/>
    </row>
    <row r="875" spans="1:49" ht="16.5" customHeight="1">
      <c r="A875" s="155"/>
      <c r="B875" s="155"/>
      <c r="C875" s="1"/>
      <c r="D875" s="1"/>
      <c r="E875" s="1"/>
      <c r="F875" s="156"/>
      <c r="G875" s="157"/>
      <c r="H875" s="184"/>
      <c r="I875" s="184"/>
      <c r="J875" s="184"/>
      <c r="K875" s="184"/>
      <c r="L875" s="184"/>
      <c r="M875" s="4"/>
      <c r="N875" s="184"/>
      <c r="O875" s="1"/>
      <c r="P875" s="5"/>
      <c r="Q875" s="4"/>
      <c r="R875" s="1"/>
      <c r="S875" s="1"/>
      <c r="T875" s="1"/>
      <c r="U875" s="6"/>
      <c r="V875" s="184"/>
      <c r="W875" s="184"/>
      <c r="X875" s="155"/>
      <c r="Y875" s="155"/>
      <c r="Z875" s="155"/>
      <c r="AA875" s="155"/>
      <c r="AB875" s="155"/>
      <c r="AC875" s="184"/>
      <c r="AD875" s="155"/>
      <c r="AE875" s="155"/>
      <c r="AF875" s="155"/>
      <c r="AG875" s="155"/>
      <c r="AH875" s="155"/>
      <c r="AI875" s="155"/>
      <c r="AJ875" s="155"/>
      <c r="AK875" s="155"/>
      <c r="AL875" s="155"/>
      <c r="AM875" s="155"/>
      <c r="AN875" s="155"/>
      <c r="AO875" s="155"/>
      <c r="AP875" s="155"/>
      <c r="AQ875" s="155"/>
      <c r="AR875" s="155"/>
      <c r="AS875" s="155"/>
      <c r="AT875" s="155"/>
      <c r="AU875" s="155"/>
      <c r="AV875" s="155"/>
      <c r="AW875" s="155"/>
    </row>
    <row r="876" spans="1:49" ht="16.5" customHeight="1">
      <c r="A876" s="155"/>
      <c r="B876" s="155"/>
      <c r="C876" s="1"/>
      <c r="D876" s="1"/>
      <c r="E876" s="1"/>
      <c r="F876" s="156"/>
      <c r="G876" s="157"/>
      <c r="H876" s="184"/>
      <c r="I876" s="184"/>
      <c r="J876" s="184"/>
      <c r="K876" s="184"/>
      <c r="L876" s="184"/>
      <c r="M876" s="4"/>
      <c r="N876" s="184"/>
      <c r="O876" s="1"/>
      <c r="P876" s="5"/>
      <c r="Q876" s="4"/>
      <c r="R876" s="1"/>
      <c r="S876" s="1"/>
      <c r="T876" s="1"/>
      <c r="U876" s="6"/>
      <c r="V876" s="184"/>
      <c r="W876" s="184"/>
      <c r="X876" s="155"/>
      <c r="Y876" s="155"/>
      <c r="Z876" s="155"/>
      <c r="AA876" s="155"/>
      <c r="AB876" s="155"/>
      <c r="AC876" s="184"/>
      <c r="AD876" s="155"/>
      <c r="AE876" s="155"/>
      <c r="AF876" s="155"/>
      <c r="AG876" s="155"/>
      <c r="AH876" s="155"/>
      <c r="AI876" s="155"/>
      <c r="AJ876" s="155"/>
      <c r="AK876" s="155"/>
      <c r="AL876" s="155"/>
      <c r="AM876" s="155"/>
      <c r="AN876" s="155"/>
      <c r="AO876" s="155"/>
      <c r="AP876" s="155"/>
      <c r="AQ876" s="155"/>
      <c r="AR876" s="155"/>
      <c r="AS876" s="155"/>
      <c r="AT876" s="155"/>
      <c r="AU876" s="155"/>
      <c r="AV876" s="155"/>
      <c r="AW876" s="155"/>
    </row>
    <row r="877" spans="1:49" ht="16.5" customHeight="1">
      <c r="A877" s="155"/>
      <c r="B877" s="155"/>
      <c r="C877" s="1"/>
      <c r="D877" s="1"/>
      <c r="E877" s="1"/>
      <c r="F877" s="156"/>
      <c r="G877" s="157"/>
      <c r="H877" s="184"/>
      <c r="I877" s="184"/>
      <c r="J877" s="184"/>
      <c r="K877" s="184"/>
      <c r="L877" s="184"/>
      <c r="M877" s="4"/>
      <c r="N877" s="184"/>
      <c r="O877" s="1"/>
      <c r="P877" s="5"/>
      <c r="Q877" s="4"/>
      <c r="R877" s="1"/>
      <c r="S877" s="1"/>
      <c r="T877" s="1"/>
      <c r="U877" s="6"/>
      <c r="V877" s="184"/>
      <c r="W877" s="184"/>
      <c r="X877" s="155"/>
      <c r="Y877" s="155"/>
      <c r="Z877" s="155"/>
      <c r="AA877" s="155"/>
      <c r="AB877" s="155"/>
      <c r="AC877" s="184"/>
      <c r="AD877" s="155"/>
      <c r="AE877" s="155"/>
      <c r="AF877" s="155"/>
      <c r="AG877" s="155"/>
      <c r="AH877" s="155"/>
      <c r="AI877" s="155"/>
      <c r="AJ877" s="155"/>
      <c r="AK877" s="155"/>
      <c r="AL877" s="155"/>
      <c r="AM877" s="155"/>
      <c r="AN877" s="155"/>
      <c r="AO877" s="155"/>
      <c r="AP877" s="155"/>
      <c r="AQ877" s="155"/>
      <c r="AR877" s="155"/>
      <c r="AS877" s="155"/>
      <c r="AT877" s="155"/>
      <c r="AU877" s="155"/>
      <c r="AV877" s="155"/>
      <c r="AW877" s="155"/>
    </row>
    <row r="878" spans="1:49" ht="16.5" customHeight="1">
      <c r="A878" s="155"/>
      <c r="B878" s="155"/>
      <c r="C878" s="1"/>
      <c r="D878" s="1"/>
      <c r="E878" s="1"/>
      <c r="F878" s="156"/>
      <c r="G878" s="157"/>
      <c r="H878" s="184"/>
      <c r="I878" s="184"/>
      <c r="J878" s="184"/>
      <c r="K878" s="184"/>
      <c r="L878" s="184"/>
      <c r="M878" s="4"/>
      <c r="N878" s="184"/>
      <c r="O878" s="1"/>
      <c r="P878" s="5"/>
      <c r="Q878" s="4"/>
      <c r="R878" s="1"/>
      <c r="S878" s="1"/>
      <c r="T878" s="1"/>
      <c r="U878" s="6"/>
      <c r="V878" s="184"/>
      <c r="W878" s="184"/>
      <c r="X878" s="155"/>
      <c r="Y878" s="155"/>
      <c r="Z878" s="155"/>
      <c r="AA878" s="155"/>
      <c r="AB878" s="155"/>
      <c r="AC878" s="184"/>
      <c r="AD878" s="155"/>
      <c r="AE878" s="155"/>
      <c r="AF878" s="155"/>
      <c r="AG878" s="155"/>
      <c r="AH878" s="155"/>
      <c r="AI878" s="155"/>
      <c r="AJ878" s="155"/>
      <c r="AK878" s="155"/>
      <c r="AL878" s="155"/>
      <c r="AM878" s="155"/>
      <c r="AN878" s="155"/>
      <c r="AO878" s="155"/>
      <c r="AP878" s="155"/>
      <c r="AQ878" s="155"/>
      <c r="AR878" s="155"/>
      <c r="AS878" s="155"/>
      <c r="AT878" s="155"/>
      <c r="AU878" s="155"/>
      <c r="AV878" s="155"/>
      <c r="AW878" s="155"/>
    </row>
    <row r="879" spans="1:49" ht="16.5" customHeight="1">
      <c r="A879" s="155"/>
      <c r="B879" s="155"/>
      <c r="C879" s="1"/>
      <c r="D879" s="1"/>
      <c r="E879" s="1"/>
      <c r="F879" s="156"/>
      <c r="G879" s="157"/>
      <c r="H879" s="184"/>
      <c r="I879" s="184"/>
      <c r="J879" s="184"/>
      <c r="K879" s="184"/>
      <c r="L879" s="184"/>
      <c r="M879" s="4"/>
      <c r="N879" s="184"/>
      <c r="O879" s="1"/>
      <c r="P879" s="5"/>
      <c r="Q879" s="4"/>
      <c r="R879" s="1"/>
      <c r="S879" s="1"/>
      <c r="T879" s="1"/>
      <c r="U879" s="6"/>
      <c r="V879" s="184"/>
      <c r="W879" s="184"/>
      <c r="X879" s="155"/>
      <c r="Y879" s="155"/>
      <c r="Z879" s="155"/>
      <c r="AA879" s="155"/>
      <c r="AB879" s="155"/>
      <c r="AC879" s="184"/>
      <c r="AD879" s="155"/>
      <c r="AE879" s="155"/>
      <c r="AF879" s="155"/>
      <c r="AG879" s="155"/>
      <c r="AH879" s="155"/>
      <c r="AI879" s="155"/>
      <c r="AJ879" s="155"/>
      <c r="AK879" s="155"/>
      <c r="AL879" s="155"/>
      <c r="AM879" s="155"/>
      <c r="AN879" s="155"/>
      <c r="AO879" s="155"/>
      <c r="AP879" s="155"/>
      <c r="AQ879" s="155"/>
      <c r="AR879" s="155"/>
      <c r="AS879" s="155"/>
      <c r="AT879" s="155"/>
      <c r="AU879" s="155"/>
      <c r="AV879" s="155"/>
      <c r="AW879" s="155"/>
    </row>
    <row r="880" spans="1:49" ht="16.5" customHeight="1">
      <c r="A880" s="155"/>
      <c r="B880" s="155"/>
      <c r="C880" s="1"/>
      <c r="D880" s="1"/>
      <c r="E880" s="1"/>
      <c r="F880" s="156"/>
      <c r="G880" s="157"/>
      <c r="H880" s="184"/>
      <c r="I880" s="184"/>
      <c r="J880" s="184"/>
      <c r="K880" s="184"/>
      <c r="L880" s="184"/>
      <c r="M880" s="4"/>
      <c r="N880" s="184"/>
      <c r="O880" s="1"/>
      <c r="P880" s="5"/>
      <c r="Q880" s="4"/>
      <c r="R880" s="1"/>
      <c r="S880" s="1"/>
      <c r="T880" s="1"/>
      <c r="U880" s="6"/>
      <c r="V880" s="184"/>
      <c r="W880" s="184"/>
      <c r="X880" s="155"/>
      <c r="Y880" s="155"/>
      <c r="Z880" s="155"/>
      <c r="AA880" s="155"/>
      <c r="AB880" s="155"/>
      <c r="AC880" s="184"/>
      <c r="AD880" s="155"/>
      <c r="AE880" s="155"/>
      <c r="AF880" s="155"/>
      <c r="AG880" s="155"/>
      <c r="AH880" s="155"/>
      <c r="AI880" s="155"/>
      <c r="AJ880" s="155"/>
      <c r="AK880" s="155"/>
      <c r="AL880" s="155"/>
      <c r="AM880" s="155"/>
      <c r="AN880" s="155"/>
      <c r="AO880" s="155"/>
      <c r="AP880" s="155"/>
      <c r="AQ880" s="155"/>
      <c r="AR880" s="155"/>
      <c r="AS880" s="155"/>
      <c r="AT880" s="155"/>
      <c r="AU880" s="155"/>
      <c r="AV880" s="155"/>
      <c r="AW880" s="155"/>
    </row>
    <row r="881" spans="1:49" ht="16.5" customHeight="1">
      <c r="A881" s="155"/>
      <c r="B881" s="155"/>
      <c r="C881" s="1"/>
      <c r="D881" s="1"/>
      <c r="E881" s="1"/>
      <c r="F881" s="156"/>
      <c r="G881" s="157"/>
      <c r="H881" s="184"/>
      <c r="I881" s="184"/>
      <c r="J881" s="184"/>
      <c r="K881" s="184"/>
      <c r="L881" s="184"/>
      <c r="M881" s="4"/>
      <c r="N881" s="184"/>
      <c r="O881" s="1"/>
      <c r="P881" s="5"/>
      <c r="Q881" s="4"/>
      <c r="R881" s="1"/>
      <c r="S881" s="1"/>
      <c r="T881" s="1"/>
      <c r="U881" s="6"/>
      <c r="V881" s="184"/>
      <c r="W881" s="184"/>
      <c r="X881" s="155"/>
      <c r="Y881" s="155"/>
      <c r="Z881" s="155"/>
      <c r="AA881" s="155"/>
      <c r="AB881" s="155"/>
      <c r="AC881" s="184"/>
      <c r="AD881" s="155"/>
      <c r="AE881" s="155"/>
      <c r="AF881" s="155"/>
      <c r="AG881" s="155"/>
      <c r="AH881" s="155"/>
      <c r="AI881" s="155"/>
      <c r="AJ881" s="155"/>
      <c r="AK881" s="155"/>
      <c r="AL881" s="155"/>
      <c r="AM881" s="155"/>
      <c r="AN881" s="155"/>
      <c r="AO881" s="155"/>
      <c r="AP881" s="155"/>
      <c r="AQ881" s="155"/>
      <c r="AR881" s="155"/>
      <c r="AS881" s="155"/>
      <c r="AT881" s="155"/>
      <c r="AU881" s="155"/>
      <c r="AV881" s="155"/>
      <c r="AW881" s="155"/>
    </row>
    <row r="882" spans="1:49" ht="16.5" customHeight="1">
      <c r="A882" s="155"/>
      <c r="B882" s="155"/>
      <c r="C882" s="1"/>
      <c r="D882" s="1"/>
      <c r="E882" s="1"/>
      <c r="F882" s="156"/>
      <c r="G882" s="157"/>
      <c r="H882" s="184"/>
      <c r="I882" s="184"/>
      <c r="J882" s="184"/>
      <c r="K882" s="184"/>
      <c r="L882" s="184"/>
      <c r="M882" s="4"/>
      <c r="N882" s="184"/>
      <c r="O882" s="1"/>
      <c r="P882" s="5"/>
      <c r="Q882" s="4"/>
      <c r="R882" s="1"/>
      <c r="S882" s="1"/>
      <c r="T882" s="1"/>
      <c r="U882" s="6"/>
      <c r="V882" s="184"/>
      <c r="W882" s="184"/>
      <c r="X882" s="155"/>
      <c r="Y882" s="155"/>
      <c r="Z882" s="155"/>
      <c r="AA882" s="155"/>
      <c r="AB882" s="155"/>
      <c r="AC882" s="184"/>
      <c r="AD882" s="155"/>
      <c r="AE882" s="155"/>
      <c r="AF882" s="155"/>
      <c r="AG882" s="155"/>
      <c r="AH882" s="155"/>
      <c r="AI882" s="155"/>
      <c r="AJ882" s="155"/>
      <c r="AK882" s="155"/>
      <c r="AL882" s="155"/>
      <c r="AM882" s="155"/>
      <c r="AN882" s="155"/>
      <c r="AO882" s="155"/>
      <c r="AP882" s="155"/>
      <c r="AQ882" s="155"/>
      <c r="AR882" s="155"/>
      <c r="AS882" s="155"/>
      <c r="AT882" s="155"/>
      <c r="AU882" s="155"/>
      <c r="AV882" s="155"/>
      <c r="AW882" s="155"/>
    </row>
    <row r="883" spans="1:49" ht="16.5" customHeight="1">
      <c r="A883" s="155"/>
      <c r="B883" s="155"/>
      <c r="C883" s="1"/>
      <c r="D883" s="1"/>
      <c r="E883" s="1"/>
      <c r="F883" s="156"/>
      <c r="G883" s="157"/>
      <c r="H883" s="184"/>
      <c r="I883" s="184"/>
      <c r="J883" s="184"/>
      <c r="K883" s="184"/>
      <c r="L883" s="184"/>
      <c r="M883" s="4"/>
      <c r="N883" s="184"/>
      <c r="O883" s="1"/>
      <c r="P883" s="5"/>
      <c r="Q883" s="4"/>
      <c r="R883" s="1"/>
      <c r="S883" s="1"/>
      <c r="T883" s="1"/>
      <c r="U883" s="6"/>
      <c r="V883" s="184"/>
      <c r="W883" s="184"/>
      <c r="X883" s="155"/>
      <c r="Y883" s="155"/>
      <c r="Z883" s="155"/>
      <c r="AA883" s="155"/>
      <c r="AB883" s="155"/>
      <c r="AC883" s="184"/>
      <c r="AD883" s="155"/>
      <c r="AE883" s="155"/>
      <c r="AF883" s="155"/>
      <c r="AG883" s="155"/>
      <c r="AH883" s="155"/>
      <c r="AI883" s="155"/>
      <c r="AJ883" s="155"/>
      <c r="AK883" s="155"/>
      <c r="AL883" s="155"/>
      <c r="AM883" s="155"/>
      <c r="AN883" s="155"/>
      <c r="AO883" s="155"/>
      <c r="AP883" s="155"/>
      <c r="AQ883" s="155"/>
      <c r="AR883" s="155"/>
      <c r="AS883" s="155"/>
      <c r="AT883" s="155"/>
      <c r="AU883" s="155"/>
      <c r="AV883" s="155"/>
      <c r="AW883" s="155"/>
    </row>
    <row r="884" spans="1:49" ht="16.5" customHeight="1">
      <c r="A884" s="155"/>
      <c r="B884" s="155"/>
      <c r="C884" s="1"/>
      <c r="D884" s="1"/>
      <c r="E884" s="1"/>
      <c r="F884" s="156"/>
      <c r="G884" s="157"/>
      <c r="H884" s="184"/>
      <c r="I884" s="184"/>
      <c r="J884" s="184"/>
      <c r="K884" s="184"/>
      <c r="L884" s="184"/>
      <c r="M884" s="4"/>
      <c r="N884" s="184"/>
      <c r="O884" s="1"/>
      <c r="P884" s="5"/>
      <c r="Q884" s="4"/>
      <c r="R884" s="1"/>
      <c r="S884" s="1"/>
      <c r="T884" s="1"/>
      <c r="U884" s="6"/>
      <c r="V884" s="184"/>
      <c r="W884" s="184"/>
      <c r="X884" s="155"/>
      <c r="Y884" s="155"/>
      <c r="Z884" s="155"/>
      <c r="AA884" s="155"/>
      <c r="AB884" s="155"/>
      <c r="AC884" s="184"/>
      <c r="AD884" s="155"/>
      <c r="AE884" s="155"/>
      <c r="AF884" s="155"/>
      <c r="AG884" s="155"/>
      <c r="AH884" s="155"/>
      <c r="AI884" s="155"/>
      <c r="AJ884" s="155"/>
      <c r="AK884" s="155"/>
      <c r="AL884" s="155"/>
      <c r="AM884" s="155"/>
      <c r="AN884" s="155"/>
      <c r="AO884" s="155"/>
      <c r="AP884" s="155"/>
      <c r="AQ884" s="155"/>
      <c r="AR884" s="155"/>
      <c r="AS884" s="155"/>
      <c r="AT884" s="155"/>
      <c r="AU884" s="155"/>
      <c r="AV884" s="155"/>
      <c r="AW884" s="155"/>
    </row>
    <row r="885" spans="1:49" ht="16.5" customHeight="1">
      <c r="A885" s="155"/>
      <c r="B885" s="155"/>
      <c r="C885" s="1"/>
      <c r="D885" s="1"/>
      <c r="E885" s="1"/>
      <c r="F885" s="156"/>
      <c r="G885" s="157"/>
      <c r="H885" s="184"/>
      <c r="I885" s="184"/>
      <c r="J885" s="184"/>
      <c r="K885" s="184"/>
      <c r="L885" s="184"/>
      <c r="M885" s="4"/>
      <c r="N885" s="184"/>
      <c r="O885" s="1"/>
      <c r="P885" s="5"/>
      <c r="Q885" s="4"/>
      <c r="R885" s="1"/>
      <c r="S885" s="1"/>
      <c r="T885" s="1"/>
      <c r="U885" s="6"/>
      <c r="V885" s="184"/>
      <c r="W885" s="184"/>
      <c r="X885" s="155"/>
      <c r="Y885" s="155"/>
      <c r="Z885" s="155"/>
      <c r="AA885" s="155"/>
      <c r="AB885" s="155"/>
      <c r="AC885" s="184"/>
      <c r="AD885" s="155"/>
      <c r="AE885" s="155"/>
      <c r="AF885" s="155"/>
      <c r="AG885" s="155"/>
      <c r="AH885" s="155"/>
      <c r="AI885" s="155"/>
      <c r="AJ885" s="155"/>
      <c r="AK885" s="155"/>
      <c r="AL885" s="155"/>
      <c r="AM885" s="155"/>
      <c r="AN885" s="155"/>
      <c r="AO885" s="155"/>
      <c r="AP885" s="155"/>
      <c r="AQ885" s="155"/>
      <c r="AR885" s="155"/>
      <c r="AS885" s="155"/>
      <c r="AT885" s="155"/>
      <c r="AU885" s="155"/>
      <c r="AV885" s="155"/>
      <c r="AW885" s="155"/>
    </row>
    <row r="886" spans="1:49" ht="16.5" customHeight="1">
      <c r="A886" s="155"/>
      <c r="B886" s="155"/>
      <c r="C886" s="1"/>
      <c r="D886" s="1"/>
      <c r="E886" s="1"/>
      <c r="F886" s="156"/>
      <c r="G886" s="157"/>
      <c r="H886" s="184"/>
      <c r="I886" s="184"/>
      <c r="J886" s="184"/>
      <c r="K886" s="184"/>
      <c r="L886" s="184"/>
      <c r="M886" s="4"/>
      <c r="N886" s="184"/>
      <c r="O886" s="1"/>
      <c r="P886" s="5"/>
      <c r="Q886" s="4"/>
      <c r="R886" s="1"/>
      <c r="S886" s="1"/>
      <c r="T886" s="1"/>
      <c r="U886" s="6"/>
      <c r="V886" s="184"/>
      <c r="W886" s="184"/>
      <c r="X886" s="155"/>
      <c r="Y886" s="155"/>
      <c r="Z886" s="155"/>
      <c r="AA886" s="155"/>
      <c r="AB886" s="155"/>
      <c r="AC886" s="184"/>
      <c r="AD886" s="155"/>
      <c r="AE886" s="155"/>
      <c r="AF886" s="155"/>
      <c r="AG886" s="155"/>
      <c r="AH886" s="155"/>
      <c r="AI886" s="155"/>
      <c r="AJ886" s="155"/>
      <c r="AK886" s="155"/>
      <c r="AL886" s="155"/>
      <c r="AM886" s="155"/>
      <c r="AN886" s="155"/>
      <c r="AO886" s="155"/>
      <c r="AP886" s="155"/>
      <c r="AQ886" s="155"/>
      <c r="AR886" s="155"/>
      <c r="AS886" s="155"/>
      <c r="AT886" s="155"/>
      <c r="AU886" s="155"/>
      <c r="AV886" s="155"/>
      <c r="AW886" s="155"/>
    </row>
    <row r="887" spans="1:49" ht="16.5" customHeight="1">
      <c r="A887" s="155"/>
      <c r="B887" s="155"/>
      <c r="C887" s="1"/>
      <c r="D887" s="1"/>
      <c r="E887" s="1"/>
      <c r="F887" s="156"/>
      <c r="G887" s="157"/>
      <c r="H887" s="184"/>
      <c r="I887" s="184"/>
      <c r="J887" s="184"/>
      <c r="K887" s="184"/>
      <c r="L887" s="184"/>
      <c r="M887" s="4"/>
      <c r="N887" s="184"/>
      <c r="O887" s="1"/>
      <c r="P887" s="5"/>
      <c r="Q887" s="4"/>
      <c r="R887" s="1"/>
      <c r="S887" s="1"/>
      <c r="T887" s="1"/>
      <c r="U887" s="6"/>
      <c r="V887" s="184"/>
      <c r="W887" s="184"/>
      <c r="X887" s="155"/>
      <c r="Y887" s="155"/>
      <c r="Z887" s="155"/>
      <c r="AA887" s="155"/>
      <c r="AB887" s="155"/>
      <c r="AC887" s="184"/>
      <c r="AD887" s="155"/>
      <c r="AE887" s="155"/>
      <c r="AF887" s="155"/>
      <c r="AG887" s="155"/>
      <c r="AH887" s="155"/>
      <c r="AI887" s="155"/>
      <c r="AJ887" s="155"/>
      <c r="AK887" s="155"/>
      <c r="AL887" s="155"/>
      <c r="AM887" s="155"/>
      <c r="AN887" s="155"/>
      <c r="AO887" s="155"/>
      <c r="AP887" s="155"/>
      <c r="AQ887" s="155"/>
      <c r="AR887" s="155"/>
      <c r="AS887" s="155"/>
      <c r="AT887" s="155"/>
      <c r="AU887" s="155"/>
      <c r="AV887" s="155"/>
      <c r="AW887" s="155"/>
    </row>
    <row r="888" spans="1:49" ht="16.5" customHeight="1">
      <c r="A888" s="155"/>
      <c r="B888" s="155"/>
      <c r="C888" s="1"/>
      <c r="D888" s="1"/>
      <c r="E888" s="1"/>
      <c r="F888" s="156"/>
      <c r="G888" s="157"/>
      <c r="H888" s="184"/>
      <c r="I888" s="184"/>
      <c r="J888" s="184"/>
      <c r="K888" s="184"/>
      <c r="L888" s="184"/>
      <c r="M888" s="4"/>
      <c r="N888" s="184"/>
      <c r="O888" s="1"/>
      <c r="P888" s="5"/>
      <c r="Q888" s="4"/>
      <c r="R888" s="1"/>
      <c r="S888" s="1"/>
      <c r="T888" s="1"/>
      <c r="U888" s="6"/>
      <c r="V888" s="184"/>
      <c r="W888" s="184"/>
      <c r="X888" s="155"/>
      <c r="Y888" s="155"/>
      <c r="Z888" s="155"/>
      <c r="AA888" s="155"/>
      <c r="AB888" s="155"/>
      <c r="AC888" s="184"/>
      <c r="AD888" s="155"/>
      <c r="AE888" s="155"/>
      <c r="AF888" s="155"/>
      <c r="AG888" s="155"/>
      <c r="AH888" s="155"/>
      <c r="AI888" s="155"/>
      <c r="AJ888" s="155"/>
      <c r="AK888" s="155"/>
      <c r="AL888" s="155"/>
      <c r="AM888" s="155"/>
      <c r="AN888" s="155"/>
      <c r="AO888" s="155"/>
      <c r="AP888" s="155"/>
      <c r="AQ888" s="155"/>
      <c r="AR888" s="155"/>
      <c r="AS888" s="155"/>
      <c r="AT888" s="155"/>
      <c r="AU888" s="155"/>
      <c r="AV888" s="155"/>
      <c r="AW888" s="155"/>
    </row>
    <row r="889" spans="1:49" ht="16.5" customHeight="1">
      <c r="A889" s="155"/>
      <c r="B889" s="155"/>
      <c r="C889" s="1"/>
      <c r="D889" s="1"/>
      <c r="E889" s="1"/>
      <c r="F889" s="156"/>
      <c r="G889" s="157"/>
      <c r="H889" s="184"/>
      <c r="I889" s="184"/>
      <c r="J889" s="184"/>
      <c r="K889" s="184"/>
      <c r="L889" s="184"/>
      <c r="M889" s="4"/>
      <c r="N889" s="184"/>
      <c r="O889" s="1"/>
      <c r="P889" s="5"/>
      <c r="Q889" s="4"/>
      <c r="R889" s="1"/>
      <c r="S889" s="1"/>
      <c r="T889" s="1"/>
      <c r="U889" s="6"/>
      <c r="V889" s="184"/>
      <c r="W889" s="184"/>
      <c r="X889" s="155"/>
      <c r="Y889" s="155"/>
      <c r="Z889" s="155"/>
      <c r="AA889" s="155"/>
      <c r="AB889" s="155"/>
      <c r="AC889" s="184"/>
      <c r="AD889" s="155"/>
      <c r="AE889" s="155"/>
      <c r="AF889" s="155"/>
      <c r="AG889" s="155"/>
      <c r="AH889" s="155"/>
      <c r="AI889" s="155"/>
      <c r="AJ889" s="155"/>
      <c r="AK889" s="155"/>
      <c r="AL889" s="155"/>
      <c r="AM889" s="155"/>
      <c r="AN889" s="155"/>
      <c r="AO889" s="155"/>
      <c r="AP889" s="155"/>
      <c r="AQ889" s="155"/>
      <c r="AR889" s="155"/>
      <c r="AS889" s="155"/>
      <c r="AT889" s="155"/>
      <c r="AU889" s="155"/>
      <c r="AV889" s="155"/>
      <c r="AW889" s="155"/>
    </row>
    <row r="890" spans="1:49" ht="16.5" customHeight="1">
      <c r="A890" s="155"/>
      <c r="B890" s="155"/>
      <c r="C890" s="1"/>
      <c r="D890" s="1"/>
      <c r="E890" s="1"/>
      <c r="F890" s="156"/>
      <c r="G890" s="157"/>
      <c r="H890" s="184"/>
      <c r="I890" s="184"/>
      <c r="J890" s="184"/>
      <c r="K890" s="184"/>
      <c r="L890" s="184"/>
      <c r="M890" s="4"/>
      <c r="N890" s="184"/>
      <c r="O890" s="1"/>
      <c r="P890" s="5"/>
      <c r="Q890" s="4"/>
      <c r="R890" s="1"/>
      <c r="S890" s="1"/>
      <c r="T890" s="1"/>
      <c r="U890" s="6"/>
      <c r="V890" s="184"/>
      <c r="W890" s="184"/>
      <c r="X890" s="155"/>
      <c r="Y890" s="155"/>
      <c r="Z890" s="155"/>
      <c r="AA890" s="155"/>
      <c r="AB890" s="155"/>
      <c r="AC890" s="184"/>
      <c r="AD890" s="155"/>
      <c r="AE890" s="155"/>
      <c r="AF890" s="155"/>
      <c r="AG890" s="155"/>
      <c r="AH890" s="155"/>
      <c r="AI890" s="155"/>
      <c r="AJ890" s="155"/>
      <c r="AK890" s="155"/>
      <c r="AL890" s="155"/>
      <c r="AM890" s="155"/>
      <c r="AN890" s="155"/>
      <c r="AO890" s="155"/>
      <c r="AP890" s="155"/>
      <c r="AQ890" s="155"/>
      <c r="AR890" s="155"/>
      <c r="AS890" s="155"/>
      <c r="AT890" s="155"/>
      <c r="AU890" s="155"/>
      <c r="AV890" s="155"/>
      <c r="AW890" s="155"/>
    </row>
    <row r="891" spans="1:49" ht="16.5" customHeight="1">
      <c r="A891" s="155"/>
      <c r="B891" s="155"/>
      <c r="C891" s="1"/>
      <c r="D891" s="1"/>
      <c r="E891" s="1"/>
      <c r="F891" s="156"/>
      <c r="G891" s="157"/>
      <c r="H891" s="184"/>
      <c r="I891" s="184"/>
      <c r="J891" s="184"/>
      <c r="K891" s="184"/>
      <c r="L891" s="184"/>
      <c r="M891" s="4"/>
      <c r="N891" s="184"/>
      <c r="O891" s="1"/>
      <c r="P891" s="5"/>
      <c r="Q891" s="4"/>
      <c r="R891" s="1"/>
      <c r="S891" s="1"/>
      <c r="T891" s="1"/>
      <c r="U891" s="6"/>
      <c r="V891" s="184"/>
      <c r="W891" s="184"/>
      <c r="X891" s="155"/>
      <c r="Y891" s="155"/>
      <c r="Z891" s="155"/>
      <c r="AA891" s="155"/>
      <c r="AB891" s="155"/>
      <c r="AC891" s="184"/>
      <c r="AD891" s="155"/>
      <c r="AE891" s="155"/>
      <c r="AF891" s="155"/>
      <c r="AG891" s="155"/>
      <c r="AH891" s="155"/>
      <c r="AI891" s="155"/>
      <c r="AJ891" s="155"/>
      <c r="AK891" s="155"/>
      <c r="AL891" s="155"/>
      <c r="AM891" s="155"/>
      <c r="AN891" s="155"/>
      <c r="AO891" s="155"/>
      <c r="AP891" s="155"/>
      <c r="AQ891" s="155"/>
      <c r="AR891" s="155"/>
      <c r="AS891" s="155"/>
      <c r="AT891" s="155"/>
      <c r="AU891" s="155"/>
      <c r="AV891" s="155"/>
      <c r="AW891" s="155"/>
    </row>
    <row r="892" spans="1:49" ht="16.5" customHeight="1">
      <c r="A892" s="155"/>
      <c r="B892" s="155"/>
      <c r="C892" s="1"/>
      <c r="D892" s="1"/>
      <c r="E892" s="1"/>
      <c r="F892" s="156"/>
      <c r="G892" s="157"/>
      <c r="H892" s="184"/>
      <c r="I892" s="184"/>
      <c r="J892" s="184"/>
      <c r="K892" s="184"/>
      <c r="L892" s="184"/>
      <c r="M892" s="4"/>
      <c r="N892" s="184"/>
      <c r="O892" s="1"/>
      <c r="P892" s="5"/>
      <c r="Q892" s="4"/>
      <c r="R892" s="1"/>
      <c r="S892" s="1"/>
      <c r="T892" s="1"/>
      <c r="U892" s="6"/>
      <c r="V892" s="184"/>
      <c r="W892" s="184"/>
      <c r="X892" s="155"/>
      <c r="Y892" s="155"/>
      <c r="Z892" s="155"/>
      <c r="AA892" s="155"/>
      <c r="AB892" s="155"/>
      <c r="AC892" s="184"/>
      <c r="AD892" s="155"/>
      <c r="AE892" s="155"/>
      <c r="AF892" s="155"/>
      <c r="AG892" s="155"/>
      <c r="AH892" s="155"/>
      <c r="AI892" s="155"/>
      <c r="AJ892" s="155"/>
      <c r="AK892" s="155"/>
      <c r="AL892" s="155"/>
      <c r="AM892" s="155"/>
      <c r="AN892" s="155"/>
      <c r="AO892" s="155"/>
      <c r="AP892" s="155"/>
      <c r="AQ892" s="155"/>
      <c r="AR892" s="155"/>
      <c r="AS892" s="155"/>
      <c r="AT892" s="155"/>
      <c r="AU892" s="155"/>
      <c r="AV892" s="155"/>
      <c r="AW892" s="155"/>
    </row>
    <row r="893" spans="1:49" ht="16.5" customHeight="1">
      <c r="A893" s="155"/>
      <c r="B893" s="155"/>
      <c r="C893" s="1"/>
      <c r="D893" s="1"/>
      <c r="E893" s="1"/>
      <c r="F893" s="156"/>
      <c r="G893" s="157"/>
      <c r="H893" s="184"/>
      <c r="I893" s="184"/>
      <c r="J893" s="184"/>
      <c r="K893" s="184"/>
      <c r="L893" s="184"/>
      <c r="M893" s="4"/>
      <c r="N893" s="184"/>
      <c r="O893" s="1"/>
      <c r="P893" s="5"/>
      <c r="Q893" s="4"/>
      <c r="R893" s="1"/>
      <c r="S893" s="1"/>
      <c r="T893" s="1"/>
      <c r="U893" s="6"/>
      <c r="V893" s="184"/>
      <c r="W893" s="184"/>
      <c r="X893" s="155"/>
      <c r="Y893" s="155"/>
      <c r="Z893" s="155"/>
      <c r="AA893" s="155"/>
      <c r="AB893" s="155"/>
      <c r="AC893" s="184"/>
      <c r="AD893" s="155"/>
      <c r="AE893" s="155"/>
      <c r="AF893" s="155"/>
      <c r="AG893" s="155"/>
      <c r="AH893" s="155"/>
      <c r="AI893" s="155"/>
      <c r="AJ893" s="155"/>
      <c r="AK893" s="155"/>
      <c r="AL893" s="155"/>
      <c r="AM893" s="155"/>
      <c r="AN893" s="155"/>
      <c r="AO893" s="155"/>
      <c r="AP893" s="155"/>
      <c r="AQ893" s="155"/>
      <c r="AR893" s="155"/>
      <c r="AS893" s="155"/>
      <c r="AT893" s="155"/>
      <c r="AU893" s="155"/>
      <c r="AV893" s="155"/>
      <c r="AW893" s="155"/>
    </row>
    <row r="894" spans="1:49" ht="16.5" customHeight="1">
      <c r="A894" s="155"/>
      <c r="B894" s="155"/>
      <c r="C894" s="1"/>
      <c r="D894" s="1"/>
      <c r="E894" s="1"/>
      <c r="F894" s="156"/>
      <c r="G894" s="157"/>
      <c r="H894" s="184"/>
      <c r="I894" s="184"/>
      <c r="J894" s="184"/>
      <c r="K894" s="184"/>
      <c r="L894" s="184"/>
      <c r="M894" s="4"/>
      <c r="N894" s="184"/>
      <c r="O894" s="1"/>
      <c r="P894" s="5"/>
      <c r="Q894" s="4"/>
      <c r="R894" s="1"/>
      <c r="S894" s="1"/>
      <c r="T894" s="1"/>
      <c r="U894" s="6"/>
      <c r="V894" s="184"/>
      <c r="W894" s="184"/>
      <c r="X894" s="155"/>
      <c r="Y894" s="155"/>
      <c r="Z894" s="155"/>
      <c r="AA894" s="155"/>
      <c r="AB894" s="155"/>
      <c r="AC894" s="184"/>
      <c r="AD894" s="155"/>
      <c r="AE894" s="155"/>
      <c r="AF894" s="155"/>
      <c r="AG894" s="155"/>
      <c r="AH894" s="155"/>
      <c r="AI894" s="155"/>
      <c r="AJ894" s="155"/>
      <c r="AK894" s="155"/>
      <c r="AL894" s="155"/>
      <c r="AM894" s="155"/>
      <c r="AN894" s="155"/>
      <c r="AO894" s="155"/>
      <c r="AP894" s="155"/>
      <c r="AQ894" s="155"/>
      <c r="AR894" s="155"/>
      <c r="AS894" s="155"/>
      <c r="AT894" s="155"/>
      <c r="AU894" s="155"/>
      <c r="AV894" s="155"/>
      <c r="AW894" s="155"/>
    </row>
    <row r="895" spans="1:49" ht="16.5" customHeight="1">
      <c r="A895" s="155"/>
      <c r="B895" s="155"/>
      <c r="C895" s="1"/>
      <c r="D895" s="1"/>
      <c r="E895" s="1"/>
      <c r="F895" s="156"/>
      <c r="G895" s="157"/>
      <c r="H895" s="184"/>
      <c r="I895" s="184"/>
      <c r="J895" s="184"/>
      <c r="K895" s="184"/>
      <c r="L895" s="184"/>
      <c r="M895" s="4"/>
      <c r="N895" s="184"/>
      <c r="O895" s="1"/>
      <c r="P895" s="5"/>
      <c r="Q895" s="4"/>
      <c r="R895" s="1"/>
      <c r="S895" s="1"/>
      <c r="T895" s="1"/>
      <c r="U895" s="6"/>
      <c r="V895" s="184"/>
      <c r="W895" s="184"/>
      <c r="X895" s="155"/>
      <c r="Y895" s="155"/>
      <c r="Z895" s="155"/>
      <c r="AA895" s="155"/>
      <c r="AB895" s="155"/>
      <c r="AC895" s="184"/>
      <c r="AD895" s="155"/>
      <c r="AE895" s="155"/>
      <c r="AF895" s="155"/>
      <c r="AG895" s="155"/>
      <c r="AH895" s="155"/>
      <c r="AI895" s="155"/>
      <c r="AJ895" s="155"/>
      <c r="AK895" s="155"/>
      <c r="AL895" s="155"/>
      <c r="AM895" s="155"/>
      <c r="AN895" s="155"/>
      <c r="AO895" s="155"/>
      <c r="AP895" s="155"/>
      <c r="AQ895" s="155"/>
      <c r="AR895" s="155"/>
      <c r="AS895" s="155"/>
      <c r="AT895" s="155"/>
      <c r="AU895" s="155"/>
      <c r="AV895" s="155"/>
      <c r="AW895" s="155"/>
    </row>
    <row r="896" spans="1:49" ht="16.5" customHeight="1">
      <c r="A896" s="155"/>
      <c r="B896" s="155"/>
      <c r="C896" s="1"/>
      <c r="D896" s="1"/>
      <c r="E896" s="1"/>
      <c r="F896" s="156"/>
      <c r="G896" s="157"/>
      <c r="H896" s="184"/>
      <c r="I896" s="184"/>
      <c r="J896" s="184"/>
      <c r="K896" s="184"/>
      <c r="L896" s="184"/>
      <c r="M896" s="4"/>
      <c r="N896" s="184"/>
      <c r="O896" s="1"/>
      <c r="P896" s="5"/>
      <c r="Q896" s="4"/>
      <c r="R896" s="1"/>
      <c r="S896" s="1"/>
      <c r="T896" s="1"/>
      <c r="U896" s="6"/>
      <c r="V896" s="184"/>
      <c r="W896" s="184"/>
      <c r="X896" s="155"/>
      <c r="Y896" s="155"/>
      <c r="Z896" s="155"/>
      <c r="AA896" s="155"/>
      <c r="AB896" s="155"/>
      <c r="AC896" s="184"/>
      <c r="AD896" s="155"/>
      <c r="AE896" s="155"/>
      <c r="AF896" s="155"/>
      <c r="AG896" s="155"/>
      <c r="AH896" s="155"/>
      <c r="AI896" s="155"/>
      <c r="AJ896" s="155"/>
      <c r="AK896" s="155"/>
      <c r="AL896" s="155"/>
      <c r="AM896" s="155"/>
      <c r="AN896" s="155"/>
      <c r="AO896" s="155"/>
      <c r="AP896" s="155"/>
      <c r="AQ896" s="155"/>
      <c r="AR896" s="155"/>
      <c r="AS896" s="155"/>
      <c r="AT896" s="155"/>
      <c r="AU896" s="155"/>
      <c r="AV896" s="155"/>
      <c r="AW896" s="155"/>
    </row>
    <row r="897" spans="1:49" ht="16.5" customHeight="1">
      <c r="A897" s="155"/>
      <c r="B897" s="155"/>
      <c r="C897" s="1"/>
      <c r="D897" s="1"/>
      <c r="E897" s="1"/>
      <c r="F897" s="156"/>
      <c r="G897" s="157"/>
      <c r="H897" s="184"/>
      <c r="I897" s="184"/>
      <c r="J897" s="184"/>
      <c r="K897" s="184"/>
      <c r="L897" s="184"/>
      <c r="M897" s="4"/>
      <c r="N897" s="184"/>
      <c r="O897" s="1"/>
      <c r="P897" s="5"/>
      <c r="Q897" s="4"/>
      <c r="R897" s="1"/>
      <c r="S897" s="1"/>
      <c r="T897" s="1"/>
      <c r="U897" s="6"/>
      <c r="V897" s="184"/>
      <c r="W897" s="184"/>
      <c r="X897" s="155"/>
      <c r="Y897" s="155"/>
      <c r="Z897" s="155"/>
      <c r="AA897" s="155"/>
      <c r="AB897" s="155"/>
      <c r="AC897" s="184"/>
      <c r="AD897" s="155"/>
      <c r="AE897" s="155"/>
      <c r="AF897" s="155"/>
      <c r="AG897" s="155"/>
      <c r="AH897" s="155"/>
      <c r="AI897" s="155"/>
      <c r="AJ897" s="155"/>
      <c r="AK897" s="155"/>
      <c r="AL897" s="155"/>
      <c r="AM897" s="155"/>
      <c r="AN897" s="155"/>
      <c r="AO897" s="155"/>
      <c r="AP897" s="155"/>
      <c r="AQ897" s="155"/>
      <c r="AR897" s="155"/>
      <c r="AS897" s="155"/>
      <c r="AT897" s="155"/>
      <c r="AU897" s="155"/>
      <c r="AV897" s="155"/>
      <c r="AW897" s="155"/>
    </row>
    <row r="898" spans="1:49" ht="16.5" customHeight="1">
      <c r="A898" s="155"/>
      <c r="B898" s="155"/>
      <c r="C898" s="1"/>
      <c r="D898" s="1"/>
      <c r="E898" s="1"/>
      <c r="F898" s="156"/>
      <c r="G898" s="157"/>
      <c r="H898" s="184"/>
      <c r="I898" s="184"/>
      <c r="J898" s="184"/>
      <c r="K898" s="184"/>
      <c r="L898" s="184"/>
      <c r="M898" s="4"/>
      <c r="N898" s="184"/>
      <c r="O898" s="1"/>
      <c r="P898" s="5"/>
      <c r="Q898" s="4"/>
      <c r="R898" s="1"/>
      <c r="S898" s="1"/>
      <c r="T898" s="1"/>
      <c r="U898" s="6"/>
      <c r="V898" s="184"/>
      <c r="W898" s="184"/>
      <c r="X898" s="155"/>
      <c r="Y898" s="155"/>
      <c r="Z898" s="155"/>
      <c r="AA898" s="155"/>
      <c r="AB898" s="155"/>
      <c r="AC898" s="184"/>
      <c r="AD898" s="155"/>
      <c r="AE898" s="155"/>
      <c r="AF898" s="155"/>
      <c r="AG898" s="155"/>
      <c r="AH898" s="155"/>
      <c r="AI898" s="155"/>
      <c r="AJ898" s="155"/>
      <c r="AK898" s="155"/>
      <c r="AL898" s="155"/>
      <c r="AM898" s="155"/>
      <c r="AN898" s="155"/>
      <c r="AO898" s="155"/>
      <c r="AP898" s="155"/>
      <c r="AQ898" s="155"/>
      <c r="AR898" s="155"/>
      <c r="AS898" s="155"/>
      <c r="AT898" s="155"/>
      <c r="AU898" s="155"/>
      <c r="AV898" s="155"/>
      <c r="AW898" s="155"/>
    </row>
    <row r="899" spans="1:49" ht="16.5" customHeight="1">
      <c r="A899" s="155"/>
      <c r="B899" s="155"/>
      <c r="C899" s="1"/>
      <c r="D899" s="1"/>
      <c r="E899" s="1"/>
      <c r="F899" s="156"/>
      <c r="G899" s="157"/>
      <c r="H899" s="184"/>
      <c r="I899" s="184"/>
      <c r="J899" s="184"/>
      <c r="K899" s="184"/>
      <c r="L899" s="184"/>
      <c r="M899" s="4"/>
      <c r="N899" s="184"/>
      <c r="O899" s="1"/>
      <c r="P899" s="5"/>
      <c r="Q899" s="4"/>
      <c r="R899" s="1"/>
      <c r="S899" s="1"/>
      <c r="T899" s="1"/>
      <c r="U899" s="6"/>
      <c r="V899" s="184"/>
      <c r="W899" s="184"/>
      <c r="X899" s="155"/>
      <c r="Y899" s="155"/>
      <c r="Z899" s="155"/>
      <c r="AA899" s="155"/>
      <c r="AB899" s="155"/>
      <c r="AC899" s="184"/>
      <c r="AD899" s="155"/>
      <c r="AE899" s="155"/>
      <c r="AF899" s="155"/>
      <c r="AG899" s="155"/>
      <c r="AH899" s="155"/>
      <c r="AI899" s="155"/>
      <c r="AJ899" s="155"/>
      <c r="AK899" s="155"/>
      <c r="AL899" s="155"/>
      <c r="AM899" s="155"/>
      <c r="AN899" s="155"/>
      <c r="AO899" s="155"/>
      <c r="AP899" s="155"/>
      <c r="AQ899" s="155"/>
      <c r="AR899" s="155"/>
      <c r="AS899" s="155"/>
      <c r="AT899" s="155"/>
      <c r="AU899" s="155"/>
      <c r="AV899" s="155"/>
      <c r="AW899" s="155"/>
    </row>
    <row r="900" spans="1:49" ht="16.5" customHeight="1">
      <c r="A900" s="155"/>
      <c r="B900" s="155"/>
      <c r="C900" s="1"/>
      <c r="D900" s="1"/>
      <c r="E900" s="1"/>
      <c r="F900" s="156"/>
      <c r="G900" s="157"/>
      <c r="H900" s="184"/>
      <c r="I900" s="184"/>
      <c r="J900" s="184"/>
      <c r="K900" s="184"/>
      <c r="L900" s="184"/>
      <c r="M900" s="4"/>
      <c r="N900" s="184"/>
      <c r="O900" s="1"/>
      <c r="P900" s="5"/>
      <c r="Q900" s="4"/>
      <c r="R900" s="1"/>
      <c r="S900" s="1"/>
      <c r="T900" s="1"/>
      <c r="U900" s="6"/>
      <c r="V900" s="184"/>
      <c r="W900" s="184"/>
      <c r="X900" s="155"/>
      <c r="Y900" s="155"/>
      <c r="Z900" s="155"/>
      <c r="AA900" s="155"/>
      <c r="AB900" s="155"/>
      <c r="AC900" s="184"/>
      <c r="AD900" s="155"/>
      <c r="AE900" s="155"/>
      <c r="AF900" s="155"/>
      <c r="AG900" s="155"/>
      <c r="AH900" s="155"/>
      <c r="AI900" s="155"/>
      <c r="AJ900" s="155"/>
      <c r="AK900" s="155"/>
      <c r="AL900" s="155"/>
      <c r="AM900" s="155"/>
      <c r="AN900" s="155"/>
      <c r="AO900" s="155"/>
      <c r="AP900" s="155"/>
      <c r="AQ900" s="155"/>
      <c r="AR900" s="155"/>
      <c r="AS900" s="155"/>
      <c r="AT900" s="155"/>
      <c r="AU900" s="155"/>
      <c r="AV900" s="155"/>
      <c r="AW900" s="155"/>
    </row>
    <row r="901" spans="1:49" ht="16.5" customHeight="1">
      <c r="A901" s="155"/>
      <c r="B901" s="155"/>
      <c r="C901" s="1"/>
      <c r="D901" s="1"/>
      <c r="E901" s="1"/>
      <c r="F901" s="156"/>
      <c r="G901" s="157"/>
      <c r="H901" s="184"/>
      <c r="I901" s="184"/>
      <c r="J901" s="184"/>
      <c r="K901" s="184"/>
      <c r="L901" s="184"/>
      <c r="M901" s="4"/>
      <c r="N901" s="184"/>
      <c r="O901" s="1"/>
      <c r="P901" s="5"/>
      <c r="Q901" s="4"/>
      <c r="R901" s="1"/>
      <c r="S901" s="1"/>
      <c r="T901" s="1"/>
      <c r="U901" s="6"/>
      <c r="V901" s="184"/>
      <c r="W901" s="184"/>
      <c r="X901" s="155"/>
      <c r="Y901" s="155"/>
      <c r="Z901" s="155"/>
      <c r="AA901" s="155"/>
      <c r="AB901" s="155"/>
      <c r="AC901" s="184"/>
      <c r="AD901" s="155"/>
      <c r="AE901" s="155"/>
      <c r="AF901" s="155"/>
      <c r="AG901" s="155"/>
      <c r="AH901" s="155"/>
      <c r="AI901" s="155"/>
      <c r="AJ901" s="155"/>
      <c r="AK901" s="155"/>
      <c r="AL901" s="155"/>
      <c r="AM901" s="155"/>
      <c r="AN901" s="155"/>
      <c r="AO901" s="155"/>
      <c r="AP901" s="155"/>
      <c r="AQ901" s="155"/>
      <c r="AR901" s="155"/>
      <c r="AS901" s="155"/>
      <c r="AT901" s="155"/>
      <c r="AU901" s="155"/>
      <c r="AV901" s="155"/>
      <c r="AW901" s="155"/>
    </row>
    <row r="902" spans="1:49" ht="16.5" customHeight="1">
      <c r="A902" s="155"/>
      <c r="B902" s="155"/>
      <c r="C902" s="1"/>
      <c r="D902" s="1"/>
      <c r="E902" s="1"/>
      <c r="F902" s="156"/>
      <c r="G902" s="157"/>
      <c r="H902" s="184"/>
      <c r="I902" s="184"/>
      <c r="J902" s="184"/>
      <c r="K902" s="184"/>
      <c r="L902" s="184"/>
      <c r="M902" s="4"/>
      <c r="N902" s="184"/>
      <c r="O902" s="1"/>
      <c r="P902" s="5"/>
      <c r="Q902" s="4"/>
      <c r="R902" s="1"/>
      <c r="S902" s="1"/>
      <c r="T902" s="1"/>
      <c r="U902" s="6"/>
      <c r="V902" s="184"/>
      <c r="W902" s="184"/>
      <c r="X902" s="155"/>
      <c r="Y902" s="155"/>
      <c r="Z902" s="155"/>
      <c r="AA902" s="155"/>
      <c r="AB902" s="155"/>
      <c r="AC902" s="184"/>
      <c r="AD902" s="155"/>
      <c r="AE902" s="155"/>
      <c r="AF902" s="155"/>
      <c r="AG902" s="155"/>
      <c r="AH902" s="155"/>
      <c r="AI902" s="155"/>
      <c r="AJ902" s="155"/>
      <c r="AK902" s="155"/>
      <c r="AL902" s="155"/>
      <c r="AM902" s="155"/>
      <c r="AN902" s="155"/>
      <c r="AO902" s="155"/>
      <c r="AP902" s="155"/>
      <c r="AQ902" s="155"/>
      <c r="AR902" s="155"/>
      <c r="AS902" s="155"/>
      <c r="AT902" s="155"/>
      <c r="AU902" s="155"/>
      <c r="AV902" s="155"/>
      <c r="AW902" s="155"/>
    </row>
    <row r="903" spans="1:49" ht="16.5" customHeight="1">
      <c r="A903" s="155"/>
      <c r="B903" s="155"/>
      <c r="C903" s="1"/>
      <c r="D903" s="1"/>
      <c r="E903" s="1"/>
      <c r="F903" s="156"/>
      <c r="G903" s="157"/>
      <c r="H903" s="184"/>
      <c r="I903" s="184"/>
      <c r="J903" s="184"/>
      <c r="K903" s="184"/>
      <c r="L903" s="184"/>
      <c r="M903" s="4"/>
      <c r="N903" s="184"/>
      <c r="O903" s="1"/>
      <c r="P903" s="5"/>
      <c r="Q903" s="4"/>
      <c r="R903" s="1"/>
      <c r="S903" s="1"/>
      <c r="T903" s="1"/>
      <c r="U903" s="6"/>
      <c r="V903" s="184"/>
      <c r="W903" s="184"/>
      <c r="X903" s="155"/>
      <c r="Y903" s="155"/>
      <c r="Z903" s="155"/>
      <c r="AA903" s="155"/>
      <c r="AB903" s="155"/>
      <c r="AC903" s="184"/>
      <c r="AD903" s="155"/>
      <c r="AE903" s="155"/>
      <c r="AF903" s="155"/>
      <c r="AG903" s="155"/>
      <c r="AH903" s="155"/>
      <c r="AI903" s="155"/>
      <c r="AJ903" s="155"/>
      <c r="AK903" s="155"/>
      <c r="AL903" s="155"/>
      <c r="AM903" s="155"/>
      <c r="AN903" s="155"/>
      <c r="AO903" s="155"/>
      <c r="AP903" s="155"/>
      <c r="AQ903" s="155"/>
      <c r="AR903" s="155"/>
      <c r="AS903" s="155"/>
      <c r="AT903" s="155"/>
      <c r="AU903" s="155"/>
      <c r="AV903" s="155"/>
      <c r="AW903" s="155"/>
    </row>
    <row r="904" spans="1:49" ht="16.5" customHeight="1">
      <c r="A904" s="155"/>
      <c r="B904" s="155"/>
      <c r="C904" s="1"/>
      <c r="D904" s="1"/>
      <c r="E904" s="1"/>
      <c r="F904" s="156"/>
      <c r="G904" s="157"/>
      <c r="H904" s="184"/>
      <c r="I904" s="184"/>
      <c r="J904" s="184"/>
      <c r="K904" s="184"/>
      <c r="L904" s="184"/>
      <c r="M904" s="4"/>
      <c r="N904" s="184"/>
      <c r="O904" s="1"/>
      <c r="P904" s="5"/>
      <c r="Q904" s="4"/>
      <c r="R904" s="1"/>
      <c r="S904" s="1"/>
      <c r="T904" s="1"/>
      <c r="U904" s="6"/>
      <c r="V904" s="184"/>
      <c r="W904" s="184"/>
      <c r="X904" s="155"/>
      <c r="Y904" s="155"/>
      <c r="Z904" s="155"/>
      <c r="AA904" s="155"/>
      <c r="AB904" s="155"/>
      <c r="AC904" s="184"/>
      <c r="AD904" s="155"/>
      <c r="AE904" s="155"/>
      <c r="AF904" s="155"/>
      <c r="AG904" s="155"/>
      <c r="AH904" s="155"/>
      <c r="AI904" s="155"/>
      <c r="AJ904" s="155"/>
      <c r="AK904" s="155"/>
      <c r="AL904" s="155"/>
      <c r="AM904" s="155"/>
      <c r="AN904" s="155"/>
      <c r="AO904" s="155"/>
      <c r="AP904" s="155"/>
      <c r="AQ904" s="155"/>
      <c r="AR904" s="155"/>
      <c r="AS904" s="155"/>
      <c r="AT904" s="155"/>
      <c r="AU904" s="155"/>
      <c r="AV904" s="155"/>
      <c r="AW904" s="155"/>
    </row>
    <row r="905" spans="1:49" ht="16.5" customHeight="1">
      <c r="A905" s="155"/>
      <c r="B905" s="155"/>
      <c r="C905" s="1"/>
      <c r="D905" s="1"/>
      <c r="E905" s="1"/>
      <c r="F905" s="156"/>
      <c r="G905" s="157"/>
      <c r="H905" s="184"/>
      <c r="I905" s="184"/>
      <c r="J905" s="184"/>
      <c r="K905" s="184"/>
      <c r="L905" s="184"/>
      <c r="M905" s="4"/>
      <c r="N905" s="184"/>
      <c r="O905" s="1"/>
      <c r="P905" s="5"/>
      <c r="Q905" s="4"/>
      <c r="R905" s="1"/>
      <c r="S905" s="1"/>
      <c r="T905" s="1"/>
      <c r="U905" s="6"/>
      <c r="V905" s="184"/>
      <c r="W905" s="184"/>
      <c r="X905" s="155"/>
      <c r="Y905" s="155"/>
      <c r="Z905" s="155"/>
      <c r="AA905" s="155"/>
      <c r="AB905" s="155"/>
      <c r="AC905" s="184"/>
      <c r="AD905" s="155"/>
      <c r="AE905" s="155"/>
      <c r="AF905" s="155"/>
      <c r="AG905" s="155"/>
      <c r="AH905" s="155"/>
      <c r="AI905" s="155"/>
      <c r="AJ905" s="155"/>
      <c r="AK905" s="155"/>
      <c r="AL905" s="155"/>
      <c r="AM905" s="155"/>
      <c r="AN905" s="155"/>
      <c r="AO905" s="155"/>
      <c r="AP905" s="155"/>
      <c r="AQ905" s="155"/>
      <c r="AR905" s="155"/>
      <c r="AS905" s="155"/>
      <c r="AT905" s="155"/>
      <c r="AU905" s="155"/>
      <c r="AV905" s="155"/>
      <c r="AW905" s="155"/>
    </row>
    <row r="906" spans="1:49" ht="16.5" customHeight="1">
      <c r="A906" s="155"/>
      <c r="B906" s="155"/>
      <c r="C906" s="1"/>
      <c r="D906" s="1"/>
      <c r="E906" s="1"/>
      <c r="F906" s="156"/>
      <c r="G906" s="157"/>
      <c r="H906" s="184"/>
      <c r="I906" s="184"/>
      <c r="J906" s="184"/>
      <c r="K906" s="184"/>
      <c r="L906" s="184"/>
      <c r="M906" s="4"/>
      <c r="N906" s="184"/>
      <c r="O906" s="1"/>
      <c r="P906" s="5"/>
      <c r="Q906" s="4"/>
      <c r="R906" s="1"/>
      <c r="S906" s="1"/>
      <c r="T906" s="1"/>
      <c r="U906" s="6"/>
      <c r="V906" s="184"/>
      <c r="W906" s="184"/>
      <c r="X906" s="155"/>
      <c r="Y906" s="155"/>
      <c r="Z906" s="155"/>
      <c r="AA906" s="155"/>
      <c r="AB906" s="155"/>
      <c r="AC906" s="184"/>
      <c r="AD906" s="155"/>
      <c r="AE906" s="155"/>
      <c r="AF906" s="155"/>
      <c r="AG906" s="155"/>
      <c r="AH906" s="155"/>
      <c r="AI906" s="155"/>
      <c r="AJ906" s="155"/>
      <c r="AK906" s="155"/>
      <c r="AL906" s="155"/>
      <c r="AM906" s="155"/>
      <c r="AN906" s="155"/>
      <c r="AO906" s="155"/>
      <c r="AP906" s="155"/>
      <c r="AQ906" s="155"/>
      <c r="AR906" s="155"/>
      <c r="AS906" s="155"/>
      <c r="AT906" s="155"/>
      <c r="AU906" s="155"/>
      <c r="AV906" s="155"/>
      <c r="AW906" s="155"/>
    </row>
    <row r="907" spans="1:49" ht="16.5" customHeight="1">
      <c r="A907" s="155"/>
      <c r="B907" s="155"/>
      <c r="C907" s="1"/>
      <c r="D907" s="1"/>
      <c r="E907" s="1"/>
      <c r="F907" s="156"/>
      <c r="G907" s="157"/>
      <c r="H907" s="184"/>
      <c r="I907" s="184"/>
      <c r="J907" s="184"/>
      <c r="K907" s="184"/>
      <c r="L907" s="184"/>
      <c r="M907" s="4"/>
      <c r="N907" s="184"/>
      <c r="O907" s="1"/>
      <c r="P907" s="5"/>
      <c r="Q907" s="4"/>
      <c r="R907" s="1"/>
      <c r="S907" s="1"/>
      <c r="T907" s="1"/>
      <c r="U907" s="6"/>
      <c r="V907" s="184"/>
      <c r="W907" s="184"/>
      <c r="X907" s="155"/>
      <c r="Y907" s="155"/>
      <c r="Z907" s="155"/>
      <c r="AA907" s="155"/>
      <c r="AB907" s="155"/>
      <c r="AC907" s="184"/>
      <c r="AD907" s="155"/>
      <c r="AE907" s="155"/>
      <c r="AF907" s="155"/>
      <c r="AG907" s="155"/>
      <c r="AH907" s="155"/>
      <c r="AI907" s="155"/>
      <c r="AJ907" s="155"/>
      <c r="AK907" s="155"/>
      <c r="AL907" s="155"/>
      <c r="AM907" s="155"/>
      <c r="AN907" s="155"/>
      <c r="AO907" s="155"/>
      <c r="AP907" s="155"/>
      <c r="AQ907" s="155"/>
      <c r="AR907" s="155"/>
      <c r="AS907" s="155"/>
      <c r="AT907" s="155"/>
      <c r="AU907" s="155"/>
      <c r="AV907" s="155"/>
      <c r="AW907" s="155"/>
    </row>
    <row r="908" spans="1:49" ht="16.5" customHeight="1">
      <c r="A908" s="155"/>
      <c r="B908" s="155"/>
      <c r="C908" s="1"/>
      <c r="D908" s="1"/>
      <c r="E908" s="1"/>
      <c r="F908" s="156"/>
      <c r="G908" s="157"/>
      <c r="H908" s="184"/>
      <c r="I908" s="184"/>
      <c r="J908" s="184"/>
      <c r="K908" s="184"/>
      <c r="L908" s="184"/>
      <c r="M908" s="4"/>
      <c r="N908" s="184"/>
      <c r="O908" s="1"/>
      <c r="P908" s="5"/>
      <c r="Q908" s="4"/>
      <c r="R908" s="1"/>
      <c r="S908" s="1"/>
      <c r="T908" s="1"/>
      <c r="U908" s="6"/>
      <c r="V908" s="184"/>
      <c r="W908" s="184"/>
      <c r="X908" s="155"/>
      <c r="Y908" s="155"/>
      <c r="Z908" s="155"/>
      <c r="AA908" s="155"/>
      <c r="AB908" s="155"/>
      <c r="AC908" s="184"/>
      <c r="AD908" s="155"/>
      <c r="AE908" s="155"/>
      <c r="AF908" s="155"/>
      <c r="AG908" s="155"/>
      <c r="AH908" s="155"/>
      <c r="AI908" s="155"/>
      <c r="AJ908" s="155"/>
      <c r="AK908" s="155"/>
      <c r="AL908" s="155"/>
      <c r="AM908" s="155"/>
      <c r="AN908" s="155"/>
      <c r="AO908" s="155"/>
      <c r="AP908" s="155"/>
      <c r="AQ908" s="155"/>
      <c r="AR908" s="155"/>
      <c r="AS908" s="155"/>
      <c r="AT908" s="155"/>
      <c r="AU908" s="155"/>
      <c r="AV908" s="155"/>
      <c r="AW908" s="155"/>
    </row>
    <row r="909" spans="1:49" ht="16.5" customHeight="1">
      <c r="A909" s="155"/>
      <c r="B909" s="155"/>
      <c r="C909" s="1"/>
      <c r="D909" s="1"/>
      <c r="E909" s="1"/>
      <c r="F909" s="156"/>
      <c r="G909" s="157"/>
      <c r="H909" s="184"/>
      <c r="I909" s="184"/>
      <c r="J909" s="184"/>
      <c r="K909" s="184"/>
      <c r="L909" s="184"/>
      <c r="M909" s="4"/>
      <c r="N909" s="184"/>
      <c r="O909" s="1"/>
      <c r="P909" s="5"/>
      <c r="Q909" s="4"/>
      <c r="R909" s="1"/>
      <c r="S909" s="1"/>
      <c r="T909" s="1"/>
      <c r="U909" s="6"/>
      <c r="V909" s="184"/>
      <c r="W909" s="184"/>
      <c r="X909" s="155"/>
      <c r="Y909" s="155"/>
      <c r="Z909" s="155"/>
      <c r="AA909" s="155"/>
      <c r="AB909" s="155"/>
      <c r="AC909" s="184"/>
      <c r="AD909" s="155"/>
      <c r="AE909" s="155"/>
      <c r="AF909" s="155"/>
      <c r="AG909" s="155"/>
      <c r="AH909" s="155"/>
      <c r="AI909" s="155"/>
      <c r="AJ909" s="155"/>
      <c r="AK909" s="155"/>
      <c r="AL909" s="155"/>
      <c r="AM909" s="155"/>
      <c r="AN909" s="155"/>
      <c r="AO909" s="155"/>
      <c r="AP909" s="155"/>
      <c r="AQ909" s="155"/>
      <c r="AR909" s="155"/>
      <c r="AS909" s="155"/>
      <c r="AT909" s="155"/>
      <c r="AU909" s="155"/>
      <c r="AV909" s="155"/>
      <c r="AW909" s="155"/>
    </row>
    <row r="910" spans="1:49" ht="16.5" customHeight="1">
      <c r="A910" s="155"/>
      <c r="B910" s="155"/>
      <c r="C910" s="1"/>
      <c r="D910" s="1"/>
      <c r="E910" s="1"/>
      <c r="F910" s="156"/>
      <c r="G910" s="157"/>
      <c r="H910" s="184"/>
      <c r="I910" s="184"/>
      <c r="J910" s="184"/>
      <c r="K910" s="184"/>
      <c r="L910" s="184"/>
      <c r="M910" s="4"/>
      <c r="N910" s="184"/>
      <c r="O910" s="1"/>
      <c r="P910" s="5"/>
      <c r="Q910" s="4"/>
      <c r="R910" s="1"/>
      <c r="S910" s="1"/>
      <c r="T910" s="1"/>
      <c r="U910" s="6"/>
      <c r="V910" s="184"/>
      <c r="W910" s="184"/>
      <c r="X910" s="155"/>
      <c r="Y910" s="155"/>
      <c r="Z910" s="155"/>
      <c r="AA910" s="155"/>
      <c r="AB910" s="155"/>
      <c r="AC910" s="184"/>
      <c r="AD910" s="155"/>
      <c r="AE910" s="155"/>
      <c r="AF910" s="155"/>
      <c r="AG910" s="155"/>
      <c r="AH910" s="155"/>
      <c r="AI910" s="155"/>
      <c r="AJ910" s="155"/>
      <c r="AK910" s="155"/>
      <c r="AL910" s="155"/>
      <c r="AM910" s="155"/>
      <c r="AN910" s="155"/>
      <c r="AO910" s="155"/>
      <c r="AP910" s="155"/>
      <c r="AQ910" s="155"/>
      <c r="AR910" s="155"/>
      <c r="AS910" s="155"/>
      <c r="AT910" s="155"/>
      <c r="AU910" s="155"/>
      <c r="AV910" s="155"/>
      <c r="AW910" s="155"/>
    </row>
    <row r="911" spans="1:49" ht="16.5" customHeight="1">
      <c r="A911" s="155"/>
      <c r="B911" s="155"/>
      <c r="C911" s="1"/>
      <c r="D911" s="1"/>
      <c r="E911" s="1"/>
      <c r="F911" s="156"/>
      <c r="G911" s="157"/>
      <c r="H911" s="184"/>
      <c r="I911" s="184"/>
      <c r="J911" s="184"/>
      <c r="K911" s="184"/>
      <c r="L911" s="184"/>
      <c r="M911" s="4"/>
      <c r="N911" s="184"/>
      <c r="O911" s="1"/>
      <c r="P911" s="5"/>
      <c r="Q911" s="4"/>
      <c r="R911" s="1"/>
      <c r="S911" s="1"/>
      <c r="T911" s="1"/>
      <c r="U911" s="6"/>
      <c r="V911" s="184"/>
      <c r="W911" s="184"/>
      <c r="X911" s="155"/>
      <c r="Y911" s="155"/>
      <c r="Z911" s="155"/>
      <c r="AA911" s="155"/>
      <c r="AB911" s="155"/>
      <c r="AC911" s="184"/>
      <c r="AD911" s="155"/>
      <c r="AE911" s="155"/>
      <c r="AF911" s="155"/>
      <c r="AG911" s="155"/>
      <c r="AH911" s="155"/>
      <c r="AI911" s="155"/>
      <c r="AJ911" s="155"/>
      <c r="AK911" s="155"/>
      <c r="AL911" s="155"/>
      <c r="AM911" s="155"/>
      <c r="AN911" s="155"/>
      <c r="AO911" s="155"/>
      <c r="AP911" s="155"/>
      <c r="AQ911" s="155"/>
      <c r="AR911" s="155"/>
      <c r="AS911" s="155"/>
      <c r="AT911" s="155"/>
      <c r="AU911" s="155"/>
      <c r="AV911" s="155"/>
      <c r="AW911" s="155"/>
    </row>
    <row r="912" spans="1:49" ht="16.5" customHeight="1">
      <c r="A912" s="155"/>
      <c r="B912" s="155"/>
      <c r="C912" s="1"/>
      <c r="D912" s="1"/>
      <c r="E912" s="1"/>
      <c r="F912" s="156"/>
      <c r="G912" s="157"/>
      <c r="H912" s="184"/>
      <c r="I912" s="184"/>
      <c r="J912" s="184"/>
      <c r="K912" s="184"/>
      <c r="L912" s="184"/>
      <c r="M912" s="4"/>
      <c r="N912" s="184"/>
      <c r="O912" s="1"/>
      <c r="P912" s="5"/>
      <c r="Q912" s="4"/>
      <c r="R912" s="1"/>
      <c r="S912" s="1"/>
      <c r="T912" s="1"/>
      <c r="U912" s="6"/>
      <c r="V912" s="184"/>
      <c r="W912" s="184"/>
      <c r="X912" s="155"/>
      <c r="Y912" s="155"/>
      <c r="Z912" s="155"/>
      <c r="AA912" s="155"/>
      <c r="AB912" s="155"/>
      <c r="AC912" s="184"/>
      <c r="AD912" s="155"/>
      <c r="AE912" s="155"/>
      <c r="AF912" s="155"/>
      <c r="AG912" s="155"/>
      <c r="AH912" s="155"/>
      <c r="AI912" s="155"/>
      <c r="AJ912" s="155"/>
      <c r="AK912" s="155"/>
      <c r="AL912" s="155"/>
      <c r="AM912" s="155"/>
      <c r="AN912" s="155"/>
      <c r="AO912" s="155"/>
      <c r="AP912" s="155"/>
      <c r="AQ912" s="155"/>
      <c r="AR912" s="155"/>
      <c r="AS912" s="155"/>
      <c r="AT912" s="155"/>
      <c r="AU912" s="155"/>
      <c r="AV912" s="155"/>
      <c r="AW912" s="155"/>
    </row>
    <row r="913" spans="1:49" ht="16.5" customHeight="1">
      <c r="A913" s="155"/>
      <c r="B913" s="155"/>
      <c r="C913" s="1"/>
      <c r="D913" s="1"/>
      <c r="E913" s="1"/>
      <c r="F913" s="156"/>
      <c r="G913" s="157"/>
      <c r="H913" s="184"/>
      <c r="I913" s="184"/>
      <c r="J913" s="184"/>
      <c r="K913" s="184"/>
      <c r="L913" s="184"/>
      <c r="M913" s="4"/>
      <c r="N913" s="184"/>
      <c r="O913" s="1"/>
      <c r="P913" s="5"/>
      <c r="Q913" s="4"/>
      <c r="R913" s="1"/>
      <c r="S913" s="1"/>
      <c r="T913" s="1"/>
      <c r="U913" s="6"/>
      <c r="V913" s="184"/>
      <c r="W913" s="184"/>
      <c r="X913" s="155"/>
      <c r="Y913" s="155"/>
      <c r="Z913" s="155"/>
      <c r="AA913" s="155"/>
      <c r="AB913" s="155"/>
      <c r="AC913" s="184"/>
      <c r="AD913" s="155"/>
      <c r="AE913" s="155"/>
      <c r="AF913" s="155"/>
      <c r="AG913" s="155"/>
      <c r="AH913" s="155"/>
      <c r="AI913" s="155"/>
      <c r="AJ913" s="155"/>
      <c r="AK913" s="155"/>
      <c r="AL913" s="155"/>
      <c r="AM913" s="155"/>
      <c r="AN913" s="155"/>
      <c r="AO913" s="155"/>
      <c r="AP913" s="155"/>
      <c r="AQ913" s="155"/>
      <c r="AR913" s="155"/>
      <c r="AS913" s="155"/>
      <c r="AT913" s="155"/>
      <c r="AU913" s="155"/>
      <c r="AV913" s="155"/>
      <c r="AW913" s="155"/>
    </row>
    <row r="914" spans="1:49" ht="16.5" customHeight="1">
      <c r="A914" s="155"/>
      <c r="B914" s="155"/>
      <c r="C914" s="1"/>
      <c r="D914" s="1"/>
      <c r="E914" s="1"/>
      <c r="F914" s="156"/>
      <c r="G914" s="157"/>
      <c r="H914" s="184"/>
      <c r="I914" s="184"/>
      <c r="J914" s="184"/>
      <c r="K914" s="184"/>
      <c r="L914" s="184"/>
      <c r="M914" s="4"/>
      <c r="N914" s="184"/>
      <c r="O914" s="1"/>
      <c r="P914" s="5"/>
      <c r="Q914" s="4"/>
      <c r="R914" s="1"/>
      <c r="S914" s="1"/>
      <c r="T914" s="1"/>
      <c r="U914" s="6"/>
      <c r="V914" s="184"/>
      <c r="W914" s="184"/>
      <c r="X914" s="155"/>
      <c r="Y914" s="155"/>
      <c r="Z914" s="155"/>
      <c r="AA914" s="155"/>
      <c r="AB914" s="155"/>
      <c r="AC914" s="184"/>
      <c r="AD914" s="155"/>
      <c r="AE914" s="155"/>
      <c r="AF914" s="155"/>
      <c r="AG914" s="155"/>
      <c r="AH914" s="155"/>
      <c r="AI914" s="155"/>
      <c r="AJ914" s="155"/>
      <c r="AK914" s="155"/>
      <c r="AL914" s="155"/>
      <c r="AM914" s="155"/>
      <c r="AN914" s="155"/>
      <c r="AO914" s="155"/>
      <c r="AP914" s="155"/>
      <c r="AQ914" s="155"/>
      <c r="AR914" s="155"/>
      <c r="AS914" s="155"/>
      <c r="AT914" s="155"/>
      <c r="AU914" s="155"/>
      <c r="AV914" s="155"/>
      <c r="AW914" s="155"/>
    </row>
    <row r="915" spans="1:49" ht="16.5" customHeight="1">
      <c r="A915" s="155"/>
      <c r="B915" s="155"/>
      <c r="C915" s="1"/>
      <c r="D915" s="1"/>
      <c r="E915" s="1"/>
      <c r="F915" s="156"/>
      <c r="G915" s="157"/>
      <c r="H915" s="184"/>
      <c r="I915" s="184"/>
      <c r="J915" s="184"/>
      <c r="K915" s="184"/>
      <c r="L915" s="184"/>
      <c r="M915" s="4"/>
      <c r="N915" s="184"/>
      <c r="O915" s="1"/>
      <c r="P915" s="5"/>
      <c r="Q915" s="4"/>
      <c r="R915" s="1"/>
      <c r="S915" s="1"/>
      <c r="T915" s="1"/>
      <c r="U915" s="6"/>
      <c r="V915" s="184"/>
      <c r="W915" s="184"/>
      <c r="X915" s="155"/>
      <c r="Y915" s="155"/>
      <c r="Z915" s="155"/>
      <c r="AA915" s="155"/>
      <c r="AB915" s="155"/>
      <c r="AC915" s="184"/>
      <c r="AD915" s="155"/>
      <c r="AE915" s="155"/>
      <c r="AF915" s="155"/>
      <c r="AG915" s="155"/>
      <c r="AH915" s="155"/>
      <c r="AI915" s="155"/>
      <c r="AJ915" s="155"/>
      <c r="AK915" s="155"/>
      <c r="AL915" s="155"/>
      <c r="AM915" s="155"/>
      <c r="AN915" s="155"/>
      <c r="AO915" s="155"/>
      <c r="AP915" s="155"/>
      <c r="AQ915" s="155"/>
      <c r="AR915" s="155"/>
      <c r="AS915" s="155"/>
      <c r="AT915" s="155"/>
      <c r="AU915" s="155"/>
      <c r="AV915" s="155"/>
      <c r="AW915" s="155"/>
    </row>
    <row r="916" spans="1:49" ht="16.5" customHeight="1">
      <c r="A916" s="155"/>
      <c r="B916" s="155"/>
      <c r="C916" s="1"/>
      <c r="D916" s="1"/>
      <c r="E916" s="1"/>
      <c r="F916" s="156"/>
      <c r="G916" s="157"/>
      <c r="H916" s="184"/>
      <c r="I916" s="184"/>
      <c r="J916" s="184"/>
      <c r="K916" s="184"/>
      <c r="L916" s="184"/>
      <c r="M916" s="4"/>
      <c r="N916" s="184"/>
      <c r="O916" s="1"/>
      <c r="P916" s="5"/>
      <c r="Q916" s="4"/>
      <c r="R916" s="1"/>
      <c r="S916" s="1"/>
      <c r="T916" s="1"/>
      <c r="U916" s="6"/>
      <c r="V916" s="184"/>
      <c r="W916" s="184"/>
      <c r="X916" s="155"/>
      <c r="Y916" s="155"/>
      <c r="Z916" s="155"/>
      <c r="AA916" s="155"/>
      <c r="AB916" s="155"/>
      <c r="AC916" s="184"/>
      <c r="AD916" s="155"/>
      <c r="AE916" s="155"/>
      <c r="AF916" s="155"/>
      <c r="AG916" s="155"/>
      <c r="AH916" s="155"/>
      <c r="AI916" s="155"/>
      <c r="AJ916" s="155"/>
      <c r="AK916" s="155"/>
      <c r="AL916" s="155"/>
      <c r="AM916" s="155"/>
      <c r="AN916" s="155"/>
      <c r="AO916" s="155"/>
      <c r="AP916" s="155"/>
      <c r="AQ916" s="155"/>
      <c r="AR916" s="155"/>
      <c r="AS916" s="155"/>
      <c r="AT916" s="155"/>
      <c r="AU916" s="155"/>
      <c r="AV916" s="155"/>
      <c r="AW916" s="155"/>
    </row>
    <row r="917" spans="1:49" ht="16.5" customHeight="1">
      <c r="A917" s="155"/>
      <c r="B917" s="155"/>
      <c r="C917" s="1"/>
      <c r="D917" s="1"/>
      <c r="E917" s="1"/>
      <c r="F917" s="156"/>
      <c r="G917" s="157"/>
      <c r="H917" s="184"/>
      <c r="I917" s="184"/>
      <c r="J917" s="184"/>
      <c r="K917" s="184"/>
      <c r="L917" s="184"/>
      <c r="M917" s="4"/>
      <c r="N917" s="184"/>
      <c r="O917" s="1"/>
      <c r="P917" s="5"/>
      <c r="Q917" s="4"/>
      <c r="R917" s="1"/>
      <c r="S917" s="1"/>
      <c r="T917" s="1"/>
      <c r="U917" s="6"/>
      <c r="V917" s="184"/>
      <c r="W917" s="184"/>
      <c r="X917" s="155"/>
      <c r="Y917" s="155"/>
      <c r="Z917" s="155"/>
      <c r="AA917" s="155"/>
      <c r="AB917" s="155"/>
      <c r="AC917" s="184"/>
      <c r="AD917" s="155"/>
      <c r="AE917" s="155"/>
      <c r="AF917" s="155"/>
      <c r="AG917" s="155"/>
      <c r="AH917" s="155"/>
      <c r="AI917" s="155"/>
      <c r="AJ917" s="155"/>
      <c r="AK917" s="155"/>
      <c r="AL917" s="155"/>
      <c r="AM917" s="155"/>
      <c r="AN917" s="155"/>
      <c r="AO917" s="155"/>
      <c r="AP917" s="155"/>
      <c r="AQ917" s="155"/>
      <c r="AR917" s="155"/>
      <c r="AS917" s="155"/>
      <c r="AT917" s="155"/>
      <c r="AU917" s="155"/>
      <c r="AV917" s="155"/>
      <c r="AW917" s="155"/>
    </row>
    <row r="918" spans="1:49" ht="16.5" customHeight="1">
      <c r="A918" s="155"/>
      <c r="B918" s="155"/>
      <c r="C918" s="1"/>
      <c r="D918" s="1"/>
      <c r="E918" s="1"/>
      <c r="F918" s="156"/>
      <c r="G918" s="157"/>
      <c r="H918" s="184"/>
      <c r="I918" s="184"/>
      <c r="J918" s="184"/>
      <c r="K918" s="184"/>
      <c r="L918" s="184"/>
      <c r="M918" s="4"/>
      <c r="N918" s="184"/>
      <c r="O918" s="1"/>
      <c r="P918" s="5"/>
      <c r="Q918" s="4"/>
      <c r="R918" s="1"/>
      <c r="S918" s="1"/>
      <c r="T918" s="1"/>
      <c r="U918" s="6"/>
      <c r="V918" s="184"/>
      <c r="W918" s="184"/>
      <c r="X918" s="155"/>
      <c r="Y918" s="155"/>
      <c r="Z918" s="155"/>
      <c r="AA918" s="155"/>
      <c r="AB918" s="155"/>
      <c r="AC918" s="184"/>
      <c r="AD918" s="155"/>
      <c r="AE918" s="155"/>
      <c r="AF918" s="155"/>
      <c r="AG918" s="155"/>
      <c r="AH918" s="155"/>
      <c r="AI918" s="155"/>
      <c r="AJ918" s="155"/>
      <c r="AK918" s="155"/>
      <c r="AL918" s="155"/>
      <c r="AM918" s="155"/>
      <c r="AN918" s="155"/>
      <c r="AO918" s="155"/>
      <c r="AP918" s="155"/>
      <c r="AQ918" s="155"/>
      <c r="AR918" s="155"/>
      <c r="AS918" s="155"/>
      <c r="AT918" s="155"/>
      <c r="AU918" s="155"/>
      <c r="AV918" s="155"/>
      <c r="AW918" s="155"/>
    </row>
    <row r="919" spans="1:49" ht="16.5" customHeight="1">
      <c r="A919" s="155"/>
      <c r="B919" s="155"/>
      <c r="C919" s="1"/>
      <c r="D919" s="1"/>
      <c r="E919" s="1"/>
      <c r="F919" s="156"/>
      <c r="G919" s="157"/>
      <c r="H919" s="184"/>
      <c r="I919" s="184"/>
      <c r="J919" s="184"/>
      <c r="K919" s="184"/>
      <c r="L919" s="184"/>
      <c r="M919" s="4"/>
      <c r="N919" s="184"/>
      <c r="O919" s="1"/>
      <c r="P919" s="5"/>
      <c r="Q919" s="4"/>
      <c r="R919" s="1"/>
      <c r="S919" s="1"/>
      <c r="T919" s="1"/>
      <c r="U919" s="6"/>
      <c r="V919" s="184"/>
      <c r="W919" s="184"/>
      <c r="X919" s="155"/>
      <c r="Y919" s="155"/>
      <c r="Z919" s="155"/>
      <c r="AA919" s="155"/>
      <c r="AB919" s="155"/>
      <c r="AC919" s="184"/>
      <c r="AD919" s="155"/>
      <c r="AE919" s="155"/>
      <c r="AF919" s="155"/>
      <c r="AG919" s="155"/>
      <c r="AH919" s="155"/>
      <c r="AI919" s="155"/>
      <c r="AJ919" s="155"/>
      <c r="AK919" s="155"/>
      <c r="AL919" s="155"/>
      <c r="AM919" s="155"/>
      <c r="AN919" s="155"/>
      <c r="AO919" s="155"/>
      <c r="AP919" s="155"/>
      <c r="AQ919" s="155"/>
      <c r="AR919" s="155"/>
      <c r="AS919" s="155"/>
      <c r="AT919" s="155"/>
      <c r="AU919" s="155"/>
      <c r="AV919" s="155"/>
      <c r="AW919" s="155"/>
    </row>
    <row r="920" spans="1:49" ht="16.5" customHeight="1">
      <c r="A920" s="155"/>
      <c r="B920" s="155"/>
      <c r="C920" s="1"/>
      <c r="D920" s="1"/>
      <c r="E920" s="1"/>
      <c r="F920" s="156"/>
      <c r="G920" s="157"/>
      <c r="H920" s="184"/>
      <c r="I920" s="184"/>
      <c r="J920" s="184"/>
      <c r="K920" s="184"/>
      <c r="L920" s="184"/>
      <c r="M920" s="4"/>
      <c r="N920" s="184"/>
      <c r="O920" s="1"/>
      <c r="P920" s="5"/>
      <c r="Q920" s="4"/>
      <c r="R920" s="1"/>
      <c r="S920" s="1"/>
      <c r="T920" s="1"/>
      <c r="U920" s="6"/>
      <c r="V920" s="184"/>
      <c r="W920" s="184"/>
      <c r="X920" s="155"/>
      <c r="Y920" s="155"/>
      <c r="Z920" s="155"/>
      <c r="AA920" s="155"/>
      <c r="AB920" s="155"/>
      <c r="AC920" s="184"/>
      <c r="AD920" s="155"/>
      <c r="AE920" s="155"/>
      <c r="AF920" s="155"/>
      <c r="AG920" s="155"/>
      <c r="AH920" s="155"/>
      <c r="AI920" s="155"/>
      <c r="AJ920" s="155"/>
      <c r="AK920" s="155"/>
      <c r="AL920" s="155"/>
      <c r="AM920" s="155"/>
      <c r="AN920" s="155"/>
      <c r="AO920" s="155"/>
      <c r="AP920" s="155"/>
      <c r="AQ920" s="155"/>
      <c r="AR920" s="155"/>
      <c r="AS920" s="155"/>
      <c r="AT920" s="155"/>
      <c r="AU920" s="155"/>
      <c r="AV920" s="155"/>
      <c r="AW920" s="155"/>
    </row>
    <row r="921" spans="1:49" ht="16.5" customHeight="1">
      <c r="A921" s="155"/>
      <c r="B921" s="155"/>
      <c r="C921" s="1"/>
      <c r="D921" s="1"/>
      <c r="E921" s="1"/>
      <c r="F921" s="156"/>
      <c r="G921" s="157"/>
      <c r="H921" s="184"/>
      <c r="I921" s="184"/>
      <c r="J921" s="184"/>
      <c r="K921" s="184"/>
      <c r="L921" s="184"/>
      <c r="M921" s="4"/>
      <c r="N921" s="184"/>
      <c r="O921" s="1"/>
      <c r="P921" s="5"/>
      <c r="Q921" s="4"/>
      <c r="R921" s="1"/>
      <c r="S921" s="1"/>
      <c r="T921" s="1"/>
      <c r="U921" s="6"/>
      <c r="V921" s="184"/>
      <c r="W921" s="184"/>
      <c r="X921" s="155"/>
      <c r="Y921" s="155"/>
      <c r="Z921" s="155"/>
      <c r="AA921" s="155"/>
      <c r="AB921" s="155"/>
      <c r="AC921" s="184"/>
      <c r="AD921" s="155"/>
      <c r="AE921" s="155"/>
      <c r="AF921" s="155"/>
      <c r="AG921" s="155"/>
      <c r="AH921" s="155"/>
      <c r="AI921" s="155"/>
      <c r="AJ921" s="155"/>
      <c r="AK921" s="155"/>
      <c r="AL921" s="155"/>
      <c r="AM921" s="155"/>
      <c r="AN921" s="155"/>
      <c r="AO921" s="155"/>
      <c r="AP921" s="155"/>
      <c r="AQ921" s="155"/>
      <c r="AR921" s="155"/>
      <c r="AS921" s="155"/>
      <c r="AT921" s="155"/>
      <c r="AU921" s="155"/>
      <c r="AV921" s="155"/>
      <c r="AW921" s="155"/>
    </row>
    <row r="922" spans="1:49" ht="16.5" customHeight="1">
      <c r="A922" s="155"/>
      <c r="B922" s="155"/>
      <c r="C922" s="1"/>
      <c r="D922" s="1"/>
      <c r="E922" s="1"/>
      <c r="F922" s="156"/>
      <c r="G922" s="157"/>
      <c r="H922" s="184"/>
      <c r="I922" s="184"/>
      <c r="J922" s="184"/>
      <c r="K922" s="184"/>
      <c r="L922" s="184"/>
      <c r="M922" s="4"/>
      <c r="N922" s="184"/>
      <c r="O922" s="1"/>
      <c r="P922" s="5"/>
      <c r="Q922" s="4"/>
      <c r="R922" s="1"/>
      <c r="S922" s="1"/>
      <c r="T922" s="1"/>
      <c r="U922" s="6"/>
      <c r="V922" s="184"/>
      <c r="W922" s="184"/>
      <c r="X922" s="155"/>
      <c r="Y922" s="155"/>
      <c r="Z922" s="155"/>
      <c r="AA922" s="155"/>
      <c r="AB922" s="155"/>
      <c r="AC922" s="184"/>
      <c r="AD922" s="155"/>
      <c r="AE922" s="155"/>
      <c r="AF922" s="155"/>
      <c r="AG922" s="155"/>
      <c r="AH922" s="155"/>
      <c r="AI922" s="155"/>
      <c r="AJ922" s="155"/>
      <c r="AK922" s="155"/>
      <c r="AL922" s="155"/>
      <c r="AM922" s="155"/>
      <c r="AN922" s="155"/>
      <c r="AO922" s="155"/>
      <c r="AP922" s="155"/>
      <c r="AQ922" s="155"/>
      <c r="AR922" s="155"/>
      <c r="AS922" s="155"/>
      <c r="AT922" s="155"/>
      <c r="AU922" s="155"/>
      <c r="AV922" s="155"/>
      <c r="AW922" s="155"/>
    </row>
    <row r="923" spans="1:49" ht="16.5" customHeight="1">
      <c r="A923" s="155"/>
      <c r="B923" s="155"/>
      <c r="C923" s="1"/>
      <c r="D923" s="1"/>
      <c r="E923" s="1"/>
      <c r="F923" s="156"/>
      <c r="G923" s="157"/>
      <c r="H923" s="184"/>
      <c r="I923" s="184"/>
      <c r="J923" s="184"/>
      <c r="K923" s="184"/>
      <c r="L923" s="184"/>
      <c r="M923" s="4"/>
      <c r="N923" s="184"/>
      <c r="O923" s="1"/>
      <c r="P923" s="5"/>
      <c r="Q923" s="4"/>
      <c r="R923" s="1"/>
      <c r="S923" s="1"/>
      <c r="T923" s="1"/>
      <c r="U923" s="6"/>
      <c r="V923" s="184"/>
      <c r="W923" s="184"/>
      <c r="X923" s="155"/>
      <c r="Y923" s="155"/>
      <c r="Z923" s="155"/>
      <c r="AA923" s="155"/>
      <c r="AB923" s="155"/>
      <c r="AC923" s="184"/>
      <c r="AD923" s="155"/>
      <c r="AE923" s="155"/>
      <c r="AF923" s="155"/>
      <c r="AG923" s="155"/>
      <c r="AH923" s="155"/>
      <c r="AI923" s="155"/>
      <c r="AJ923" s="155"/>
      <c r="AK923" s="155"/>
      <c r="AL923" s="155"/>
      <c r="AM923" s="155"/>
      <c r="AN923" s="155"/>
      <c r="AO923" s="155"/>
      <c r="AP923" s="155"/>
      <c r="AQ923" s="155"/>
      <c r="AR923" s="155"/>
      <c r="AS923" s="155"/>
      <c r="AT923" s="155"/>
      <c r="AU923" s="155"/>
      <c r="AV923" s="155"/>
      <c r="AW923" s="155"/>
    </row>
    <row r="924" spans="1:49" ht="16.5" customHeight="1">
      <c r="A924" s="155"/>
      <c r="B924" s="155"/>
      <c r="C924" s="1"/>
      <c r="D924" s="1"/>
      <c r="E924" s="1"/>
      <c r="F924" s="156"/>
      <c r="G924" s="157"/>
      <c r="H924" s="184"/>
      <c r="I924" s="184"/>
      <c r="J924" s="184"/>
      <c r="K924" s="184"/>
      <c r="L924" s="184"/>
      <c r="M924" s="4"/>
      <c r="N924" s="184"/>
      <c r="O924" s="1"/>
      <c r="P924" s="5"/>
      <c r="Q924" s="4"/>
      <c r="R924" s="1"/>
      <c r="S924" s="1"/>
      <c r="T924" s="1"/>
      <c r="U924" s="6"/>
      <c r="V924" s="184"/>
      <c r="W924" s="184"/>
      <c r="X924" s="155"/>
      <c r="Y924" s="155"/>
      <c r="Z924" s="155"/>
      <c r="AA924" s="155"/>
      <c r="AB924" s="155"/>
      <c r="AC924" s="184"/>
      <c r="AD924" s="155"/>
      <c r="AE924" s="155"/>
      <c r="AF924" s="155"/>
      <c r="AG924" s="155"/>
      <c r="AH924" s="155"/>
      <c r="AI924" s="155"/>
      <c r="AJ924" s="155"/>
      <c r="AK924" s="155"/>
      <c r="AL924" s="155"/>
      <c r="AM924" s="155"/>
      <c r="AN924" s="155"/>
      <c r="AO924" s="155"/>
      <c r="AP924" s="155"/>
      <c r="AQ924" s="155"/>
      <c r="AR924" s="155"/>
      <c r="AS924" s="155"/>
      <c r="AT924" s="155"/>
      <c r="AU924" s="155"/>
      <c r="AV924" s="155"/>
      <c r="AW924" s="155"/>
    </row>
    <row r="925" spans="1:49" ht="16.5" customHeight="1">
      <c r="A925" s="155"/>
      <c r="B925" s="155"/>
      <c r="C925" s="1"/>
      <c r="D925" s="1"/>
      <c r="E925" s="1"/>
      <c r="F925" s="156"/>
      <c r="G925" s="157"/>
      <c r="H925" s="184"/>
      <c r="I925" s="184"/>
      <c r="J925" s="184"/>
      <c r="K925" s="184"/>
      <c r="L925" s="184"/>
      <c r="M925" s="4"/>
      <c r="N925" s="184"/>
      <c r="O925" s="1"/>
      <c r="P925" s="5"/>
      <c r="Q925" s="4"/>
      <c r="R925" s="1"/>
      <c r="S925" s="1"/>
      <c r="T925" s="1"/>
      <c r="U925" s="6"/>
      <c r="V925" s="184"/>
      <c r="W925" s="184"/>
      <c r="X925" s="155"/>
      <c r="Y925" s="155"/>
      <c r="Z925" s="155"/>
      <c r="AA925" s="155"/>
      <c r="AB925" s="155"/>
      <c r="AC925" s="184"/>
      <c r="AD925" s="155"/>
      <c r="AE925" s="155"/>
      <c r="AF925" s="155"/>
      <c r="AG925" s="155"/>
      <c r="AH925" s="155"/>
      <c r="AI925" s="155"/>
      <c r="AJ925" s="155"/>
      <c r="AK925" s="155"/>
      <c r="AL925" s="155"/>
      <c r="AM925" s="155"/>
      <c r="AN925" s="155"/>
      <c r="AO925" s="155"/>
      <c r="AP925" s="155"/>
      <c r="AQ925" s="155"/>
      <c r="AR925" s="155"/>
      <c r="AS925" s="155"/>
      <c r="AT925" s="155"/>
      <c r="AU925" s="155"/>
      <c r="AV925" s="155"/>
      <c r="AW925" s="155"/>
    </row>
    <row r="926" spans="1:49" ht="16.5" customHeight="1">
      <c r="A926" s="155"/>
      <c r="B926" s="155"/>
      <c r="C926" s="1"/>
      <c r="D926" s="1"/>
      <c r="E926" s="1"/>
      <c r="F926" s="156"/>
      <c r="G926" s="157"/>
      <c r="H926" s="184"/>
      <c r="I926" s="184"/>
      <c r="J926" s="184"/>
      <c r="K926" s="184"/>
      <c r="L926" s="184"/>
      <c r="M926" s="4"/>
      <c r="N926" s="184"/>
      <c r="O926" s="1"/>
      <c r="P926" s="5"/>
      <c r="Q926" s="4"/>
      <c r="R926" s="1"/>
      <c r="S926" s="1"/>
      <c r="T926" s="1"/>
      <c r="U926" s="6"/>
      <c r="V926" s="184"/>
      <c r="W926" s="184"/>
      <c r="X926" s="155"/>
      <c r="Y926" s="155"/>
      <c r="Z926" s="155"/>
      <c r="AA926" s="155"/>
      <c r="AB926" s="155"/>
      <c r="AC926" s="184"/>
      <c r="AD926" s="155"/>
      <c r="AE926" s="155"/>
      <c r="AF926" s="155"/>
      <c r="AG926" s="155"/>
      <c r="AH926" s="155"/>
      <c r="AI926" s="155"/>
      <c r="AJ926" s="155"/>
      <c r="AK926" s="155"/>
      <c r="AL926" s="155"/>
      <c r="AM926" s="155"/>
      <c r="AN926" s="155"/>
      <c r="AO926" s="155"/>
      <c r="AP926" s="155"/>
      <c r="AQ926" s="155"/>
      <c r="AR926" s="155"/>
      <c r="AS926" s="155"/>
      <c r="AT926" s="155"/>
      <c r="AU926" s="155"/>
      <c r="AV926" s="155"/>
      <c r="AW926" s="155"/>
    </row>
    <row r="927" spans="1:49" ht="16.5" customHeight="1">
      <c r="A927" s="155"/>
      <c r="B927" s="155"/>
      <c r="C927" s="1"/>
      <c r="D927" s="1"/>
      <c r="E927" s="1"/>
      <c r="F927" s="156"/>
      <c r="G927" s="157"/>
      <c r="H927" s="184"/>
      <c r="I927" s="184"/>
      <c r="J927" s="184"/>
      <c r="K927" s="184"/>
      <c r="L927" s="184"/>
      <c r="M927" s="4"/>
      <c r="N927" s="184"/>
      <c r="O927" s="1"/>
      <c r="P927" s="5"/>
      <c r="Q927" s="4"/>
      <c r="R927" s="1"/>
      <c r="S927" s="1"/>
      <c r="T927" s="1"/>
      <c r="U927" s="6"/>
      <c r="V927" s="184"/>
      <c r="W927" s="184"/>
      <c r="X927" s="155"/>
      <c r="Y927" s="155"/>
      <c r="Z927" s="155"/>
      <c r="AA927" s="155"/>
      <c r="AB927" s="155"/>
      <c r="AC927" s="184"/>
      <c r="AD927" s="155"/>
      <c r="AE927" s="155"/>
      <c r="AF927" s="155"/>
      <c r="AG927" s="155"/>
      <c r="AH927" s="155"/>
      <c r="AI927" s="155"/>
      <c r="AJ927" s="155"/>
      <c r="AK927" s="155"/>
      <c r="AL927" s="155"/>
      <c r="AM927" s="155"/>
      <c r="AN927" s="155"/>
      <c r="AO927" s="155"/>
      <c r="AP927" s="155"/>
      <c r="AQ927" s="155"/>
      <c r="AR927" s="155"/>
      <c r="AS927" s="155"/>
      <c r="AT927" s="155"/>
      <c r="AU927" s="155"/>
      <c r="AV927" s="155"/>
      <c r="AW927" s="155"/>
    </row>
    <row r="928" spans="1:49" ht="16.5" customHeight="1">
      <c r="A928" s="155"/>
      <c r="B928" s="155"/>
      <c r="C928" s="1"/>
      <c r="D928" s="1"/>
      <c r="E928" s="1"/>
      <c r="F928" s="156"/>
      <c r="G928" s="157"/>
      <c r="H928" s="184"/>
      <c r="I928" s="184"/>
      <c r="J928" s="184"/>
      <c r="K928" s="184"/>
      <c r="L928" s="184"/>
      <c r="M928" s="4"/>
      <c r="N928" s="184"/>
      <c r="O928" s="1"/>
      <c r="P928" s="5"/>
      <c r="Q928" s="4"/>
      <c r="R928" s="1"/>
      <c r="S928" s="1"/>
      <c r="T928" s="1"/>
      <c r="U928" s="6"/>
      <c r="V928" s="184"/>
      <c r="W928" s="184"/>
      <c r="X928" s="155"/>
      <c r="Y928" s="155"/>
      <c r="Z928" s="155"/>
      <c r="AA928" s="155"/>
      <c r="AB928" s="155"/>
      <c r="AC928" s="184"/>
      <c r="AD928" s="155"/>
      <c r="AE928" s="155"/>
      <c r="AF928" s="155"/>
      <c r="AG928" s="155"/>
      <c r="AH928" s="155"/>
      <c r="AI928" s="155"/>
      <c r="AJ928" s="155"/>
      <c r="AK928" s="155"/>
      <c r="AL928" s="155"/>
      <c r="AM928" s="155"/>
      <c r="AN928" s="155"/>
      <c r="AO928" s="155"/>
      <c r="AP928" s="155"/>
      <c r="AQ928" s="155"/>
      <c r="AR928" s="155"/>
      <c r="AS928" s="155"/>
      <c r="AT928" s="155"/>
      <c r="AU928" s="155"/>
      <c r="AV928" s="155"/>
      <c r="AW928" s="155"/>
    </row>
    <row r="929" spans="1:49" ht="16.5" customHeight="1">
      <c r="A929" s="155"/>
      <c r="B929" s="155"/>
      <c r="C929" s="1"/>
      <c r="D929" s="1"/>
      <c r="E929" s="1"/>
      <c r="F929" s="156"/>
      <c r="G929" s="157"/>
      <c r="H929" s="184"/>
      <c r="I929" s="184"/>
      <c r="J929" s="184"/>
      <c r="K929" s="184"/>
      <c r="L929" s="184"/>
      <c r="M929" s="4"/>
      <c r="N929" s="184"/>
      <c r="O929" s="1"/>
      <c r="P929" s="5"/>
      <c r="Q929" s="4"/>
      <c r="R929" s="1"/>
      <c r="S929" s="1"/>
      <c r="T929" s="1"/>
      <c r="U929" s="6"/>
      <c r="V929" s="184"/>
      <c r="W929" s="184"/>
      <c r="X929" s="155"/>
      <c r="Y929" s="155"/>
      <c r="Z929" s="155"/>
      <c r="AA929" s="155"/>
      <c r="AB929" s="155"/>
      <c r="AC929" s="184"/>
      <c r="AD929" s="155"/>
      <c r="AE929" s="155"/>
      <c r="AF929" s="155"/>
      <c r="AG929" s="155"/>
      <c r="AH929" s="155"/>
      <c r="AI929" s="155"/>
      <c r="AJ929" s="155"/>
      <c r="AK929" s="155"/>
      <c r="AL929" s="155"/>
      <c r="AM929" s="155"/>
      <c r="AN929" s="155"/>
      <c r="AO929" s="155"/>
      <c r="AP929" s="155"/>
      <c r="AQ929" s="155"/>
      <c r="AR929" s="155"/>
      <c r="AS929" s="155"/>
      <c r="AT929" s="155"/>
      <c r="AU929" s="155"/>
      <c r="AV929" s="155"/>
      <c r="AW929" s="155"/>
    </row>
    <row r="930" spans="1:49" ht="16.5" customHeight="1">
      <c r="A930" s="155"/>
      <c r="B930" s="155"/>
      <c r="C930" s="1"/>
      <c r="D930" s="1"/>
      <c r="E930" s="1"/>
      <c r="F930" s="156"/>
      <c r="G930" s="157"/>
      <c r="H930" s="184"/>
      <c r="I930" s="184"/>
      <c r="J930" s="184"/>
      <c r="K930" s="184"/>
      <c r="L930" s="184"/>
      <c r="M930" s="4"/>
      <c r="N930" s="184"/>
      <c r="O930" s="1"/>
      <c r="P930" s="5"/>
      <c r="Q930" s="4"/>
      <c r="R930" s="1"/>
      <c r="S930" s="1"/>
      <c r="T930" s="1"/>
      <c r="U930" s="6"/>
      <c r="V930" s="184"/>
      <c r="W930" s="184"/>
      <c r="X930" s="155"/>
      <c r="Y930" s="155"/>
      <c r="Z930" s="155"/>
      <c r="AA930" s="155"/>
      <c r="AB930" s="155"/>
      <c r="AC930" s="184"/>
      <c r="AD930" s="155"/>
      <c r="AE930" s="155"/>
      <c r="AF930" s="155"/>
      <c r="AG930" s="155"/>
      <c r="AH930" s="155"/>
      <c r="AI930" s="155"/>
      <c r="AJ930" s="155"/>
      <c r="AK930" s="155"/>
      <c r="AL930" s="155"/>
      <c r="AM930" s="155"/>
      <c r="AN930" s="155"/>
      <c r="AO930" s="155"/>
      <c r="AP930" s="155"/>
      <c r="AQ930" s="155"/>
      <c r="AR930" s="155"/>
      <c r="AS930" s="155"/>
      <c r="AT930" s="155"/>
      <c r="AU930" s="155"/>
      <c r="AV930" s="155"/>
      <c r="AW930" s="155"/>
    </row>
    <row r="931" spans="1:49" ht="16.5" customHeight="1">
      <c r="A931" s="155"/>
      <c r="B931" s="155"/>
      <c r="C931" s="1"/>
      <c r="D931" s="1"/>
      <c r="E931" s="1"/>
      <c r="F931" s="156"/>
      <c r="G931" s="157"/>
      <c r="H931" s="184"/>
      <c r="I931" s="184"/>
      <c r="J931" s="184"/>
      <c r="K931" s="184"/>
      <c r="L931" s="184"/>
      <c r="M931" s="4"/>
      <c r="N931" s="184"/>
      <c r="O931" s="1"/>
      <c r="P931" s="5"/>
      <c r="Q931" s="4"/>
      <c r="R931" s="1"/>
      <c r="S931" s="1"/>
      <c r="T931" s="1"/>
      <c r="U931" s="6"/>
      <c r="V931" s="184"/>
      <c r="W931" s="184"/>
      <c r="X931" s="155"/>
      <c r="Y931" s="155"/>
      <c r="Z931" s="155"/>
      <c r="AA931" s="155"/>
      <c r="AB931" s="155"/>
      <c r="AC931" s="184"/>
      <c r="AD931" s="155"/>
      <c r="AE931" s="155"/>
      <c r="AF931" s="155"/>
      <c r="AG931" s="155"/>
      <c r="AH931" s="155"/>
      <c r="AI931" s="155"/>
      <c r="AJ931" s="155"/>
      <c r="AK931" s="155"/>
      <c r="AL931" s="155"/>
      <c r="AM931" s="155"/>
      <c r="AN931" s="155"/>
      <c r="AO931" s="155"/>
      <c r="AP931" s="155"/>
      <c r="AQ931" s="155"/>
      <c r="AR931" s="155"/>
      <c r="AS931" s="155"/>
      <c r="AT931" s="155"/>
      <c r="AU931" s="155"/>
      <c r="AV931" s="155"/>
      <c r="AW931" s="155"/>
    </row>
    <row r="932" spans="1:49" ht="16.5" customHeight="1">
      <c r="A932" s="155"/>
      <c r="B932" s="155"/>
      <c r="C932" s="1"/>
      <c r="D932" s="1"/>
      <c r="E932" s="1"/>
      <c r="F932" s="156"/>
      <c r="G932" s="157"/>
      <c r="H932" s="184"/>
      <c r="I932" s="184"/>
      <c r="J932" s="184"/>
      <c r="K932" s="184"/>
      <c r="L932" s="184"/>
      <c r="M932" s="4"/>
      <c r="N932" s="184"/>
      <c r="O932" s="1"/>
      <c r="P932" s="5"/>
      <c r="Q932" s="4"/>
      <c r="R932" s="1"/>
      <c r="S932" s="1"/>
      <c r="T932" s="1"/>
      <c r="U932" s="6"/>
      <c r="V932" s="184"/>
      <c r="W932" s="184"/>
      <c r="X932" s="155"/>
      <c r="Y932" s="155"/>
      <c r="Z932" s="155"/>
      <c r="AA932" s="155"/>
      <c r="AB932" s="155"/>
      <c r="AC932" s="184"/>
      <c r="AD932" s="155"/>
      <c r="AE932" s="155"/>
      <c r="AF932" s="155"/>
      <c r="AG932" s="155"/>
      <c r="AH932" s="155"/>
      <c r="AI932" s="155"/>
      <c r="AJ932" s="155"/>
      <c r="AK932" s="155"/>
      <c r="AL932" s="155"/>
      <c r="AM932" s="155"/>
      <c r="AN932" s="155"/>
      <c r="AO932" s="155"/>
      <c r="AP932" s="155"/>
      <c r="AQ932" s="155"/>
      <c r="AR932" s="155"/>
      <c r="AS932" s="155"/>
      <c r="AT932" s="155"/>
      <c r="AU932" s="155"/>
      <c r="AV932" s="155"/>
      <c r="AW932" s="155"/>
    </row>
    <row r="933" spans="1:49" ht="16.5" customHeight="1">
      <c r="A933" s="155"/>
      <c r="B933" s="155"/>
      <c r="C933" s="1"/>
      <c r="D933" s="1"/>
      <c r="E933" s="1"/>
      <c r="F933" s="156"/>
      <c r="G933" s="157"/>
      <c r="H933" s="184"/>
      <c r="I933" s="184"/>
      <c r="J933" s="184"/>
      <c r="K933" s="184"/>
      <c r="L933" s="184"/>
      <c r="M933" s="4"/>
      <c r="N933" s="184"/>
      <c r="O933" s="1"/>
      <c r="P933" s="5"/>
      <c r="Q933" s="4"/>
      <c r="R933" s="1"/>
      <c r="S933" s="1"/>
      <c r="T933" s="1"/>
      <c r="U933" s="6"/>
      <c r="V933" s="184"/>
      <c r="W933" s="184"/>
      <c r="X933" s="155"/>
      <c r="Y933" s="155"/>
      <c r="Z933" s="155"/>
      <c r="AA933" s="155"/>
      <c r="AB933" s="155"/>
      <c r="AC933" s="184"/>
      <c r="AD933" s="155"/>
      <c r="AE933" s="155"/>
      <c r="AF933" s="155"/>
      <c r="AG933" s="155"/>
      <c r="AH933" s="155"/>
      <c r="AI933" s="155"/>
      <c r="AJ933" s="155"/>
      <c r="AK933" s="155"/>
      <c r="AL933" s="155"/>
      <c r="AM933" s="155"/>
      <c r="AN933" s="155"/>
      <c r="AO933" s="155"/>
      <c r="AP933" s="155"/>
      <c r="AQ933" s="155"/>
      <c r="AR933" s="155"/>
      <c r="AS933" s="155"/>
      <c r="AT933" s="155"/>
      <c r="AU933" s="155"/>
      <c r="AV933" s="155"/>
      <c r="AW933" s="155"/>
    </row>
    <row r="934" spans="1:49" ht="16.5" customHeight="1">
      <c r="A934" s="155"/>
      <c r="B934" s="155"/>
      <c r="C934" s="1"/>
      <c r="D934" s="1"/>
      <c r="E934" s="1"/>
      <c r="F934" s="156"/>
      <c r="G934" s="157"/>
      <c r="H934" s="184"/>
      <c r="I934" s="184"/>
      <c r="J934" s="184"/>
      <c r="K934" s="184"/>
      <c r="L934" s="184"/>
      <c r="M934" s="4"/>
      <c r="N934" s="184"/>
      <c r="O934" s="1"/>
      <c r="P934" s="5"/>
      <c r="Q934" s="4"/>
      <c r="R934" s="1"/>
      <c r="S934" s="1"/>
      <c r="T934" s="1"/>
      <c r="U934" s="6"/>
      <c r="V934" s="184"/>
      <c r="W934" s="184"/>
      <c r="X934" s="155"/>
      <c r="Y934" s="155"/>
      <c r="Z934" s="155"/>
      <c r="AA934" s="155"/>
      <c r="AB934" s="155"/>
      <c r="AC934" s="184"/>
      <c r="AD934" s="155"/>
      <c r="AE934" s="155"/>
      <c r="AF934" s="155"/>
      <c r="AG934" s="155"/>
      <c r="AH934" s="155"/>
      <c r="AI934" s="155"/>
      <c r="AJ934" s="155"/>
      <c r="AK934" s="155"/>
      <c r="AL934" s="155"/>
      <c r="AM934" s="155"/>
      <c r="AN934" s="155"/>
      <c r="AO934" s="155"/>
      <c r="AP934" s="155"/>
      <c r="AQ934" s="155"/>
      <c r="AR934" s="155"/>
      <c r="AS934" s="155"/>
      <c r="AT934" s="155"/>
      <c r="AU934" s="155"/>
      <c r="AV934" s="155"/>
      <c r="AW934" s="155"/>
    </row>
    <row r="935" spans="1:49" ht="16.5" customHeight="1">
      <c r="A935" s="155"/>
      <c r="B935" s="155"/>
      <c r="C935" s="1"/>
      <c r="D935" s="1"/>
      <c r="E935" s="1"/>
      <c r="F935" s="156"/>
      <c r="G935" s="157"/>
      <c r="H935" s="184"/>
      <c r="I935" s="184"/>
      <c r="J935" s="184"/>
      <c r="K935" s="184"/>
      <c r="L935" s="184"/>
      <c r="M935" s="4"/>
      <c r="N935" s="184"/>
      <c r="O935" s="1"/>
      <c r="P935" s="5"/>
      <c r="Q935" s="4"/>
      <c r="R935" s="1"/>
      <c r="S935" s="1"/>
      <c r="T935" s="1"/>
      <c r="U935" s="6"/>
      <c r="V935" s="184"/>
      <c r="W935" s="184"/>
      <c r="X935" s="155"/>
      <c r="Y935" s="155"/>
      <c r="Z935" s="155"/>
      <c r="AA935" s="155"/>
      <c r="AB935" s="155"/>
      <c r="AC935" s="184"/>
      <c r="AD935" s="155"/>
      <c r="AE935" s="155"/>
      <c r="AF935" s="155"/>
      <c r="AG935" s="155"/>
      <c r="AH935" s="155"/>
      <c r="AI935" s="155"/>
      <c r="AJ935" s="155"/>
      <c r="AK935" s="155"/>
      <c r="AL935" s="155"/>
      <c r="AM935" s="155"/>
      <c r="AN935" s="155"/>
      <c r="AO935" s="155"/>
      <c r="AP935" s="155"/>
      <c r="AQ935" s="155"/>
      <c r="AR935" s="155"/>
      <c r="AS935" s="155"/>
      <c r="AT935" s="155"/>
      <c r="AU935" s="155"/>
      <c r="AV935" s="155"/>
      <c r="AW935" s="155"/>
    </row>
    <row r="936" spans="1:49" ht="16.5" customHeight="1">
      <c r="A936" s="155"/>
      <c r="B936" s="155"/>
      <c r="C936" s="1"/>
      <c r="D936" s="1"/>
      <c r="E936" s="1"/>
      <c r="F936" s="156"/>
      <c r="G936" s="157"/>
      <c r="H936" s="184"/>
      <c r="I936" s="184"/>
      <c r="J936" s="184"/>
      <c r="K936" s="184"/>
      <c r="L936" s="184"/>
      <c r="M936" s="4"/>
      <c r="N936" s="184"/>
      <c r="O936" s="1"/>
      <c r="P936" s="5"/>
      <c r="Q936" s="4"/>
      <c r="R936" s="1"/>
      <c r="S936" s="1"/>
      <c r="T936" s="1"/>
      <c r="U936" s="6"/>
      <c r="V936" s="184"/>
      <c r="W936" s="184"/>
      <c r="X936" s="155"/>
      <c r="Y936" s="155"/>
      <c r="Z936" s="155"/>
      <c r="AA936" s="155"/>
      <c r="AB936" s="155"/>
      <c r="AC936" s="184"/>
      <c r="AD936" s="155"/>
      <c r="AE936" s="155"/>
      <c r="AF936" s="155"/>
      <c r="AG936" s="155"/>
      <c r="AH936" s="155"/>
      <c r="AI936" s="155"/>
      <c r="AJ936" s="155"/>
      <c r="AK936" s="155"/>
      <c r="AL936" s="155"/>
      <c r="AM936" s="155"/>
      <c r="AN936" s="155"/>
      <c r="AO936" s="155"/>
      <c r="AP936" s="155"/>
      <c r="AQ936" s="155"/>
      <c r="AR936" s="155"/>
      <c r="AS936" s="155"/>
      <c r="AT936" s="155"/>
      <c r="AU936" s="155"/>
      <c r="AV936" s="155"/>
      <c r="AW936" s="155"/>
    </row>
    <row r="937" spans="1:49" ht="16.5" customHeight="1">
      <c r="A937" s="155"/>
      <c r="B937" s="155"/>
      <c r="C937" s="1"/>
      <c r="D937" s="1"/>
      <c r="E937" s="1"/>
      <c r="F937" s="156"/>
      <c r="G937" s="157"/>
      <c r="H937" s="184"/>
      <c r="I937" s="184"/>
      <c r="J937" s="184"/>
      <c r="K937" s="184"/>
      <c r="L937" s="184"/>
      <c r="M937" s="4"/>
      <c r="N937" s="184"/>
      <c r="O937" s="1"/>
      <c r="P937" s="5"/>
      <c r="Q937" s="4"/>
      <c r="R937" s="1"/>
      <c r="S937" s="1"/>
      <c r="T937" s="1"/>
      <c r="U937" s="6"/>
      <c r="V937" s="184"/>
      <c r="W937" s="184"/>
      <c r="X937" s="155"/>
      <c r="Y937" s="155"/>
      <c r="Z937" s="155"/>
      <c r="AA937" s="155"/>
      <c r="AB937" s="155"/>
      <c r="AC937" s="184"/>
      <c r="AD937" s="155"/>
      <c r="AE937" s="155"/>
      <c r="AF937" s="155"/>
      <c r="AG937" s="155"/>
      <c r="AH937" s="155"/>
      <c r="AI937" s="155"/>
      <c r="AJ937" s="155"/>
      <c r="AK937" s="155"/>
      <c r="AL937" s="155"/>
      <c r="AM937" s="155"/>
      <c r="AN937" s="155"/>
      <c r="AO937" s="155"/>
      <c r="AP937" s="155"/>
      <c r="AQ937" s="155"/>
      <c r="AR937" s="155"/>
      <c r="AS937" s="155"/>
      <c r="AT937" s="155"/>
      <c r="AU937" s="155"/>
      <c r="AV937" s="155"/>
      <c r="AW937" s="155"/>
    </row>
    <row r="938" spans="1:49" ht="16.5" customHeight="1">
      <c r="A938" s="155"/>
      <c r="B938" s="155"/>
      <c r="C938" s="1"/>
      <c r="D938" s="1"/>
      <c r="E938" s="1"/>
      <c r="F938" s="156"/>
      <c r="G938" s="157"/>
      <c r="H938" s="184"/>
      <c r="I938" s="184"/>
      <c r="J938" s="184"/>
      <c r="K938" s="184"/>
      <c r="L938" s="184"/>
      <c r="M938" s="4"/>
      <c r="N938" s="184"/>
      <c r="O938" s="1"/>
      <c r="P938" s="5"/>
      <c r="Q938" s="4"/>
      <c r="R938" s="1"/>
      <c r="S938" s="1"/>
      <c r="T938" s="1"/>
      <c r="U938" s="6"/>
      <c r="V938" s="184"/>
      <c r="W938" s="184"/>
      <c r="X938" s="155"/>
      <c r="Y938" s="155"/>
      <c r="Z938" s="155"/>
      <c r="AA938" s="155"/>
      <c r="AB938" s="155"/>
      <c r="AC938" s="184"/>
      <c r="AD938" s="155"/>
      <c r="AE938" s="155"/>
      <c r="AF938" s="155"/>
      <c r="AG938" s="155"/>
      <c r="AH938" s="155"/>
      <c r="AI938" s="155"/>
      <c r="AJ938" s="155"/>
      <c r="AK938" s="155"/>
      <c r="AL938" s="155"/>
      <c r="AM938" s="155"/>
      <c r="AN938" s="155"/>
      <c r="AO938" s="155"/>
      <c r="AP938" s="155"/>
      <c r="AQ938" s="155"/>
      <c r="AR938" s="155"/>
      <c r="AS938" s="155"/>
      <c r="AT938" s="155"/>
      <c r="AU938" s="155"/>
      <c r="AV938" s="155"/>
      <c r="AW938" s="155"/>
    </row>
    <row r="939" spans="1:49" ht="16.5" customHeight="1">
      <c r="A939" s="155"/>
      <c r="B939" s="155"/>
      <c r="C939" s="1"/>
      <c r="D939" s="1"/>
      <c r="E939" s="1"/>
      <c r="F939" s="156"/>
      <c r="G939" s="157"/>
      <c r="H939" s="184"/>
      <c r="I939" s="184"/>
      <c r="J939" s="184"/>
      <c r="K939" s="184"/>
      <c r="L939" s="184"/>
      <c r="M939" s="4"/>
      <c r="N939" s="184"/>
      <c r="O939" s="1"/>
      <c r="P939" s="5"/>
      <c r="Q939" s="4"/>
      <c r="R939" s="1"/>
      <c r="S939" s="1"/>
      <c r="T939" s="1"/>
      <c r="U939" s="6"/>
      <c r="V939" s="184"/>
      <c r="W939" s="184"/>
      <c r="X939" s="155"/>
      <c r="Y939" s="155"/>
      <c r="Z939" s="155"/>
      <c r="AA939" s="155"/>
      <c r="AB939" s="155"/>
      <c r="AC939" s="184"/>
      <c r="AD939" s="155"/>
      <c r="AE939" s="155"/>
      <c r="AF939" s="155"/>
      <c r="AG939" s="155"/>
      <c r="AH939" s="155"/>
      <c r="AI939" s="155"/>
      <c r="AJ939" s="155"/>
      <c r="AK939" s="155"/>
      <c r="AL939" s="155"/>
      <c r="AM939" s="155"/>
      <c r="AN939" s="155"/>
      <c r="AO939" s="155"/>
      <c r="AP939" s="155"/>
      <c r="AQ939" s="155"/>
      <c r="AR939" s="155"/>
      <c r="AS939" s="155"/>
      <c r="AT939" s="155"/>
      <c r="AU939" s="155"/>
      <c r="AV939" s="155"/>
      <c r="AW939" s="155"/>
    </row>
    <row r="940" spans="1:49" ht="16.5" customHeight="1">
      <c r="A940" s="155"/>
      <c r="B940" s="155"/>
      <c r="C940" s="1"/>
      <c r="D940" s="1"/>
      <c r="E940" s="1"/>
      <c r="F940" s="156"/>
      <c r="G940" s="157"/>
      <c r="H940" s="184"/>
      <c r="I940" s="184"/>
      <c r="J940" s="184"/>
      <c r="K940" s="184"/>
      <c r="L940" s="184"/>
      <c r="M940" s="4"/>
      <c r="N940" s="184"/>
      <c r="O940" s="1"/>
      <c r="P940" s="5"/>
      <c r="Q940" s="4"/>
      <c r="R940" s="1"/>
      <c r="S940" s="1"/>
      <c r="T940" s="1"/>
      <c r="U940" s="6"/>
      <c r="V940" s="184"/>
      <c r="W940" s="184"/>
      <c r="X940" s="155"/>
      <c r="Y940" s="155"/>
      <c r="Z940" s="155"/>
      <c r="AA940" s="155"/>
      <c r="AB940" s="155"/>
      <c r="AC940" s="184"/>
      <c r="AD940" s="155"/>
      <c r="AE940" s="155"/>
      <c r="AF940" s="155"/>
      <c r="AG940" s="155"/>
      <c r="AH940" s="155"/>
      <c r="AI940" s="155"/>
      <c r="AJ940" s="155"/>
      <c r="AK940" s="155"/>
      <c r="AL940" s="155"/>
      <c r="AM940" s="155"/>
      <c r="AN940" s="155"/>
      <c r="AO940" s="155"/>
      <c r="AP940" s="155"/>
      <c r="AQ940" s="155"/>
      <c r="AR940" s="155"/>
      <c r="AS940" s="155"/>
      <c r="AT940" s="155"/>
      <c r="AU940" s="155"/>
      <c r="AV940" s="155"/>
      <c r="AW940" s="155"/>
    </row>
    <row r="941" spans="1:49" ht="16.5" customHeight="1">
      <c r="A941" s="155"/>
      <c r="B941" s="155"/>
      <c r="C941" s="1"/>
      <c r="D941" s="1"/>
      <c r="E941" s="1"/>
      <c r="F941" s="156"/>
      <c r="G941" s="157"/>
      <c r="H941" s="184"/>
      <c r="I941" s="184"/>
      <c r="J941" s="184"/>
      <c r="K941" s="184"/>
      <c r="L941" s="184"/>
      <c r="M941" s="4"/>
      <c r="N941" s="184"/>
      <c r="O941" s="1"/>
      <c r="P941" s="5"/>
      <c r="Q941" s="4"/>
      <c r="R941" s="1"/>
      <c r="S941" s="1"/>
      <c r="T941" s="1"/>
      <c r="U941" s="6"/>
      <c r="V941" s="184"/>
      <c r="W941" s="184"/>
      <c r="X941" s="155"/>
      <c r="Y941" s="155"/>
      <c r="Z941" s="155"/>
      <c r="AA941" s="155"/>
      <c r="AB941" s="155"/>
      <c r="AC941" s="184"/>
      <c r="AD941" s="155"/>
      <c r="AE941" s="155"/>
      <c r="AF941" s="155"/>
      <c r="AG941" s="155"/>
      <c r="AH941" s="155"/>
      <c r="AI941" s="155"/>
      <c r="AJ941" s="155"/>
      <c r="AK941" s="155"/>
      <c r="AL941" s="155"/>
      <c r="AM941" s="155"/>
      <c r="AN941" s="155"/>
      <c r="AO941" s="155"/>
      <c r="AP941" s="155"/>
      <c r="AQ941" s="155"/>
      <c r="AR941" s="155"/>
      <c r="AS941" s="155"/>
      <c r="AT941" s="155"/>
      <c r="AU941" s="155"/>
      <c r="AV941" s="155"/>
      <c r="AW941" s="155"/>
    </row>
    <row r="942" spans="1:49" ht="16.5" customHeight="1">
      <c r="A942" s="155"/>
      <c r="B942" s="155"/>
      <c r="C942" s="1"/>
      <c r="D942" s="1"/>
      <c r="E942" s="1"/>
      <c r="F942" s="156"/>
      <c r="G942" s="157"/>
      <c r="H942" s="184"/>
      <c r="I942" s="184"/>
      <c r="J942" s="184"/>
      <c r="K942" s="184"/>
      <c r="L942" s="184"/>
      <c r="M942" s="4"/>
      <c r="N942" s="184"/>
      <c r="O942" s="1"/>
      <c r="P942" s="5"/>
      <c r="Q942" s="4"/>
      <c r="R942" s="1"/>
      <c r="S942" s="1"/>
      <c r="T942" s="1"/>
      <c r="U942" s="6"/>
      <c r="V942" s="184"/>
      <c r="W942" s="184"/>
      <c r="X942" s="155"/>
      <c r="Y942" s="155"/>
      <c r="Z942" s="155"/>
      <c r="AA942" s="155"/>
      <c r="AB942" s="155"/>
      <c r="AC942" s="184"/>
      <c r="AD942" s="155"/>
      <c r="AE942" s="155"/>
      <c r="AF942" s="155"/>
      <c r="AG942" s="155"/>
      <c r="AH942" s="155"/>
      <c r="AI942" s="155"/>
      <c r="AJ942" s="155"/>
      <c r="AK942" s="155"/>
      <c r="AL942" s="155"/>
      <c r="AM942" s="155"/>
      <c r="AN942" s="155"/>
      <c r="AO942" s="155"/>
      <c r="AP942" s="155"/>
      <c r="AQ942" s="155"/>
      <c r="AR942" s="155"/>
      <c r="AS942" s="155"/>
      <c r="AT942" s="155"/>
      <c r="AU942" s="155"/>
      <c r="AV942" s="155"/>
      <c r="AW942" s="155"/>
    </row>
    <row r="943" spans="1:49" ht="16.5" customHeight="1">
      <c r="A943" s="155"/>
      <c r="B943" s="155"/>
      <c r="C943" s="1"/>
      <c r="D943" s="1"/>
      <c r="E943" s="1"/>
      <c r="F943" s="156"/>
      <c r="G943" s="157"/>
      <c r="H943" s="184"/>
      <c r="I943" s="184"/>
      <c r="J943" s="184"/>
      <c r="K943" s="184"/>
      <c r="L943" s="184"/>
      <c r="M943" s="4"/>
      <c r="N943" s="184"/>
      <c r="O943" s="1"/>
      <c r="P943" s="5"/>
      <c r="Q943" s="4"/>
      <c r="R943" s="1"/>
      <c r="S943" s="1"/>
      <c r="T943" s="1"/>
      <c r="U943" s="6"/>
      <c r="V943" s="184"/>
      <c r="W943" s="184"/>
      <c r="X943" s="155"/>
      <c r="Y943" s="155"/>
      <c r="Z943" s="155"/>
      <c r="AA943" s="155"/>
      <c r="AB943" s="155"/>
      <c r="AC943" s="184"/>
      <c r="AD943" s="155"/>
      <c r="AE943" s="155"/>
      <c r="AF943" s="155"/>
      <c r="AG943" s="155"/>
      <c r="AH943" s="155"/>
      <c r="AI943" s="155"/>
      <c r="AJ943" s="155"/>
      <c r="AK943" s="155"/>
      <c r="AL943" s="155"/>
      <c r="AM943" s="155"/>
      <c r="AN943" s="155"/>
      <c r="AO943" s="155"/>
      <c r="AP943" s="155"/>
      <c r="AQ943" s="155"/>
      <c r="AR943" s="155"/>
      <c r="AS943" s="155"/>
      <c r="AT943" s="155"/>
      <c r="AU943" s="155"/>
      <c r="AV943" s="155"/>
      <c r="AW943" s="155"/>
    </row>
    <row r="944" spans="1:49" ht="16.5" customHeight="1">
      <c r="A944" s="155"/>
      <c r="B944" s="155"/>
      <c r="C944" s="1"/>
      <c r="D944" s="1"/>
      <c r="E944" s="1"/>
      <c r="F944" s="156"/>
      <c r="G944" s="157"/>
      <c r="H944" s="184"/>
      <c r="I944" s="184"/>
      <c r="J944" s="184"/>
      <c r="K944" s="184"/>
      <c r="L944" s="184"/>
      <c r="M944" s="4"/>
      <c r="N944" s="184"/>
      <c r="O944" s="1"/>
      <c r="P944" s="5"/>
      <c r="Q944" s="4"/>
      <c r="R944" s="1"/>
      <c r="S944" s="1"/>
      <c r="T944" s="1"/>
      <c r="U944" s="6"/>
      <c r="V944" s="184"/>
      <c r="W944" s="184"/>
      <c r="X944" s="155"/>
      <c r="Y944" s="155"/>
      <c r="Z944" s="155"/>
      <c r="AA944" s="155"/>
      <c r="AB944" s="155"/>
      <c r="AC944" s="184"/>
      <c r="AD944" s="155"/>
      <c r="AE944" s="155"/>
      <c r="AF944" s="155"/>
      <c r="AG944" s="155"/>
      <c r="AH944" s="155"/>
      <c r="AI944" s="155"/>
      <c r="AJ944" s="155"/>
      <c r="AK944" s="155"/>
      <c r="AL944" s="155"/>
      <c r="AM944" s="155"/>
      <c r="AN944" s="155"/>
      <c r="AO944" s="155"/>
      <c r="AP944" s="155"/>
      <c r="AQ944" s="155"/>
      <c r="AR944" s="155"/>
      <c r="AS944" s="155"/>
      <c r="AT944" s="155"/>
      <c r="AU944" s="155"/>
      <c r="AV944" s="155"/>
      <c r="AW944" s="155"/>
    </row>
    <row r="945" spans="1:49" ht="16.5" customHeight="1">
      <c r="A945" s="155"/>
      <c r="B945" s="155"/>
      <c r="C945" s="1"/>
      <c r="D945" s="1"/>
      <c r="E945" s="1"/>
      <c r="F945" s="156"/>
      <c r="G945" s="157"/>
      <c r="H945" s="184"/>
      <c r="I945" s="184"/>
      <c r="J945" s="184"/>
      <c r="K945" s="184"/>
      <c r="L945" s="184"/>
      <c r="M945" s="4"/>
      <c r="N945" s="184"/>
      <c r="O945" s="1"/>
      <c r="P945" s="5"/>
      <c r="Q945" s="4"/>
      <c r="R945" s="1"/>
      <c r="S945" s="1"/>
      <c r="T945" s="1"/>
      <c r="U945" s="6"/>
      <c r="V945" s="184"/>
      <c r="W945" s="184"/>
      <c r="X945" s="155"/>
      <c r="Y945" s="155"/>
      <c r="Z945" s="155"/>
      <c r="AA945" s="155"/>
      <c r="AB945" s="155"/>
      <c r="AC945" s="184"/>
      <c r="AD945" s="155"/>
      <c r="AE945" s="155"/>
      <c r="AF945" s="155"/>
      <c r="AG945" s="155"/>
      <c r="AH945" s="155"/>
      <c r="AI945" s="155"/>
      <c r="AJ945" s="155"/>
      <c r="AK945" s="155"/>
      <c r="AL945" s="155"/>
      <c r="AM945" s="155"/>
      <c r="AN945" s="155"/>
      <c r="AO945" s="155"/>
      <c r="AP945" s="155"/>
      <c r="AQ945" s="155"/>
      <c r="AR945" s="155"/>
      <c r="AS945" s="155"/>
      <c r="AT945" s="155"/>
      <c r="AU945" s="155"/>
      <c r="AV945" s="155"/>
      <c r="AW945" s="155"/>
    </row>
    <row r="946" spans="1:49" ht="16.5" customHeight="1">
      <c r="A946" s="155"/>
      <c r="B946" s="155"/>
      <c r="C946" s="1"/>
      <c r="D946" s="1"/>
      <c r="E946" s="1"/>
      <c r="F946" s="156"/>
      <c r="G946" s="157"/>
      <c r="H946" s="184"/>
      <c r="I946" s="184"/>
      <c r="J946" s="184"/>
      <c r="K946" s="184"/>
      <c r="L946" s="184"/>
      <c r="M946" s="4"/>
      <c r="N946" s="184"/>
      <c r="O946" s="1"/>
      <c r="P946" s="5"/>
      <c r="Q946" s="4"/>
      <c r="R946" s="1"/>
      <c r="S946" s="1"/>
      <c r="T946" s="1"/>
      <c r="U946" s="6"/>
      <c r="V946" s="184"/>
      <c r="W946" s="184"/>
      <c r="X946" s="155"/>
      <c r="Y946" s="155"/>
      <c r="Z946" s="155"/>
      <c r="AA946" s="155"/>
      <c r="AB946" s="155"/>
      <c r="AC946" s="184"/>
      <c r="AD946" s="155"/>
      <c r="AE946" s="155"/>
      <c r="AF946" s="155"/>
      <c r="AG946" s="155"/>
      <c r="AH946" s="155"/>
      <c r="AI946" s="155"/>
      <c r="AJ946" s="155"/>
      <c r="AK946" s="155"/>
      <c r="AL946" s="155"/>
      <c r="AM946" s="155"/>
      <c r="AN946" s="155"/>
      <c r="AO946" s="155"/>
      <c r="AP946" s="155"/>
      <c r="AQ946" s="155"/>
      <c r="AR946" s="155"/>
      <c r="AS946" s="155"/>
      <c r="AT946" s="155"/>
      <c r="AU946" s="155"/>
      <c r="AV946" s="155"/>
      <c r="AW946" s="155"/>
    </row>
    <row r="947" spans="1:49" ht="16.5" customHeight="1">
      <c r="A947" s="155"/>
      <c r="B947" s="155"/>
      <c r="C947" s="1"/>
      <c r="D947" s="1"/>
      <c r="E947" s="1"/>
      <c r="F947" s="156"/>
      <c r="G947" s="157"/>
      <c r="H947" s="184"/>
      <c r="I947" s="184"/>
      <c r="J947" s="184"/>
      <c r="K947" s="184"/>
      <c r="L947" s="184"/>
      <c r="M947" s="4"/>
      <c r="N947" s="184"/>
      <c r="O947" s="1"/>
      <c r="P947" s="5"/>
      <c r="Q947" s="4"/>
      <c r="R947" s="1"/>
      <c r="S947" s="1"/>
      <c r="T947" s="1"/>
      <c r="U947" s="6"/>
      <c r="V947" s="184"/>
      <c r="W947" s="184"/>
      <c r="X947" s="155"/>
      <c r="Y947" s="155"/>
      <c r="Z947" s="155"/>
      <c r="AA947" s="155"/>
      <c r="AB947" s="155"/>
      <c r="AC947" s="184"/>
      <c r="AD947" s="155"/>
      <c r="AE947" s="155"/>
      <c r="AF947" s="155"/>
      <c r="AG947" s="155"/>
      <c r="AH947" s="155"/>
      <c r="AI947" s="155"/>
      <c r="AJ947" s="155"/>
      <c r="AK947" s="155"/>
      <c r="AL947" s="155"/>
      <c r="AM947" s="155"/>
      <c r="AN947" s="155"/>
      <c r="AO947" s="155"/>
      <c r="AP947" s="155"/>
      <c r="AQ947" s="155"/>
      <c r="AR947" s="155"/>
      <c r="AS947" s="155"/>
      <c r="AT947" s="155"/>
      <c r="AU947" s="155"/>
      <c r="AV947" s="155"/>
      <c r="AW947" s="155"/>
    </row>
    <row r="948" spans="1:49" ht="16.5" customHeight="1">
      <c r="A948" s="155"/>
      <c r="B948" s="155"/>
      <c r="C948" s="1"/>
      <c r="D948" s="1"/>
      <c r="E948" s="1"/>
      <c r="F948" s="156"/>
      <c r="G948" s="157"/>
      <c r="H948" s="184"/>
      <c r="I948" s="184"/>
      <c r="J948" s="184"/>
      <c r="K948" s="184"/>
      <c r="L948" s="184"/>
      <c r="M948" s="4"/>
      <c r="N948" s="184"/>
      <c r="O948" s="1"/>
      <c r="P948" s="5"/>
      <c r="Q948" s="4"/>
      <c r="R948" s="1"/>
      <c r="S948" s="1"/>
      <c r="T948" s="1"/>
      <c r="U948" s="6"/>
      <c r="V948" s="184"/>
      <c r="W948" s="184"/>
      <c r="X948" s="155"/>
      <c r="Y948" s="155"/>
      <c r="Z948" s="155"/>
      <c r="AA948" s="155"/>
      <c r="AB948" s="155"/>
      <c r="AC948" s="184"/>
      <c r="AD948" s="155"/>
      <c r="AE948" s="155"/>
      <c r="AF948" s="155"/>
      <c r="AG948" s="155"/>
      <c r="AH948" s="155"/>
      <c r="AI948" s="155"/>
      <c r="AJ948" s="155"/>
      <c r="AK948" s="155"/>
      <c r="AL948" s="155"/>
      <c r="AM948" s="155"/>
      <c r="AN948" s="155"/>
      <c r="AO948" s="155"/>
      <c r="AP948" s="155"/>
      <c r="AQ948" s="155"/>
      <c r="AR948" s="155"/>
      <c r="AS948" s="155"/>
      <c r="AT948" s="155"/>
      <c r="AU948" s="155"/>
      <c r="AV948" s="155"/>
      <c r="AW948" s="155"/>
    </row>
    <row r="949" spans="1:49" ht="16.5" customHeight="1">
      <c r="A949" s="155"/>
      <c r="B949" s="155"/>
      <c r="C949" s="1"/>
      <c r="D949" s="1"/>
      <c r="E949" s="1"/>
      <c r="F949" s="156"/>
      <c r="G949" s="157"/>
      <c r="H949" s="184"/>
      <c r="I949" s="184"/>
      <c r="J949" s="184"/>
      <c r="K949" s="184"/>
      <c r="L949" s="184"/>
      <c r="M949" s="4"/>
      <c r="N949" s="184"/>
      <c r="O949" s="1"/>
      <c r="P949" s="5"/>
      <c r="Q949" s="4"/>
      <c r="R949" s="1"/>
      <c r="S949" s="1"/>
      <c r="T949" s="1"/>
      <c r="U949" s="6"/>
      <c r="V949" s="184"/>
      <c r="W949" s="184"/>
      <c r="X949" s="155"/>
      <c r="Y949" s="155"/>
      <c r="Z949" s="155"/>
      <c r="AA949" s="155"/>
      <c r="AB949" s="155"/>
      <c r="AC949" s="184"/>
      <c r="AD949" s="155"/>
      <c r="AE949" s="155"/>
      <c r="AF949" s="155"/>
      <c r="AG949" s="155"/>
      <c r="AH949" s="155"/>
      <c r="AI949" s="155"/>
      <c r="AJ949" s="155"/>
      <c r="AK949" s="155"/>
      <c r="AL949" s="155"/>
      <c r="AM949" s="155"/>
      <c r="AN949" s="155"/>
      <c r="AO949" s="155"/>
      <c r="AP949" s="155"/>
      <c r="AQ949" s="155"/>
      <c r="AR949" s="155"/>
      <c r="AS949" s="155"/>
      <c r="AT949" s="155"/>
      <c r="AU949" s="155"/>
      <c r="AV949" s="155"/>
      <c r="AW949" s="155"/>
    </row>
    <row r="950" spans="1:49" ht="16.5" customHeight="1">
      <c r="A950" s="155"/>
      <c r="B950" s="155"/>
      <c r="C950" s="1"/>
      <c r="D950" s="1"/>
      <c r="E950" s="1"/>
      <c r="F950" s="156"/>
      <c r="G950" s="157"/>
      <c r="H950" s="184"/>
      <c r="I950" s="184"/>
      <c r="J950" s="184"/>
      <c r="K950" s="184"/>
      <c r="L950" s="184"/>
      <c r="M950" s="4"/>
      <c r="N950" s="184"/>
      <c r="O950" s="1"/>
      <c r="P950" s="5"/>
      <c r="Q950" s="4"/>
      <c r="R950" s="1"/>
      <c r="S950" s="1"/>
      <c r="T950" s="1"/>
      <c r="U950" s="6"/>
      <c r="V950" s="184"/>
      <c r="W950" s="184"/>
      <c r="X950" s="155"/>
      <c r="Y950" s="155"/>
      <c r="Z950" s="155"/>
      <c r="AA950" s="155"/>
      <c r="AB950" s="155"/>
      <c r="AC950" s="184"/>
      <c r="AD950" s="155"/>
      <c r="AE950" s="155"/>
      <c r="AF950" s="155"/>
      <c r="AG950" s="155"/>
      <c r="AH950" s="155"/>
      <c r="AI950" s="155"/>
      <c r="AJ950" s="155"/>
      <c r="AK950" s="155"/>
      <c r="AL950" s="155"/>
      <c r="AM950" s="155"/>
      <c r="AN950" s="155"/>
      <c r="AO950" s="155"/>
      <c r="AP950" s="155"/>
      <c r="AQ950" s="155"/>
      <c r="AR950" s="155"/>
      <c r="AS950" s="155"/>
      <c r="AT950" s="155"/>
      <c r="AU950" s="155"/>
      <c r="AV950" s="155"/>
      <c r="AW950" s="155"/>
    </row>
    <row r="951" spans="1:49" ht="16.5" customHeight="1">
      <c r="A951" s="155"/>
      <c r="B951" s="155"/>
      <c r="C951" s="1"/>
      <c r="D951" s="1"/>
      <c r="E951" s="1"/>
      <c r="F951" s="156"/>
      <c r="G951" s="157"/>
      <c r="H951" s="184"/>
      <c r="I951" s="184"/>
      <c r="J951" s="184"/>
      <c r="K951" s="184"/>
      <c r="L951" s="184"/>
      <c r="M951" s="4"/>
      <c r="N951" s="184"/>
      <c r="O951" s="1"/>
      <c r="P951" s="5"/>
      <c r="Q951" s="4"/>
      <c r="R951" s="1"/>
      <c r="S951" s="1"/>
      <c r="T951" s="1"/>
      <c r="U951" s="6"/>
      <c r="V951" s="184"/>
      <c r="W951" s="184"/>
      <c r="X951" s="155"/>
      <c r="Y951" s="155"/>
      <c r="Z951" s="155"/>
      <c r="AA951" s="155"/>
      <c r="AB951" s="155"/>
      <c r="AC951" s="184"/>
      <c r="AD951" s="155"/>
      <c r="AE951" s="155"/>
      <c r="AF951" s="155"/>
      <c r="AG951" s="155"/>
      <c r="AH951" s="155"/>
      <c r="AI951" s="155"/>
      <c r="AJ951" s="155"/>
      <c r="AK951" s="155"/>
      <c r="AL951" s="155"/>
      <c r="AM951" s="155"/>
      <c r="AN951" s="155"/>
      <c r="AO951" s="155"/>
      <c r="AP951" s="155"/>
      <c r="AQ951" s="155"/>
      <c r="AR951" s="155"/>
      <c r="AS951" s="155"/>
      <c r="AT951" s="155"/>
      <c r="AU951" s="155"/>
      <c r="AV951" s="155"/>
      <c r="AW951" s="155"/>
    </row>
    <row r="952" spans="1:49" ht="16.5" customHeight="1">
      <c r="A952" s="155"/>
      <c r="B952" s="155"/>
      <c r="C952" s="1"/>
      <c r="D952" s="1"/>
      <c r="E952" s="1"/>
      <c r="F952" s="156"/>
      <c r="G952" s="157"/>
      <c r="H952" s="184"/>
      <c r="I952" s="184"/>
      <c r="J952" s="184"/>
      <c r="K952" s="184"/>
      <c r="L952" s="184"/>
      <c r="M952" s="4"/>
      <c r="N952" s="184"/>
      <c r="O952" s="1"/>
      <c r="P952" s="5"/>
      <c r="Q952" s="4"/>
      <c r="R952" s="1"/>
      <c r="S952" s="1"/>
      <c r="T952" s="1"/>
      <c r="U952" s="6"/>
      <c r="V952" s="184"/>
      <c r="W952" s="184"/>
      <c r="X952" s="155"/>
      <c r="Y952" s="155"/>
      <c r="Z952" s="155"/>
      <c r="AA952" s="155"/>
      <c r="AB952" s="155"/>
      <c r="AC952" s="184"/>
      <c r="AD952" s="155"/>
      <c r="AE952" s="155"/>
      <c r="AF952" s="155"/>
      <c r="AG952" s="155"/>
      <c r="AH952" s="155"/>
      <c r="AI952" s="155"/>
      <c r="AJ952" s="155"/>
      <c r="AK952" s="155"/>
      <c r="AL952" s="155"/>
      <c r="AM952" s="155"/>
      <c r="AN952" s="155"/>
      <c r="AO952" s="155"/>
      <c r="AP952" s="155"/>
      <c r="AQ952" s="155"/>
      <c r="AR952" s="155"/>
      <c r="AS952" s="155"/>
      <c r="AT952" s="155"/>
      <c r="AU952" s="155"/>
      <c r="AV952" s="155"/>
      <c r="AW952" s="155"/>
    </row>
    <row r="953" spans="1:49" ht="16.5" customHeight="1">
      <c r="A953" s="155"/>
      <c r="F953" s="185"/>
      <c r="AD953" s="155"/>
      <c r="AE953" s="155"/>
      <c r="AF953" s="155"/>
      <c r="AG953" s="155"/>
      <c r="AH953" s="155"/>
      <c r="AI953" s="155"/>
      <c r="AJ953" s="155"/>
      <c r="AK953" s="155"/>
      <c r="AL953" s="155"/>
      <c r="AM953" s="155"/>
      <c r="AN953" s="155"/>
      <c r="AO953" s="155"/>
      <c r="AP953" s="155"/>
      <c r="AQ953" s="155"/>
      <c r="AR953" s="155"/>
      <c r="AS953" s="155"/>
      <c r="AT953" s="155"/>
      <c r="AU953" s="155"/>
      <c r="AV953" s="155"/>
      <c r="AW953" s="155"/>
    </row>
    <row r="954" spans="1:49" ht="16.5" customHeight="1">
      <c r="A954" s="155"/>
      <c r="F954" s="185"/>
      <c r="AD954" s="155"/>
      <c r="AE954" s="155"/>
      <c r="AF954" s="155"/>
      <c r="AG954" s="155"/>
      <c r="AH954" s="155"/>
      <c r="AI954" s="155"/>
      <c r="AJ954" s="155"/>
      <c r="AK954" s="155"/>
      <c r="AL954" s="155"/>
      <c r="AM954" s="155"/>
      <c r="AN954" s="155"/>
      <c r="AO954" s="155"/>
      <c r="AP954" s="155"/>
      <c r="AQ954" s="155"/>
      <c r="AR954" s="155"/>
      <c r="AS954" s="155"/>
      <c r="AT954" s="155"/>
      <c r="AU954" s="155"/>
      <c r="AV954" s="155"/>
      <c r="AW954" s="155"/>
    </row>
    <row r="955" spans="1:49" ht="16.5" customHeight="1">
      <c r="A955" s="155"/>
      <c r="F955" s="185"/>
      <c r="AD955" s="155"/>
      <c r="AE955" s="155"/>
      <c r="AF955" s="155"/>
      <c r="AG955" s="155"/>
      <c r="AH955" s="155"/>
      <c r="AI955" s="155"/>
      <c r="AJ955" s="155"/>
      <c r="AK955" s="155"/>
      <c r="AL955" s="155"/>
      <c r="AM955" s="155"/>
      <c r="AN955" s="155"/>
      <c r="AO955" s="155"/>
      <c r="AP955" s="155"/>
      <c r="AQ955" s="155"/>
      <c r="AR955" s="155"/>
      <c r="AS955" s="155"/>
      <c r="AT955" s="155"/>
      <c r="AU955" s="155"/>
      <c r="AV955" s="155"/>
      <c r="AW955" s="155"/>
    </row>
    <row r="956" spans="1:49" ht="16.5" customHeight="1">
      <c r="A956" s="155"/>
      <c r="F956" s="185"/>
      <c r="AD956" s="155"/>
      <c r="AE956" s="155"/>
      <c r="AF956" s="155"/>
      <c r="AG956" s="155"/>
      <c r="AH956" s="155"/>
      <c r="AI956" s="155"/>
      <c r="AJ956" s="155"/>
      <c r="AK956" s="155"/>
      <c r="AL956" s="155"/>
      <c r="AM956" s="155"/>
      <c r="AN956" s="155"/>
      <c r="AO956" s="155"/>
      <c r="AP956" s="155"/>
      <c r="AQ956" s="155"/>
      <c r="AR956" s="155"/>
      <c r="AS956" s="155"/>
      <c r="AT956" s="155"/>
      <c r="AU956" s="155"/>
      <c r="AV956" s="155"/>
      <c r="AW956" s="155"/>
    </row>
    <row r="957" spans="1:49" ht="16.5" customHeight="1">
      <c r="A957" s="155"/>
      <c r="F957" s="185"/>
      <c r="AD957" s="155"/>
      <c r="AE957" s="155"/>
      <c r="AF957" s="155"/>
      <c r="AG957" s="155"/>
      <c r="AH957" s="155"/>
      <c r="AI957" s="155"/>
      <c r="AJ957" s="155"/>
      <c r="AK957" s="155"/>
      <c r="AL957" s="155"/>
      <c r="AM957" s="155"/>
      <c r="AN957" s="155"/>
      <c r="AO957" s="155"/>
      <c r="AP957" s="155"/>
      <c r="AQ957" s="155"/>
      <c r="AR957" s="155"/>
      <c r="AS957" s="155"/>
      <c r="AT957" s="155"/>
      <c r="AU957" s="155"/>
      <c r="AV957" s="155"/>
      <c r="AW957" s="155"/>
    </row>
    <row r="958" spans="1:49" ht="16.5" customHeight="1">
      <c r="A958" s="155"/>
      <c r="F958" s="185"/>
      <c r="AD958" s="155"/>
      <c r="AE958" s="155"/>
      <c r="AF958" s="155"/>
      <c r="AG958" s="155"/>
      <c r="AH958" s="155"/>
      <c r="AI958" s="155"/>
      <c r="AJ958" s="155"/>
      <c r="AK958" s="155"/>
      <c r="AL958" s="155"/>
      <c r="AM958" s="155"/>
      <c r="AN958" s="155"/>
      <c r="AO958" s="155"/>
      <c r="AP958" s="155"/>
      <c r="AQ958" s="155"/>
      <c r="AR958" s="155"/>
      <c r="AS958" s="155"/>
      <c r="AT958" s="155"/>
      <c r="AU958" s="155"/>
      <c r="AV958" s="155"/>
      <c r="AW958" s="155"/>
    </row>
    <row r="959" spans="1:49" ht="16.5" customHeight="1">
      <c r="A959" s="155"/>
      <c r="F959" s="185"/>
      <c r="AD959" s="155"/>
      <c r="AE959" s="155"/>
      <c r="AF959" s="155"/>
      <c r="AG959" s="155"/>
      <c r="AH959" s="155"/>
      <c r="AI959" s="155"/>
      <c r="AJ959" s="155"/>
      <c r="AK959" s="155"/>
      <c r="AL959" s="155"/>
      <c r="AM959" s="155"/>
      <c r="AN959" s="155"/>
      <c r="AO959" s="155"/>
      <c r="AP959" s="155"/>
      <c r="AQ959" s="155"/>
      <c r="AR959" s="155"/>
      <c r="AS959" s="155"/>
      <c r="AT959" s="155"/>
      <c r="AU959" s="155"/>
      <c r="AV959" s="155"/>
      <c r="AW959" s="155"/>
    </row>
    <row r="960" spans="1:49" ht="16.5" customHeight="1">
      <c r="A960" s="155"/>
      <c r="F960" s="185"/>
      <c r="AD960" s="155"/>
      <c r="AE960" s="155"/>
      <c r="AF960" s="155"/>
      <c r="AG960" s="155"/>
      <c r="AH960" s="155"/>
      <c r="AI960" s="155"/>
      <c r="AJ960" s="155"/>
      <c r="AK960" s="155"/>
      <c r="AL960" s="155"/>
      <c r="AM960" s="155"/>
      <c r="AN960" s="155"/>
      <c r="AO960" s="155"/>
      <c r="AP960" s="155"/>
      <c r="AQ960" s="155"/>
      <c r="AR960" s="155"/>
      <c r="AS960" s="155"/>
      <c r="AT960" s="155"/>
      <c r="AU960" s="155"/>
      <c r="AV960" s="155"/>
      <c r="AW960" s="155"/>
    </row>
    <row r="961" spans="1:49" ht="16.5" customHeight="1">
      <c r="A961" s="155"/>
      <c r="F961" s="185"/>
      <c r="AD961" s="155"/>
      <c r="AE961" s="155"/>
      <c r="AF961" s="155"/>
      <c r="AG961" s="155"/>
      <c r="AH961" s="155"/>
      <c r="AI961" s="155"/>
      <c r="AJ961" s="155"/>
      <c r="AK961" s="155"/>
      <c r="AL961" s="155"/>
      <c r="AM961" s="155"/>
      <c r="AN961" s="155"/>
      <c r="AO961" s="155"/>
      <c r="AP961" s="155"/>
      <c r="AQ961" s="155"/>
      <c r="AR961" s="155"/>
      <c r="AS961" s="155"/>
      <c r="AT961" s="155"/>
      <c r="AU961" s="155"/>
      <c r="AV961" s="155"/>
      <c r="AW961" s="155"/>
    </row>
    <row r="962" spans="1:49" ht="16.5" customHeight="1">
      <c r="A962" s="155"/>
      <c r="F962" s="185"/>
      <c r="AD962" s="155"/>
      <c r="AE962" s="155"/>
      <c r="AF962" s="155"/>
      <c r="AG962" s="155"/>
      <c r="AH962" s="155"/>
      <c r="AI962" s="155"/>
      <c r="AJ962" s="155"/>
      <c r="AK962" s="155"/>
      <c r="AL962" s="155"/>
      <c r="AM962" s="155"/>
      <c r="AN962" s="155"/>
      <c r="AO962" s="155"/>
      <c r="AP962" s="155"/>
      <c r="AQ962" s="155"/>
      <c r="AR962" s="155"/>
      <c r="AS962" s="155"/>
      <c r="AT962" s="155"/>
      <c r="AU962" s="155"/>
      <c r="AV962" s="155"/>
      <c r="AW962" s="155"/>
    </row>
    <row r="963" spans="1:49" ht="16.5" customHeight="1">
      <c r="A963" s="155"/>
      <c r="F963" s="185"/>
      <c r="AD963" s="155"/>
      <c r="AE963" s="155"/>
      <c r="AF963" s="155"/>
      <c r="AG963" s="155"/>
      <c r="AH963" s="155"/>
      <c r="AI963" s="155"/>
      <c r="AJ963" s="155"/>
      <c r="AK963" s="155"/>
      <c r="AL963" s="155"/>
      <c r="AM963" s="155"/>
      <c r="AN963" s="155"/>
      <c r="AO963" s="155"/>
      <c r="AP963" s="155"/>
      <c r="AQ963" s="155"/>
      <c r="AR963" s="155"/>
      <c r="AS963" s="155"/>
      <c r="AT963" s="155"/>
      <c r="AU963" s="155"/>
      <c r="AV963" s="155"/>
      <c r="AW963" s="155"/>
    </row>
    <row r="964" spans="1:49" ht="16.5" customHeight="1">
      <c r="A964" s="155"/>
      <c r="F964" s="185"/>
      <c r="AD964" s="155"/>
      <c r="AE964" s="155"/>
      <c r="AF964" s="155"/>
      <c r="AG964" s="155"/>
      <c r="AH964" s="155"/>
      <c r="AI964" s="155"/>
      <c r="AJ964" s="155"/>
      <c r="AK964" s="155"/>
      <c r="AL964" s="155"/>
      <c r="AM964" s="155"/>
      <c r="AN964" s="155"/>
      <c r="AO964" s="155"/>
      <c r="AP964" s="155"/>
      <c r="AQ964" s="155"/>
      <c r="AR964" s="155"/>
      <c r="AS964" s="155"/>
      <c r="AT964" s="155"/>
      <c r="AU964" s="155"/>
      <c r="AV964" s="155"/>
      <c r="AW964" s="155"/>
    </row>
    <row r="965" spans="1:49" ht="16.5" customHeight="1">
      <c r="A965" s="155"/>
      <c r="F965" s="185"/>
      <c r="AD965" s="155"/>
      <c r="AE965" s="155"/>
      <c r="AF965" s="155"/>
      <c r="AG965" s="155"/>
      <c r="AH965" s="155"/>
      <c r="AI965" s="155"/>
      <c r="AJ965" s="155"/>
      <c r="AK965" s="155"/>
      <c r="AL965" s="155"/>
      <c r="AM965" s="155"/>
      <c r="AN965" s="155"/>
      <c r="AO965" s="155"/>
      <c r="AP965" s="155"/>
      <c r="AQ965" s="155"/>
      <c r="AR965" s="155"/>
      <c r="AS965" s="155"/>
      <c r="AT965" s="155"/>
      <c r="AU965" s="155"/>
      <c r="AV965" s="155"/>
      <c r="AW965" s="155"/>
    </row>
    <row r="966" spans="1:49" ht="16.5" customHeight="1">
      <c r="A966" s="155"/>
      <c r="F966" s="185"/>
      <c r="AD966" s="155"/>
      <c r="AE966" s="155"/>
      <c r="AF966" s="155"/>
      <c r="AG966" s="155"/>
      <c r="AH966" s="155"/>
      <c r="AI966" s="155"/>
      <c r="AJ966" s="155"/>
      <c r="AK966" s="155"/>
      <c r="AL966" s="155"/>
      <c r="AM966" s="155"/>
      <c r="AN966" s="155"/>
      <c r="AO966" s="155"/>
      <c r="AP966" s="155"/>
      <c r="AQ966" s="155"/>
      <c r="AR966" s="155"/>
      <c r="AS966" s="155"/>
      <c r="AT966" s="155"/>
      <c r="AU966" s="155"/>
      <c r="AV966" s="155"/>
      <c r="AW966" s="155"/>
    </row>
    <row r="967" spans="1:49" ht="16.5" customHeight="1">
      <c r="A967" s="155"/>
      <c r="F967" s="185"/>
      <c r="AD967" s="155"/>
      <c r="AE967" s="155"/>
      <c r="AF967" s="155"/>
      <c r="AG967" s="155"/>
      <c r="AH967" s="155"/>
      <c r="AI967" s="155"/>
      <c r="AJ967" s="155"/>
      <c r="AK967" s="155"/>
      <c r="AL967" s="155"/>
      <c r="AM967" s="155"/>
      <c r="AN967" s="155"/>
      <c r="AO967" s="155"/>
      <c r="AP967" s="155"/>
      <c r="AQ967" s="155"/>
      <c r="AR967" s="155"/>
      <c r="AS967" s="155"/>
      <c r="AT967" s="155"/>
      <c r="AU967" s="155"/>
      <c r="AV967" s="155"/>
      <c r="AW967" s="155"/>
    </row>
    <row r="968" spans="1:49" ht="16.5" customHeight="1">
      <c r="A968" s="155"/>
      <c r="F968" s="185"/>
      <c r="AD968" s="155"/>
      <c r="AE968" s="155"/>
      <c r="AF968" s="155"/>
      <c r="AG968" s="155"/>
      <c r="AH968" s="155"/>
      <c r="AI968" s="155"/>
      <c r="AJ968" s="155"/>
      <c r="AK968" s="155"/>
      <c r="AL968" s="155"/>
      <c r="AM968" s="155"/>
      <c r="AN968" s="155"/>
      <c r="AO968" s="155"/>
      <c r="AP968" s="155"/>
      <c r="AQ968" s="155"/>
      <c r="AR968" s="155"/>
      <c r="AS968" s="155"/>
      <c r="AT968" s="155"/>
      <c r="AU968" s="155"/>
      <c r="AV968" s="155"/>
      <c r="AW968" s="155"/>
    </row>
    <row r="969" spans="1:49" ht="16.5" customHeight="1">
      <c r="A969" s="155"/>
      <c r="F969" s="185"/>
      <c r="AD969" s="155"/>
      <c r="AE969" s="155"/>
      <c r="AF969" s="155"/>
      <c r="AG969" s="155"/>
      <c r="AH969" s="155"/>
      <c r="AI969" s="155"/>
      <c r="AJ969" s="155"/>
      <c r="AK969" s="155"/>
      <c r="AL969" s="155"/>
      <c r="AM969" s="155"/>
      <c r="AN969" s="155"/>
      <c r="AO969" s="155"/>
      <c r="AP969" s="155"/>
      <c r="AQ969" s="155"/>
      <c r="AR969" s="155"/>
      <c r="AS969" s="155"/>
      <c r="AT969" s="155"/>
      <c r="AU969" s="155"/>
      <c r="AV969" s="155"/>
      <c r="AW969" s="155"/>
    </row>
    <row r="970" spans="1:49" ht="16.5" customHeight="1">
      <c r="A970" s="155"/>
      <c r="F970" s="185"/>
      <c r="AD970" s="155"/>
      <c r="AE970" s="155"/>
      <c r="AF970" s="155"/>
      <c r="AG970" s="155"/>
      <c r="AH970" s="155"/>
      <c r="AI970" s="155"/>
      <c r="AJ970" s="155"/>
      <c r="AK970" s="155"/>
      <c r="AL970" s="155"/>
      <c r="AM970" s="155"/>
      <c r="AN970" s="155"/>
      <c r="AO970" s="155"/>
      <c r="AP970" s="155"/>
      <c r="AQ970" s="155"/>
      <c r="AR970" s="155"/>
      <c r="AS970" s="155"/>
      <c r="AT970" s="155"/>
      <c r="AU970" s="155"/>
      <c r="AV970" s="155"/>
      <c r="AW970" s="155"/>
    </row>
    <row r="971" spans="1:49" ht="16.5" customHeight="1">
      <c r="A971" s="155"/>
      <c r="F971" s="185"/>
      <c r="AD971" s="155"/>
      <c r="AE971" s="155"/>
      <c r="AF971" s="155"/>
      <c r="AG971" s="155"/>
      <c r="AH971" s="155"/>
      <c r="AI971" s="155"/>
      <c r="AJ971" s="155"/>
      <c r="AK971" s="155"/>
      <c r="AL971" s="155"/>
      <c r="AM971" s="155"/>
      <c r="AN971" s="155"/>
      <c r="AO971" s="155"/>
      <c r="AP971" s="155"/>
      <c r="AQ971" s="155"/>
      <c r="AR971" s="155"/>
      <c r="AS971" s="155"/>
      <c r="AT971" s="155"/>
      <c r="AU971" s="155"/>
      <c r="AV971" s="155"/>
      <c r="AW971" s="155"/>
    </row>
    <row r="972" spans="1:49" ht="16.5" customHeight="1">
      <c r="A972" s="155"/>
      <c r="F972" s="185"/>
      <c r="AD972" s="155"/>
      <c r="AE972" s="155"/>
      <c r="AF972" s="155"/>
      <c r="AG972" s="155"/>
      <c r="AH972" s="155"/>
      <c r="AI972" s="155"/>
      <c r="AJ972" s="155"/>
      <c r="AK972" s="155"/>
      <c r="AL972" s="155"/>
      <c r="AM972" s="155"/>
      <c r="AN972" s="155"/>
      <c r="AO972" s="155"/>
      <c r="AP972" s="155"/>
      <c r="AQ972" s="155"/>
      <c r="AR972" s="155"/>
      <c r="AS972" s="155"/>
      <c r="AT972" s="155"/>
      <c r="AU972" s="155"/>
      <c r="AV972" s="155"/>
      <c r="AW972" s="155"/>
    </row>
    <row r="973" spans="1:49" ht="16.5" customHeight="1">
      <c r="A973" s="155"/>
      <c r="F973" s="185"/>
      <c r="AD973" s="155"/>
      <c r="AE973" s="155"/>
      <c r="AF973" s="155"/>
      <c r="AG973" s="155"/>
      <c r="AH973" s="155"/>
      <c r="AI973" s="155"/>
      <c r="AJ973" s="155"/>
      <c r="AK973" s="155"/>
      <c r="AL973" s="155"/>
      <c r="AM973" s="155"/>
      <c r="AN973" s="155"/>
      <c r="AO973" s="155"/>
      <c r="AP973" s="155"/>
      <c r="AQ973" s="155"/>
      <c r="AR973" s="155"/>
      <c r="AS973" s="155"/>
      <c r="AT973" s="155"/>
      <c r="AU973" s="155"/>
      <c r="AV973" s="155"/>
      <c r="AW973" s="155"/>
    </row>
    <row r="974" spans="1:49" ht="16.5" customHeight="1">
      <c r="A974" s="155"/>
      <c r="F974" s="185"/>
      <c r="AD974" s="155"/>
      <c r="AE974" s="155"/>
      <c r="AF974" s="155"/>
      <c r="AG974" s="155"/>
      <c r="AH974" s="155"/>
      <c r="AI974" s="155"/>
      <c r="AJ974" s="155"/>
      <c r="AK974" s="155"/>
      <c r="AL974" s="155"/>
      <c r="AM974" s="155"/>
      <c r="AN974" s="155"/>
      <c r="AO974" s="155"/>
      <c r="AP974" s="155"/>
      <c r="AQ974" s="155"/>
      <c r="AR974" s="155"/>
      <c r="AS974" s="155"/>
      <c r="AT974" s="155"/>
      <c r="AU974" s="155"/>
      <c r="AV974" s="155"/>
      <c r="AW974" s="155"/>
    </row>
    <row r="975" spans="1:49" ht="16.5" customHeight="1">
      <c r="A975" s="155"/>
      <c r="F975" s="185"/>
      <c r="AD975" s="155"/>
      <c r="AE975" s="155"/>
      <c r="AF975" s="155"/>
      <c r="AG975" s="155"/>
      <c r="AH975" s="155"/>
      <c r="AI975" s="155"/>
      <c r="AJ975" s="155"/>
      <c r="AK975" s="155"/>
      <c r="AL975" s="155"/>
      <c r="AM975" s="155"/>
      <c r="AN975" s="155"/>
      <c r="AO975" s="155"/>
      <c r="AP975" s="155"/>
      <c r="AQ975" s="155"/>
      <c r="AR975" s="155"/>
      <c r="AS975" s="155"/>
      <c r="AT975" s="155"/>
      <c r="AU975" s="155"/>
      <c r="AV975" s="155"/>
      <c r="AW975" s="155"/>
    </row>
    <row r="976" spans="1:49" ht="16.5" customHeight="1">
      <c r="A976" s="155"/>
      <c r="F976" s="185"/>
      <c r="AD976" s="155"/>
      <c r="AE976" s="155"/>
      <c r="AF976" s="155"/>
      <c r="AG976" s="155"/>
      <c r="AH976" s="155"/>
      <c r="AI976" s="155"/>
      <c r="AJ976" s="155"/>
      <c r="AK976" s="155"/>
      <c r="AL976" s="155"/>
      <c r="AM976" s="155"/>
      <c r="AN976" s="155"/>
      <c r="AO976" s="155"/>
      <c r="AP976" s="155"/>
      <c r="AQ976" s="155"/>
      <c r="AR976" s="155"/>
      <c r="AS976" s="155"/>
      <c r="AT976" s="155"/>
      <c r="AU976" s="155"/>
      <c r="AV976" s="155"/>
      <c r="AW976" s="155"/>
    </row>
    <row r="977" spans="1:49" ht="16.5" customHeight="1">
      <c r="A977" s="155"/>
      <c r="F977" s="185"/>
      <c r="AD977" s="155"/>
      <c r="AE977" s="155"/>
      <c r="AF977" s="155"/>
      <c r="AG977" s="155"/>
      <c r="AH977" s="155"/>
      <c r="AI977" s="155"/>
      <c r="AJ977" s="155"/>
      <c r="AK977" s="155"/>
      <c r="AL977" s="155"/>
      <c r="AM977" s="155"/>
      <c r="AN977" s="155"/>
      <c r="AO977" s="155"/>
      <c r="AP977" s="155"/>
      <c r="AQ977" s="155"/>
      <c r="AR977" s="155"/>
      <c r="AS977" s="155"/>
      <c r="AT977" s="155"/>
      <c r="AU977" s="155"/>
      <c r="AV977" s="155"/>
      <c r="AW977" s="155"/>
    </row>
    <row r="978" spans="1:49" ht="16.5" customHeight="1">
      <c r="A978" s="155"/>
      <c r="F978" s="185"/>
      <c r="AD978" s="155"/>
      <c r="AE978" s="155"/>
      <c r="AF978" s="155"/>
      <c r="AG978" s="155"/>
      <c r="AH978" s="155"/>
      <c r="AI978" s="155"/>
      <c r="AJ978" s="155"/>
      <c r="AK978" s="155"/>
      <c r="AL978" s="155"/>
      <c r="AM978" s="155"/>
      <c r="AN978" s="155"/>
      <c r="AO978" s="155"/>
      <c r="AP978" s="155"/>
      <c r="AQ978" s="155"/>
      <c r="AR978" s="155"/>
      <c r="AS978" s="155"/>
      <c r="AT978" s="155"/>
      <c r="AU978" s="155"/>
      <c r="AV978" s="155"/>
      <c r="AW978" s="155"/>
    </row>
    <row r="979" spans="1:49" ht="16.5" customHeight="1">
      <c r="A979" s="155"/>
      <c r="F979" s="185"/>
      <c r="AD979" s="155"/>
      <c r="AE979" s="155"/>
      <c r="AF979" s="155"/>
      <c r="AG979" s="155"/>
      <c r="AH979" s="155"/>
      <c r="AI979" s="155"/>
      <c r="AJ979" s="155"/>
      <c r="AK979" s="155"/>
      <c r="AL979" s="155"/>
      <c r="AM979" s="155"/>
      <c r="AN979" s="155"/>
      <c r="AO979" s="155"/>
      <c r="AP979" s="155"/>
      <c r="AQ979" s="155"/>
      <c r="AR979" s="155"/>
      <c r="AS979" s="155"/>
      <c r="AT979" s="155"/>
      <c r="AU979" s="155"/>
      <c r="AV979" s="155"/>
      <c r="AW979" s="155"/>
    </row>
    <row r="980" spans="1:49" ht="16.5" customHeight="1">
      <c r="A980" s="155"/>
      <c r="F980" s="185"/>
      <c r="AD980" s="155"/>
      <c r="AE980" s="155"/>
      <c r="AF980" s="155"/>
      <c r="AG980" s="155"/>
      <c r="AH980" s="155"/>
      <c r="AI980" s="155"/>
      <c r="AJ980" s="155"/>
      <c r="AK980" s="155"/>
      <c r="AL980" s="155"/>
      <c r="AM980" s="155"/>
      <c r="AN980" s="155"/>
      <c r="AO980" s="155"/>
      <c r="AP980" s="155"/>
      <c r="AQ980" s="155"/>
      <c r="AR980" s="155"/>
      <c r="AS980" s="155"/>
      <c r="AT980" s="155"/>
      <c r="AU980" s="155"/>
      <c r="AV980" s="155"/>
      <c r="AW980" s="155"/>
    </row>
    <row r="981" spans="1:49" ht="16.5" customHeight="1">
      <c r="A981" s="155"/>
      <c r="F981" s="185"/>
      <c r="AD981" s="155"/>
      <c r="AE981" s="155"/>
      <c r="AF981" s="155"/>
      <c r="AG981" s="155"/>
      <c r="AH981" s="155"/>
      <c r="AI981" s="155"/>
      <c r="AJ981" s="155"/>
      <c r="AK981" s="155"/>
      <c r="AL981" s="155"/>
      <c r="AM981" s="155"/>
      <c r="AN981" s="155"/>
      <c r="AO981" s="155"/>
      <c r="AP981" s="155"/>
      <c r="AQ981" s="155"/>
      <c r="AR981" s="155"/>
      <c r="AS981" s="155"/>
      <c r="AT981" s="155"/>
      <c r="AU981" s="155"/>
      <c r="AV981" s="155"/>
      <c r="AW981" s="155"/>
    </row>
    <row r="982" spans="1:49" ht="16.5" customHeight="1">
      <c r="A982" s="155"/>
      <c r="F982" s="185"/>
      <c r="AD982" s="155"/>
      <c r="AE982" s="155"/>
      <c r="AF982" s="155"/>
      <c r="AG982" s="155"/>
      <c r="AH982" s="155"/>
      <c r="AI982" s="155"/>
      <c r="AJ982" s="155"/>
      <c r="AK982" s="155"/>
      <c r="AL982" s="155"/>
      <c r="AM982" s="155"/>
      <c r="AN982" s="155"/>
      <c r="AO982" s="155"/>
      <c r="AP982" s="155"/>
      <c r="AQ982" s="155"/>
      <c r="AR982" s="155"/>
      <c r="AS982" s="155"/>
      <c r="AT982" s="155"/>
      <c r="AU982" s="155"/>
      <c r="AV982" s="155"/>
      <c r="AW982" s="155"/>
    </row>
    <row r="983" spans="1:49" ht="16.5" customHeight="1">
      <c r="A983" s="155"/>
      <c r="F983" s="185"/>
      <c r="AD983" s="155"/>
      <c r="AE983" s="155"/>
      <c r="AF983" s="155"/>
      <c r="AG983" s="155"/>
      <c r="AH983" s="155"/>
      <c r="AI983" s="155"/>
      <c r="AJ983" s="155"/>
      <c r="AK983" s="155"/>
      <c r="AL983" s="155"/>
      <c r="AM983" s="155"/>
      <c r="AN983" s="155"/>
      <c r="AO983" s="155"/>
      <c r="AP983" s="155"/>
      <c r="AQ983" s="155"/>
      <c r="AR983" s="155"/>
      <c r="AS983" s="155"/>
      <c r="AT983" s="155"/>
      <c r="AU983" s="155"/>
      <c r="AV983" s="155"/>
      <c r="AW983" s="155"/>
    </row>
    <row r="984" spans="1:49" ht="16.5" customHeight="1">
      <c r="A984" s="155"/>
      <c r="F984" s="185"/>
      <c r="AD984" s="155"/>
      <c r="AE984" s="155"/>
      <c r="AF984" s="155"/>
      <c r="AG984" s="155"/>
      <c r="AH984" s="155"/>
      <c r="AI984" s="155"/>
      <c r="AJ984" s="155"/>
      <c r="AK984" s="155"/>
      <c r="AL984" s="155"/>
      <c r="AM984" s="155"/>
      <c r="AN984" s="155"/>
      <c r="AO984" s="155"/>
      <c r="AP984" s="155"/>
      <c r="AQ984" s="155"/>
      <c r="AR984" s="155"/>
      <c r="AS984" s="155"/>
      <c r="AT984" s="155"/>
      <c r="AU984" s="155"/>
      <c r="AV984" s="155"/>
      <c r="AW984" s="155"/>
    </row>
    <row r="985" spans="1:49" ht="16.5" customHeight="1">
      <c r="A985" s="155"/>
      <c r="F985" s="185"/>
      <c r="AD985" s="155"/>
      <c r="AE985" s="155"/>
      <c r="AF985" s="155"/>
      <c r="AG985" s="155"/>
      <c r="AH985" s="155"/>
      <c r="AI985" s="155"/>
      <c r="AJ985" s="155"/>
      <c r="AK985" s="155"/>
      <c r="AL985" s="155"/>
      <c r="AM985" s="155"/>
      <c r="AN985" s="155"/>
      <c r="AO985" s="155"/>
      <c r="AP985" s="155"/>
      <c r="AQ985" s="155"/>
      <c r="AR985" s="155"/>
      <c r="AS985" s="155"/>
      <c r="AT985" s="155"/>
      <c r="AU985" s="155"/>
      <c r="AV985" s="155"/>
      <c r="AW985" s="155"/>
    </row>
  </sheetData>
  <phoneticPr fontId="23"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BL1365"/>
  <sheetViews>
    <sheetView tabSelected="1" topLeftCell="A16" workbookViewId="0">
      <pane xSplit="6" topLeftCell="AE1" activePane="topRight" state="frozen"/>
      <selection pane="topRight" activeCell="AI25" sqref="AI25"/>
    </sheetView>
  </sheetViews>
  <sheetFormatPr defaultColWidth="14.42578125" defaultRowHeight="15" customHeight="1"/>
  <cols>
    <col min="1" max="1" width="19.7109375" customWidth="1"/>
    <col min="2" max="2" width="24" customWidth="1"/>
    <col min="3" max="3" width="16.42578125" customWidth="1"/>
    <col min="4" max="5" width="16.85546875" customWidth="1"/>
    <col min="6" max="6" width="19.140625" customWidth="1"/>
    <col min="7" max="7" width="13.5703125" customWidth="1"/>
    <col min="8" max="8" width="17.7109375" customWidth="1"/>
    <col min="9" max="9" width="19.140625" customWidth="1"/>
    <col min="10" max="12" width="13.5703125" customWidth="1"/>
    <col min="13" max="14" width="17.7109375" customWidth="1"/>
    <col min="15" max="16" width="16.85546875" customWidth="1"/>
    <col min="17" max="17" width="17.7109375" customWidth="1"/>
    <col min="18" max="18" width="19.85546875" customWidth="1"/>
    <col min="19" max="19" width="13.5703125" customWidth="1"/>
    <col min="20" max="23" width="17.7109375" customWidth="1"/>
    <col min="24" max="24" width="16.85546875" customWidth="1"/>
    <col min="25" max="25" width="17.7109375" customWidth="1"/>
    <col min="26" max="26" width="20" customWidth="1"/>
    <col min="27" max="27" width="16.85546875" customWidth="1"/>
    <col min="28" max="28" width="21.42578125" customWidth="1"/>
    <col min="29" max="30" width="16.85546875" customWidth="1"/>
    <col min="31" max="31" width="19.140625" customWidth="1"/>
    <col min="32" max="32" width="16.85546875" customWidth="1"/>
    <col min="33" max="64" width="13.5703125" customWidth="1"/>
  </cols>
  <sheetData>
    <row r="1" spans="1:64" ht="28.5" customHeight="1">
      <c r="A1" s="118">
        <v>192</v>
      </c>
      <c r="B1" s="118"/>
      <c r="C1" s="186"/>
      <c r="D1" s="187"/>
      <c r="E1" s="187"/>
      <c r="F1" s="187"/>
      <c r="G1" s="187"/>
      <c r="H1" s="61"/>
      <c r="I1" s="61"/>
      <c r="J1" s="61"/>
      <c r="K1" s="61"/>
      <c r="L1" s="61"/>
      <c r="M1" s="9"/>
      <c r="N1" s="9"/>
      <c r="O1" s="9"/>
      <c r="P1" s="9"/>
      <c r="Q1" s="9"/>
      <c r="R1" s="9"/>
      <c r="S1" s="9"/>
      <c r="T1" s="9"/>
      <c r="U1" s="9"/>
      <c r="V1" s="9"/>
      <c r="W1" s="9"/>
      <c r="X1" s="9"/>
      <c r="Y1" s="61"/>
      <c r="Z1" s="9"/>
      <c r="AA1" s="9"/>
      <c r="AB1" s="9"/>
      <c r="AC1" s="9"/>
      <c r="AD1" s="9"/>
      <c r="AE1" s="9"/>
      <c r="AF1" s="188"/>
      <c r="AG1" s="9"/>
      <c r="AH1" s="8"/>
      <c r="AI1" s="8"/>
      <c r="AJ1" s="8"/>
      <c r="AK1" s="8"/>
      <c r="AL1" s="8"/>
      <c r="AM1" s="5"/>
      <c r="AN1" s="148"/>
      <c r="AO1" s="118"/>
      <c r="AP1" s="118"/>
      <c r="AQ1" s="11"/>
      <c r="AR1" s="11"/>
      <c r="AS1" s="118"/>
      <c r="AT1" s="118"/>
      <c r="AU1" s="118"/>
      <c r="AV1" s="126"/>
      <c r="AW1" s="126"/>
      <c r="AX1" s="126"/>
      <c r="AY1" s="118"/>
      <c r="AZ1" s="118"/>
      <c r="BA1" s="118"/>
      <c r="BB1" s="118"/>
      <c r="BC1" s="118"/>
      <c r="BD1" s="118"/>
      <c r="BE1" s="118"/>
      <c r="BF1" s="118"/>
      <c r="BG1" s="118"/>
      <c r="BH1" s="118"/>
      <c r="BI1" s="118"/>
      <c r="BJ1" s="118"/>
      <c r="BK1" s="118"/>
      <c r="BL1" s="47"/>
    </row>
    <row r="2" spans="1:64" ht="28.5" customHeight="1">
      <c r="A2" s="12"/>
      <c r="B2" s="189"/>
      <c r="C2" s="134">
        <v>45929</v>
      </c>
      <c r="D2" s="122" t="s">
        <v>0</v>
      </c>
      <c r="E2" s="122" t="s">
        <v>1</v>
      </c>
      <c r="F2" s="122" t="s">
        <v>2</v>
      </c>
      <c r="G2" s="190" t="s">
        <v>3</v>
      </c>
      <c r="H2" s="191" t="s">
        <v>4</v>
      </c>
      <c r="I2" s="192" t="s">
        <v>5</v>
      </c>
      <c r="J2" s="192" t="s">
        <v>90</v>
      </c>
      <c r="K2" s="192" t="s">
        <v>124</v>
      </c>
      <c r="L2" s="193" t="s">
        <v>6</v>
      </c>
      <c r="M2" s="194" t="s">
        <v>7</v>
      </c>
      <c r="N2" s="123" t="s">
        <v>125</v>
      </c>
      <c r="O2" s="123" t="s">
        <v>8</v>
      </c>
      <c r="P2" s="123" t="s">
        <v>9</v>
      </c>
      <c r="Q2" s="195" t="s">
        <v>10</v>
      </c>
      <c r="R2" s="123" t="s">
        <v>92</v>
      </c>
      <c r="S2" s="196" t="s">
        <v>11</v>
      </c>
      <c r="T2" s="17" t="s">
        <v>12</v>
      </c>
      <c r="U2" s="17" t="s">
        <v>13</v>
      </c>
      <c r="V2" s="17" t="s">
        <v>14</v>
      </c>
      <c r="W2" s="17" t="s">
        <v>15</v>
      </c>
      <c r="X2" s="15" t="s">
        <v>16</v>
      </c>
      <c r="Y2" s="15" t="s">
        <v>17</v>
      </c>
      <c r="Z2" s="19" t="s">
        <v>18</v>
      </c>
      <c r="AA2" s="19" t="s">
        <v>19</v>
      </c>
      <c r="AB2" s="20" t="s">
        <v>20</v>
      </c>
      <c r="AC2" s="22" t="s">
        <v>93</v>
      </c>
      <c r="AD2" s="197" t="s">
        <v>21</v>
      </c>
      <c r="AE2" s="122" t="s">
        <v>22</v>
      </c>
      <c r="AF2" s="21" t="s">
        <v>23</v>
      </c>
      <c r="AG2" s="21" t="s">
        <v>21</v>
      </c>
      <c r="AH2" s="122" t="s">
        <v>24</v>
      </c>
      <c r="AI2" s="15" t="s">
        <v>25</v>
      </c>
      <c r="AJ2" s="15" t="s">
        <v>26</v>
      </c>
      <c r="AK2" s="122" t="s">
        <v>27</v>
      </c>
      <c r="AL2" s="198" t="s">
        <v>28</v>
      </c>
      <c r="AM2" s="199" t="s">
        <v>29</v>
      </c>
      <c r="AN2" s="124" t="s">
        <v>30</v>
      </c>
      <c r="AO2" s="124" t="s">
        <v>94</v>
      </c>
      <c r="AP2" s="125" t="s">
        <v>95</v>
      </c>
      <c r="AQ2" s="27"/>
      <c r="AR2" s="27"/>
      <c r="AS2" s="26"/>
      <c r="AT2" s="26"/>
      <c r="AU2" s="26"/>
      <c r="AV2" s="27"/>
      <c r="AW2" s="27"/>
      <c r="AX2" s="27"/>
      <c r="AY2" s="26"/>
      <c r="AZ2" s="26"/>
      <c r="BA2" s="26"/>
      <c r="BB2" s="26"/>
      <c r="BC2" s="26"/>
      <c r="BD2" s="26"/>
      <c r="BE2" s="26"/>
      <c r="BF2" s="26"/>
      <c r="BG2" s="26"/>
      <c r="BH2" s="26"/>
      <c r="BI2" s="26"/>
      <c r="BJ2" s="26"/>
      <c r="BK2" s="26"/>
    </row>
    <row r="3" spans="1:64" ht="28.5" customHeight="1">
      <c r="A3" s="12"/>
      <c r="B3" s="200"/>
      <c r="C3" s="42" t="s">
        <v>107</v>
      </c>
      <c r="D3" s="28">
        <f t="shared" ref="D3:D20" si="0">AK3/V3</f>
        <v>0.18241530378909812</v>
      </c>
      <c r="E3" s="201">
        <f t="shared" ref="E3:E20" si="1">AJ3/V3</f>
        <v>0.42412315087159314</v>
      </c>
      <c r="F3" s="30">
        <f t="shared" ref="F3:F20" si="2">(Z3+AB3)/V3</f>
        <v>0.24170784708249499</v>
      </c>
      <c r="G3" s="30">
        <f t="shared" ref="G3:G19" si="3">R3/AP3</f>
        <v>6.905890318212593E-2</v>
      </c>
      <c r="H3" s="35">
        <v>7410</v>
      </c>
      <c r="I3" s="35">
        <f t="shared" ref="I3:I19" si="4">N3*7</f>
        <v>1400</v>
      </c>
      <c r="J3" s="35">
        <f t="shared" ref="J3:J19" si="5">N3*14</f>
        <v>2800</v>
      </c>
      <c r="K3" s="48"/>
      <c r="L3" s="49">
        <v>768</v>
      </c>
      <c r="M3" s="49">
        <f>2023+1320</f>
        <v>3343</v>
      </c>
      <c r="N3" s="44">
        <v>200</v>
      </c>
      <c r="O3" s="202">
        <v>142</v>
      </c>
      <c r="P3" s="31">
        <f t="shared" ref="P3:P19" si="6">O3-S3</f>
        <v>142</v>
      </c>
      <c r="Q3" s="202">
        <v>12</v>
      </c>
      <c r="R3" s="203">
        <v>102</v>
      </c>
      <c r="S3" s="36"/>
      <c r="T3" s="34">
        <f t="shared" ref="T3:T19" si="7">W3*O3</f>
        <v>3976000</v>
      </c>
      <c r="U3" s="31">
        <f t="shared" ref="U3:U19" si="8">W3*S3</f>
        <v>0</v>
      </c>
      <c r="V3" s="34">
        <f t="shared" ref="V3:V19" si="9">T3-U3</f>
        <v>3976000</v>
      </c>
      <c r="W3" s="34">
        <v>28000</v>
      </c>
      <c r="X3" s="34">
        <f>SUMIF(헤몬팜마진!$B$7:$B$32,$C3,헤몬팜마진!$R$7:$R$32)</f>
        <v>8850.86</v>
      </c>
      <c r="Y3" s="34">
        <f t="shared" ref="Y3:Y19" si="10">AI3*P3</f>
        <v>1312798.7472000001</v>
      </c>
      <c r="Z3" s="34">
        <f t="shared" ref="Z3:Z19" si="11">AA3*1.1</f>
        <v>961030.4</v>
      </c>
      <c r="AA3" s="49">
        <v>873664</v>
      </c>
      <c r="AB3" s="36"/>
      <c r="AC3" s="204">
        <f t="shared" ref="AC3:AC4" si="12">(1072+1100)*Q3</f>
        <v>26064</v>
      </c>
      <c r="AD3" s="152">
        <v>0.1</v>
      </c>
      <c r="AE3" s="31">
        <f>3050*(P3)</f>
        <v>433100</v>
      </c>
      <c r="AF3" s="28">
        <f t="shared" ref="AF3:AF20" si="13">AD3+(AE3/V3)</f>
        <v>0.20892857142857144</v>
      </c>
      <c r="AG3" s="34">
        <f t="shared" ref="AG3:AG19" si="14">IFERROR(V3*AF3+3%,0)</f>
        <v>830700.03</v>
      </c>
      <c r="AH3" s="34">
        <f t="shared" ref="AH3:AH19" si="15">V3/1.1*10%-((AI3*P3)+AG3+(AN3*P3)+(AL3*P3))*10%</f>
        <v>146187.57493454538</v>
      </c>
      <c r="AI3" s="34">
        <f>SUMIF(헤몬팜마진!$B$7:$B$32,$C3,헤몬팜마진!$V$7:$V$32)</f>
        <v>9245.0616000000009</v>
      </c>
      <c r="AJ3" s="34">
        <f t="shared" ref="AJ3:AJ20" si="16">V3-(Y3+AG3+AH3+(AN3*P3))</f>
        <v>1686313.6478654542</v>
      </c>
      <c r="AK3" s="46">
        <f t="shared" ref="AK3:AK20" si="17">AJ3-Z3-AB3</f>
        <v>725283.24786545418</v>
      </c>
      <c r="AL3" s="40">
        <f>SUMIF(헤몬팜마진!$B$7:$B$32,$C3,헤몬팜마진!$T$7:$T$32)</f>
        <v>64.584000000000003</v>
      </c>
      <c r="AM3" s="41">
        <f>SUMIF(헤몬팜마진!$B$7:$B$32,$C3,헤몬팜마진!$U$7:$U$32)</f>
        <v>329.61759999999998</v>
      </c>
      <c r="AN3" s="36"/>
      <c r="AO3" s="202">
        <v>524770</v>
      </c>
      <c r="AP3" s="205">
        <v>1477</v>
      </c>
      <c r="AQ3" s="27"/>
      <c r="AR3" s="27"/>
      <c r="AS3" s="26"/>
      <c r="AT3" s="26"/>
      <c r="AU3" s="26"/>
      <c r="AV3" s="27"/>
      <c r="AW3" s="27"/>
      <c r="AX3" s="27"/>
      <c r="AY3" s="26"/>
      <c r="AZ3" s="26"/>
      <c r="BA3" s="26"/>
      <c r="BB3" s="26"/>
      <c r="BC3" s="26"/>
      <c r="BD3" s="26"/>
      <c r="BE3" s="26"/>
      <c r="BF3" s="26"/>
      <c r="BG3" s="26"/>
      <c r="BH3" s="26"/>
      <c r="BI3" s="26"/>
      <c r="BJ3" s="26"/>
      <c r="BK3" s="26"/>
    </row>
    <row r="4" spans="1:64" ht="28.5" customHeight="1">
      <c r="A4" s="12"/>
      <c r="B4" s="200"/>
      <c r="C4" s="42" t="s">
        <v>108</v>
      </c>
      <c r="D4" s="28" t="e">
        <f t="shared" si="0"/>
        <v>#DIV/0!</v>
      </c>
      <c r="E4" s="201" t="e">
        <f t="shared" si="1"/>
        <v>#DIV/0!</v>
      </c>
      <c r="F4" s="30" t="e">
        <f t="shared" si="2"/>
        <v>#DIV/0!</v>
      </c>
      <c r="G4" s="30">
        <f t="shared" si="3"/>
        <v>0</v>
      </c>
      <c r="H4" s="35">
        <v>1460</v>
      </c>
      <c r="I4" s="35">
        <f t="shared" si="4"/>
        <v>140</v>
      </c>
      <c r="J4" s="35">
        <f t="shared" si="5"/>
        <v>280</v>
      </c>
      <c r="K4" s="48"/>
      <c r="L4" s="39">
        <v>325</v>
      </c>
      <c r="M4" s="39">
        <v>0</v>
      </c>
      <c r="N4" s="44">
        <v>20</v>
      </c>
      <c r="O4" s="202">
        <v>0</v>
      </c>
      <c r="P4" s="31">
        <f t="shared" si="6"/>
        <v>0</v>
      </c>
      <c r="Q4" s="202">
        <v>0</v>
      </c>
      <c r="R4" s="203">
        <v>0</v>
      </c>
      <c r="S4" s="36"/>
      <c r="T4" s="34">
        <f t="shared" si="7"/>
        <v>0</v>
      </c>
      <c r="U4" s="31">
        <f t="shared" si="8"/>
        <v>0</v>
      </c>
      <c r="V4" s="34">
        <f t="shared" si="9"/>
        <v>0</v>
      </c>
      <c r="W4" s="43">
        <v>22700</v>
      </c>
      <c r="X4" s="34">
        <f>SUMIF(헤몬팜마진!$B$7:$B$32,$C4,헤몬팜마진!$R$7:$R$32)</f>
        <v>7080.6879999999992</v>
      </c>
      <c r="Y4" s="34">
        <f t="shared" si="10"/>
        <v>0</v>
      </c>
      <c r="Z4" s="34">
        <f t="shared" si="11"/>
        <v>4500.1000000000004</v>
      </c>
      <c r="AA4" s="49">
        <v>4091</v>
      </c>
      <c r="AB4" s="36"/>
      <c r="AC4" s="204">
        <f t="shared" si="12"/>
        <v>0</v>
      </c>
      <c r="AD4" s="152">
        <v>0.1</v>
      </c>
      <c r="AE4" s="31">
        <f>2950*(P4)</f>
        <v>0</v>
      </c>
      <c r="AF4" s="28" t="e">
        <f t="shared" si="13"/>
        <v>#DIV/0!</v>
      </c>
      <c r="AG4" s="34">
        <f t="shared" si="14"/>
        <v>0</v>
      </c>
      <c r="AH4" s="34">
        <f t="shared" si="15"/>
        <v>0</v>
      </c>
      <c r="AI4" s="34">
        <f>SUMIF(헤몬팜마진!$B$7:$B$32,$C4,헤몬팜마진!$V$7:$V$32)</f>
        <v>7377.3279999999995</v>
      </c>
      <c r="AJ4" s="34">
        <f t="shared" si="16"/>
        <v>0</v>
      </c>
      <c r="AK4" s="206">
        <f t="shared" si="17"/>
        <v>-4500.1000000000004</v>
      </c>
      <c r="AL4" s="40">
        <f>SUMIF(헤몬팜마진!$B$7:$B$32,$C4,헤몬팜마진!$T$7:$T$32)</f>
        <v>48.6</v>
      </c>
      <c r="AM4" s="41">
        <f>SUMIF(헤몬팜마진!$B$7:$B$32,$C4,헤몬팜마진!$U$7:$U$32)</f>
        <v>248.04000000000002</v>
      </c>
      <c r="AN4" s="36"/>
      <c r="AO4" s="202">
        <v>27292</v>
      </c>
      <c r="AP4" s="205">
        <v>12</v>
      </c>
      <c r="AQ4" s="27"/>
      <c r="AR4" s="27"/>
      <c r="AS4" s="26"/>
      <c r="AT4" s="26"/>
      <c r="AU4" s="26"/>
      <c r="AV4" s="27"/>
      <c r="AW4" s="27"/>
      <c r="AX4" s="27"/>
      <c r="AY4" s="26"/>
      <c r="AZ4" s="26"/>
      <c r="BA4" s="26"/>
      <c r="BB4" s="26"/>
      <c r="BC4" s="26"/>
      <c r="BD4" s="26"/>
      <c r="BE4" s="26"/>
      <c r="BF4" s="26"/>
      <c r="BG4" s="26"/>
      <c r="BH4" s="26"/>
      <c r="BI4" s="26"/>
      <c r="BJ4" s="26"/>
      <c r="BK4" s="26"/>
    </row>
    <row r="5" spans="1:64" ht="28.5" customHeight="1">
      <c r="A5" s="12"/>
      <c r="B5" s="323"/>
      <c r="C5" s="42" t="s">
        <v>109</v>
      </c>
      <c r="D5" s="28" t="e">
        <f t="shared" si="0"/>
        <v>#REF!</v>
      </c>
      <c r="E5" s="201" t="e">
        <f t="shared" si="1"/>
        <v>#REF!</v>
      </c>
      <c r="F5" s="30">
        <f t="shared" si="2"/>
        <v>0.17656040756914121</v>
      </c>
      <c r="G5" s="30">
        <f t="shared" si="3"/>
        <v>4.1666666666666664E-2</v>
      </c>
      <c r="H5" s="35">
        <v>0</v>
      </c>
      <c r="I5" s="35">
        <f t="shared" si="4"/>
        <v>105</v>
      </c>
      <c r="J5" s="35">
        <f t="shared" si="5"/>
        <v>210</v>
      </c>
      <c r="K5" s="48"/>
      <c r="L5" s="325">
        <v>430</v>
      </c>
      <c r="M5" s="49">
        <f>40+3+3</f>
        <v>46</v>
      </c>
      <c r="N5" s="44">
        <v>15</v>
      </c>
      <c r="O5" s="202">
        <v>3</v>
      </c>
      <c r="P5" s="31">
        <f t="shared" si="6"/>
        <v>3</v>
      </c>
      <c r="Q5" s="202">
        <v>1</v>
      </c>
      <c r="R5" s="203">
        <v>2</v>
      </c>
      <c r="S5" s="36"/>
      <c r="T5" s="34">
        <f t="shared" si="7"/>
        <v>137400</v>
      </c>
      <c r="U5" s="31">
        <f t="shared" si="8"/>
        <v>0</v>
      </c>
      <c r="V5" s="34">
        <f t="shared" si="9"/>
        <v>137400</v>
      </c>
      <c r="W5" s="43">
        <v>45800</v>
      </c>
      <c r="X5" s="34">
        <f>SUMIF(헤몬팜마진!$B$7:$B$32,$C5,헤몬팜마진!$R$7:$R$32)</f>
        <v>9990.4082249999992</v>
      </c>
      <c r="Y5" s="34" t="e">
        <f t="shared" si="10"/>
        <v>#REF!</v>
      </c>
      <c r="Z5" s="34">
        <f t="shared" si="11"/>
        <v>24259.4</v>
      </c>
      <c r="AA5" s="49">
        <v>22054</v>
      </c>
      <c r="AB5" s="36"/>
      <c r="AC5" s="204">
        <f t="shared" ref="AC5:AC19" si="18">(1210+1100)*Q5</f>
        <v>2310</v>
      </c>
      <c r="AD5" s="152">
        <v>0.11</v>
      </c>
      <c r="AE5" s="31">
        <f t="shared" ref="AE5:AE6" si="19">4150*(P5)</f>
        <v>12450</v>
      </c>
      <c r="AF5" s="28">
        <f t="shared" si="13"/>
        <v>0.2006113537117904</v>
      </c>
      <c r="AG5" s="34">
        <f t="shared" si="14"/>
        <v>27564.03</v>
      </c>
      <c r="AH5" s="34" t="e">
        <f t="shared" si="15"/>
        <v>#REF!</v>
      </c>
      <c r="AI5" s="34" t="e">
        <f>SUMIF(헤몬팜마진!$B$7:$B$32,$C5,헤몬팜마진!$V$7:$V$32)</f>
        <v>#REF!</v>
      </c>
      <c r="AJ5" s="34" t="e">
        <f t="shared" si="16"/>
        <v>#REF!</v>
      </c>
      <c r="AK5" s="46" t="e">
        <f t="shared" si="17"/>
        <v>#REF!</v>
      </c>
      <c r="AL5" s="40">
        <f>SUMIF(헤몬팜마진!$B$7:$B$32,$C5,헤몬팜마진!$T$7:$T$32)</f>
        <v>162</v>
      </c>
      <c r="AM5" s="41">
        <f>SUMIF(헤몬팜마진!$B$7:$B$32,$C5,헤몬팜마진!$U$7:$U$32)</f>
        <v>826.80000000000007</v>
      </c>
      <c r="AN5" s="36"/>
      <c r="AO5" s="202">
        <v>20297</v>
      </c>
      <c r="AP5" s="205">
        <v>48</v>
      </c>
      <c r="AQ5" s="27"/>
      <c r="AR5" s="27"/>
      <c r="AS5" s="26"/>
      <c r="AT5" s="26"/>
      <c r="AU5" s="26"/>
      <c r="AV5" s="27"/>
      <c r="AW5" s="27"/>
      <c r="AX5" s="27"/>
      <c r="AY5" s="26"/>
      <c r="AZ5" s="26"/>
      <c r="BA5" s="26"/>
      <c r="BB5" s="26"/>
      <c r="BC5" s="26"/>
      <c r="BD5" s="26"/>
      <c r="BE5" s="26"/>
      <c r="BF5" s="26"/>
      <c r="BG5" s="26"/>
      <c r="BH5" s="26"/>
      <c r="BI5" s="26"/>
      <c r="BJ5" s="26"/>
      <c r="BK5" s="26"/>
    </row>
    <row r="6" spans="1:64" ht="28.5" customHeight="1">
      <c r="A6" s="12"/>
      <c r="B6" s="324"/>
      <c r="C6" s="42" t="s">
        <v>110</v>
      </c>
      <c r="D6" s="28" t="e">
        <f t="shared" si="0"/>
        <v>#REF!</v>
      </c>
      <c r="E6" s="201" t="e">
        <f t="shared" si="1"/>
        <v>#REF!</v>
      </c>
      <c r="F6" s="30">
        <f t="shared" si="2"/>
        <v>0.35419177350427355</v>
      </c>
      <c r="G6" s="30">
        <f t="shared" si="3"/>
        <v>5.737704918032787E-2</v>
      </c>
      <c r="H6" s="35">
        <v>0</v>
      </c>
      <c r="I6" s="35">
        <f t="shared" si="4"/>
        <v>105</v>
      </c>
      <c r="J6" s="35">
        <f t="shared" si="5"/>
        <v>210</v>
      </c>
      <c r="K6" s="48"/>
      <c r="L6" s="310"/>
      <c r="M6" s="49">
        <f>20+2</f>
        <v>22</v>
      </c>
      <c r="N6" s="44">
        <v>15</v>
      </c>
      <c r="O6" s="202">
        <v>8</v>
      </c>
      <c r="P6" s="31">
        <f t="shared" si="6"/>
        <v>8</v>
      </c>
      <c r="Q6" s="202">
        <v>1</v>
      </c>
      <c r="R6" s="203">
        <v>7</v>
      </c>
      <c r="S6" s="36"/>
      <c r="T6" s="34">
        <f t="shared" si="7"/>
        <v>374400</v>
      </c>
      <c r="U6" s="31">
        <f t="shared" si="8"/>
        <v>0</v>
      </c>
      <c r="V6" s="34">
        <f t="shared" si="9"/>
        <v>374400</v>
      </c>
      <c r="W6" s="43">
        <v>46800</v>
      </c>
      <c r="X6" s="34">
        <f>SUMIF(헤몬팜마진!$B$7:$B$32,$C6,헤몬팜마진!$R$7:$R$32)</f>
        <v>9990.4082249999992</v>
      </c>
      <c r="Y6" s="34" t="e">
        <f t="shared" si="10"/>
        <v>#REF!</v>
      </c>
      <c r="Z6" s="34">
        <f t="shared" si="11"/>
        <v>132609.40000000002</v>
      </c>
      <c r="AA6" s="49">
        <v>120554</v>
      </c>
      <c r="AB6" s="36"/>
      <c r="AC6" s="204">
        <f t="shared" si="18"/>
        <v>2310</v>
      </c>
      <c r="AD6" s="152">
        <v>0.11</v>
      </c>
      <c r="AE6" s="31">
        <f t="shared" si="19"/>
        <v>33200</v>
      </c>
      <c r="AF6" s="28">
        <f t="shared" si="13"/>
        <v>0.19867521367521368</v>
      </c>
      <c r="AG6" s="34">
        <f t="shared" si="14"/>
        <v>74384.03</v>
      </c>
      <c r="AH6" s="34" t="e">
        <f t="shared" si="15"/>
        <v>#REF!</v>
      </c>
      <c r="AI6" s="34" t="e">
        <f>SUMIF(헤몬팜마진!$B$7:$B$32,$C6,헤몬팜마진!$V$7:$V$32)</f>
        <v>#REF!</v>
      </c>
      <c r="AJ6" s="34" t="e">
        <f t="shared" si="16"/>
        <v>#REF!</v>
      </c>
      <c r="AK6" s="206" t="e">
        <f t="shared" si="17"/>
        <v>#REF!</v>
      </c>
      <c r="AL6" s="40">
        <f>SUMIF(헤몬팜마진!$B$7:$B$32,$C6,헤몬팜마진!$T$7:$T$32)</f>
        <v>162</v>
      </c>
      <c r="AM6" s="41">
        <f>SUMIF(헤몬팜마진!$B$7:$B$32,$C6,헤몬팜마진!$U$7:$U$32)</f>
        <v>826.80000000000007</v>
      </c>
      <c r="AN6" s="36"/>
      <c r="AO6" s="202">
        <v>83500</v>
      </c>
      <c r="AP6" s="205">
        <v>122</v>
      </c>
      <c r="AQ6" s="27"/>
      <c r="AR6" s="27"/>
      <c r="AS6" s="26"/>
      <c r="AT6" s="26"/>
      <c r="AU6" s="26"/>
      <c r="AV6" s="27"/>
      <c r="AW6" s="27"/>
      <c r="AX6" s="27"/>
      <c r="AY6" s="26"/>
      <c r="AZ6" s="26"/>
      <c r="BA6" s="26"/>
      <c r="BB6" s="26"/>
      <c r="BC6" s="26"/>
      <c r="BD6" s="26"/>
      <c r="BE6" s="26"/>
      <c r="BF6" s="26"/>
      <c r="BG6" s="26"/>
      <c r="BH6" s="26"/>
      <c r="BI6" s="26"/>
      <c r="BJ6" s="26"/>
      <c r="BK6" s="26"/>
    </row>
    <row r="7" spans="1:64" ht="28.5" customHeight="1">
      <c r="A7" s="12"/>
      <c r="B7" s="323"/>
      <c r="C7" s="42" t="s">
        <v>32</v>
      </c>
      <c r="D7" s="28" t="e">
        <f t="shared" si="0"/>
        <v>#REF!</v>
      </c>
      <c r="E7" s="201" t="e">
        <f t="shared" si="1"/>
        <v>#REF!</v>
      </c>
      <c r="F7" s="30">
        <f t="shared" si="2"/>
        <v>0.4469991638795987</v>
      </c>
      <c r="G7" s="30">
        <f t="shared" si="3"/>
        <v>1.0869565217391304E-2</v>
      </c>
      <c r="H7" s="37">
        <v>3504</v>
      </c>
      <c r="I7" s="35">
        <f t="shared" si="4"/>
        <v>210</v>
      </c>
      <c r="J7" s="35">
        <f t="shared" si="5"/>
        <v>420</v>
      </c>
      <c r="K7" s="48"/>
      <c r="L7" s="325">
        <v>626</v>
      </c>
      <c r="M7" s="39">
        <f>30+13+6</f>
        <v>49</v>
      </c>
      <c r="N7" s="208">
        <v>30</v>
      </c>
      <c r="O7" s="202">
        <v>2</v>
      </c>
      <c r="P7" s="31">
        <f t="shared" si="6"/>
        <v>2</v>
      </c>
      <c r="Q7" s="202">
        <v>0</v>
      </c>
      <c r="R7" s="203">
        <v>1</v>
      </c>
      <c r="S7" s="36"/>
      <c r="T7" s="34">
        <f t="shared" si="7"/>
        <v>119600</v>
      </c>
      <c r="U7" s="31">
        <f t="shared" si="8"/>
        <v>0</v>
      </c>
      <c r="V7" s="34">
        <f t="shared" si="9"/>
        <v>119600</v>
      </c>
      <c r="W7" s="43">
        <v>59800</v>
      </c>
      <c r="X7" s="34">
        <f>SUMIF(헤몬팜마진!$B$7:$B$32,$C7,헤몬팜마진!$R$7:$R$32)</f>
        <v>13276.289999999999</v>
      </c>
      <c r="Y7" s="34" t="e">
        <f t="shared" si="10"/>
        <v>#REF!</v>
      </c>
      <c r="Z7" s="34">
        <f t="shared" si="11"/>
        <v>53461.100000000006</v>
      </c>
      <c r="AA7" s="49">
        <v>48601</v>
      </c>
      <c r="AB7" s="209"/>
      <c r="AC7" s="204">
        <f t="shared" si="18"/>
        <v>0</v>
      </c>
      <c r="AD7" s="152">
        <v>0.108</v>
      </c>
      <c r="AE7" s="31">
        <f t="shared" ref="AE7:AE8" si="20">4825*(P7)</f>
        <v>9650</v>
      </c>
      <c r="AF7" s="28">
        <f t="shared" si="13"/>
        <v>0.188685618729097</v>
      </c>
      <c r="AG7" s="34">
        <f t="shared" si="14"/>
        <v>22566.83</v>
      </c>
      <c r="AH7" s="34" t="e">
        <f t="shared" si="15"/>
        <v>#REF!</v>
      </c>
      <c r="AI7" s="34" t="e">
        <f>SUMIF(헤몬팜마진!$B$7:$B$32,$C7,헤몬팜마진!$V$7:$V$32)</f>
        <v>#REF!</v>
      </c>
      <c r="AJ7" s="34" t="e">
        <f t="shared" si="16"/>
        <v>#REF!</v>
      </c>
      <c r="AK7" s="206" t="e">
        <f t="shared" si="17"/>
        <v>#REF!</v>
      </c>
      <c r="AL7" s="40">
        <f>SUMIF(헤몬팜마진!$B$7:$B$32,$C7,헤몬팜마진!$T$7:$T$32)</f>
        <v>371.52</v>
      </c>
      <c r="AM7" s="41">
        <f>SUMIF(헤몬팜마진!$B$7:$B$32,$C7,헤몬팜마진!$U$7:$U$32)</f>
        <v>1896.1279999999999</v>
      </c>
      <c r="AN7" s="36"/>
      <c r="AO7" s="202">
        <v>41677</v>
      </c>
      <c r="AP7" s="205">
        <v>92</v>
      </c>
      <c r="AQ7" s="27"/>
      <c r="AR7" s="27"/>
      <c r="AS7" s="26"/>
      <c r="AT7" s="26"/>
      <c r="AU7" s="26"/>
      <c r="AV7" s="27"/>
      <c r="AW7" s="27"/>
      <c r="AX7" s="27"/>
      <c r="AY7" s="26"/>
      <c r="AZ7" s="26"/>
      <c r="BA7" s="26"/>
      <c r="BB7" s="26"/>
      <c r="BC7" s="26"/>
      <c r="BD7" s="26"/>
      <c r="BE7" s="26"/>
      <c r="BF7" s="26"/>
      <c r="BG7" s="26"/>
      <c r="BH7" s="26"/>
      <c r="BI7" s="26"/>
      <c r="BJ7" s="26"/>
      <c r="BK7" s="26"/>
    </row>
    <row r="8" spans="1:64" ht="28.5" customHeight="1">
      <c r="A8" s="12"/>
      <c r="B8" s="324"/>
      <c r="C8" s="42" t="s">
        <v>33</v>
      </c>
      <c r="D8" s="28" t="e">
        <f t="shared" si="0"/>
        <v>#REF!</v>
      </c>
      <c r="E8" s="201" t="e">
        <f t="shared" si="1"/>
        <v>#REF!</v>
      </c>
      <c r="F8" s="30">
        <f t="shared" si="2"/>
        <v>0.33173008025222134</v>
      </c>
      <c r="G8" s="30">
        <f t="shared" si="3"/>
        <v>2.2222222222222223E-2</v>
      </c>
      <c r="H8" s="35">
        <v>0</v>
      </c>
      <c r="I8" s="35">
        <f t="shared" si="4"/>
        <v>210</v>
      </c>
      <c r="J8" s="35">
        <f t="shared" si="5"/>
        <v>420</v>
      </c>
      <c r="K8" s="48"/>
      <c r="L8" s="310"/>
      <c r="M8" s="39">
        <f>4+11+18+38+129</f>
        <v>200</v>
      </c>
      <c r="N8" s="44">
        <v>30</v>
      </c>
      <c r="O8" s="202">
        <v>4</v>
      </c>
      <c r="P8" s="31">
        <f t="shared" si="6"/>
        <v>4</v>
      </c>
      <c r="Q8" s="202">
        <v>0</v>
      </c>
      <c r="R8" s="203">
        <v>3</v>
      </c>
      <c r="S8" s="36"/>
      <c r="T8" s="34">
        <f t="shared" si="7"/>
        <v>279120</v>
      </c>
      <c r="U8" s="31">
        <f t="shared" si="8"/>
        <v>0</v>
      </c>
      <c r="V8" s="34">
        <f t="shared" si="9"/>
        <v>279120</v>
      </c>
      <c r="W8" s="43">
        <v>69780</v>
      </c>
      <c r="X8" s="34">
        <f>SUMIF(헤몬팜마진!$B$7:$B$32,$C8,헤몬팜마진!$R$7:$R$32)</f>
        <v>13276.289999999999</v>
      </c>
      <c r="Y8" s="34" t="e">
        <f t="shared" si="10"/>
        <v>#REF!</v>
      </c>
      <c r="Z8" s="34">
        <f t="shared" si="11"/>
        <v>92592.500000000015</v>
      </c>
      <c r="AA8" s="49">
        <v>84175</v>
      </c>
      <c r="AB8" s="36"/>
      <c r="AC8" s="204">
        <f t="shared" si="18"/>
        <v>0</v>
      </c>
      <c r="AD8" s="152">
        <v>0.108</v>
      </c>
      <c r="AE8" s="31">
        <f t="shared" si="20"/>
        <v>19300</v>
      </c>
      <c r="AF8" s="28">
        <f t="shared" si="13"/>
        <v>0.17714588707366008</v>
      </c>
      <c r="AG8" s="34">
        <f t="shared" si="14"/>
        <v>49444.99</v>
      </c>
      <c r="AH8" s="34" t="e">
        <f t="shared" si="15"/>
        <v>#REF!</v>
      </c>
      <c r="AI8" s="34" t="e">
        <f>SUMIF(헤몬팜마진!$B$7:$B$32,$C8,헤몬팜마진!$V$7:$V$32)</f>
        <v>#REF!</v>
      </c>
      <c r="AJ8" s="34" t="e">
        <f t="shared" si="16"/>
        <v>#REF!</v>
      </c>
      <c r="AK8" s="46" t="e">
        <f t="shared" si="17"/>
        <v>#REF!</v>
      </c>
      <c r="AL8" s="40">
        <f>SUMIF(헤몬팜마진!$B$7:$B$32,$C8,헤몬팜마진!$T$7:$T$32)</f>
        <v>371.52</v>
      </c>
      <c r="AM8" s="41">
        <f>SUMIF(헤몬팜마진!$B$7:$B$32,$C8,헤몬팜마진!$U$7:$U$32)</f>
        <v>1896.1279999999999</v>
      </c>
      <c r="AN8" s="36"/>
      <c r="AO8" s="202">
        <v>83142</v>
      </c>
      <c r="AP8" s="205">
        <v>135</v>
      </c>
      <c r="AQ8" s="27"/>
      <c r="AR8" s="27"/>
      <c r="AS8" s="26"/>
      <c r="AT8" s="26"/>
      <c r="AU8" s="26"/>
      <c r="AV8" s="27"/>
      <c r="AW8" s="27"/>
      <c r="AX8" s="27"/>
      <c r="AY8" s="26"/>
      <c r="AZ8" s="26"/>
      <c r="BA8" s="26"/>
      <c r="BB8" s="26"/>
      <c r="BC8" s="26"/>
      <c r="BD8" s="26"/>
      <c r="BE8" s="26"/>
      <c r="BF8" s="26"/>
      <c r="BG8" s="26"/>
      <c r="BH8" s="26"/>
      <c r="BI8" s="26"/>
      <c r="BJ8" s="26"/>
      <c r="BK8" s="26"/>
    </row>
    <row r="9" spans="1:64" ht="28.5" customHeight="1">
      <c r="A9" s="12"/>
      <c r="B9" s="200"/>
      <c r="C9" s="42" t="s">
        <v>111</v>
      </c>
      <c r="D9" s="28">
        <f t="shared" si="0"/>
        <v>-0.36675820683087856</v>
      </c>
      <c r="E9" s="201">
        <f t="shared" si="1"/>
        <v>0.43536644400711028</v>
      </c>
      <c r="F9" s="30">
        <f t="shared" si="2"/>
        <v>0.80212465083798878</v>
      </c>
      <c r="G9" s="30">
        <f t="shared" si="3"/>
        <v>4.195804195804196E-2</v>
      </c>
      <c r="H9" s="35">
        <v>500</v>
      </c>
      <c r="I9" s="35">
        <f t="shared" si="4"/>
        <v>105</v>
      </c>
      <c r="J9" s="35">
        <f t="shared" si="5"/>
        <v>210</v>
      </c>
      <c r="K9" s="210"/>
      <c r="L9" s="39">
        <v>777</v>
      </c>
      <c r="M9" s="39">
        <f>115+100+1</f>
        <v>216</v>
      </c>
      <c r="N9" s="44">
        <v>15</v>
      </c>
      <c r="O9" s="202">
        <v>13</v>
      </c>
      <c r="P9" s="31">
        <f t="shared" si="6"/>
        <v>8</v>
      </c>
      <c r="Q9" s="202">
        <v>1</v>
      </c>
      <c r="R9" s="203">
        <v>6</v>
      </c>
      <c r="S9" s="202">
        <v>5</v>
      </c>
      <c r="T9" s="34">
        <f t="shared" si="7"/>
        <v>232700</v>
      </c>
      <c r="U9" s="31">
        <f t="shared" si="8"/>
        <v>89500</v>
      </c>
      <c r="V9" s="34">
        <f t="shared" si="9"/>
        <v>143200</v>
      </c>
      <c r="W9" s="43">
        <v>17900</v>
      </c>
      <c r="X9" s="34">
        <f>SUMIF(헤몬팜마진!$B$7:$B$32,$C9,헤몬팜마진!$R$7:$R$32)</f>
        <v>5089.2444999999998</v>
      </c>
      <c r="Y9" s="34">
        <f t="shared" si="10"/>
        <v>41010.595999999998</v>
      </c>
      <c r="Z9" s="34">
        <f t="shared" si="11"/>
        <v>65527.000000000007</v>
      </c>
      <c r="AA9" s="49">
        <v>59570</v>
      </c>
      <c r="AB9" s="211">
        <f>((17890*0.015)+(17890*0.19)+2100+2200+1900)*5</f>
        <v>49337.25</v>
      </c>
      <c r="AC9" s="204">
        <f t="shared" si="18"/>
        <v>2310</v>
      </c>
      <c r="AD9" s="152">
        <v>7.8E-2</v>
      </c>
      <c r="AE9" s="31">
        <f>2900*(P9)</f>
        <v>23200</v>
      </c>
      <c r="AF9" s="28">
        <f t="shared" si="13"/>
        <v>0.24001117318435755</v>
      </c>
      <c r="AG9" s="34">
        <f t="shared" si="14"/>
        <v>34369.629999999997</v>
      </c>
      <c r="AH9" s="34">
        <f t="shared" si="15"/>
        <v>5475.2992181818172</v>
      </c>
      <c r="AI9" s="34">
        <f>SUMIF(헤몬팜마진!$B$7:$B$32,$C9,헤몬팜마진!$V$7:$V$32)</f>
        <v>5126.3244999999997</v>
      </c>
      <c r="AJ9" s="34">
        <f t="shared" si="16"/>
        <v>62344.474781818193</v>
      </c>
      <c r="AK9" s="206">
        <f t="shared" si="17"/>
        <v>-52519.775218181814</v>
      </c>
      <c r="AL9" s="40">
        <f>SUMIF(헤몬팜마진!$B$7:$B$32,$C9,헤몬팜마진!$T$7:$T$32)</f>
        <v>6.0750000000000002</v>
      </c>
      <c r="AM9" s="41">
        <f>SUMIF(헤몬팜마진!$B$7:$B$32,$C9,헤몬팜마진!$U$7:$U$32)</f>
        <v>31.005000000000003</v>
      </c>
      <c r="AN9" s="36"/>
      <c r="AO9" s="202">
        <v>42879</v>
      </c>
      <c r="AP9" s="205">
        <v>143</v>
      </c>
      <c r="AQ9" s="27"/>
      <c r="AR9" s="27"/>
      <c r="AS9" s="26"/>
      <c r="AT9" s="26"/>
      <c r="AU9" s="26"/>
      <c r="AV9" s="27"/>
      <c r="AW9" s="27"/>
      <c r="AX9" s="27"/>
      <c r="AY9" s="26"/>
      <c r="AZ9" s="26"/>
      <c r="BA9" s="26"/>
      <c r="BB9" s="26"/>
      <c r="BC9" s="26"/>
      <c r="BD9" s="26"/>
      <c r="BE9" s="26"/>
      <c r="BF9" s="26"/>
      <c r="BG9" s="26"/>
      <c r="BH9" s="26"/>
      <c r="BI9" s="26"/>
      <c r="BJ9" s="26"/>
      <c r="BK9" s="26"/>
    </row>
    <row r="10" spans="1:64" ht="28.5" customHeight="1">
      <c r="A10" s="12"/>
      <c r="B10" s="323"/>
      <c r="C10" s="42" t="s">
        <v>112</v>
      </c>
      <c r="D10" s="29" t="e">
        <f t="shared" si="0"/>
        <v>#REF!</v>
      </c>
      <c r="E10" s="201" t="e">
        <f t="shared" si="1"/>
        <v>#REF!</v>
      </c>
      <c r="F10" s="30">
        <f t="shared" si="2"/>
        <v>0.12914263625821418</v>
      </c>
      <c r="G10" s="30">
        <f t="shared" si="3"/>
        <v>7.0588235294117646E-2</v>
      </c>
      <c r="H10" s="312">
        <v>0</v>
      </c>
      <c r="I10" s="35">
        <f t="shared" si="4"/>
        <v>140</v>
      </c>
      <c r="J10" s="35">
        <f t="shared" si="5"/>
        <v>280</v>
      </c>
      <c r="K10" s="210"/>
      <c r="L10" s="325">
        <v>340</v>
      </c>
      <c r="M10" s="39">
        <f>101+42+48+31+19+10</f>
        <v>251</v>
      </c>
      <c r="N10" s="44">
        <v>20</v>
      </c>
      <c r="O10" s="202">
        <v>13</v>
      </c>
      <c r="P10" s="31">
        <f t="shared" si="6"/>
        <v>13</v>
      </c>
      <c r="Q10" s="202">
        <v>0</v>
      </c>
      <c r="R10" s="203">
        <v>12</v>
      </c>
      <c r="S10" s="36"/>
      <c r="T10" s="34">
        <f t="shared" si="7"/>
        <v>517400</v>
      </c>
      <c r="U10" s="31">
        <f t="shared" si="8"/>
        <v>0</v>
      </c>
      <c r="V10" s="34">
        <f t="shared" si="9"/>
        <v>517400</v>
      </c>
      <c r="W10" s="43">
        <v>39800</v>
      </c>
      <c r="X10" s="34">
        <f>SUMIF(헤몬팜마진!$B$7:$B$32,$C10,헤몬팜마진!$R$7:$R$32)</f>
        <v>7855.1382499999991</v>
      </c>
      <c r="Y10" s="34" t="e">
        <f t="shared" si="10"/>
        <v>#REF!</v>
      </c>
      <c r="Z10" s="34">
        <f t="shared" si="11"/>
        <v>66818.400000000009</v>
      </c>
      <c r="AA10" s="49">
        <v>60744</v>
      </c>
      <c r="AB10" s="209"/>
      <c r="AC10" s="204">
        <f t="shared" si="18"/>
        <v>0</v>
      </c>
      <c r="AD10" s="152">
        <v>0.08</v>
      </c>
      <c r="AE10" s="31">
        <f>4150*(P10)</f>
        <v>53950</v>
      </c>
      <c r="AF10" s="28">
        <f t="shared" si="13"/>
        <v>0.18427135678391959</v>
      </c>
      <c r="AG10" s="34">
        <f t="shared" si="14"/>
        <v>95342.03</v>
      </c>
      <c r="AH10" s="34" t="e">
        <f t="shared" si="15"/>
        <v>#REF!</v>
      </c>
      <c r="AI10" s="34" t="e">
        <f>SUMIF(헤몬팜마진!$B$7:$B$32,$C10,헤몬팜마진!$V$7:$V$32)</f>
        <v>#REF!</v>
      </c>
      <c r="AJ10" s="34" t="e">
        <f t="shared" si="16"/>
        <v>#REF!</v>
      </c>
      <c r="AK10" s="46" t="e">
        <f t="shared" si="17"/>
        <v>#REF!</v>
      </c>
      <c r="AL10" s="40">
        <f>SUMIF(헤몬팜마진!$B$7:$B$32,$C10,헤몬팜마진!$T$7:$T$32)</f>
        <v>176.41799999999998</v>
      </c>
      <c r="AM10" s="41">
        <f>SUMIF(헤몬팜마진!$B$7:$B$32,$C10,헤몬팜마진!$U$7:$U$32)</f>
        <v>900.38519999999994</v>
      </c>
      <c r="AN10" s="36"/>
      <c r="AO10" s="202">
        <v>66685</v>
      </c>
      <c r="AP10" s="205">
        <v>170</v>
      </c>
      <c r="AQ10" s="27"/>
      <c r="AR10" s="27"/>
      <c r="AS10" s="26"/>
      <c r="AT10" s="26"/>
      <c r="AU10" s="26"/>
      <c r="AV10" s="27"/>
      <c r="AW10" s="27"/>
      <c r="AX10" s="27"/>
      <c r="AY10" s="26"/>
      <c r="AZ10" s="26"/>
      <c r="BA10" s="26"/>
      <c r="BB10" s="26"/>
      <c r="BC10" s="26"/>
      <c r="BD10" s="26"/>
      <c r="BE10" s="26"/>
      <c r="BF10" s="26"/>
      <c r="BG10" s="26"/>
      <c r="BH10" s="26"/>
      <c r="BI10" s="26"/>
      <c r="BJ10" s="26"/>
      <c r="BK10" s="26"/>
    </row>
    <row r="11" spans="1:64" ht="28.5" customHeight="1">
      <c r="A11" s="12"/>
      <c r="B11" s="324"/>
      <c r="C11" s="42" t="s">
        <v>113</v>
      </c>
      <c r="D11" s="28" t="e">
        <f t="shared" si="0"/>
        <v>#REF!</v>
      </c>
      <c r="E11" s="201" t="e">
        <f t="shared" si="1"/>
        <v>#REF!</v>
      </c>
      <c r="F11" s="30">
        <f t="shared" si="2"/>
        <v>0.1574871794871795</v>
      </c>
      <c r="G11" s="30">
        <f t="shared" si="3"/>
        <v>3.1746031746031744E-2</v>
      </c>
      <c r="H11" s="310"/>
      <c r="I11" s="35">
        <f t="shared" si="4"/>
        <v>105</v>
      </c>
      <c r="J11" s="35">
        <f t="shared" si="5"/>
        <v>210</v>
      </c>
      <c r="K11" s="210"/>
      <c r="L11" s="310"/>
      <c r="M11" s="39">
        <f>75+42+48+18+8+1</f>
        <v>192</v>
      </c>
      <c r="N11" s="44">
        <v>15</v>
      </c>
      <c r="O11" s="202">
        <v>3</v>
      </c>
      <c r="P11" s="31">
        <f t="shared" si="6"/>
        <v>3</v>
      </c>
      <c r="Q11" s="202">
        <v>0</v>
      </c>
      <c r="R11" s="203">
        <v>2</v>
      </c>
      <c r="S11" s="36"/>
      <c r="T11" s="34">
        <f t="shared" si="7"/>
        <v>128700</v>
      </c>
      <c r="U11" s="31">
        <f t="shared" si="8"/>
        <v>0</v>
      </c>
      <c r="V11" s="34">
        <f t="shared" si="9"/>
        <v>128700</v>
      </c>
      <c r="W11" s="43">
        <v>42900</v>
      </c>
      <c r="X11" s="34">
        <f>SUMIF(헤몬팜마진!$B$7:$B$32,$C11,헤몬팜마진!$R$7:$R$32)</f>
        <v>7855.1382499999991</v>
      </c>
      <c r="Y11" s="34" t="e">
        <f t="shared" si="10"/>
        <v>#REF!</v>
      </c>
      <c r="Z11" s="34">
        <f t="shared" si="11"/>
        <v>20268.600000000002</v>
      </c>
      <c r="AA11" s="49">
        <v>18426</v>
      </c>
      <c r="AB11" s="36"/>
      <c r="AC11" s="204">
        <f t="shared" si="18"/>
        <v>0</v>
      </c>
      <c r="AD11" s="152">
        <v>7.8E-2</v>
      </c>
      <c r="AE11" s="31">
        <f>1900*(P11)</f>
        <v>5700</v>
      </c>
      <c r="AF11" s="28">
        <f t="shared" si="13"/>
        <v>0.12228904428904429</v>
      </c>
      <c r="AG11" s="34">
        <f t="shared" si="14"/>
        <v>15738.630000000001</v>
      </c>
      <c r="AH11" s="34" t="e">
        <f t="shared" si="15"/>
        <v>#REF!</v>
      </c>
      <c r="AI11" s="34" t="e">
        <f>SUMIF(헤몬팜마진!$B$7:$B$32,$C11,헤몬팜마진!$V$7:$V$32)</f>
        <v>#REF!</v>
      </c>
      <c r="AJ11" s="34" t="e">
        <f t="shared" si="16"/>
        <v>#REF!</v>
      </c>
      <c r="AK11" s="46" t="e">
        <f t="shared" si="17"/>
        <v>#REF!</v>
      </c>
      <c r="AL11" s="40">
        <f>SUMIF(헤몬팜마진!$B$7:$B$32,$C11,헤몬팜마진!$T$7:$T$32)</f>
        <v>176.41799999999998</v>
      </c>
      <c r="AM11" s="41">
        <f>SUMIF(헤몬팜마진!$B$7:$B$32,$C11,헤몬팜마진!$U$7:$U$32)</f>
        <v>900.38519999999994</v>
      </c>
      <c r="AN11" s="36"/>
      <c r="AO11" s="202">
        <v>12910</v>
      </c>
      <c r="AP11" s="205">
        <v>63</v>
      </c>
      <c r="AQ11" s="27"/>
      <c r="AR11" s="27"/>
      <c r="AS11" s="26"/>
      <c r="AT11" s="26"/>
      <c r="AU11" s="26"/>
      <c r="AV11" s="27"/>
      <c r="AW11" s="27"/>
      <c r="AX11" s="27"/>
      <c r="AY11" s="26"/>
      <c r="AZ11" s="26"/>
      <c r="BA11" s="26"/>
      <c r="BB11" s="26"/>
      <c r="BC11" s="26"/>
      <c r="BD11" s="26"/>
      <c r="BE11" s="26"/>
      <c r="BF11" s="26"/>
      <c r="BG11" s="26"/>
      <c r="BH11" s="26"/>
      <c r="BI11" s="26"/>
      <c r="BJ11" s="26"/>
      <c r="BK11" s="26"/>
    </row>
    <row r="12" spans="1:64" ht="28.5" customHeight="1">
      <c r="A12" s="12"/>
      <c r="B12" s="200"/>
      <c r="C12" s="42" t="s">
        <v>114</v>
      </c>
      <c r="D12" s="28">
        <f t="shared" si="0"/>
        <v>0.31751333461174247</v>
      </c>
      <c r="E12" s="201">
        <f t="shared" si="1"/>
        <v>0.36298859502840913</v>
      </c>
      <c r="F12" s="30">
        <f t="shared" si="2"/>
        <v>4.547526041666667E-2</v>
      </c>
      <c r="G12" s="30">
        <f t="shared" si="3"/>
        <v>0.10526315789473684</v>
      </c>
      <c r="H12" s="35">
        <v>1750</v>
      </c>
      <c r="I12" s="35">
        <f t="shared" si="4"/>
        <v>350</v>
      </c>
      <c r="J12" s="35">
        <f t="shared" si="5"/>
        <v>700</v>
      </c>
      <c r="K12" s="210"/>
      <c r="L12" s="39">
        <v>1449</v>
      </c>
      <c r="M12" s="39">
        <f>645+524+27+11+8+5+3+2+1+1</f>
        <v>1227</v>
      </c>
      <c r="N12" s="44">
        <v>50</v>
      </c>
      <c r="O12" s="202">
        <v>4</v>
      </c>
      <c r="P12" s="31">
        <f t="shared" si="6"/>
        <v>4</v>
      </c>
      <c r="Q12" s="202">
        <v>0</v>
      </c>
      <c r="R12" s="203">
        <v>2</v>
      </c>
      <c r="S12" s="36"/>
      <c r="T12" s="34">
        <f t="shared" si="7"/>
        <v>76800</v>
      </c>
      <c r="U12" s="31">
        <f t="shared" si="8"/>
        <v>0</v>
      </c>
      <c r="V12" s="34">
        <f t="shared" si="9"/>
        <v>76800</v>
      </c>
      <c r="W12" s="43">
        <v>19200</v>
      </c>
      <c r="X12" s="34">
        <f>SUMIF(헤몬팜마진!$B$7:$B$32,$C12,헤몬팜마진!$R$7:$R$32)</f>
        <v>6372.6191999999992</v>
      </c>
      <c r="Y12" s="34">
        <f t="shared" si="10"/>
        <v>27085.740799999996</v>
      </c>
      <c r="Z12" s="34">
        <f t="shared" si="11"/>
        <v>3492.5000000000005</v>
      </c>
      <c r="AA12" s="49">
        <f>3135+40</f>
        <v>3175</v>
      </c>
      <c r="AB12" s="36"/>
      <c r="AC12" s="204">
        <f t="shared" si="18"/>
        <v>0</v>
      </c>
      <c r="AD12" s="152">
        <v>0.08</v>
      </c>
      <c r="AE12" s="31">
        <f>3350*(P12)</f>
        <v>13400</v>
      </c>
      <c r="AF12" s="28">
        <f t="shared" si="13"/>
        <v>0.25447916666666665</v>
      </c>
      <c r="AG12" s="34">
        <f t="shared" si="14"/>
        <v>19544.03</v>
      </c>
      <c r="AH12" s="34">
        <f t="shared" si="15"/>
        <v>2292.705101818181</v>
      </c>
      <c r="AI12" s="34">
        <f>SUMIF(헤몬팜마진!$B$7:$B$32,$C12,헤몬팜마진!$V$7:$V$32)</f>
        <v>6771.435199999999</v>
      </c>
      <c r="AJ12" s="34">
        <f t="shared" si="16"/>
        <v>27877.524098181821</v>
      </c>
      <c r="AK12" s="46">
        <f t="shared" si="17"/>
        <v>24385.024098181821</v>
      </c>
      <c r="AL12" s="40">
        <f>SUMIF(헤몬팜마진!$B$7:$B$32,$C12,헤몬팜마진!$T$7:$T$32)</f>
        <v>65.34</v>
      </c>
      <c r="AM12" s="41">
        <f>SUMIF(헤몬팜마진!$B$7:$B$32,$C12,헤몬팜마진!$U$7:$U$32)</f>
        <v>333.476</v>
      </c>
      <c r="AN12" s="36"/>
      <c r="AO12" s="202">
        <f>7050+1033</f>
        <v>8083</v>
      </c>
      <c r="AP12" s="205">
        <v>19</v>
      </c>
      <c r="AQ12" s="27"/>
      <c r="AR12" s="27"/>
      <c r="AS12" s="26"/>
      <c r="AT12" s="26"/>
      <c r="AU12" s="26"/>
      <c r="AV12" s="27"/>
      <c r="AW12" s="27"/>
      <c r="AX12" s="27"/>
      <c r="AY12" s="26"/>
      <c r="AZ12" s="26"/>
      <c r="BA12" s="26"/>
      <c r="BB12" s="26"/>
      <c r="BC12" s="26"/>
      <c r="BD12" s="26"/>
      <c r="BE12" s="26"/>
      <c r="BF12" s="26"/>
      <c r="BG12" s="26"/>
      <c r="BH12" s="26"/>
      <c r="BI12" s="26"/>
      <c r="BJ12" s="26"/>
      <c r="BK12" s="26"/>
    </row>
    <row r="13" spans="1:64" ht="28.5" customHeight="1">
      <c r="A13" s="12"/>
      <c r="B13" s="326"/>
      <c r="C13" s="42" t="s">
        <v>115</v>
      </c>
      <c r="D13" s="28" t="e">
        <f t="shared" si="0"/>
        <v>#REF!</v>
      </c>
      <c r="E13" s="201" t="e">
        <f t="shared" si="1"/>
        <v>#REF!</v>
      </c>
      <c r="F13" s="30" t="e">
        <f t="shared" si="2"/>
        <v>#DIV/0!</v>
      </c>
      <c r="G13" s="30">
        <f t="shared" si="3"/>
        <v>2.197802197802198E-2</v>
      </c>
      <c r="H13" s="35">
        <v>0</v>
      </c>
      <c r="I13" s="35">
        <f t="shared" si="4"/>
        <v>70</v>
      </c>
      <c r="J13" s="35">
        <f t="shared" si="5"/>
        <v>140</v>
      </c>
      <c r="K13" s="210"/>
      <c r="L13" s="328">
        <v>554</v>
      </c>
      <c r="M13" s="39">
        <v>0</v>
      </c>
      <c r="N13" s="44">
        <v>10</v>
      </c>
      <c r="O13" s="202">
        <v>0</v>
      </c>
      <c r="P13" s="31">
        <f t="shared" si="6"/>
        <v>0</v>
      </c>
      <c r="Q13" s="202">
        <v>1</v>
      </c>
      <c r="R13" s="203">
        <v>2</v>
      </c>
      <c r="S13" s="36"/>
      <c r="T13" s="34">
        <f t="shared" si="7"/>
        <v>0</v>
      </c>
      <c r="U13" s="31">
        <f t="shared" si="8"/>
        <v>0</v>
      </c>
      <c r="V13" s="34">
        <f t="shared" si="9"/>
        <v>0</v>
      </c>
      <c r="W13" s="43">
        <v>54900</v>
      </c>
      <c r="X13" s="34">
        <f>SUMIF(헤몬팜마진!$B$7:$B$32,$C13,헤몬팜마진!$R$7:$R$32)</f>
        <v>12169.932499999999</v>
      </c>
      <c r="Y13" s="34" t="e">
        <f t="shared" si="10"/>
        <v>#REF!</v>
      </c>
      <c r="Z13" s="34">
        <f t="shared" si="11"/>
        <v>43714</v>
      </c>
      <c r="AA13" s="49">
        <v>39740</v>
      </c>
      <c r="AB13" s="36"/>
      <c r="AC13" s="204">
        <f t="shared" si="18"/>
        <v>2310</v>
      </c>
      <c r="AD13" s="152">
        <v>7.8E-2</v>
      </c>
      <c r="AE13" s="31">
        <f t="shared" ref="AE13:AE14" si="21">4825*(P13)</f>
        <v>0</v>
      </c>
      <c r="AF13" s="28" t="e">
        <f t="shared" si="13"/>
        <v>#DIV/0!</v>
      </c>
      <c r="AG13" s="34">
        <f t="shared" si="14"/>
        <v>0</v>
      </c>
      <c r="AH13" s="34" t="e">
        <f t="shared" si="15"/>
        <v>#REF!</v>
      </c>
      <c r="AI13" s="34" t="e">
        <f>SUMIF(헤몬팜마진!$B$7:$B$32,$C13,헤몬팜마진!$V$7:$V$32)</f>
        <v>#REF!</v>
      </c>
      <c r="AJ13" s="34" t="e">
        <f t="shared" si="16"/>
        <v>#REF!</v>
      </c>
      <c r="AK13" s="206" t="e">
        <f t="shared" si="17"/>
        <v>#REF!</v>
      </c>
      <c r="AL13" s="40">
        <f>SUMIF(헤몬팜마진!$B$7:$B$32,$C13,헤몬팜마진!$T$7:$T$32)</f>
        <v>181.44000000000003</v>
      </c>
      <c r="AM13" s="41">
        <f>SUMIF(헤몬팜마진!$B$7:$B$32,$C13,헤몬팜마진!$U$7:$U$32)</f>
        <v>926.01600000000019</v>
      </c>
      <c r="AN13" s="36"/>
      <c r="AO13" s="202">
        <v>31153</v>
      </c>
      <c r="AP13" s="205">
        <v>91</v>
      </c>
      <c r="AQ13" s="27"/>
      <c r="AR13" s="27"/>
      <c r="AS13" s="26"/>
      <c r="AT13" s="26"/>
      <c r="AU13" s="26"/>
      <c r="AV13" s="27"/>
      <c r="AW13" s="27"/>
      <c r="AX13" s="27"/>
      <c r="AY13" s="26"/>
      <c r="AZ13" s="26"/>
      <c r="BA13" s="26"/>
      <c r="BB13" s="26"/>
      <c r="BC13" s="26"/>
      <c r="BD13" s="26"/>
      <c r="BE13" s="26"/>
      <c r="BF13" s="26"/>
      <c r="BG13" s="26"/>
      <c r="BH13" s="26"/>
      <c r="BI13" s="26"/>
      <c r="BJ13" s="26"/>
      <c r="BK13" s="26"/>
    </row>
    <row r="14" spans="1:64" ht="28.5" customHeight="1">
      <c r="A14" s="12"/>
      <c r="B14" s="324"/>
      <c r="C14" s="42" t="s">
        <v>116</v>
      </c>
      <c r="D14" s="28" t="e">
        <f t="shared" si="0"/>
        <v>#REF!</v>
      </c>
      <c r="E14" s="201" t="e">
        <f t="shared" si="1"/>
        <v>#REF!</v>
      </c>
      <c r="F14" s="30">
        <f t="shared" si="2"/>
        <v>0.27376534648379308</v>
      </c>
      <c r="G14" s="30">
        <f t="shared" si="3"/>
        <v>1.2048192771084338E-2</v>
      </c>
      <c r="H14" s="35">
        <v>0</v>
      </c>
      <c r="I14" s="35">
        <f t="shared" si="4"/>
        <v>70</v>
      </c>
      <c r="J14" s="35">
        <f t="shared" si="5"/>
        <v>140</v>
      </c>
      <c r="K14" s="210"/>
      <c r="L14" s="310"/>
      <c r="M14" s="39">
        <v>1</v>
      </c>
      <c r="N14" s="44">
        <v>10</v>
      </c>
      <c r="O14" s="202">
        <v>3</v>
      </c>
      <c r="P14" s="31">
        <f t="shared" si="6"/>
        <v>3</v>
      </c>
      <c r="Q14" s="202">
        <v>1</v>
      </c>
      <c r="R14" s="203">
        <v>1</v>
      </c>
      <c r="S14" s="36"/>
      <c r="T14" s="34">
        <f t="shared" si="7"/>
        <v>194670</v>
      </c>
      <c r="U14" s="31">
        <f t="shared" si="8"/>
        <v>0</v>
      </c>
      <c r="V14" s="34">
        <f t="shared" si="9"/>
        <v>194670</v>
      </c>
      <c r="W14" s="43">
        <v>64890</v>
      </c>
      <c r="X14" s="34">
        <f>SUMIF(헤몬팜마진!$B$7:$B$32,$C14,헤몬팜마진!$R$7:$R$32)</f>
        <v>12169.932499999999</v>
      </c>
      <c r="Y14" s="34" t="e">
        <f t="shared" si="10"/>
        <v>#REF!</v>
      </c>
      <c r="Z14" s="34">
        <f t="shared" si="11"/>
        <v>53293.9</v>
      </c>
      <c r="AA14" s="49">
        <v>48449</v>
      </c>
      <c r="AB14" s="36"/>
      <c r="AC14" s="204">
        <f t="shared" si="18"/>
        <v>2310</v>
      </c>
      <c r="AD14" s="152">
        <v>7.8E-2</v>
      </c>
      <c r="AE14" s="31">
        <f t="shared" si="21"/>
        <v>14475</v>
      </c>
      <c r="AF14" s="28">
        <f t="shared" si="13"/>
        <v>0.15235660348281707</v>
      </c>
      <c r="AG14" s="34">
        <f t="shared" si="14"/>
        <v>29659.289999999997</v>
      </c>
      <c r="AH14" s="34" t="e">
        <f t="shared" si="15"/>
        <v>#REF!</v>
      </c>
      <c r="AI14" s="34" t="e">
        <f>SUMIF(헤몬팜마진!$B$7:$B$32,$C14,헤몬팜마진!$V$7:$V$32)</f>
        <v>#REF!</v>
      </c>
      <c r="AJ14" s="34" t="e">
        <f t="shared" si="16"/>
        <v>#REF!</v>
      </c>
      <c r="AK14" s="46" t="e">
        <f t="shared" si="17"/>
        <v>#REF!</v>
      </c>
      <c r="AL14" s="40">
        <f>SUMIF(헤몬팜마진!$B$7:$B$32,$C14,헤몬팜마진!$T$7:$T$32)</f>
        <v>181.44000000000003</v>
      </c>
      <c r="AM14" s="41">
        <f>SUMIF(헤몬팜마진!$B$7:$B$32,$C14,헤몬팜마진!$U$7:$U$32)</f>
        <v>926.01600000000019</v>
      </c>
      <c r="AN14" s="36"/>
      <c r="AO14" s="202">
        <v>24246</v>
      </c>
      <c r="AP14" s="205">
        <v>83</v>
      </c>
      <c r="AQ14" s="27"/>
      <c r="AR14" s="27"/>
      <c r="AS14" s="26"/>
      <c r="AT14" s="26"/>
      <c r="AU14" s="26"/>
      <c r="AV14" s="27"/>
      <c r="AW14" s="27"/>
      <c r="AX14" s="27"/>
      <c r="AY14" s="26"/>
      <c r="AZ14" s="26"/>
      <c r="BA14" s="26"/>
      <c r="BB14" s="26"/>
      <c r="BC14" s="26"/>
      <c r="BD14" s="26"/>
      <c r="BE14" s="26"/>
      <c r="BF14" s="26"/>
      <c r="BG14" s="26"/>
      <c r="BH14" s="26"/>
      <c r="BI14" s="26"/>
      <c r="BJ14" s="26"/>
      <c r="BK14" s="26"/>
    </row>
    <row r="15" spans="1:64" ht="28.5" customHeight="1">
      <c r="A15" s="12"/>
      <c r="B15" s="200"/>
      <c r="C15" s="42" t="s">
        <v>117</v>
      </c>
      <c r="D15" s="28">
        <f t="shared" si="0"/>
        <v>0.28108427874181002</v>
      </c>
      <c r="E15" s="201">
        <f t="shared" si="1"/>
        <v>0.49826614811117936</v>
      </c>
      <c r="F15" s="30">
        <f t="shared" si="2"/>
        <v>0.21718186936936937</v>
      </c>
      <c r="G15" s="30">
        <f t="shared" si="3"/>
        <v>1.3377926421404682E-2</v>
      </c>
      <c r="H15" s="35">
        <v>2000</v>
      </c>
      <c r="I15" s="35">
        <f t="shared" si="4"/>
        <v>700</v>
      </c>
      <c r="J15" s="35">
        <f t="shared" si="5"/>
        <v>1400</v>
      </c>
      <c r="K15" s="210"/>
      <c r="L15" s="39">
        <v>2416</v>
      </c>
      <c r="M15" s="39">
        <v>0</v>
      </c>
      <c r="N15" s="44">
        <v>100</v>
      </c>
      <c r="O15" s="202">
        <v>8</v>
      </c>
      <c r="P15" s="31">
        <f t="shared" si="6"/>
        <v>8</v>
      </c>
      <c r="Q15" s="202">
        <v>5</v>
      </c>
      <c r="R15" s="203">
        <v>4</v>
      </c>
      <c r="S15" s="36"/>
      <c r="T15" s="34">
        <f t="shared" si="7"/>
        <v>142080</v>
      </c>
      <c r="U15" s="31">
        <f t="shared" si="8"/>
        <v>0</v>
      </c>
      <c r="V15" s="34">
        <f t="shared" si="9"/>
        <v>142080</v>
      </c>
      <c r="W15" s="43">
        <v>17760</v>
      </c>
      <c r="X15" s="34">
        <f>SUMIF(헤몬팜마진!$B$7:$B$32,$C15,헤몬팜마진!$R$7:$R$32)</f>
        <v>3982.8869999999997</v>
      </c>
      <c r="Y15" s="34">
        <f t="shared" si="10"/>
        <v>38697.681599999996</v>
      </c>
      <c r="Z15" s="34">
        <f t="shared" si="11"/>
        <v>30857.200000000001</v>
      </c>
      <c r="AA15" s="49">
        <v>28052</v>
      </c>
      <c r="AB15" s="36"/>
      <c r="AC15" s="204">
        <f t="shared" si="18"/>
        <v>11550</v>
      </c>
      <c r="AD15" s="152">
        <v>7.8E-2</v>
      </c>
      <c r="AE15" s="31">
        <f>1900*(P15)</f>
        <v>15200</v>
      </c>
      <c r="AF15" s="28">
        <f t="shared" si="13"/>
        <v>0.18498198198198199</v>
      </c>
      <c r="AG15" s="34">
        <f t="shared" si="14"/>
        <v>26282.27</v>
      </c>
      <c r="AH15" s="34">
        <f t="shared" si="15"/>
        <v>6306.3940763636347</v>
      </c>
      <c r="AI15" s="34">
        <f>SUMIF(헤몬팜마진!$B$7:$B$32,$C15,헤몬팜마진!$V$7:$V$32)</f>
        <v>4837.2101999999995</v>
      </c>
      <c r="AJ15" s="34">
        <f t="shared" si="16"/>
        <v>70793.654323636365</v>
      </c>
      <c r="AK15" s="46">
        <f t="shared" si="17"/>
        <v>39936.454323636368</v>
      </c>
      <c r="AL15" s="40">
        <f>SUMIF(헤몬팜마진!$B$7:$B$32,$C15,헤몬팜마진!$T$7:$T$32)</f>
        <v>139.96800000000002</v>
      </c>
      <c r="AM15" s="41">
        <f>SUMIF(헤몬팜마진!$B$7:$B$32,$C15,헤몬팜마진!$U$7:$U$32)</f>
        <v>714.35519999999997</v>
      </c>
      <c r="AN15" s="36"/>
      <c r="AO15" s="202">
        <v>59597</v>
      </c>
      <c r="AP15" s="205">
        <v>299</v>
      </c>
      <c r="AQ15" s="27"/>
      <c r="AR15" s="27"/>
      <c r="AS15" s="26"/>
      <c r="AT15" s="26"/>
      <c r="AU15" s="26"/>
      <c r="AV15" s="27"/>
      <c r="AW15" s="27"/>
      <c r="AX15" s="27"/>
      <c r="AY15" s="26"/>
      <c r="AZ15" s="26"/>
      <c r="BA15" s="26"/>
      <c r="BB15" s="26"/>
      <c r="BC15" s="26"/>
      <c r="BD15" s="26"/>
      <c r="BE15" s="26"/>
      <c r="BF15" s="26"/>
      <c r="BG15" s="26"/>
      <c r="BH15" s="26"/>
      <c r="BI15" s="26"/>
      <c r="BJ15" s="26"/>
      <c r="BK15" s="26"/>
    </row>
    <row r="16" spans="1:64" ht="28.5" customHeight="1">
      <c r="A16" s="12"/>
      <c r="B16" s="214" t="s">
        <v>126</v>
      </c>
      <c r="C16" s="42" t="s">
        <v>31</v>
      </c>
      <c r="D16" s="28">
        <f t="shared" si="0"/>
        <v>-0.64984123253588522</v>
      </c>
      <c r="E16" s="201">
        <f t="shared" si="1"/>
        <v>0.40281953301435414</v>
      </c>
      <c r="F16" s="30">
        <f t="shared" si="2"/>
        <v>1.0526607655502394</v>
      </c>
      <c r="G16" s="30">
        <f t="shared" si="3"/>
        <v>2.9702970297029702E-2</v>
      </c>
      <c r="H16" s="35">
        <v>700</v>
      </c>
      <c r="I16" s="35">
        <f t="shared" si="4"/>
        <v>210</v>
      </c>
      <c r="J16" s="35">
        <f t="shared" si="5"/>
        <v>420</v>
      </c>
      <c r="K16" s="210"/>
      <c r="L16" s="39">
        <v>954</v>
      </c>
      <c r="M16" s="39">
        <v>2</v>
      </c>
      <c r="N16" s="44">
        <v>30</v>
      </c>
      <c r="O16" s="202">
        <v>20</v>
      </c>
      <c r="P16" s="31">
        <f t="shared" si="6"/>
        <v>10</v>
      </c>
      <c r="Q16" s="202">
        <v>3</v>
      </c>
      <c r="R16" s="203">
        <v>6</v>
      </c>
      <c r="S16" s="202">
        <v>10</v>
      </c>
      <c r="T16" s="34">
        <f t="shared" si="7"/>
        <v>418000</v>
      </c>
      <c r="U16" s="31">
        <f t="shared" si="8"/>
        <v>209000</v>
      </c>
      <c r="V16" s="34">
        <f t="shared" si="9"/>
        <v>209000</v>
      </c>
      <c r="W16" s="43">
        <v>20900</v>
      </c>
      <c r="X16" s="34">
        <f>SUMIF(헤몬팜마진!$B$7:$B$32,$C16,헤몬팜마진!$R$7:$R$32)</f>
        <v>6638.1449999999995</v>
      </c>
      <c r="Y16" s="34">
        <f t="shared" si="10"/>
        <v>66856.073999999993</v>
      </c>
      <c r="Z16" s="34">
        <f t="shared" si="11"/>
        <v>94194.1</v>
      </c>
      <c r="AA16" s="49">
        <v>85631</v>
      </c>
      <c r="AB16" s="211">
        <f>((22790*0.1)+(22790*0.18)+2100+2200+1900)*10</f>
        <v>125812</v>
      </c>
      <c r="AC16" s="204">
        <f t="shared" si="18"/>
        <v>6930</v>
      </c>
      <c r="AD16" s="152">
        <v>0.08</v>
      </c>
      <c r="AE16" s="31">
        <f>3400*(P16)</f>
        <v>34000</v>
      </c>
      <c r="AF16" s="28">
        <f t="shared" si="13"/>
        <v>0.24267942583732055</v>
      </c>
      <c r="AG16" s="34">
        <f t="shared" si="14"/>
        <v>50720.029999999992</v>
      </c>
      <c r="AH16" s="34">
        <f t="shared" si="15"/>
        <v>7234.6135999999969</v>
      </c>
      <c r="AI16" s="34">
        <f>SUMIF(헤몬팜마진!$B$7:$B$32,$C16,헤몬팜마진!$V$7:$V$32)</f>
        <v>6685.607399999999</v>
      </c>
      <c r="AJ16" s="34">
        <f t="shared" si="16"/>
        <v>84189.282400000011</v>
      </c>
      <c r="AK16" s="206">
        <f t="shared" si="17"/>
        <v>-135816.81760000001</v>
      </c>
      <c r="AL16" s="40">
        <f>SUMIF(헤몬팜마진!$B$7:$B$32,$C16,헤몬팜마진!$T$7:$T$32)</f>
        <v>7.7759999999999998</v>
      </c>
      <c r="AM16" s="41">
        <f>SUMIF(헤몬팜마진!$B$7:$B$32,$C16,헤몬팜마진!$U$7:$U$32)</f>
        <v>39.686400000000006</v>
      </c>
      <c r="AN16" s="36"/>
      <c r="AO16" s="202">
        <v>199341</v>
      </c>
      <c r="AP16" s="205">
        <v>202</v>
      </c>
      <c r="AQ16" s="27"/>
      <c r="AR16" s="27"/>
      <c r="AS16" s="26"/>
      <c r="AT16" s="26"/>
      <c r="AU16" s="26"/>
      <c r="AV16" s="27"/>
      <c r="AW16" s="27"/>
      <c r="AX16" s="27"/>
      <c r="AY16" s="26"/>
      <c r="AZ16" s="26"/>
      <c r="BA16" s="26"/>
      <c r="BB16" s="26"/>
      <c r="BC16" s="26"/>
      <c r="BD16" s="26"/>
      <c r="BE16" s="26"/>
      <c r="BF16" s="26"/>
      <c r="BG16" s="26"/>
      <c r="BH16" s="26"/>
      <c r="BI16" s="26"/>
      <c r="BJ16" s="26"/>
      <c r="BK16" s="26"/>
    </row>
    <row r="17" spans="1:63" ht="28.5" customHeight="1">
      <c r="A17" s="12"/>
      <c r="B17" s="200"/>
      <c r="C17" s="42" t="s">
        <v>118</v>
      </c>
      <c r="D17" s="28">
        <f t="shared" si="0"/>
        <v>0.19359097965889538</v>
      </c>
      <c r="E17" s="201">
        <f t="shared" si="1"/>
        <v>0.44041886261930852</v>
      </c>
      <c r="F17" s="30">
        <f t="shared" si="2"/>
        <v>0.24682788296041311</v>
      </c>
      <c r="G17" s="30">
        <f t="shared" si="3"/>
        <v>3.2679738562091505E-2</v>
      </c>
      <c r="H17" s="35">
        <v>0</v>
      </c>
      <c r="I17" s="35">
        <f t="shared" si="4"/>
        <v>350</v>
      </c>
      <c r="J17" s="35">
        <f t="shared" si="5"/>
        <v>700</v>
      </c>
      <c r="K17" s="210"/>
      <c r="L17" s="39">
        <v>87</v>
      </c>
      <c r="M17" s="39">
        <v>0</v>
      </c>
      <c r="N17" s="44">
        <v>50</v>
      </c>
      <c r="O17" s="202">
        <v>7</v>
      </c>
      <c r="P17" s="31">
        <f t="shared" si="6"/>
        <v>7</v>
      </c>
      <c r="Q17" s="202">
        <v>1</v>
      </c>
      <c r="R17" s="203">
        <v>5</v>
      </c>
      <c r="S17" s="36"/>
      <c r="T17" s="34">
        <f t="shared" si="7"/>
        <v>174300</v>
      </c>
      <c r="U17" s="31">
        <f t="shared" si="8"/>
        <v>0</v>
      </c>
      <c r="V17" s="34">
        <f t="shared" si="9"/>
        <v>174300</v>
      </c>
      <c r="W17" s="43">
        <v>24900</v>
      </c>
      <c r="X17" s="34">
        <f>SUMIF(헤몬팜마진!$B$7:$B$32,$C17,헤몬팜마진!$R$7:$R$32)</f>
        <v>8408.3169999999991</v>
      </c>
      <c r="Y17" s="34">
        <f t="shared" si="10"/>
        <v>60057.962999999989</v>
      </c>
      <c r="Z17" s="34">
        <f t="shared" si="11"/>
        <v>43022.100000000006</v>
      </c>
      <c r="AA17" s="49">
        <v>39111</v>
      </c>
      <c r="AB17" s="209"/>
      <c r="AC17" s="204">
        <f t="shared" si="18"/>
        <v>2310</v>
      </c>
      <c r="AD17" s="152">
        <v>0.1</v>
      </c>
      <c r="AE17" s="31">
        <f>1900*(P17)</f>
        <v>13300</v>
      </c>
      <c r="AF17" s="28">
        <f t="shared" si="13"/>
        <v>0.17630522088353415</v>
      </c>
      <c r="AG17" s="34">
        <f t="shared" si="14"/>
        <v>30730.030000000002</v>
      </c>
      <c r="AH17" s="34">
        <f t="shared" si="15"/>
        <v>6746.9992454545445</v>
      </c>
      <c r="AI17" s="34">
        <f>SUMIF(헤몬팜마진!$B$7:$B$32,$C17,헤몬팜마진!$V$7:$V$32)</f>
        <v>8579.7089999999989</v>
      </c>
      <c r="AJ17" s="34">
        <f t="shared" si="16"/>
        <v>76765.00775454547</v>
      </c>
      <c r="AK17" s="206">
        <f t="shared" si="17"/>
        <v>33742.907754545464</v>
      </c>
      <c r="AL17" s="40">
        <f>SUMIF(헤몬팜마진!$B$7:$B$32,$C17,헤몬팜마진!$T$7:$T$32)</f>
        <v>28.079999999999995</v>
      </c>
      <c r="AM17" s="41">
        <f>SUMIF(헤몬팜마진!$B$7:$B$32,$C17,헤몬팜마진!$U$7:$U$32)</f>
        <v>143.31199999999998</v>
      </c>
      <c r="AN17" s="36"/>
      <c r="AO17" s="202">
        <v>85948</v>
      </c>
      <c r="AP17" s="205">
        <v>153</v>
      </c>
      <c r="AQ17" s="27"/>
      <c r="AR17" s="27"/>
      <c r="AS17" s="26"/>
      <c r="AT17" s="26"/>
      <c r="AU17" s="26"/>
      <c r="AV17" s="27"/>
      <c r="AW17" s="27"/>
      <c r="AX17" s="27"/>
      <c r="AY17" s="26"/>
      <c r="AZ17" s="26"/>
      <c r="BA17" s="26"/>
      <c r="BB17" s="26"/>
      <c r="BC17" s="26"/>
      <c r="BD17" s="26"/>
      <c r="BE17" s="26"/>
      <c r="BF17" s="26"/>
      <c r="BG17" s="26"/>
      <c r="BH17" s="26"/>
      <c r="BI17" s="26"/>
      <c r="BJ17" s="26"/>
      <c r="BK17" s="26"/>
    </row>
    <row r="18" spans="1:63" ht="28.5" customHeight="1">
      <c r="A18" s="12"/>
      <c r="B18" s="127" t="s">
        <v>127</v>
      </c>
      <c r="C18" s="42" t="s">
        <v>119</v>
      </c>
      <c r="D18" s="28">
        <f t="shared" si="0"/>
        <v>0.21124487895832575</v>
      </c>
      <c r="E18" s="201">
        <f t="shared" si="1"/>
        <v>0.43596484681690351</v>
      </c>
      <c r="F18" s="30">
        <f t="shared" si="2"/>
        <v>0.22471996785857778</v>
      </c>
      <c r="G18" s="30">
        <f t="shared" si="3"/>
        <v>6.1538461538461542E-2</v>
      </c>
      <c r="H18" s="35">
        <v>2000</v>
      </c>
      <c r="I18" s="35">
        <f t="shared" si="4"/>
        <v>280</v>
      </c>
      <c r="J18" s="35">
        <f t="shared" si="5"/>
        <v>560</v>
      </c>
      <c r="K18" s="210"/>
      <c r="L18" s="328">
        <v>47</v>
      </c>
      <c r="M18" s="39">
        <v>1</v>
      </c>
      <c r="N18" s="44">
        <v>40</v>
      </c>
      <c r="O18" s="202">
        <v>15</v>
      </c>
      <c r="P18" s="31">
        <f t="shared" si="6"/>
        <v>15</v>
      </c>
      <c r="Q18" s="202">
        <v>3</v>
      </c>
      <c r="R18" s="203">
        <v>4</v>
      </c>
      <c r="S18" s="36"/>
      <c r="T18" s="34">
        <f t="shared" si="7"/>
        <v>373350</v>
      </c>
      <c r="U18" s="31">
        <f t="shared" si="8"/>
        <v>0</v>
      </c>
      <c r="V18" s="34">
        <f t="shared" si="9"/>
        <v>373350</v>
      </c>
      <c r="W18" s="43">
        <v>24890</v>
      </c>
      <c r="X18" s="34">
        <f>SUMIF(헤몬팜마진!$B$7:$B$32,$C18,헤몬팜마진!$R$7:$R$32)</f>
        <v>6859.4164999999994</v>
      </c>
      <c r="Y18" s="34">
        <f t="shared" si="10"/>
        <v>108804.27149999999</v>
      </c>
      <c r="Z18" s="34">
        <f t="shared" si="11"/>
        <v>83899.200000000012</v>
      </c>
      <c r="AA18" s="49">
        <v>76272</v>
      </c>
      <c r="AB18" s="209"/>
      <c r="AC18" s="204">
        <f t="shared" si="18"/>
        <v>6930</v>
      </c>
      <c r="AD18" s="152">
        <v>0.108</v>
      </c>
      <c r="AE18" s="31">
        <f>3150*(P18)</f>
        <v>47250</v>
      </c>
      <c r="AF18" s="28">
        <f t="shared" si="13"/>
        <v>0.23455685014061872</v>
      </c>
      <c r="AG18" s="34">
        <f t="shared" si="14"/>
        <v>87571.83</v>
      </c>
      <c r="AH18" s="34">
        <f t="shared" si="15"/>
        <v>14206.422940909088</v>
      </c>
      <c r="AI18" s="34">
        <f>SUMIF(헤몬팜마진!$B$7:$B$32,$C18,헤몬팜마진!$V$7:$V$32)</f>
        <v>7253.6180999999988</v>
      </c>
      <c r="AJ18" s="34">
        <f t="shared" si="16"/>
        <v>162767.47555909093</v>
      </c>
      <c r="AK18" s="206">
        <f t="shared" si="17"/>
        <v>78868.275559090922</v>
      </c>
      <c r="AL18" s="40">
        <f>SUMIF(헤몬팜마진!$B$7:$B$32,$C18,헤몬팜마진!$T$7:$T$32)</f>
        <v>64.584000000000003</v>
      </c>
      <c r="AM18" s="41">
        <f>SUMIF(헤몬팜마진!$B$7:$B$32,$C18,헤몬팜마진!$U$7:$U$32)</f>
        <v>329.61759999999998</v>
      </c>
      <c r="AN18" s="36"/>
      <c r="AO18" s="202">
        <v>10809</v>
      </c>
      <c r="AP18" s="205">
        <v>65</v>
      </c>
      <c r="AQ18" s="27"/>
      <c r="AR18" s="27"/>
      <c r="AS18" s="26"/>
      <c r="AT18" s="26"/>
      <c r="AU18" s="26"/>
      <c r="AV18" s="27"/>
      <c r="AW18" s="27"/>
      <c r="AX18" s="27"/>
      <c r="AY18" s="26"/>
      <c r="AZ18" s="26"/>
      <c r="BA18" s="26"/>
      <c r="BB18" s="26"/>
      <c r="BC18" s="26"/>
      <c r="BD18" s="26"/>
      <c r="BE18" s="26"/>
      <c r="BF18" s="26"/>
      <c r="BG18" s="26"/>
      <c r="BH18" s="26"/>
      <c r="BI18" s="26"/>
      <c r="BJ18" s="26"/>
      <c r="BK18" s="26"/>
    </row>
    <row r="19" spans="1:63" ht="28.5" customHeight="1">
      <c r="A19" s="12"/>
      <c r="B19" s="214" t="s">
        <v>128</v>
      </c>
      <c r="C19" s="42" t="s">
        <v>120</v>
      </c>
      <c r="D19" s="28">
        <f t="shared" si="0"/>
        <v>1.1687310760500469</v>
      </c>
      <c r="E19" s="201">
        <f t="shared" si="1"/>
        <v>0.41353929866223027</v>
      </c>
      <c r="F19" s="30">
        <f t="shared" si="2"/>
        <v>-0.75519177738781651</v>
      </c>
      <c r="G19" s="30">
        <f t="shared" si="3"/>
        <v>0</v>
      </c>
      <c r="H19" s="35">
        <v>0</v>
      </c>
      <c r="I19" s="35">
        <f t="shared" si="4"/>
        <v>105</v>
      </c>
      <c r="J19" s="35">
        <f t="shared" si="5"/>
        <v>210</v>
      </c>
      <c r="K19" s="210"/>
      <c r="L19" s="310"/>
      <c r="M19" s="39">
        <v>0</v>
      </c>
      <c r="N19" s="44">
        <v>15</v>
      </c>
      <c r="O19" s="215">
        <v>-1</v>
      </c>
      <c r="P19" s="31">
        <f t="shared" si="6"/>
        <v>-1</v>
      </c>
      <c r="Q19" s="202">
        <v>1</v>
      </c>
      <c r="R19" s="203">
        <v>0</v>
      </c>
      <c r="S19" s="36"/>
      <c r="T19" s="34">
        <f t="shared" si="7"/>
        <v>-39890</v>
      </c>
      <c r="U19" s="31">
        <f t="shared" si="8"/>
        <v>0</v>
      </c>
      <c r="V19" s="34">
        <f t="shared" si="9"/>
        <v>-39890</v>
      </c>
      <c r="W19" s="43">
        <v>39890</v>
      </c>
      <c r="X19" s="34">
        <f>SUMIF(헤몬팜마진!$B$7:$B$32,$C19,헤몬팜마진!$R$7:$R$32)</f>
        <v>13718.832999999999</v>
      </c>
      <c r="Y19" s="34">
        <f t="shared" si="10"/>
        <v>-14113.034599999999</v>
      </c>
      <c r="Z19" s="34">
        <f t="shared" si="11"/>
        <v>30124.600000000002</v>
      </c>
      <c r="AA19" s="49">
        <v>27386</v>
      </c>
      <c r="AB19" s="209"/>
      <c r="AC19" s="204">
        <f t="shared" si="18"/>
        <v>2310</v>
      </c>
      <c r="AD19" s="152">
        <v>0.108</v>
      </c>
      <c r="AE19" s="31">
        <f>3550*(P19)</f>
        <v>-3550</v>
      </c>
      <c r="AF19" s="28">
        <f t="shared" si="13"/>
        <v>0.19699473552268737</v>
      </c>
      <c r="AG19" s="34">
        <f t="shared" si="14"/>
        <v>-7858.0899999999992</v>
      </c>
      <c r="AH19" s="34">
        <f t="shared" si="15"/>
        <v>-1422.7927763636362</v>
      </c>
      <c r="AI19" s="34">
        <f>SUMIF(헤몬팜마진!$B$7:$B$32,$C19,헤몬팜마진!$V$7:$V$32)</f>
        <v>14113.034599999999</v>
      </c>
      <c r="AJ19" s="34">
        <f t="shared" si="16"/>
        <v>-16496.082623636365</v>
      </c>
      <c r="AK19" s="206">
        <f t="shared" si="17"/>
        <v>-46620.68262363637</v>
      </c>
      <c r="AL19" s="40">
        <f>SUMIF(헤몬팜마진!$B$7:$B$32,$C19,헤몬팜마진!$T$7:$T$32)</f>
        <v>64.584000000000003</v>
      </c>
      <c r="AM19" s="41">
        <f>SUMIF(헤몬팜마진!$B$7:$B$32,$C19,헤몬팜마진!$U$7:$U$32)</f>
        <v>329.61759999999998</v>
      </c>
      <c r="AN19" s="36"/>
      <c r="AO19" s="202">
        <v>13406</v>
      </c>
      <c r="AP19" s="205">
        <v>59</v>
      </c>
      <c r="AQ19" s="27"/>
      <c r="AR19" s="27"/>
      <c r="AS19" s="26"/>
      <c r="AT19" s="26"/>
      <c r="AU19" s="26"/>
      <c r="AV19" s="27"/>
      <c r="AW19" s="27"/>
      <c r="AX19" s="27"/>
      <c r="AY19" s="26"/>
      <c r="AZ19" s="26"/>
      <c r="BA19" s="26"/>
      <c r="BB19" s="26"/>
      <c r="BC19" s="26"/>
      <c r="BD19" s="26"/>
      <c r="BE19" s="26"/>
      <c r="BF19" s="26"/>
      <c r="BG19" s="26"/>
      <c r="BH19" s="26"/>
      <c r="BI19" s="26"/>
      <c r="BJ19" s="26"/>
      <c r="BK19" s="26"/>
    </row>
    <row r="20" spans="1:63" ht="28.5" customHeight="1">
      <c r="A20" s="12"/>
      <c r="B20" s="216"/>
      <c r="C20" s="217"/>
      <c r="D20" s="51" t="e">
        <f t="shared" si="0"/>
        <v>#REF!</v>
      </c>
      <c r="E20" s="218" t="e">
        <f t="shared" si="1"/>
        <v>#REF!</v>
      </c>
      <c r="F20" s="53">
        <f t="shared" si="2"/>
        <v>0.29073992856439712</v>
      </c>
      <c r="G20" s="219"/>
      <c r="H20" s="55"/>
      <c r="I20" s="55"/>
      <c r="J20" s="55"/>
      <c r="K20" s="55"/>
      <c r="L20" s="55"/>
      <c r="M20" s="55"/>
      <c r="N20" s="55"/>
      <c r="O20" s="130">
        <f t="shared" ref="O20:V20" si="22">SUM(O3:O19)</f>
        <v>244</v>
      </c>
      <c r="P20" s="220">
        <f t="shared" si="22"/>
        <v>229</v>
      </c>
      <c r="Q20" s="130">
        <f t="shared" si="22"/>
        <v>30</v>
      </c>
      <c r="R20" s="130">
        <f t="shared" si="22"/>
        <v>159</v>
      </c>
      <c r="S20" s="130">
        <f t="shared" si="22"/>
        <v>15</v>
      </c>
      <c r="T20" s="130">
        <f t="shared" si="22"/>
        <v>7104630</v>
      </c>
      <c r="U20" s="130">
        <f t="shared" si="22"/>
        <v>298500</v>
      </c>
      <c r="V20" s="220">
        <f t="shared" si="22"/>
        <v>6806130</v>
      </c>
      <c r="W20" s="55"/>
      <c r="X20" s="130">
        <f t="shared" ref="X20:AC20" si="23">SUM(X3:X19)</f>
        <v>153584.54814999999</v>
      </c>
      <c r="Y20" s="220" t="e">
        <f t="shared" si="23"/>
        <v>#REF!</v>
      </c>
      <c r="Z20" s="130">
        <f t="shared" si="23"/>
        <v>1803664.5000000002</v>
      </c>
      <c r="AA20" s="130">
        <f t="shared" si="23"/>
        <v>1639695</v>
      </c>
      <c r="AB20" s="130">
        <f t="shared" si="23"/>
        <v>175149.25</v>
      </c>
      <c r="AC20" s="130">
        <f t="shared" si="23"/>
        <v>67644</v>
      </c>
      <c r="AD20" s="154">
        <v>0.09</v>
      </c>
      <c r="AE20" s="220">
        <f>SUM(AE3:AE19)</f>
        <v>724625</v>
      </c>
      <c r="AF20" s="53">
        <f t="shared" si="13"/>
        <v>0.19646652356037864</v>
      </c>
      <c r="AG20" s="56">
        <f t="shared" ref="AG20:AI20" si="24">SUM(AG3:AG19)</f>
        <v>1386759.59</v>
      </c>
      <c r="AH20" s="56" t="e">
        <f t="shared" si="24"/>
        <v>#REF!</v>
      </c>
      <c r="AI20" s="56" t="e">
        <f t="shared" si="24"/>
        <v>#REF!</v>
      </c>
      <c r="AJ20" s="56" t="e">
        <f t="shared" si="16"/>
        <v>#REF!</v>
      </c>
      <c r="AK20" s="221" t="e">
        <f t="shared" si="17"/>
        <v>#REF!</v>
      </c>
      <c r="AL20" s="54"/>
      <c r="AM20" s="222"/>
      <c r="AN20" s="57"/>
      <c r="AO20" s="131">
        <f t="shared" ref="AO20:AP20" si="25">SUM(AO3:AO4)</f>
        <v>552062</v>
      </c>
      <c r="AP20" s="132">
        <f t="shared" si="25"/>
        <v>1489</v>
      </c>
      <c r="AQ20" s="27"/>
      <c r="AR20" s="27"/>
      <c r="AS20" s="26"/>
      <c r="AT20" s="26"/>
      <c r="AU20" s="26"/>
      <c r="AV20" s="27"/>
      <c r="AW20" s="27"/>
      <c r="AX20" s="27"/>
      <c r="AY20" s="26"/>
      <c r="AZ20" s="26"/>
      <c r="BA20" s="26"/>
      <c r="BB20" s="26"/>
      <c r="BC20" s="26"/>
      <c r="BD20" s="26"/>
      <c r="BE20" s="26"/>
      <c r="BF20" s="26"/>
      <c r="BG20" s="26"/>
      <c r="BH20" s="26"/>
      <c r="BI20" s="26"/>
      <c r="BJ20" s="26"/>
      <c r="BK20" s="26"/>
    </row>
    <row r="21" spans="1:63" ht="28.5" customHeight="1">
      <c r="A21" s="12"/>
      <c r="B21" s="12"/>
      <c r="C21" s="223"/>
      <c r="D21" s="224"/>
      <c r="E21" s="224"/>
      <c r="F21" s="224"/>
      <c r="G21" s="224"/>
      <c r="H21" s="60"/>
      <c r="I21" s="60"/>
      <c r="J21" s="60"/>
      <c r="K21" s="60"/>
      <c r="L21" s="60"/>
      <c r="M21" s="60"/>
      <c r="N21" s="60"/>
      <c r="O21" s="25"/>
      <c r="P21" s="60"/>
      <c r="Q21" s="60"/>
      <c r="R21" s="60"/>
      <c r="S21" s="60"/>
      <c r="T21" s="60"/>
      <c r="U21" s="60"/>
      <c r="V21" s="60"/>
      <c r="W21" s="60"/>
      <c r="X21" s="60"/>
      <c r="Y21" s="60"/>
      <c r="Z21" s="225"/>
      <c r="AA21" s="60"/>
      <c r="AB21" s="224"/>
      <c r="AC21" s="224"/>
      <c r="AD21" s="224"/>
      <c r="AE21" s="224"/>
      <c r="AF21" s="60"/>
      <c r="AG21" s="60"/>
      <c r="AH21" s="58"/>
      <c r="AI21" s="26"/>
      <c r="AJ21" s="27"/>
      <c r="AK21" s="27"/>
      <c r="AL21" s="27"/>
      <c r="AM21" s="26"/>
      <c r="AN21" s="26"/>
      <c r="AO21" s="26"/>
      <c r="AP21" s="27"/>
      <c r="AQ21" s="27"/>
      <c r="AR21" s="27"/>
      <c r="AS21" s="26"/>
      <c r="AT21" s="26"/>
      <c r="AU21" s="26"/>
      <c r="AV21" s="27"/>
      <c r="AW21" s="27"/>
      <c r="AX21" s="27"/>
      <c r="AY21" s="26"/>
      <c r="AZ21" s="26"/>
      <c r="BA21" s="26"/>
      <c r="BB21" s="26"/>
      <c r="BC21" s="26"/>
      <c r="BD21" s="26"/>
      <c r="BE21" s="26"/>
      <c r="BF21" s="26"/>
      <c r="BG21" s="26"/>
      <c r="BH21" s="26"/>
      <c r="BI21" s="26"/>
      <c r="BJ21" s="26"/>
      <c r="BK21" s="26"/>
    </row>
    <row r="22" spans="1:63" ht="28.5" customHeight="1">
      <c r="A22" s="12"/>
      <c r="B22" s="189"/>
      <c r="C22" s="134">
        <v>45930</v>
      </c>
      <c r="D22" s="122" t="s">
        <v>0</v>
      </c>
      <c r="E22" s="122" t="s">
        <v>1</v>
      </c>
      <c r="F22" s="122" t="s">
        <v>2</v>
      </c>
      <c r="G22" s="190" t="s">
        <v>3</v>
      </c>
      <c r="H22" s="191" t="s">
        <v>4</v>
      </c>
      <c r="I22" s="192" t="s">
        <v>5</v>
      </c>
      <c r="J22" s="192" t="s">
        <v>90</v>
      </c>
      <c r="K22" s="192" t="s">
        <v>124</v>
      </c>
      <c r="L22" s="193" t="s">
        <v>6</v>
      </c>
      <c r="M22" s="194" t="s">
        <v>7</v>
      </c>
      <c r="N22" s="123" t="s">
        <v>125</v>
      </c>
      <c r="O22" s="123" t="s">
        <v>8</v>
      </c>
      <c r="P22" s="123" t="s">
        <v>9</v>
      </c>
      <c r="Q22" s="195" t="s">
        <v>10</v>
      </c>
      <c r="R22" s="123" t="s">
        <v>92</v>
      </c>
      <c r="S22" s="196" t="s">
        <v>11</v>
      </c>
      <c r="T22" s="17" t="s">
        <v>12</v>
      </c>
      <c r="U22" s="17" t="s">
        <v>13</v>
      </c>
      <c r="V22" s="17" t="s">
        <v>14</v>
      </c>
      <c r="W22" s="17" t="s">
        <v>15</v>
      </c>
      <c r="X22" s="15" t="s">
        <v>16</v>
      </c>
      <c r="Y22" s="15" t="s">
        <v>17</v>
      </c>
      <c r="Z22" s="19" t="s">
        <v>18</v>
      </c>
      <c r="AA22" s="19" t="s">
        <v>19</v>
      </c>
      <c r="AB22" s="20" t="s">
        <v>20</v>
      </c>
      <c r="AC22" s="22" t="s">
        <v>93</v>
      </c>
      <c r="AD22" s="197" t="s">
        <v>21</v>
      </c>
      <c r="AE22" s="122" t="s">
        <v>22</v>
      </c>
      <c r="AF22" s="21" t="s">
        <v>23</v>
      </c>
      <c r="AG22" s="21" t="s">
        <v>21</v>
      </c>
      <c r="AH22" s="122" t="s">
        <v>24</v>
      </c>
      <c r="AI22" s="15" t="s">
        <v>25</v>
      </c>
      <c r="AJ22" s="15" t="s">
        <v>26</v>
      </c>
      <c r="AK22" s="122" t="s">
        <v>27</v>
      </c>
      <c r="AL22" s="198" t="s">
        <v>28</v>
      </c>
      <c r="AM22" s="199" t="s">
        <v>29</v>
      </c>
      <c r="AN22" s="124" t="s">
        <v>30</v>
      </c>
      <c r="AO22" s="124" t="s">
        <v>94</v>
      </c>
      <c r="AP22" s="125" t="s">
        <v>95</v>
      </c>
      <c r="AQ22" s="27"/>
      <c r="AR22" s="27"/>
      <c r="AS22" s="26"/>
      <c r="AT22" s="26"/>
      <c r="AU22" s="26"/>
      <c r="AV22" s="27"/>
      <c r="AW22" s="27"/>
      <c r="AX22" s="27"/>
      <c r="AY22" s="26"/>
      <c r="AZ22" s="26"/>
      <c r="BA22" s="26"/>
      <c r="BB22" s="26"/>
      <c r="BC22" s="26"/>
      <c r="BD22" s="26"/>
      <c r="BE22" s="26"/>
      <c r="BF22" s="26"/>
      <c r="BG22" s="26"/>
      <c r="BH22" s="26"/>
      <c r="BI22" s="26"/>
      <c r="BJ22" s="26"/>
      <c r="BK22" s="26"/>
    </row>
    <row r="23" spans="1:63" ht="28.5" customHeight="1">
      <c r="A23" s="12" t="s">
        <v>129</v>
      </c>
      <c r="B23" s="200"/>
      <c r="C23" s="42" t="s">
        <v>107</v>
      </c>
      <c r="D23" s="28">
        <f t="shared" ref="D23:D40" si="26">AK23/V23</f>
        <v>0.17884205793883531</v>
      </c>
      <c r="E23" s="201">
        <f t="shared" ref="E23:E40" si="27">AJ23/V23</f>
        <v>0.42270749572685373</v>
      </c>
      <c r="F23" s="30">
        <f t="shared" ref="F23:F40" si="28">(Z23+AB23)/V23</f>
        <v>0.24386543778801845</v>
      </c>
      <c r="G23" s="30">
        <f t="shared" ref="G23:G39" si="29">R23/AP23</f>
        <v>7.7770130763936685E-2</v>
      </c>
      <c r="H23" s="35">
        <v>7410</v>
      </c>
      <c r="I23" s="35">
        <f t="shared" ref="I23:I39" si="30">N23*7</f>
        <v>1400</v>
      </c>
      <c r="J23" s="35">
        <f t="shared" ref="J23:J39" si="31">N23*14</f>
        <v>2800</v>
      </c>
      <c r="K23" s="48"/>
      <c r="L23" s="49">
        <v>76</v>
      </c>
      <c r="M23" s="49">
        <f>1906+1320</f>
        <v>3226</v>
      </c>
      <c r="N23" s="44">
        <v>200</v>
      </c>
      <c r="O23" s="226">
        <v>140</v>
      </c>
      <c r="P23" s="31">
        <f t="shared" ref="P23:P39" si="32">O23-S23</f>
        <v>140</v>
      </c>
      <c r="Q23" s="227">
        <v>15</v>
      </c>
      <c r="R23" s="203">
        <v>113</v>
      </c>
      <c r="S23" s="36"/>
      <c r="T23" s="34">
        <f t="shared" ref="T23:T39" si="33">W23*O23</f>
        <v>3906000</v>
      </c>
      <c r="U23" s="31">
        <f t="shared" ref="U23:U39" si="34">W23*S23</f>
        <v>0</v>
      </c>
      <c r="V23" s="34">
        <f t="shared" ref="V23:V39" si="35">T23-U23</f>
        <v>3906000</v>
      </c>
      <c r="W23" s="34">
        <v>27900</v>
      </c>
      <c r="X23" s="34">
        <f>SUMIF(헤몬팜마진!$B$7:$B$32,$C23,헤몬팜마진!$R$7:$R$32)</f>
        <v>8850.86</v>
      </c>
      <c r="Y23" s="34">
        <f t="shared" ref="Y23:Y39" si="36">AI23*P23</f>
        <v>1294308.6240000001</v>
      </c>
      <c r="Z23" s="34">
        <f t="shared" ref="Z23:Z39" si="37">AA23*1.1</f>
        <v>952538.4</v>
      </c>
      <c r="AA23" s="49">
        <v>865944</v>
      </c>
      <c r="AB23" s="36"/>
      <c r="AC23" s="204">
        <f t="shared" ref="AC23:AC24" si="38">(1072+1100)*Q23</f>
        <v>32580</v>
      </c>
      <c r="AD23" s="152">
        <v>0.1</v>
      </c>
      <c r="AE23" s="31">
        <f>3050*(P23)</f>
        <v>427000</v>
      </c>
      <c r="AF23" s="28">
        <f t="shared" ref="AF23:AF40" si="39">AD23+(AE23/V23)</f>
        <v>0.20931899641577062</v>
      </c>
      <c r="AG23" s="34">
        <f t="shared" ref="AG23:AG39" si="40">IFERROR(V23*AF23+3%,0)</f>
        <v>817600.03</v>
      </c>
      <c r="AH23" s="34">
        <f t="shared" ref="AH23:AH39" si="41">V23/1.1*10%-((AI23*P23)+AG23+(AN23*P23)+(AL23*P23))*10%</f>
        <v>142995.86769090913</v>
      </c>
      <c r="AI23" s="34">
        <f>SUMIF(헤몬팜마진!$B$7:$B$32,$C23,헤몬팜마진!$V$7:$V$32)</f>
        <v>9245.0616000000009</v>
      </c>
      <c r="AJ23" s="34">
        <f t="shared" ref="AJ23:AJ40" si="42">V23-(Y23+AG23+AH23+(AN23*P23))</f>
        <v>1651095.4783090907</v>
      </c>
      <c r="AK23" s="46">
        <f t="shared" ref="AK23:AK40" si="43">AJ23-Z23-AB23</f>
        <v>698557.07830909069</v>
      </c>
      <c r="AL23" s="40">
        <f>SUMIF(헤몬팜마진!$B$7:$B$32,$C23,헤몬팜마진!$T$7:$T$32)</f>
        <v>64.584000000000003</v>
      </c>
      <c r="AM23" s="41">
        <f>SUMIF(헤몬팜마진!$B$7:$B$32,$C23,헤몬팜마진!$U$7:$U$32)</f>
        <v>329.61759999999998</v>
      </c>
      <c r="AN23" s="36"/>
      <c r="AO23" s="202">
        <v>597568</v>
      </c>
      <c r="AP23" s="205">
        <v>1453</v>
      </c>
      <c r="AQ23" s="27"/>
      <c r="AR23" s="27"/>
      <c r="AS23" s="26"/>
      <c r="AT23" s="26"/>
      <c r="AU23" s="26"/>
      <c r="AV23" s="27"/>
      <c r="AW23" s="27"/>
      <c r="AX23" s="27"/>
      <c r="AY23" s="26"/>
      <c r="AZ23" s="26"/>
      <c r="BA23" s="26"/>
      <c r="BB23" s="26"/>
      <c r="BC23" s="26"/>
      <c r="BD23" s="26"/>
      <c r="BE23" s="26"/>
      <c r="BF23" s="26"/>
      <c r="BG23" s="26"/>
      <c r="BH23" s="26"/>
      <c r="BI23" s="26"/>
      <c r="BJ23" s="26"/>
      <c r="BK23" s="26"/>
    </row>
    <row r="24" spans="1:63" ht="28.5" customHeight="1">
      <c r="A24" s="228" t="s">
        <v>130</v>
      </c>
      <c r="B24" s="200"/>
      <c r="C24" s="42" t="s">
        <v>108</v>
      </c>
      <c r="D24" s="28">
        <f t="shared" si="26"/>
        <v>0.17880182539046857</v>
      </c>
      <c r="E24" s="201">
        <f t="shared" si="27"/>
        <v>0.40985028354024833</v>
      </c>
      <c r="F24" s="30">
        <f t="shared" si="28"/>
        <v>0.23104845814977976</v>
      </c>
      <c r="G24" s="30">
        <f t="shared" si="29"/>
        <v>0</v>
      </c>
      <c r="H24" s="35">
        <v>1460</v>
      </c>
      <c r="I24" s="35">
        <f t="shared" si="30"/>
        <v>140</v>
      </c>
      <c r="J24" s="35">
        <f t="shared" si="31"/>
        <v>280</v>
      </c>
      <c r="K24" s="26"/>
      <c r="L24" s="39">
        <v>325</v>
      </c>
      <c r="M24" s="39">
        <v>0</v>
      </c>
      <c r="N24" s="44">
        <v>20</v>
      </c>
      <c r="O24" s="202">
        <v>1</v>
      </c>
      <c r="P24" s="31">
        <f t="shared" si="32"/>
        <v>1</v>
      </c>
      <c r="Q24" s="36"/>
      <c r="R24" s="167"/>
      <c r="S24" s="36"/>
      <c r="T24" s="34">
        <f t="shared" si="33"/>
        <v>22700</v>
      </c>
      <c r="U24" s="31">
        <f t="shared" si="34"/>
        <v>0</v>
      </c>
      <c r="V24" s="34">
        <f t="shared" si="35"/>
        <v>22700</v>
      </c>
      <c r="W24" s="43">
        <v>22700</v>
      </c>
      <c r="X24" s="34">
        <f>SUMIF(헤몬팜마진!$B$7:$B$32,$C24,헤몬팜마진!$R$7:$R$32)</f>
        <v>7080.6879999999992</v>
      </c>
      <c r="Y24" s="34">
        <f t="shared" si="36"/>
        <v>7377.3279999999995</v>
      </c>
      <c r="Z24" s="34">
        <f t="shared" si="37"/>
        <v>5244.8</v>
      </c>
      <c r="AA24" s="49">
        <v>4768</v>
      </c>
      <c r="AB24" s="36"/>
      <c r="AC24" s="204">
        <f t="shared" si="38"/>
        <v>0</v>
      </c>
      <c r="AD24" s="152">
        <v>0.1</v>
      </c>
      <c r="AE24" s="31">
        <f>2950*(P24)</f>
        <v>2950</v>
      </c>
      <c r="AF24" s="28">
        <f t="shared" si="39"/>
        <v>0.22995594713656389</v>
      </c>
      <c r="AG24" s="34">
        <f t="shared" si="40"/>
        <v>5220.03</v>
      </c>
      <c r="AH24" s="34">
        <f t="shared" si="41"/>
        <v>799.04056363636346</v>
      </c>
      <c r="AI24" s="34">
        <f>SUMIF(헤몬팜마진!$B$7:$B$32,$C24,헤몬팜마진!$V$7:$V$32)</f>
        <v>7377.3279999999995</v>
      </c>
      <c r="AJ24" s="34">
        <f t="shared" si="42"/>
        <v>9303.6014363636368</v>
      </c>
      <c r="AK24" s="46">
        <f t="shared" si="43"/>
        <v>4058.8014363636366</v>
      </c>
      <c r="AL24" s="40">
        <f>SUMIF(헤몬팜마진!$B$7:$B$32,$C24,헤몬팜마진!$T$7:$T$32)</f>
        <v>48.6</v>
      </c>
      <c r="AM24" s="41">
        <f>SUMIF(헤몬팜마진!$B$7:$B$32,$C24,헤몬팜마진!$U$7:$U$32)</f>
        <v>248.04000000000002</v>
      </c>
      <c r="AN24" s="36"/>
      <c r="AO24" s="202">
        <v>21999</v>
      </c>
      <c r="AP24" s="205">
        <v>14</v>
      </c>
      <c r="AQ24" s="27"/>
      <c r="AR24" s="27"/>
      <c r="AS24" s="26"/>
      <c r="AT24" s="26"/>
      <c r="AU24" s="26"/>
      <c r="AV24" s="27"/>
      <c r="AW24" s="27"/>
      <c r="AX24" s="27"/>
      <c r="AY24" s="26"/>
      <c r="AZ24" s="26"/>
      <c r="BA24" s="26"/>
      <c r="BB24" s="26"/>
      <c r="BC24" s="26"/>
      <c r="BD24" s="26"/>
      <c r="BE24" s="26"/>
      <c r="BF24" s="26"/>
      <c r="BG24" s="26"/>
      <c r="BH24" s="26"/>
      <c r="BI24" s="26"/>
      <c r="BJ24" s="26"/>
      <c r="BK24" s="26"/>
    </row>
    <row r="25" spans="1:63" ht="28.5" customHeight="1">
      <c r="A25" s="327" t="s">
        <v>131</v>
      </c>
      <c r="B25" s="323"/>
      <c r="C25" s="42" t="s">
        <v>109</v>
      </c>
      <c r="D25" s="28" t="e">
        <f>AK25/V25</f>
        <v>#REF!</v>
      </c>
      <c r="E25" s="201" t="e">
        <f t="shared" si="27"/>
        <v>#REF!</v>
      </c>
      <c r="F25" s="30">
        <f t="shared" si="28"/>
        <v>0.13356113537117906</v>
      </c>
      <c r="G25" s="30">
        <f t="shared" si="29"/>
        <v>5.8823529411764705E-2</v>
      </c>
      <c r="H25" s="35">
        <v>0</v>
      </c>
      <c r="I25" s="35">
        <f t="shared" si="30"/>
        <v>105</v>
      </c>
      <c r="J25" s="35">
        <f t="shared" si="31"/>
        <v>210</v>
      </c>
      <c r="K25" s="48"/>
      <c r="L25" s="325">
        <v>430</v>
      </c>
      <c r="M25" s="49">
        <f>40+3+3</f>
        <v>46</v>
      </c>
      <c r="N25" s="44">
        <v>15</v>
      </c>
      <c r="O25" s="202">
        <v>1</v>
      </c>
      <c r="P25" s="31">
        <f t="shared" si="32"/>
        <v>1</v>
      </c>
      <c r="Q25" s="36"/>
      <c r="R25" s="203">
        <v>1</v>
      </c>
      <c r="S25" s="36"/>
      <c r="T25" s="34">
        <f t="shared" si="33"/>
        <v>45800</v>
      </c>
      <c r="U25" s="31">
        <f t="shared" si="34"/>
        <v>0</v>
      </c>
      <c r="V25" s="34">
        <f t="shared" si="35"/>
        <v>45800</v>
      </c>
      <c r="W25" s="43">
        <v>45800</v>
      </c>
      <c r="X25" s="34">
        <f>SUMIF(헤몬팜마진!$B$7:$B$32,$C25,헤몬팜마진!$R$7:$R$32)</f>
        <v>9990.4082249999992</v>
      </c>
      <c r="Y25" s="34" t="e">
        <f t="shared" si="36"/>
        <v>#REF!</v>
      </c>
      <c r="Z25" s="34">
        <f t="shared" si="37"/>
        <v>6117.1</v>
      </c>
      <c r="AA25" s="49">
        <v>5561</v>
      </c>
      <c r="AB25" s="36"/>
      <c r="AC25" s="204">
        <f t="shared" ref="AC25:AC39" si="44">(1210+1100)*Q25</f>
        <v>0</v>
      </c>
      <c r="AD25" s="152">
        <v>0.11</v>
      </c>
      <c r="AE25" s="31">
        <f t="shared" ref="AE25:AE26" si="45">4150*(P25)</f>
        <v>4150</v>
      </c>
      <c r="AF25" s="28">
        <f t="shared" si="39"/>
        <v>0.2006113537117904</v>
      </c>
      <c r="AG25" s="34">
        <f t="shared" si="40"/>
        <v>9188.0300000000007</v>
      </c>
      <c r="AH25" s="34" t="e">
        <f t="shared" si="41"/>
        <v>#REF!</v>
      </c>
      <c r="AI25" s="34" t="e">
        <f>SUMIF(헤몬팜마진!$B$7:$B$32,$C25,헤몬팜마진!$V$7:$V$32)</f>
        <v>#REF!</v>
      </c>
      <c r="AJ25" s="34" t="e">
        <f>V25-(Y25+AG25+AH25+(AN25*P25))</f>
        <v>#REF!</v>
      </c>
      <c r="AK25" s="46" t="e">
        <f t="shared" si="43"/>
        <v>#REF!</v>
      </c>
      <c r="AL25" s="40">
        <f>SUMIF(헤몬팜마진!$B$7:$B$32,$C25,헤몬팜마진!$T$7:$T$32)</f>
        <v>162</v>
      </c>
      <c r="AM25" s="41">
        <f>SUMIF(헤몬팜마진!$B$7:$B$32,$C25,헤몬팜마진!$U$7:$U$32)</f>
        <v>826.80000000000007</v>
      </c>
      <c r="AN25" s="36"/>
      <c r="AO25" s="202">
        <v>10677</v>
      </c>
      <c r="AP25" s="205">
        <v>17</v>
      </c>
      <c r="AQ25" s="27"/>
      <c r="AR25" s="27"/>
      <c r="AS25" s="26"/>
      <c r="AT25" s="26"/>
      <c r="AU25" s="26"/>
      <c r="AV25" s="27"/>
      <c r="AW25" s="27"/>
      <c r="AX25" s="27"/>
      <c r="AY25" s="26"/>
      <c r="AZ25" s="26"/>
      <c r="BA25" s="26"/>
      <c r="BB25" s="26"/>
      <c r="BC25" s="26"/>
      <c r="BD25" s="26"/>
      <c r="BE25" s="26"/>
      <c r="BF25" s="26"/>
      <c r="BG25" s="26"/>
      <c r="BH25" s="26"/>
      <c r="BI25" s="26"/>
      <c r="BJ25" s="26"/>
      <c r="BK25" s="26"/>
    </row>
    <row r="26" spans="1:63" ht="28.5" customHeight="1">
      <c r="A26" s="318"/>
      <c r="B26" s="324"/>
      <c r="C26" s="42" t="s">
        <v>110</v>
      </c>
      <c r="D26" s="28" t="e">
        <f t="shared" si="26"/>
        <v>#REF!</v>
      </c>
      <c r="E26" s="201" t="e">
        <f t="shared" si="27"/>
        <v>#REF!</v>
      </c>
      <c r="F26" s="30">
        <f t="shared" si="28"/>
        <v>0.78194017094017099</v>
      </c>
      <c r="G26" s="30">
        <f t="shared" si="29"/>
        <v>2.8037383177570093E-2</v>
      </c>
      <c r="H26" s="35">
        <v>0</v>
      </c>
      <c r="I26" s="35">
        <f t="shared" si="30"/>
        <v>105</v>
      </c>
      <c r="J26" s="35">
        <f t="shared" si="31"/>
        <v>210</v>
      </c>
      <c r="K26" s="48"/>
      <c r="L26" s="310"/>
      <c r="M26" s="49">
        <f>13+2</f>
        <v>15</v>
      </c>
      <c r="N26" s="44">
        <v>15</v>
      </c>
      <c r="O26" s="202">
        <v>2</v>
      </c>
      <c r="P26" s="31">
        <f t="shared" si="32"/>
        <v>2</v>
      </c>
      <c r="Q26" s="202">
        <v>2</v>
      </c>
      <c r="R26" s="203">
        <v>3</v>
      </c>
      <c r="S26" s="36"/>
      <c r="T26" s="34">
        <f t="shared" si="33"/>
        <v>93600</v>
      </c>
      <c r="U26" s="31">
        <f t="shared" si="34"/>
        <v>0</v>
      </c>
      <c r="V26" s="34">
        <f t="shared" si="35"/>
        <v>93600</v>
      </c>
      <c r="W26" s="43">
        <v>46800</v>
      </c>
      <c r="X26" s="34">
        <f>SUMIF(헤몬팜마진!$B$7:$B$32,$C26,헤몬팜마진!$R$7:$R$32)</f>
        <v>9990.4082249999992</v>
      </c>
      <c r="Y26" s="34" t="e">
        <f t="shared" si="36"/>
        <v>#REF!</v>
      </c>
      <c r="Z26" s="34">
        <f t="shared" si="37"/>
        <v>73189.600000000006</v>
      </c>
      <c r="AA26" s="49">
        <v>66536</v>
      </c>
      <c r="AB26" s="36"/>
      <c r="AC26" s="204">
        <f t="shared" si="44"/>
        <v>4620</v>
      </c>
      <c r="AD26" s="152">
        <v>0.11</v>
      </c>
      <c r="AE26" s="31">
        <f t="shared" si="45"/>
        <v>8300</v>
      </c>
      <c r="AF26" s="28">
        <f t="shared" si="39"/>
        <v>0.19867521367521368</v>
      </c>
      <c r="AG26" s="34">
        <f t="shared" si="40"/>
        <v>18596.03</v>
      </c>
      <c r="AH26" s="34" t="e">
        <f t="shared" si="41"/>
        <v>#REF!</v>
      </c>
      <c r="AI26" s="34" t="e">
        <f>SUMIF(헤몬팜마진!$B$7:$B$32,$C26,헤몬팜마진!$V$7:$V$32)</f>
        <v>#REF!</v>
      </c>
      <c r="AJ26" s="34" t="e">
        <f t="shared" si="42"/>
        <v>#REF!</v>
      </c>
      <c r="AK26" s="206" t="e">
        <f t="shared" si="43"/>
        <v>#REF!</v>
      </c>
      <c r="AL26" s="40">
        <f>SUMIF(헤몬팜마진!$B$7:$B$32,$C26,헤몬팜마진!$T$7:$T$32)</f>
        <v>162</v>
      </c>
      <c r="AM26" s="41">
        <f>SUMIF(헤몬팜마진!$B$7:$B$32,$C26,헤몬팜마진!$U$7:$U$32)</f>
        <v>826.80000000000007</v>
      </c>
      <c r="AN26" s="36"/>
      <c r="AO26" s="202">
        <v>77094</v>
      </c>
      <c r="AP26" s="205">
        <v>107</v>
      </c>
      <c r="AQ26" s="27"/>
      <c r="AR26" s="27"/>
      <c r="AS26" s="26"/>
      <c r="AT26" s="26"/>
      <c r="AU26" s="26"/>
      <c r="AV26" s="27"/>
      <c r="AW26" s="27"/>
      <c r="AX26" s="27"/>
      <c r="AY26" s="26"/>
      <c r="AZ26" s="26"/>
      <c r="BA26" s="26"/>
      <c r="BB26" s="26"/>
      <c r="BC26" s="26"/>
      <c r="BD26" s="26"/>
      <c r="BE26" s="26"/>
      <c r="BF26" s="26"/>
      <c r="BG26" s="26"/>
      <c r="BH26" s="26"/>
      <c r="BI26" s="26"/>
      <c r="BJ26" s="26"/>
      <c r="BK26" s="26"/>
    </row>
    <row r="27" spans="1:63" ht="28.5" customHeight="1">
      <c r="A27" s="12" t="s">
        <v>132</v>
      </c>
      <c r="B27" s="323"/>
      <c r="C27" s="42" t="s">
        <v>32</v>
      </c>
      <c r="D27" s="28" t="e">
        <f t="shared" si="26"/>
        <v>#REF!</v>
      </c>
      <c r="E27" s="201" t="e">
        <f t="shared" si="27"/>
        <v>#REF!</v>
      </c>
      <c r="F27" s="30">
        <f t="shared" si="28"/>
        <v>9.7096153846153846E-2</v>
      </c>
      <c r="G27" s="30">
        <f t="shared" si="29"/>
        <v>5.8823529411764705E-2</v>
      </c>
      <c r="H27" s="37">
        <v>3504</v>
      </c>
      <c r="I27" s="35">
        <f t="shared" si="30"/>
        <v>210</v>
      </c>
      <c r="J27" s="35">
        <f t="shared" si="31"/>
        <v>420</v>
      </c>
      <c r="K27" s="48"/>
      <c r="L27" s="325">
        <v>626</v>
      </c>
      <c r="M27" s="39">
        <f>30+13+6</f>
        <v>49</v>
      </c>
      <c r="N27" s="208">
        <v>30</v>
      </c>
      <c r="O27" s="202">
        <v>2</v>
      </c>
      <c r="P27" s="31">
        <f t="shared" si="32"/>
        <v>2</v>
      </c>
      <c r="Q27" s="36"/>
      <c r="R27" s="203">
        <v>1</v>
      </c>
      <c r="S27" s="36"/>
      <c r="T27" s="34">
        <f t="shared" si="33"/>
        <v>119600</v>
      </c>
      <c r="U27" s="31">
        <f t="shared" si="34"/>
        <v>0</v>
      </c>
      <c r="V27" s="34">
        <f t="shared" si="35"/>
        <v>119600</v>
      </c>
      <c r="W27" s="43">
        <v>59800</v>
      </c>
      <c r="X27" s="34">
        <f>SUMIF(헤몬팜마진!$B$7:$B$32,$C27,헤몬팜마진!$R$7:$R$32)</f>
        <v>13276.289999999999</v>
      </c>
      <c r="Y27" s="34" t="e">
        <f t="shared" si="36"/>
        <v>#REF!</v>
      </c>
      <c r="Z27" s="34">
        <f t="shared" si="37"/>
        <v>11612.7</v>
      </c>
      <c r="AA27" s="49">
        <v>10557</v>
      </c>
      <c r="AB27" s="209"/>
      <c r="AC27" s="204">
        <f t="shared" si="44"/>
        <v>0</v>
      </c>
      <c r="AD27" s="152">
        <v>0.108</v>
      </c>
      <c r="AE27" s="31">
        <f t="shared" ref="AE27:AE28" si="46">4825*(P27)</f>
        <v>9650</v>
      </c>
      <c r="AF27" s="28">
        <f t="shared" si="39"/>
        <v>0.188685618729097</v>
      </c>
      <c r="AG27" s="34">
        <f t="shared" si="40"/>
        <v>22566.83</v>
      </c>
      <c r="AH27" s="34" t="e">
        <f t="shared" si="41"/>
        <v>#REF!</v>
      </c>
      <c r="AI27" s="34" t="e">
        <f>SUMIF(헤몬팜마진!$B$7:$B$32,$C27,헤몬팜마진!$V$7:$V$32)</f>
        <v>#REF!</v>
      </c>
      <c r="AJ27" s="34" t="e">
        <f t="shared" si="42"/>
        <v>#REF!</v>
      </c>
      <c r="AK27" s="46" t="e">
        <f t="shared" si="43"/>
        <v>#REF!</v>
      </c>
      <c r="AL27" s="40">
        <f>SUMIF(헤몬팜마진!$B$7:$B$32,$C27,헤몬팜마진!$T$7:$T$32)</f>
        <v>371.52</v>
      </c>
      <c r="AM27" s="41">
        <f>SUMIF(헤몬팜마진!$B$7:$B$32,$C27,헤몬팜마진!$U$7:$U$32)</f>
        <v>1896.1279999999999</v>
      </c>
      <c r="AN27" s="36"/>
      <c r="AO27" s="202">
        <v>11885</v>
      </c>
      <c r="AP27" s="205">
        <v>17</v>
      </c>
      <c r="AQ27" s="27"/>
      <c r="AR27" s="27"/>
      <c r="AS27" s="26"/>
      <c r="AT27" s="26"/>
      <c r="AU27" s="26"/>
      <c r="AV27" s="27"/>
      <c r="AW27" s="27"/>
      <c r="AX27" s="27"/>
      <c r="AY27" s="26"/>
      <c r="AZ27" s="26"/>
      <c r="BA27" s="26"/>
      <c r="BB27" s="26"/>
      <c r="BC27" s="26"/>
      <c r="BD27" s="26"/>
      <c r="BE27" s="26"/>
      <c r="BF27" s="26"/>
      <c r="BG27" s="26"/>
      <c r="BH27" s="26"/>
      <c r="BI27" s="26"/>
      <c r="BJ27" s="26"/>
      <c r="BK27" s="26"/>
    </row>
    <row r="28" spans="1:63" ht="28.5" customHeight="1">
      <c r="A28" s="12" t="s">
        <v>132</v>
      </c>
      <c r="B28" s="324"/>
      <c r="C28" s="42" t="s">
        <v>33</v>
      </c>
      <c r="D28" s="28" t="e">
        <f t="shared" si="26"/>
        <v>#REF!</v>
      </c>
      <c r="E28" s="201" t="e">
        <f t="shared" si="27"/>
        <v>#REF!</v>
      </c>
      <c r="F28" s="30">
        <f t="shared" si="28"/>
        <v>0.11222269991401548</v>
      </c>
      <c r="G28" s="30">
        <f t="shared" si="29"/>
        <v>4.49438202247191E-2</v>
      </c>
      <c r="H28" s="35">
        <v>0</v>
      </c>
      <c r="I28" s="35">
        <f t="shared" si="30"/>
        <v>210</v>
      </c>
      <c r="J28" s="35">
        <f t="shared" si="31"/>
        <v>420</v>
      </c>
      <c r="K28" s="48"/>
      <c r="L28" s="310"/>
      <c r="M28" s="39">
        <f>4+11+18+38+129</f>
        <v>200</v>
      </c>
      <c r="N28" s="44">
        <v>30</v>
      </c>
      <c r="O28" s="202">
        <v>6</v>
      </c>
      <c r="P28" s="31">
        <f t="shared" si="32"/>
        <v>6</v>
      </c>
      <c r="Q28" s="36"/>
      <c r="R28" s="203">
        <v>4</v>
      </c>
      <c r="S28" s="36"/>
      <c r="T28" s="34">
        <f t="shared" si="33"/>
        <v>418680</v>
      </c>
      <c r="U28" s="31">
        <f t="shared" si="34"/>
        <v>0</v>
      </c>
      <c r="V28" s="34">
        <f t="shared" si="35"/>
        <v>418680</v>
      </c>
      <c r="W28" s="43">
        <v>69780</v>
      </c>
      <c r="X28" s="34">
        <f>SUMIF(헤몬팜마진!$B$7:$B$32,$C28,헤몬팜마진!$R$7:$R$32)</f>
        <v>13276.289999999999</v>
      </c>
      <c r="Y28" s="34" t="e">
        <f t="shared" si="36"/>
        <v>#REF!</v>
      </c>
      <c r="Z28" s="34">
        <f t="shared" si="37"/>
        <v>46985.4</v>
      </c>
      <c r="AA28" s="49">
        <v>42714</v>
      </c>
      <c r="AB28" s="36"/>
      <c r="AC28" s="204">
        <f t="shared" si="44"/>
        <v>0</v>
      </c>
      <c r="AD28" s="152">
        <v>0.108</v>
      </c>
      <c r="AE28" s="31">
        <f t="shared" si="46"/>
        <v>28950</v>
      </c>
      <c r="AF28" s="28">
        <f t="shared" si="39"/>
        <v>0.17714588707366008</v>
      </c>
      <c r="AG28" s="34">
        <f t="shared" si="40"/>
        <v>74167.47</v>
      </c>
      <c r="AH28" s="34" t="e">
        <f t="shared" si="41"/>
        <v>#REF!</v>
      </c>
      <c r="AI28" s="34" t="e">
        <f>SUMIF(헤몬팜마진!$B$7:$B$32,$C28,헤몬팜마진!$V$7:$V$32)</f>
        <v>#REF!</v>
      </c>
      <c r="AJ28" s="34" t="e">
        <f t="shared" si="42"/>
        <v>#REF!</v>
      </c>
      <c r="AK28" s="46" t="e">
        <f t="shared" si="43"/>
        <v>#REF!</v>
      </c>
      <c r="AL28" s="40">
        <f>SUMIF(헤몬팜마진!$B$7:$B$32,$C28,헤몬팜마진!$T$7:$T$32)</f>
        <v>371.52</v>
      </c>
      <c r="AM28" s="41">
        <f>SUMIF(헤몬팜마진!$B$7:$B$32,$C28,헤몬팜마진!$U$7:$U$32)</f>
        <v>1896.1279999999999</v>
      </c>
      <c r="AN28" s="36"/>
      <c r="AO28" s="202">
        <v>45365</v>
      </c>
      <c r="AP28" s="205">
        <v>89</v>
      </c>
      <c r="AQ28" s="27"/>
      <c r="AR28" s="27"/>
      <c r="AS28" s="26"/>
      <c r="AT28" s="26"/>
      <c r="AU28" s="26"/>
      <c r="AV28" s="27"/>
      <c r="AW28" s="27"/>
      <c r="AX28" s="27"/>
      <c r="AY28" s="26"/>
      <c r="AZ28" s="26"/>
      <c r="BA28" s="26"/>
      <c r="BB28" s="26"/>
      <c r="BC28" s="26"/>
      <c r="BD28" s="26"/>
      <c r="BE28" s="26"/>
      <c r="BF28" s="26"/>
      <c r="BG28" s="26"/>
      <c r="BH28" s="26"/>
      <c r="BI28" s="26"/>
      <c r="BJ28" s="26"/>
      <c r="BK28" s="26"/>
    </row>
    <row r="29" spans="1:63" ht="28.5" customHeight="1">
      <c r="A29" s="228" t="s">
        <v>133</v>
      </c>
      <c r="B29" s="200"/>
      <c r="C29" s="42" t="s">
        <v>111</v>
      </c>
      <c r="D29" s="28">
        <f t="shared" si="26"/>
        <v>-1.3664629246559892</v>
      </c>
      <c r="E29" s="201">
        <f t="shared" si="27"/>
        <v>0.39080832224227396</v>
      </c>
      <c r="F29" s="30">
        <f t="shared" si="28"/>
        <v>1.7572712468982632</v>
      </c>
      <c r="G29" s="30">
        <f t="shared" si="29"/>
        <v>2.6490066225165563E-2</v>
      </c>
      <c r="H29" s="35">
        <v>500</v>
      </c>
      <c r="I29" s="35">
        <f t="shared" si="30"/>
        <v>105</v>
      </c>
      <c r="J29" s="35">
        <f t="shared" si="31"/>
        <v>210</v>
      </c>
      <c r="K29" s="210"/>
      <c r="L29" s="39">
        <v>577</v>
      </c>
      <c r="M29" s="39">
        <v>211</v>
      </c>
      <c r="N29" s="44">
        <v>15</v>
      </c>
      <c r="O29" s="202">
        <v>9</v>
      </c>
      <c r="P29" s="31">
        <f t="shared" si="32"/>
        <v>4</v>
      </c>
      <c r="Q29" s="202">
        <v>1</v>
      </c>
      <c r="R29" s="203">
        <v>4</v>
      </c>
      <c r="S29" s="202">
        <v>5</v>
      </c>
      <c r="T29" s="34">
        <f t="shared" si="33"/>
        <v>145080</v>
      </c>
      <c r="U29" s="31">
        <f t="shared" si="34"/>
        <v>80600</v>
      </c>
      <c r="V29" s="34">
        <f t="shared" si="35"/>
        <v>64480</v>
      </c>
      <c r="W29" s="43">
        <v>16120</v>
      </c>
      <c r="X29" s="34">
        <f>SUMIF(헤몬팜마진!$B$7:$B$32,$C29,헤몬팜마진!$R$7:$R$32)</f>
        <v>5089.2444999999998</v>
      </c>
      <c r="Y29" s="34">
        <f t="shared" si="36"/>
        <v>20505.297999999999</v>
      </c>
      <c r="Z29" s="34">
        <f t="shared" si="37"/>
        <v>63971.600000000006</v>
      </c>
      <c r="AA29" s="49">
        <v>58156</v>
      </c>
      <c r="AB29" s="211">
        <f>((17890*0.015)+(17890*0.19)+2100+2200+1900)*5</f>
        <v>49337.25</v>
      </c>
      <c r="AC29" s="204">
        <f t="shared" si="44"/>
        <v>2310</v>
      </c>
      <c r="AD29" s="152">
        <v>7.8E-2</v>
      </c>
      <c r="AE29" s="31">
        <f>2900*(P29)</f>
        <v>11600</v>
      </c>
      <c r="AF29" s="28">
        <f t="shared" si="39"/>
        <v>0.25790074441687344</v>
      </c>
      <c r="AG29" s="34">
        <f t="shared" si="40"/>
        <v>16629.469999999998</v>
      </c>
      <c r="AH29" s="34">
        <f t="shared" si="41"/>
        <v>2145.9113818181818</v>
      </c>
      <c r="AI29" s="34">
        <f>SUMIF(헤몬팜마진!$B$7:$B$32,$C29,헤몬팜마진!$V$7:$V$32)</f>
        <v>5126.3244999999997</v>
      </c>
      <c r="AJ29" s="34">
        <f t="shared" si="42"/>
        <v>25199.320618181824</v>
      </c>
      <c r="AK29" s="206">
        <f t="shared" si="43"/>
        <v>-88109.529381818182</v>
      </c>
      <c r="AL29" s="40">
        <f>SUMIF(헤몬팜마진!$B$7:$B$32,$C29,헤몬팜마진!$T$7:$T$32)</f>
        <v>6.0750000000000002</v>
      </c>
      <c r="AM29" s="41">
        <f>SUMIF(헤몬팜마진!$B$7:$B$32,$C29,헤몬팜마진!$U$7:$U$32)</f>
        <v>31.005000000000003</v>
      </c>
      <c r="AN29" s="36"/>
      <c r="AO29" s="202">
        <v>48527</v>
      </c>
      <c r="AP29" s="205">
        <v>151</v>
      </c>
      <c r="AQ29" s="27"/>
      <c r="AR29" s="27"/>
      <c r="AS29" s="26"/>
      <c r="AT29" s="26"/>
      <c r="AU29" s="26"/>
      <c r="AV29" s="27"/>
      <c r="AW29" s="27"/>
      <c r="AX29" s="27"/>
      <c r="AY29" s="26"/>
      <c r="AZ29" s="26"/>
      <c r="BA29" s="26"/>
      <c r="BB29" s="26"/>
      <c r="BC29" s="26"/>
      <c r="BD29" s="26"/>
      <c r="BE29" s="26"/>
      <c r="BF29" s="26"/>
      <c r="BG29" s="26"/>
      <c r="BH29" s="26"/>
      <c r="BI29" s="26"/>
      <c r="BJ29" s="26"/>
      <c r="BK29" s="26"/>
    </row>
    <row r="30" spans="1:63" ht="28.5" customHeight="1">
      <c r="A30" s="327" t="s">
        <v>134</v>
      </c>
      <c r="B30" s="323"/>
      <c r="C30" s="42" t="s">
        <v>112</v>
      </c>
      <c r="D30" s="29" t="e">
        <f t="shared" si="26"/>
        <v>#REF!</v>
      </c>
      <c r="E30" s="201" t="e">
        <f t="shared" si="27"/>
        <v>#REF!</v>
      </c>
      <c r="F30" s="30">
        <f t="shared" si="28"/>
        <v>0.25926005025125631</v>
      </c>
      <c r="G30" s="30">
        <f t="shared" si="29"/>
        <v>0</v>
      </c>
      <c r="H30" s="312">
        <v>0</v>
      </c>
      <c r="I30" s="35">
        <f t="shared" si="30"/>
        <v>140</v>
      </c>
      <c r="J30" s="35">
        <f t="shared" si="31"/>
        <v>280</v>
      </c>
      <c r="K30" s="210"/>
      <c r="L30" s="325">
        <v>343</v>
      </c>
      <c r="M30" s="39">
        <f>97+42+48+31+19+10</f>
        <v>247</v>
      </c>
      <c r="N30" s="44">
        <v>20</v>
      </c>
      <c r="O30" s="202">
        <v>2</v>
      </c>
      <c r="P30" s="31">
        <f t="shared" si="32"/>
        <v>2</v>
      </c>
      <c r="Q30" s="202">
        <v>1</v>
      </c>
      <c r="R30" s="167"/>
      <c r="S30" s="36"/>
      <c r="T30" s="34">
        <f t="shared" si="33"/>
        <v>79600</v>
      </c>
      <c r="U30" s="31">
        <f t="shared" si="34"/>
        <v>0</v>
      </c>
      <c r="V30" s="34">
        <f t="shared" si="35"/>
        <v>79600</v>
      </c>
      <c r="W30" s="43">
        <v>39800</v>
      </c>
      <c r="X30" s="34">
        <f>SUMIF(헤몬팜마진!$B$7:$B$32,$C30,헤몬팜마진!$R$7:$R$32)</f>
        <v>7855.1382499999991</v>
      </c>
      <c r="Y30" s="34" t="e">
        <f t="shared" si="36"/>
        <v>#REF!</v>
      </c>
      <c r="Z30" s="34">
        <f t="shared" si="37"/>
        <v>20637.100000000002</v>
      </c>
      <c r="AA30" s="49">
        <v>18761</v>
      </c>
      <c r="AB30" s="209"/>
      <c r="AC30" s="204">
        <f t="shared" si="44"/>
        <v>2310</v>
      </c>
      <c r="AD30" s="152">
        <v>0.08</v>
      </c>
      <c r="AE30" s="31">
        <f>4150*(P30)</f>
        <v>8300</v>
      </c>
      <c r="AF30" s="28">
        <f t="shared" si="39"/>
        <v>0.18427135678391959</v>
      </c>
      <c r="AG30" s="34">
        <f t="shared" si="40"/>
        <v>14668.03</v>
      </c>
      <c r="AH30" s="34" t="e">
        <f t="shared" si="41"/>
        <v>#REF!</v>
      </c>
      <c r="AI30" s="34" t="e">
        <f>SUMIF(헤몬팜마진!$B$7:$B$32,$C30,헤몬팜마진!$V$7:$V$32)</f>
        <v>#REF!</v>
      </c>
      <c r="AJ30" s="34" t="e">
        <f t="shared" si="42"/>
        <v>#REF!</v>
      </c>
      <c r="AK30" s="46" t="e">
        <f t="shared" si="43"/>
        <v>#REF!</v>
      </c>
      <c r="AL30" s="40">
        <f>SUMIF(헤몬팜마진!$B$7:$B$32,$C30,헤몬팜마진!$T$7:$T$32)</f>
        <v>176.41799999999998</v>
      </c>
      <c r="AM30" s="41">
        <f>SUMIF(헤몬팜마진!$B$7:$B$32,$C30,헤몬팜마진!$U$7:$U$32)</f>
        <v>900.38519999999994</v>
      </c>
      <c r="AN30" s="36"/>
      <c r="AO30" s="202">
        <v>40341</v>
      </c>
      <c r="AP30" s="205">
        <v>68</v>
      </c>
      <c r="AQ30" s="27"/>
      <c r="AR30" s="27"/>
      <c r="AS30" s="26"/>
      <c r="AT30" s="26"/>
      <c r="AU30" s="26"/>
      <c r="AV30" s="27"/>
      <c r="AW30" s="27"/>
      <c r="AX30" s="27"/>
      <c r="AY30" s="26"/>
      <c r="AZ30" s="26"/>
      <c r="BA30" s="26"/>
      <c r="BB30" s="26"/>
      <c r="BC30" s="26"/>
      <c r="BD30" s="26"/>
      <c r="BE30" s="26"/>
      <c r="BF30" s="26"/>
      <c r="BG30" s="26"/>
      <c r="BH30" s="26"/>
      <c r="BI30" s="26"/>
      <c r="BJ30" s="26"/>
      <c r="BK30" s="26"/>
    </row>
    <row r="31" spans="1:63" ht="28.5" customHeight="1">
      <c r="A31" s="318"/>
      <c r="B31" s="324"/>
      <c r="C31" s="42" t="s">
        <v>113</v>
      </c>
      <c r="D31" s="28" t="e">
        <f t="shared" si="26"/>
        <v>#REF!</v>
      </c>
      <c r="E31" s="201" t="e">
        <f t="shared" si="27"/>
        <v>#REF!</v>
      </c>
      <c r="F31" s="30" t="e">
        <f t="shared" si="28"/>
        <v>#DIV/0!</v>
      </c>
      <c r="G31" s="30">
        <f t="shared" si="29"/>
        <v>0</v>
      </c>
      <c r="H31" s="310"/>
      <c r="I31" s="35">
        <f t="shared" si="30"/>
        <v>105</v>
      </c>
      <c r="J31" s="35">
        <f t="shared" si="31"/>
        <v>210</v>
      </c>
      <c r="K31" s="210"/>
      <c r="L31" s="310"/>
      <c r="M31" s="39">
        <f>74+42+48+18+8+2</f>
        <v>192</v>
      </c>
      <c r="N31" s="44">
        <v>15</v>
      </c>
      <c r="O31" s="36"/>
      <c r="P31" s="31">
        <f t="shared" si="32"/>
        <v>0</v>
      </c>
      <c r="Q31" s="36"/>
      <c r="R31" s="167"/>
      <c r="S31" s="36"/>
      <c r="T31" s="34">
        <f t="shared" si="33"/>
        <v>0</v>
      </c>
      <c r="U31" s="31">
        <f t="shared" si="34"/>
        <v>0</v>
      </c>
      <c r="V31" s="34">
        <f t="shared" si="35"/>
        <v>0</v>
      </c>
      <c r="W31" s="43">
        <v>42900</v>
      </c>
      <c r="X31" s="34">
        <f>SUMIF(헤몬팜마진!$B$7:$B$32,$C31,헤몬팜마진!$R$7:$R$32)</f>
        <v>7855.1382499999991</v>
      </c>
      <c r="Y31" s="34" t="e">
        <f t="shared" si="36"/>
        <v>#REF!</v>
      </c>
      <c r="Z31" s="34">
        <f t="shared" si="37"/>
        <v>5040.2000000000007</v>
      </c>
      <c r="AA31" s="49">
        <v>4582</v>
      </c>
      <c r="AB31" s="36"/>
      <c r="AC31" s="204">
        <f t="shared" si="44"/>
        <v>0</v>
      </c>
      <c r="AD31" s="152">
        <v>7.8E-2</v>
      </c>
      <c r="AE31" s="31">
        <f>1900*(P31)</f>
        <v>0</v>
      </c>
      <c r="AF31" s="28" t="e">
        <f t="shared" si="39"/>
        <v>#DIV/0!</v>
      </c>
      <c r="AG31" s="34">
        <f t="shared" si="40"/>
        <v>0</v>
      </c>
      <c r="AH31" s="34" t="e">
        <f t="shared" si="41"/>
        <v>#REF!</v>
      </c>
      <c r="AI31" s="34" t="e">
        <f>SUMIF(헤몬팜마진!$B$7:$B$32,$C31,헤몬팜마진!$V$7:$V$32)</f>
        <v>#REF!</v>
      </c>
      <c r="AJ31" s="34" t="e">
        <f t="shared" si="42"/>
        <v>#REF!</v>
      </c>
      <c r="AK31" s="206" t="e">
        <f t="shared" si="43"/>
        <v>#REF!</v>
      </c>
      <c r="AL31" s="40">
        <f>SUMIF(헤몬팜마진!$B$7:$B$32,$C31,헤몬팜마진!$T$7:$T$32)</f>
        <v>176.41799999999998</v>
      </c>
      <c r="AM31" s="41">
        <f>SUMIF(헤몬팜마진!$B$7:$B$32,$C31,헤몬팜마진!$U$7:$U$32)</f>
        <v>900.38519999999994</v>
      </c>
      <c r="AN31" s="36"/>
      <c r="AO31" s="202">
        <v>8820</v>
      </c>
      <c r="AP31" s="205">
        <v>27</v>
      </c>
      <c r="AQ31" s="27"/>
      <c r="AR31" s="27"/>
      <c r="AS31" s="26"/>
      <c r="AT31" s="26"/>
      <c r="AU31" s="26"/>
      <c r="AV31" s="27"/>
      <c r="AW31" s="27"/>
      <c r="AX31" s="27"/>
      <c r="AY31" s="26"/>
      <c r="AZ31" s="26"/>
      <c r="BA31" s="26"/>
      <c r="BB31" s="26"/>
      <c r="BC31" s="26"/>
      <c r="BD31" s="26"/>
      <c r="BE31" s="26"/>
      <c r="BF31" s="26"/>
      <c r="BG31" s="26"/>
      <c r="BH31" s="26"/>
      <c r="BI31" s="26"/>
      <c r="BJ31" s="26"/>
      <c r="BK31" s="26"/>
    </row>
    <row r="32" spans="1:63" ht="28.5" customHeight="1">
      <c r="A32" s="228" t="s">
        <v>135</v>
      </c>
      <c r="B32" s="200"/>
      <c r="C32" s="42" t="s">
        <v>114</v>
      </c>
      <c r="D32" s="28">
        <f t="shared" si="26"/>
        <v>0.32215413539299248</v>
      </c>
      <c r="E32" s="201">
        <f t="shared" si="27"/>
        <v>0.36298877080965913</v>
      </c>
      <c r="F32" s="30">
        <f t="shared" si="28"/>
        <v>4.0834635416666674E-2</v>
      </c>
      <c r="G32" s="30">
        <f t="shared" si="29"/>
        <v>4.1666666666666664E-2</v>
      </c>
      <c r="H32" s="35">
        <v>1750</v>
      </c>
      <c r="I32" s="35">
        <f t="shared" si="30"/>
        <v>350</v>
      </c>
      <c r="J32" s="35">
        <f t="shared" si="31"/>
        <v>700</v>
      </c>
      <c r="K32" s="210"/>
      <c r="L32" s="39">
        <v>1449</v>
      </c>
      <c r="M32" s="39">
        <v>1217</v>
      </c>
      <c r="N32" s="44">
        <v>50</v>
      </c>
      <c r="O32" s="202">
        <v>8</v>
      </c>
      <c r="P32" s="31">
        <f t="shared" si="32"/>
        <v>8</v>
      </c>
      <c r="Q32" s="36"/>
      <c r="R32" s="203">
        <v>1</v>
      </c>
      <c r="S32" s="36"/>
      <c r="T32" s="34">
        <f t="shared" si="33"/>
        <v>153600</v>
      </c>
      <c r="U32" s="31">
        <f t="shared" si="34"/>
        <v>0</v>
      </c>
      <c r="V32" s="34">
        <f t="shared" si="35"/>
        <v>153600</v>
      </c>
      <c r="W32" s="43">
        <v>19200</v>
      </c>
      <c r="X32" s="34">
        <f>SUMIF(헤몬팜마진!$B$7:$B$32,$C32,헤몬팜마진!$R$7:$R$32)</f>
        <v>6372.6191999999992</v>
      </c>
      <c r="Y32" s="34">
        <f t="shared" si="36"/>
        <v>54171.481599999992</v>
      </c>
      <c r="Z32" s="34">
        <f t="shared" si="37"/>
        <v>6272.2000000000007</v>
      </c>
      <c r="AA32" s="49">
        <v>5702</v>
      </c>
      <c r="AB32" s="36"/>
      <c r="AC32" s="204">
        <f t="shared" si="44"/>
        <v>0</v>
      </c>
      <c r="AD32" s="152">
        <v>0.08</v>
      </c>
      <c r="AE32" s="31">
        <f>3350*(P32)</f>
        <v>26800</v>
      </c>
      <c r="AF32" s="28">
        <f t="shared" si="39"/>
        <v>0.25447916666666665</v>
      </c>
      <c r="AG32" s="34">
        <f t="shared" si="40"/>
        <v>39088.03</v>
      </c>
      <c r="AH32" s="34">
        <f t="shared" si="41"/>
        <v>4585.4132036363626</v>
      </c>
      <c r="AI32" s="34">
        <f>SUMIF(헤몬팜마진!$B$7:$B$32,$C32,헤몬팜마진!$V$7:$V$32)</f>
        <v>6771.435199999999</v>
      </c>
      <c r="AJ32" s="34">
        <f t="shared" si="42"/>
        <v>55755.075196363643</v>
      </c>
      <c r="AK32" s="46">
        <f t="shared" si="43"/>
        <v>49482.875196363646</v>
      </c>
      <c r="AL32" s="40">
        <f>SUMIF(헤몬팜마진!$B$7:$B$32,$C32,헤몬팜마진!$T$7:$T$32)</f>
        <v>65.34</v>
      </c>
      <c r="AM32" s="41">
        <f>SUMIF(헤몬팜마진!$B$7:$B$32,$C32,헤몬팜마진!$U$7:$U$32)</f>
        <v>333.476</v>
      </c>
      <c r="AN32" s="36"/>
      <c r="AO32" s="202">
        <v>7675</v>
      </c>
      <c r="AP32" s="205">
        <v>24</v>
      </c>
      <c r="AQ32" s="27"/>
      <c r="AR32" s="27"/>
      <c r="AS32" s="26"/>
      <c r="AT32" s="26"/>
      <c r="AU32" s="26"/>
      <c r="AV32" s="27"/>
      <c r="AW32" s="27"/>
      <c r="AX32" s="27"/>
      <c r="AY32" s="26"/>
      <c r="AZ32" s="26"/>
      <c r="BA32" s="26"/>
      <c r="BB32" s="26"/>
      <c r="BC32" s="26"/>
      <c r="BD32" s="26"/>
      <c r="BE32" s="26"/>
      <c r="BF32" s="26"/>
      <c r="BG32" s="26"/>
      <c r="BH32" s="26"/>
      <c r="BI32" s="26"/>
      <c r="BJ32" s="26"/>
      <c r="BK32" s="26"/>
    </row>
    <row r="33" spans="1:63" ht="28.5" customHeight="1">
      <c r="A33" s="327" t="s">
        <v>136</v>
      </c>
      <c r="B33" s="326"/>
      <c r="C33" s="42" t="s">
        <v>115</v>
      </c>
      <c r="D33" s="28" t="e">
        <f t="shared" si="26"/>
        <v>#REF!</v>
      </c>
      <c r="E33" s="201" t="e">
        <f t="shared" si="27"/>
        <v>#REF!</v>
      </c>
      <c r="F33" s="30" t="e">
        <f t="shared" si="28"/>
        <v>#DIV/0!</v>
      </c>
      <c r="G33" s="30">
        <f t="shared" si="29"/>
        <v>0</v>
      </c>
      <c r="H33" s="35">
        <v>0</v>
      </c>
      <c r="I33" s="35">
        <f t="shared" si="30"/>
        <v>70</v>
      </c>
      <c r="J33" s="35">
        <f t="shared" si="31"/>
        <v>140</v>
      </c>
      <c r="K33" s="210"/>
      <c r="L33" s="328">
        <v>494</v>
      </c>
      <c r="M33" s="39">
        <v>0</v>
      </c>
      <c r="N33" s="44">
        <v>10</v>
      </c>
      <c r="O33" s="36"/>
      <c r="P33" s="31">
        <f t="shared" si="32"/>
        <v>0</v>
      </c>
      <c r="Q33" s="36"/>
      <c r="R33" s="167"/>
      <c r="S33" s="36"/>
      <c r="T33" s="34">
        <f t="shared" si="33"/>
        <v>0</v>
      </c>
      <c r="U33" s="31">
        <f t="shared" si="34"/>
        <v>0</v>
      </c>
      <c r="V33" s="34">
        <f t="shared" si="35"/>
        <v>0</v>
      </c>
      <c r="W33" s="43">
        <v>54800</v>
      </c>
      <c r="X33" s="34">
        <f>SUMIF(헤몬팜마진!$B$7:$B$32,$C33,헤몬팜마진!$R$7:$R$32)</f>
        <v>12169.932499999999</v>
      </c>
      <c r="Y33" s="34" t="e">
        <f t="shared" si="36"/>
        <v>#REF!</v>
      </c>
      <c r="Z33" s="34">
        <f t="shared" si="37"/>
        <v>26277.9</v>
      </c>
      <c r="AA33" s="49">
        <v>23889</v>
      </c>
      <c r="AB33" s="36"/>
      <c r="AC33" s="204">
        <f t="shared" si="44"/>
        <v>0</v>
      </c>
      <c r="AD33" s="152">
        <v>7.8E-2</v>
      </c>
      <c r="AE33" s="31">
        <f t="shared" ref="AE33:AE34" si="47">4825*(P33)</f>
        <v>0</v>
      </c>
      <c r="AF33" s="28" t="e">
        <f t="shared" si="39"/>
        <v>#DIV/0!</v>
      </c>
      <c r="AG33" s="34">
        <f t="shared" si="40"/>
        <v>0</v>
      </c>
      <c r="AH33" s="34" t="e">
        <f t="shared" si="41"/>
        <v>#REF!</v>
      </c>
      <c r="AI33" s="34" t="e">
        <f>SUMIF(헤몬팜마진!$B$7:$B$32,$C33,헤몬팜마진!$V$7:$V$32)</f>
        <v>#REF!</v>
      </c>
      <c r="AJ33" s="34" t="e">
        <f t="shared" si="42"/>
        <v>#REF!</v>
      </c>
      <c r="AK33" s="206" t="e">
        <f t="shared" si="43"/>
        <v>#REF!</v>
      </c>
      <c r="AL33" s="40">
        <f>SUMIF(헤몬팜마진!$B$7:$B$32,$C33,헤몬팜마진!$T$7:$T$32)</f>
        <v>181.44000000000003</v>
      </c>
      <c r="AM33" s="41">
        <f>SUMIF(헤몬팜마진!$B$7:$B$32,$C33,헤몬팜마진!$U$7:$U$32)</f>
        <v>926.01600000000019</v>
      </c>
      <c r="AN33" s="36"/>
      <c r="AO33" s="202">
        <v>12032</v>
      </c>
      <c r="AP33" s="205">
        <v>39</v>
      </c>
      <c r="AQ33" s="27"/>
      <c r="AR33" s="27"/>
      <c r="AS33" s="26"/>
      <c r="AT33" s="26"/>
      <c r="AU33" s="26"/>
      <c r="AV33" s="27"/>
      <c r="AW33" s="27"/>
      <c r="AX33" s="27"/>
      <c r="AY33" s="26"/>
      <c r="AZ33" s="26"/>
      <c r="BA33" s="26"/>
      <c r="BB33" s="26"/>
      <c r="BC33" s="26"/>
      <c r="BD33" s="26"/>
      <c r="BE33" s="26"/>
      <c r="BF33" s="26"/>
      <c r="BG33" s="26"/>
      <c r="BH33" s="26"/>
      <c r="BI33" s="26"/>
      <c r="BJ33" s="26"/>
      <c r="BK33" s="26"/>
    </row>
    <row r="34" spans="1:63" ht="28.5" customHeight="1">
      <c r="A34" s="318"/>
      <c r="B34" s="324"/>
      <c r="C34" s="42" t="s">
        <v>116</v>
      </c>
      <c r="D34" s="28" t="e">
        <f t="shared" si="26"/>
        <v>#REF!</v>
      </c>
      <c r="E34" s="201" t="e">
        <f t="shared" si="27"/>
        <v>#REF!</v>
      </c>
      <c r="F34" s="30">
        <f t="shared" si="28"/>
        <v>0.15928014299642509</v>
      </c>
      <c r="G34" s="30">
        <f t="shared" si="29"/>
        <v>4.0816326530612242E-2</v>
      </c>
      <c r="H34" s="35">
        <v>0</v>
      </c>
      <c r="I34" s="35">
        <f t="shared" si="30"/>
        <v>70</v>
      </c>
      <c r="J34" s="35">
        <f t="shared" si="31"/>
        <v>140</v>
      </c>
      <c r="K34" s="210"/>
      <c r="L34" s="310"/>
      <c r="M34" s="39">
        <v>1</v>
      </c>
      <c r="N34" s="44">
        <v>10</v>
      </c>
      <c r="O34" s="202">
        <v>3</v>
      </c>
      <c r="P34" s="31">
        <f t="shared" si="32"/>
        <v>3</v>
      </c>
      <c r="Q34" s="202">
        <v>1</v>
      </c>
      <c r="R34" s="203">
        <v>2</v>
      </c>
      <c r="S34" s="36"/>
      <c r="T34" s="34">
        <f t="shared" si="33"/>
        <v>184620</v>
      </c>
      <c r="U34" s="31">
        <f t="shared" si="34"/>
        <v>0</v>
      </c>
      <c r="V34" s="34">
        <f t="shared" si="35"/>
        <v>184620</v>
      </c>
      <c r="W34" s="43">
        <v>61540</v>
      </c>
      <c r="X34" s="34">
        <f>SUMIF(헤몬팜마진!$B$7:$B$32,$C34,헤몬팜마진!$R$7:$R$32)</f>
        <v>12169.932499999999</v>
      </c>
      <c r="Y34" s="34" t="e">
        <f t="shared" si="36"/>
        <v>#REF!</v>
      </c>
      <c r="Z34" s="34">
        <f t="shared" si="37"/>
        <v>29406.300000000003</v>
      </c>
      <c r="AA34" s="49">
        <v>26733</v>
      </c>
      <c r="AB34" s="36"/>
      <c r="AC34" s="204">
        <f t="shared" si="44"/>
        <v>2310</v>
      </c>
      <c r="AD34" s="152">
        <v>7.8E-2</v>
      </c>
      <c r="AE34" s="31">
        <f t="shared" si="47"/>
        <v>14475</v>
      </c>
      <c r="AF34" s="28">
        <f t="shared" si="39"/>
        <v>0.15640428989275268</v>
      </c>
      <c r="AG34" s="34">
        <f t="shared" si="40"/>
        <v>28875.39</v>
      </c>
      <c r="AH34" s="34" t="e">
        <f t="shared" si="41"/>
        <v>#REF!</v>
      </c>
      <c r="AI34" s="34" t="e">
        <f>SUMIF(헤몬팜마진!$B$7:$B$32,$C34,헤몬팜마진!$V$7:$V$32)</f>
        <v>#REF!</v>
      </c>
      <c r="AJ34" s="34" t="e">
        <f t="shared" si="42"/>
        <v>#REF!</v>
      </c>
      <c r="AK34" s="46" t="e">
        <f t="shared" si="43"/>
        <v>#REF!</v>
      </c>
      <c r="AL34" s="40">
        <f>SUMIF(헤몬팜마진!$B$7:$B$32,$C34,헤몬팜마진!$T$7:$T$32)</f>
        <v>181.44000000000003</v>
      </c>
      <c r="AM34" s="41">
        <f>SUMIF(헤몬팜마진!$B$7:$B$32,$C34,헤몬팜마진!$U$7:$U$32)</f>
        <v>926.01600000000019</v>
      </c>
      <c r="AN34" s="36"/>
      <c r="AO34" s="202">
        <v>23045</v>
      </c>
      <c r="AP34" s="205">
        <v>49</v>
      </c>
      <c r="AQ34" s="27"/>
      <c r="AR34" s="27"/>
      <c r="AS34" s="26"/>
      <c r="AT34" s="26"/>
      <c r="AU34" s="26"/>
      <c r="AV34" s="27"/>
      <c r="AW34" s="27"/>
      <c r="AX34" s="27"/>
      <c r="AY34" s="26"/>
      <c r="AZ34" s="26"/>
      <c r="BA34" s="26"/>
      <c r="BB34" s="26"/>
      <c r="BC34" s="26"/>
      <c r="BD34" s="26"/>
      <c r="BE34" s="26"/>
      <c r="BF34" s="26"/>
      <c r="BG34" s="26"/>
      <c r="BH34" s="26"/>
      <c r="BI34" s="26"/>
      <c r="BJ34" s="26"/>
      <c r="BK34" s="26"/>
    </row>
    <row r="35" spans="1:63" ht="28.5" customHeight="1">
      <c r="A35" s="228" t="s">
        <v>137</v>
      </c>
      <c r="B35" s="200"/>
      <c r="C35" s="42" t="s">
        <v>117</v>
      </c>
      <c r="D35" s="28">
        <f t="shared" si="26"/>
        <v>0.35158827201064702</v>
      </c>
      <c r="E35" s="201">
        <f t="shared" si="27"/>
        <v>0.49826619993857496</v>
      </c>
      <c r="F35" s="30">
        <f t="shared" si="28"/>
        <v>0.14667792792792794</v>
      </c>
      <c r="G35" s="30">
        <f t="shared" si="29"/>
        <v>8.2987551867219917E-3</v>
      </c>
      <c r="H35" s="35">
        <v>2000</v>
      </c>
      <c r="I35" s="35">
        <f t="shared" si="30"/>
        <v>700</v>
      </c>
      <c r="J35" s="35">
        <f t="shared" si="31"/>
        <v>1400</v>
      </c>
      <c r="K35" s="210"/>
      <c r="L35" s="39">
        <v>2373</v>
      </c>
      <c r="M35" s="39">
        <v>3</v>
      </c>
      <c r="N35" s="44">
        <v>100</v>
      </c>
      <c r="O35" s="202">
        <v>11</v>
      </c>
      <c r="P35" s="31">
        <f t="shared" si="32"/>
        <v>11</v>
      </c>
      <c r="Q35" s="202">
        <v>1</v>
      </c>
      <c r="R35" s="203">
        <v>2</v>
      </c>
      <c r="S35" s="36"/>
      <c r="T35" s="34">
        <f t="shared" si="33"/>
        <v>195360</v>
      </c>
      <c r="U35" s="31">
        <f t="shared" si="34"/>
        <v>0</v>
      </c>
      <c r="V35" s="34">
        <f t="shared" si="35"/>
        <v>195360</v>
      </c>
      <c r="W35" s="43">
        <v>17760</v>
      </c>
      <c r="X35" s="34">
        <f>SUMIF(헤몬팜마진!$B$7:$B$32,$C35,헤몬팜마진!$R$7:$R$32)</f>
        <v>3982.8869999999997</v>
      </c>
      <c r="Y35" s="34">
        <f t="shared" si="36"/>
        <v>53209.312199999993</v>
      </c>
      <c r="Z35" s="34">
        <f t="shared" si="37"/>
        <v>28655.000000000004</v>
      </c>
      <c r="AA35" s="49">
        <v>26050</v>
      </c>
      <c r="AB35" s="36"/>
      <c r="AC35" s="204">
        <f t="shared" si="44"/>
        <v>2310</v>
      </c>
      <c r="AD35" s="152">
        <v>7.8E-2</v>
      </c>
      <c r="AE35" s="31">
        <f t="shared" ref="AE35:AE36" si="48">1900*(P35)</f>
        <v>20900</v>
      </c>
      <c r="AF35" s="28">
        <f t="shared" si="39"/>
        <v>0.18498198198198199</v>
      </c>
      <c r="AG35" s="34">
        <f t="shared" si="40"/>
        <v>36138.11</v>
      </c>
      <c r="AH35" s="34">
        <f t="shared" si="41"/>
        <v>8671.2929800000002</v>
      </c>
      <c r="AI35" s="34">
        <f>SUMIF(헤몬팜마진!$B$7:$B$32,$C35,헤몬팜마진!$V$7:$V$32)</f>
        <v>4837.2101999999995</v>
      </c>
      <c r="AJ35" s="34">
        <f t="shared" si="42"/>
        <v>97341.284820000001</v>
      </c>
      <c r="AK35" s="46">
        <f t="shared" si="43"/>
        <v>68686.284820000001</v>
      </c>
      <c r="AL35" s="40">
        <f>SUMIF(헤몬팜마진!$B$7:$B$32,$C35,헤몬팜마진!$T$7:$T$32)</f>
        <v>139.96800000000002</v>
      </c>
      <c r="AM35" s="41">
        <f>SUMIF(헤몬팜마진!$B$7:$B$32,$C35,헤몬팜마진!$U$7:$U$32)</f>
        <v>714.35519999999997</v>
      </c>
      <c r="AN35" s="36"/>
      <c r="AO35" s="202">
        <v>46788</v>
      </c>
      <c r="AP35" s="205">
        <v>241</v>
      </c>
      <c r="AQ35" s="27"/>
      <c r="AR35" s="27"/>
      <c r="AS35" s="26"/>
      <c r="AT35" s="26"/>
      <c r="AU35" s="26"/>
      <c r="AV35" s="27"/>
      <c r="AW35" s="27"/>
      <c r="AX35" s="27"/>
      <c r="AY35" s="26"/>
      <c r="AZ35" s="26"/>
      <c r="BA35" s="26"/>
      <c r="BB35" s="26"/>
      <c r="BC35" s="26"/>
      <c r="BD35" s="26"/>
      <c r="BE35" s="26"/>
      <c r="BF35" s="26"/>
      <c r="BG35" s="26"/>
      <c r="BH35" s="26"/>
      <c r="BI35" s="26"/>
      <c r="BJ35" s="26"/>
      <c r="BK35" s="26"/>
    </row>
    <row r="36" spans="1:63" ht="28.5" customHeight="1">
      <c r="A36" s="228" t="s">
        <v>138</v>
      </c>
      <c r="B36" s="200"/>
      <c r="C36" s="42" t="s">
        <v>118</v>
      </c>
      <c r="D36" s="28">
        <f t="shared" si="26"/>
        <v>0.24726923391169764</v>
      </c>
      <c r="E36" s="201">
        <f t="shared" si="27"/>
        <v>0.43889199376832849</v>
      </c>
      <c r="F36" s="30">
        <f t="shared" si="28"/>
        <v>0.19162275985663085</v>
      </c>
      <c r="G36" s="30">
        <f t="shared" si="29"/>
        <v>2.1428571428571429E-2</v>
      </c>
      <c r="H36" s="35">
        <v>0</v>
      </c>
      <c r="I36" s="35">
        <f t="shared" si="30"/>
        <v>350</v>
      </c>
      <c r="J36" s="35">
        <f t="shared" si="31"/>
        <v>700</v>
      </c>
      <c r="K36" s="48"/>
      <c r="L36" s="39">
        <v>87</v>
      </c>
      <c r="M36" s="39">
        <v>0</v>
      </c>
      <c r="N36" s="44">
        <v>50</v>
      </c>
      <c r="O36" s="202">
        <v>9</v>
      </c>
      <c r="P36" s="31">
        <f t="shared" si="32"/>
        <v>9</v>
      </c>
      <c r="Q36" s="36"/>
      <c r="R36" s="203">
        <v>3</v>
      </c>
      <c r="S36" s="36"/>
      <c r="T36" s="34">
        <f t="shared" si="33"/>
        <v>223200</v>
      </c>
      <c r="U36" s="31">
        <f t="shared" si="34"/>
        <v>0</v>
      </c>
      <c r="V36" s="34">
        <f t="shared" si="35"/>
        <v>223200</v>
      </c>
      <c r="W36" s="43">
        <v>24800</v>
      </c>
      <c r="X36" s="34">
        <f>SUMIF(헤몬팜마진!$B$7:$B$32,$C36,헤몬팜마진!$R$7:$R$32)</f>
        <v>8408.3169999999991</v>
      </c>
      <c r="Y36" s="34">
        <f t="shared" si="36"/>
        <v>77217.380999999994</v>
      </c>
      <c r="Z36" s="34">
        <f t="shared" si="37"/>
        <v>42770.200000000004</v>
      </c>
      <c r="AA36" s="49">
        <v>38882</v>
      </c>
      <c r="AB36" s="209"/>
      <c r="AC36" s="204">
        <f t="shared" si="44"/>
        <v>0</v>
      </c>
      <c r="AD36" s="152">
        <v>0.1</v>
      </c>
      <c r="AE36" s="31">
        <f t="shared" si="48"/>
        <v>17100</v>
      </c>
      <c r="AF36" s="28">
        <f t="shared" si="39"/>
        <v>0.17661290322580647</v>
      </c>
      <c r="AG36" s="34">
        <f t="shared" si="40"/>
        <v>39420.030000000006</v>
      </c>
      <c r="AH36" s="34">
        <f t="shared" si="41"/>
        <v>8601.8959909090881</v>
      </c>
      <c r="AI36" s="34">
        <f>SUMIF(헤몬팜마진!$B$7:$B$32,$C36,헤몬팜마진!$V$7:$V$32)</f>
        <v>8579.7089999999989</v>
      </c>
      <c r="AJ36" s="34">
        <f t="shared" si="42"/>
        <v>97960.693009090915</v>
      </c>
      <c r="AK36" s="206">
        <f t="shared" si="43"/>
        <v>55190.493009090911</v>
      </c>
      <c r="AL36" s="40">
        <f>SUMIF(헤몬팜마진!$B$7:$B$32,$C36,헤몬팜마진!$T$7:$T$32)</f>
        <v>28.079999999999995</v>
      </c>
      <c r="AM36" s="41">
        <f>SUMIF(헤몬팜마진!$B$7:$B$32,$C36,헤몬팜마진!$U$7:$U$32)</f>
        <v>143.31199999999998</v>
      </c>
      <c r="AN36" s="36"/>
      <c r="AO36" s="202">
        <v>81859</v>
      </c>
      <c r="AP36" s="205">
        <v>140</v>
      </c>
      <c r="AQ36" s="27"/>
      <c r="AR36" s="27"/>
      <c r="AS36" s="26"/>
      <c r="AT36" s="26"/>
      <c r="AU36" s="26"/>
      <c r="AV36" s="27"/>
      <c r="AW36" s="27"/>
      <c r="AX36" s="27"/>
      <c r="AY36" s="26"/>
      <c r="AZ36" s="26"/>
      <c r="BA36" s="26"/>
      <c r="BB36" s="26"/>
      <c r="BC36" s="26"/>
      <c r="BD36" s="26"/>
      <c r="BE36" s="26"/>
      <c r="BF36" s="26"/>
      <c r="BG36" s="26"/>
      <c r="BH36" s="26"/>
      <c r="BI36" s="26"/>
      <c r="BJ36" s="26"/>
      <c r="BK36" s="26"/>
    </row>
    <row r="37" spans="1:63" ht="28.5" customHeight="1">
      <c r="A37" s="12"/>
      <c r="B37" s="214" t="s">
        <v>126</v>
      </c>
      <c r="C37" s="42" t="s">
        <v>31</v>
      </c>
      <c r="D37" s="28" t="e">
        <f t="shared" si="26"/>
        <v>#DIV/0!</v>
      </c>
      <c r="E37" s="201" t="e">
        <f t="shared" si="27"/>
        <v>#DIV/0!</v>
      </c>
      <c r="F37" s="30" t="e">
        <f t="shared" si="28"/>
        <v>#DIV/0!</v>
      </c>
      <c r="G37" s="30">
        <f t="shared" si="29"/>
        <v>0</v>
      </c>
      <c r="H37" s="35">
        <v>700</v>
      </c>
      <c r="I37" s="35">
        <f t="shared" si="30"/>
        <v>210</v>
      </c>
      <c r="J37" s="35">
        <f t="shared" si="31"/>
        <v>420</v>
      </c>
      <c r="K37" s="210"/>
      <c r="L37" s="39">
        <v>954</v>
      </c>
      <c r="M37" s="39">
        <v>2</v>
      </c>
      <c r="N37" s="44">
        <v>30</v>
      </c>
      <c r="O37" s="36"/>
      <c r="P37" s="31">
        <f t="shared" si="32"/>
        <v>0</v>
      </c>
      <c r="Q37" s="36"/>
      <c r="R37" s="167"/>
      <c r="S37" s="36"/>
      <c r="T37" s="34">
        <f t="shared" si="33"/>
        <v>0</v>
      </c>
      <c r="U37" s="31">
        <f t="shared" si="34"/>
        <v>0</v>
      </c>
      <c r="V37" s="34">
        <f t="shared" si="35"/>
        <v>0</v>
      </c>
      <c r="W37" s="43">
        <v>20900</v>
      </c>
      <c r="X37" s="34">
        <f>SUMIF(헤몬팜마진!$B$7:$B$32,$C37,헤몬팜마진!$R$7:$R$32)</f>
        <v>6638.1449999999995</v>
      </c>
      <c r="Y37" s="34">
        <f t="shared" si="36"/>
        <v>0</v>
      </c>
      <c r="Z37" s="34">
        <f t="shared" si="37"/>
        <v>0</v>
      </c>
      <c r="AA37" s="48"/>
      <c r="AB37" s="209"/>
      <c r="AC37" s="204">
        <f t="shared" si="44"/>
        <v>0</v>
      </c>
      <c r="AD37" s="152">
        <v>0.08</v>
      </c>
      <c r="AE37" s="31">
        <f>3400*(P37)</f>
        <v>0</v>
      </c>
      <c r="AF37" s="28" t="e">
        <f t="shared" si="39"/>
        <v>#DIV/0!</v>
      </c>
      <c r="AG37" s="34">
        <f t="shared" si="40"/>
        <v>0</v>
      </c>
      <c r="AH37" s="34">
        <f t="shared" si="41"/>
        <v>0</v>
      </c>
      <c r="AI37" s="34">
        <f>SUMIF(헤몬팜마진!$B$7:$B$32,$C37,헤몬팜마진!$V$7:$V$32)</f>
        <v>6685.607399999999</v>
      </c>
      <c r="AJ37" s="34">
        <f t="shared" si="42"/>
        <v>0</v>
      </c>
      <c r="AK37" s="206">
        <f t="shared" si="43"/>
        <v>0</v>
      </c>
      <c r="AL37" s="40">
        <f>SUMIF(헤몬팜마진!$B$7:$B$32,$C37,헤몬팜마진!$T$7:$T$32)</f>
        <v>7.7759999999999998</v>
      </c>
      <c r="AM37" s="41">
        <f>SUMIF(헤몬팜마진!$B$7:$B$32,$C37,헤몬팜마진!$U$7:$U$32)</f>
        <v>39.686400000000006</v>
      </c>
      <c r="AN37" s="36"/>
      <c r="AO37" s="202">
        <v>199341</v>
      </c>
      <c r="AP37" s="205">
        <v>202</v>
      </c>
      <c r="AQ37" s="27"/>
      <c r="AR37" s="27"/>
      <c r="AS37" s="26"/>
      <c r="AT37" s="26"/>
      <c r="AU37" s="26"/>
      <c r="AV37" s="27"/>
      <c r="AW37" s="27"/>
      <c r="AX37" s="27"/>
      <c r="AY37" s="26"/>
      <c r="AZ37" s="26"/>
      <c r="BA37" s="26"/>
      <c r="BB37" s="26"/>
      <c r="BC37" s="26"/>
      <c r="BD37" s="26"/>
      <c r="BE37" s="26"/>
      <c r="BF37" s="26"/>
      <c r="BG37" s="26"/>
      <c r="BH37" s="26"/>
      <c r="BI37" s="26"/>
      <c r="BJ37" s="26"/>
      <c r="BK37" s="26"/>
    </row>
    <row r="38" spans="1:63" ht="28.5" customHeight="1">
      <c r="A38" s="327" t="s">
        <v>139</v>
      </c>
      <c r="B38" s="127" t="s">
        <v>127</v>
      </c>
      <c r="C38" s="42" t="s">
        <v>119</v>
      </c>
      <c r="D38" s="28">
        <f t="shared" si="26"/>
        <v>0.28551381030555656</v>
      </c>
      <c r="E38" s="201">
        <f t="shared" si="27"/>
        <v>0.43444841655359567</v>
      </c>
      <c r="F38" s="30">
        <f t="shared" si="28"/>
        <v>0.14893460624803909</v>
      </c>
      <c r="G38" s="30">
        <f t="shared" si="29"/>
        <v>7.3529411764705885E-2</v>
      </c>
      <c r="H38" s="35">
        <v>2000</v>
      </c>
      <c r="I38" s="35">
        <f t="shared" si="30"/>
        <v>280</v>
      </c>
      <c r="J38" s="35">
        <f t="shared" si="31"/>
        <v>560</v>
      </c>
      <c r="K38" s="210"/>
      <c r="L38" s="328">
        <v>1048</v>
      </c>
      <c r="M38" s="39">
        <f>311+240+1</f>
        <v>552</v>
      </c>
      <c r="N38" s="44">
        <v>40</v>
      </c>
      <c r="O38" s="202">
        <v>18</v>
      </c>
      <c r="P38" s="31">
        <f t="shared" si="32"/>
        <v>18</v>
      </c>
      <c r="Q38" s="202">
        <v>2</v>
      </c>
      <c r="R38" s="203">
        <v>5</v>
      </c>
      <c r="S38" s="36"/>
      <c r="T38" s="34">
        <f t="shared" si="33"/>
        <v>446220</v>
      </c>
      <c r="U38" s="31">
        <f t="shared" si="34"/>
        <v>0</v>
      </c>
      <c r="V38" s="34">
        <f t="shared" si="35"/>
        <v>446220</v>
      </c>
      <c r="W38" s="43">
        <v>24790</v>
      </c>
      <c r="X38" s="34">
        <f>SUMIF(헤몬팜마진!$B$7:$B$32,$C38,헤몬팜마진!$R$7:$R$32)</f>
        <v>6859.4164999999994</v>
      </c>
      <c r="Y38" s="34">
        <f t="shared" si="36"/>
        <v>130565.12579999998</v>
      </c>
      <c r="Z38" s="34">
        <f t="shared" si="37"/>
        <v>66457.600000000006</v>
      </c>
      <c r="AA38" s="49">
        <v>60416</v>
      </c>
      <c r="AB38" s="209"/>
      <c r="AC38" s="204">
        <f t="shared" si="44"/>
        <v>4620</v>
      </c>
      <c r="AD38" s="152">
        <v>0.108</v>
      </c>
      <c r="AE38" s="31">
        <f>3150*(P38)</f>
        <v>56700</v>
      </c>
      <c r="AF38" s="28">
        <f t="shared" si="39"/>
        <v>0.23506736587333604</v>
      </c>
      <c r="AG38" s="34">
        <f t="shared" si="40"/>
        <v>104891.79000000001</v>
      </c>
      <c r="AH38" s="34">
        <f t="shared" si="41"/>
        <v>16903.511765454547</v>
      </c>
      <c r="AI38" s="34">
        <f>SUMIF(헤몬팜마진!$B$7:$B$32,$C38,헤몬팜마진!$V$7:$V$32)</f>
        <v>7253.6180999999988</v>
      </c>
      <c r="AJ38" s="34">
        <f t="shared" si="42"/>
        <v>193859.57243454547</v>
      </c>
      <c r="AK38" s="206">
        <f t="shared" si="43"/>
        <v>127401.97243454546</v>
      </c>
      <c r="AL38" s="40">
        <f>SUMIF(헤몬팜마진!$B$7:$B$32,$C38,헤몬팜마진!$T$7:$T$32)</f>
        <v>64.584000000000003</v>
      </c>
      <c r="AM38" s="41">
        <f>SUMIF(헤몬팜마진!$B$7:$B$32,$C38,헤몬팜마진!$U$7:$U$32)</f>
        <v>329.61759999999998</v>
      </c>
      <c r="AN38" s="36"/>
      <c r="AO38" s="202">
        <v>10142</v>
      </c>
      <c r="AP38" s="205">
        <v>68</v>
      </c>
      <c r="AQ38" s="27"/>
      <c r="AR38" s="27"/>
      <c r="AS38" s="26"/>
      <c r="AT38" s="26"/>
      <c r="AU38" s="26"/>
      <c r="AV38" s="27"/>
      <c r="AW38" s="27"/>
      <c r="AX38" s="27"/>
      <c r="AY38" s="26"/>
      <c r="AZ38" s="26"/>
      <c r="BA38" s="26"/>
      <c r="BB38" s="26"/>
      <c r="BC38" s="26"/>
      <c r="BD38" s="26"/>
      <c r="BE38" s="26"/>
      <c r="BF38" s="26"/>
      <c r="BG38" s="26"/>
      <c r="BH38" s="26"/>
      <c r="BI38" s="26"/>
      <c r="BJ38" s="26"/>
      <c r="BK38" s="26"/>
    </row>
    <row r="39" spans="1:63" ht="28.5" customHeight="1">
      <c r="A39" s="318"/>
      <c r="B39" s="214" t="s">
        <v>128</v>
      </c>
      <c r="C39" s="42" t="s">
        <v>120</v>
      </c>
      <c r="D39" s="28" t="e">
        <f t="shared" si="26"/>
        <v>#DIV/0!</v>
      </c>
      <c r="E39" s="201" t="e">
        <f t="shared" si="27"/>
        <v>#DIV/0!</v>
      </c>
      <c r="F39" s="30" t="e">
        <f t="shared" si="28"/>
        <v>#DIV/0!</v>
      </c>
      <c r="G39" s="30">
        <f t="shared" si="29"/>
        <v>0</v>
      </c>
      <c r="H39" s="35">
        <v>0</v>
      </c>
      <c r="I39" s="35">
        <f t="shared" si="30"/>
        <v>105</v>
      </c>
      <c r="J39" s="35">
        <f t="shared" si="31"/>
        <v>210</v>
      </c>
      <c r="K39" s="210"/>
      <c r="L39" s="310"/>
      <c r="M39" s="39">
        <f>22+3</f>
        <v>25</v>
      </c>
      <c r="N39" s="44">
        <v>15</v>
      </c>
      <c r="O39" s="36"/>
      <c r="P39" s="31">
        <f t="shared" si="32"/>
        <v>0</v>
      </c>
      <c r="Q39" s="36"/>
      <c r="R39" s="167"/>
      <c r="S39" s="36"/>
      <c r="T39" s="34">
        <f t="shared" si="33"/>
        <v>0</v>
      </c>
      <c r="U39" s="31">
        <f t="shared" si="34"/>
        <v>0</v>
      </c>
      <c r="V39" s="34">
        <f t="shared" si="35"/>
        <v>0</v>
      </c>
      <c r="W39" s="43">
        <v>39800</v>
      </c>
      <c r="X39" s="34">
        <f>SUMIF(헤몬팜마진!$B$7:$B$32,$C39,헤몬팜마진!$R$7:$R$32)</f>
        <v>13718.832999999999</v>
      </c>
      <c r="Y39" s="34">
        <f t="shared" si="36"/>
        <v>0</v>
      </c>
      <c r="Z39" s="34">
        <f t="shared" si="37"/>
        <v>41317.100000000006</v>
      </c>
      <c r="AA39" s="49">
        <v>37561</v>
      </c>
      <c r="AB39" s="209"/>
      <c r="AC39" s="204">
        <f t="shared" si="44"/>
        <v>0</v>
      </c>
      <c r="AD39" s="152">
        <v>0.108</v>
      </c>
      <c r="AE39" s="31">
        <f>3550*(P39)</f>
        <v>0</v>
      </c>
      <c r="AF39" s="28" t="e">
        <f t="shared" si="39"/>
        <v>#DIV/0!</v>
      </c>
      <c r="AG39" s="34">
        <f t="shared" si="40"/>
        <v>0</v>
      </c>
      <c r="AH39" s="34">
        <f t="shared" si="41"/>
        <v>0</v>
      </c>
      <c r="AI39" s="34">
        <f>SUMIF(헤몬팜마진!$B$7:$B$32,$C39,헤몬팜마진!$V$7:$V$32)</f>
        <v>14113.034599999999</v>
      </c>
      <c r="AJ39" s="34">
        <f t="shared" si="42"/>
        <v>0</v>
      </c>
      <c r="AK39" s="206">
        <f t="shared" si="43"/>
        <v>-41317.100000000006</v>
      </c>
      <c r="AL39" s="40">
        <f>SUMIF(헤몬팜마진!$B$7:$B$32,$C39,헤몬팜마진!$T$7:$T$32)</f>
        <v>64.584000000000003</v>
      </c>
      <c r="AM39" s="41">
        <f>SUMIF(헤몬팜마진!$B$7:$B$32,$C39,헤몬팜마진!$U$7:$U$32)</f>
        <v>329.61759999999998</v>
      </c>
      <c r="AN39" s="36"/>
      <c r="AO39" s="202">
        <v>20179</v>
      </c>
      <c r="AP39" s="205">
        <v>76</v>
      </c>
      <c r="AQ39" s="27"/>
      <c r="AR39" s="27"/>
      <c r="AS39" s="26"/>
      <c r="AT39" s="26"/>
      <c r="AU39" s="26"/>
      <c r="AV39" s="27"/>
      <c r="AW39" s="27"/>
      <c r="AX39" s="27"/>
      <c r="AY39" s="26"/>
      <c r="AZ39" s="26"/>
      <c r="BA39" s="26"/>
      <c r="BB39" s="26"/>
      <c r="BC39" s="26"/>
      <c r="BD39" s="26"/>
      <c r="BE39" s="26"/>
      <c r="BF39" s="26"/>
      <c r="BG39" s="26"/>
      <c r="BH39" s="26"/>
      <c r="BI39" s="26"/>
      <c r="BJ39" s="26"/>
      <c r="BK39" s="26"/>
    </row>
    <row r="40" spans="1:63" ht="28.5" customHeight="1">
      <c r="A40" s="12"/>
      <c r="B40" s="216"/>
      <c r="C40" s="217"/>
      <c r="D40" s="51" t="e">
        <f t="shared" si="26"/>
        <v>#REF!</v>
      </c>
      <c r="E40" s="218" t="e">
        <f t="shared" si="27"/>
        <v>#REF!</v>
      </c>
      <c r="F40" s="53">
        <f t="shared" si="28"/>
        <v>0.24789457727103234</v>
      </c>
      <c r="G40" s="219"/>
      <c r="H40" s="55"/>
      <c r="I40" s="55"/>
      <c r="J40" s="55"/>
      <c r="K40" s="55"/>
      <c r="L40" s="55"/>
      <c r="M40" s="55"/>
      <c r="N40" s="55"/>
      <c r="O40" s="130">
        <f t="shared" ref="O40:V40" si="49">SUM(O23:O39)</f>
        <v>212</v>
      </c>
      <c r="P40" s="220">
        <f t="shared" si="49"/>
        <v>207</v>
      </c>
      <c r="Q40" s="130">
        <f t="shared" si="49"/>
        <v>23</v>
      </c>
      <c r="R40" s="130">
        <f t="shared" si="49"/>
        <v>139</v>
      </c>
      <c r="S40" s="130">
        <f t="shared" si="49"/>
        <v>5</v>
      </c>
      <c r="T40" s="130">
        <f t="shared" si="49"/>
        <v>6034060</v>
      </c>
      <c r="U40" s="130">
        <f t="shared" si="49"/>
        <v>80600</v>
      </c>
      <c r="V40" s="220">
        <f t="shared" si="49"/>
        <v>5953460</v>
      </c>
      <c r="W40" s="55"/>
      <c r="X40" s="130">
        <f t="shared" ref="X40:AC40" si="50">SUM(X23:X39)</f>
        <v>153584.54814999999</v>
      </c>
      <c r="Y40" s="220" t="e">
        <f t="shared" si="50"/>
        <v>#REF!</v>
      </c>
      <c r="Z40" s="130">
        <f t="shared" si="50"/>
        <v>1426493.2000000002</v>
      </c>
      <c r="AA40" s="130">
        <f t="shared" si="50"/>
        <v>1296812</v>
      </c>
      <c r="AB40" s="130">
        <f t="shared" si="50"/>
        <v>49337.25</v>
      </c>
      <c r="AC40" s="130">
        <f t="shared" si="50"/>
        <v>51060</v>
      </c>
      <c r="AD40" s="154">
        <v>0.09</v>
      </c>
      <c r="AE40" s="220">
        <f>SUM(AE23:AE39)</f>
        <v>636875</v>
      </c>
      <c r="AF40" s="53">
        <f t="shared" si="39"/>
        <v>0.19697560746187931</v>
      </c>
      <c r="AG40" s="56">
        <f t="shared" ref="AG40:AI40" si="51">SUM(AG23:AG39)</f>
        <v>1227049.2700000003</v>
      </c>
      <c r="AH40" s="56" t="e">
        <f t="shared" si="51"/>
        <v>#REF!</v>
      </c>
      <c r="AI40" s="56" t="e">
        <f t="shared" si="51"/>
        <v>#REF!</v>
      </c>
      <c r="AJ40" s="56" t="e">
        <f t="shared" si="42"/>
        <v>#REF!</v>
      </c>
      <c r="AK40" s="221" t="e">
        <f t="shared" si="43"/>
        <v>#REF!</v>
      </c>
      <c r="AL40" s="54"/>
      <c r="AM40" s="222"/>
      <c r="AN40" s="57"/>
      <c r="AO40" s="131">
        <f t="shared" ref="AO40:AP40" si="52">SUM(AO23:AO24)</f>
        <v>619567</v>
      </c>
      <c r="AP40" s="132">
        <f t="shared" si="52"/>
        <v>1467</v>
      </c>
      <c r="AQ40" s="27"/>
      <c r="AR40" s="27"/>
      <c r="AS40" s="26"/>
      <c r="AT40" s="26"/>
      <c r="AU40" s="26"/>
      <c r="AV40" s="27"/>
      <c r="AW40" s="27"/>
      <c r="AX40" s="27"/>
      <c r="AY40" s="26"/>
      <c r="AZ40" s="26"/>
      <c r="BA40" s="26"/>
      <c r="BB40" s="26"/>
      <c r="BC40" s="26"/>
      <c r="BD40" s="26"/>
      <c r="BE40" s="26"/>
      <c r="BF40" s="26"/>
      <c r="BG40" s="26"/>
      <c r="BH40" s="26"/>
      <c r="BI40" s="26"/>
      <c r="BJ40" s="26"/>
      <c r="BK40" s="26"/>
    </row>
    <row r="41" spans="1:63" ht="28.5" customHeight="1">
      <c r="A41" s="3"/>
      <c r="B41" s="120"/>
      <c r="C41" s="229"/>
      <c r="D41" s="230"/>
      <c r="E41" s="230"/>
      <c r="F41" s="230"/>
      <c r="G41" s="230"/>
      <c r="H41" s="231"/>
      <c r="I41" s="231"/>
      <c r="J41" s="231"/>
      <c r="K41" s="231"/>
      <c r="L41" s="231"/>
      <c r="M41" s="231"/>
      <c r="N41" s="231"/>
      <c r="O41" s="231"/>
      <c r="P41" s="232"/>
      <c r="Q41" s="231"/>
      <c r="R41" s="231"/>
      <c r="S41" s="231"/>
      <c r="T41" s="231"/>
      <c r="U41" s="231"/>
      <c r="V41" s="231"/>
      <c r="W41" s="231"/>
      <c r="X41" s="231"/>
      <c r="Y41" s="231"/>
      <c r="Z41" s="231"/>
      <c r="AA41" s="133"/>
      <c r="AB41" s="61"/>
      <c r="AC41" s="148"/>
      <c r="AD41" s="148"/>
      <c r="AE41" s="148"/>
      <c r="AF41" s="148"/>
      <c r="AG41" s="61"/>
      <c r="AH41" s="61"/>
      <c r="AI41" s="187"/>
      <c r="AJ41" s="118"/>
      <c r="AK41" s="126"/>
      <c r="AL41" s="126"/>
      <c r="AM41" s="126"/>
      <c r="AN41" s="118"/>
      <c r="AO41" s="118"/>
      <c r="AP41" s="118"/>
      <c r="AQ41" s="126"/>
      <c r="AR41" s="126"/>
      <c r="AS41" s="126"/>
      <c r="AT41" s="118"/>
      <c r="AU41" s="118"/>
      <c r="AV41" s="118"/>
      <c r="AW41" s="118"/>
      <c r="AX41" s="118"/>
      <c r="AY41" s="118"/>
      <c r="AZ41" s="118"/>
      <c r="BA41" s="118"/>
      <c r="BB41" s="118"/>
      <c r="BC41" s="118"/>
      <c r="BD41" s="118"/>
      <c r="BE41" s="118"/>
      <c r="BF41" s="118"/>
      <c r="BG41" s="47"/>
      <c r="BH41" s="47"/>
      <c r="BI41" s="47"/>
      <c r="BJ41" s="47"/>
      <c r="BK41" s="47"/>
    </row>
    <row r="42" spans="1:63" ht="28.5" customHeight="1">
      <c r="A42" s="12"/>
      <c r="B42" s="189"/>
      <c r="C42" s="134">
        <v>45931</v>
      </c>
      <c r="D42" s="122" t="s">
        <v>0</v>
      </c>
      <c r="E42" s="122" t="s">
        <v>1</v>
      </c>
      <c r="F42" s="122" t="s">
        <v>2</v>
      </c>
      <c r="G42" s="190" t="s">
        <v>3</v>
      </c>
      <c r="H42" s="191" t="s">
        <v>4</v>
      </c>
      <c r="I42" s="192" t="s">
        <v>5</v>
      </c>
      <c r="J42" s="192" t="s">
        <v>90</v>
      </c>
      <c r="K42" s="193" t="s">
        <v>6</v>
      </c>
      <c r="L42" s="194" t="s">
        <v>7</v>
      </c>
      <c r="M42" s="15" t="s">
        <v>91</v>
      </c>
      <c r="N42" s="123" t="s">
        <v>125</v>
      </c>
      <c r="O42" s="123" t="s">
        <v>8</v>
      </c>
      <c r="P42" s="123" t="s">
        <v>9</v>
      </c>
      <c r="Q42" s="195" t="s">
        <v>10</v>
      </c>
      <c r="R42" s="123" t="s">
        <v>92</v>
      </c>
      <c r="S42" s="196" t="s">
        <v>11</v>
      </c>
      <c r="T42" s="17" t="s">
        <v>12</v>
      </c>
      <c r="U42" s="17" t="s">
        <v>13</v>
      </c>
      <c r="V42" s="17" t="s">
        <v>14</v>
      </c>
      <c r="W42" s="17" t="s">
        <v>15</v>
      </c>
      <c r="X42" s="15" t="s">
        <v>16</v>
      </c>
      <c r="Y42" s="15" t="s">
        <v>17</v>
      </c>
      <c r="Z42" s="19" t="s">
        <v>18</v>
      </c>
      <c r="AA42" s="19" t="s">
        <v>19</v>
      </c>
      <c r="AB42" s="20" t="s">
        <v>20</v>
      </c>
      <c r="AC42" s="22" t="s">
        <v>93</v>
      </c>
      <c r="AD42" s="197" t="s">
        <v>21</v>
      </c>
      <c r="AE42" s="122" t="s">
        <v>22</v>
      </c>
      <c r="AF42" s="21" t="s">
        <v>23</v>
      </c>
      <c r="AG42" s="21" t="s">
        <v>21</v>
      </c>
      <c r="AH42" s="122" t="s">
        <v>24</v>
      </c>
      <c r="AI42" s="15" t="s">
        <v>25</v>
      </c>
      <c r="AJ42" s="15" t="s">
        <v>26</v>
      </c>
      <c r="AK42" s="122" t="s">
        <v>27</v>
      </c>
      <c r="AL42" s="198" t="s">
        <v>28</v>
      </c>
      <c r="AM42" s="199" t="s">
        <v>29</v>
      </c>
      <c r="AN42" s="124" t="s">
        <v>30</v>
      </c>
      <c r="AO42" s="124" t="s">
        <v>94</v>
      </c>
      <c r="AP42" s="125" t="s">
        <v>95</v>
      </c>
      <c r="AQ42" s="27"/>
      <c r="AR42" s="27"/>
      <c r="AS42" s="26"/>
      <c r="AT42" s="26"/>
      <c r="AU42" s="26"/>
      <c r="AV42" s="26"/>
      <c r="AW42" s="26"/>
      <c r="AX42" s="26"/>
      <c r="AY42" s="26"/>
      <c r="AZ42" s="26"/>
      <c r="BA42" s="26"/>
      <c r="BB42" s="26"/>
      <c r="BC42" s="26"/>
      <c r="BD42" s="26"/>
      <c r="BE42" s="26"/>
      <c r="BF42" s="26"/>
      <c r="BG42" s="26"/>
      <c r="BH42" s="26"/>
      <c r="BI42" s="26"/>
      <c r="BJ42" s="26"/>
      <c r="BK42" s="26"/>
    </row>
    <row r="43" spans="1:63" ht="28.5" customHeight="1">
      <c r="A43" s="12" t="s">
        <v>129</v>
      </c>
      <c r="B43" s="200"/>
      <c r="C43" s="42" t="s">
        <v>107</v>
      </c>
      <c r="D43" s="28">
        <f t="shared" ref="D43:D60" si="53">AK43/V43</f>
        <v>0.13796759153947388</v>
      </c>
      <c r="E43" s="201">
        <f t="shared" ref="E43:E60" si="54">AJ43/V43</f>
        <v>0.4227074950192809</v>
      </c>
      <c r="F43" s="30">
        <f t="shared" ref="F43:F60" si="55">(Z43+AB43)/V43</f>
        <v>0.28473990347980699</v>
      </c>
      <c r="G43" s="30">
        <f t="shared" ref="G43:G59" si="56">R43/AP43</f>
        <v>6.1143984220907298E-2</v>
      </c>
      <c r="H43" s="35">
        <v>7410</v>
      </c>
      <c r="I43" s="35">
        <f t="shared" ref="I43:I59" si="57">N43*7</f>
        <v>1400</v>
      </c>
      <c r="J43" s="35">
        <f t="shared" ref="J43:J59" si="58">N43*14</f>
        <v>2800</v>
      </c>
      <c r="K43" s="49">
        <v>76</v>
      </c>
      <c r="L43" s="49">
        <f>1906+1320</f>
        <v>3226</v>
      </c>
      <c r="M43" s="48"/>
      <c r="N43" s="44">
        <v>200</v>
      </c>
      <c r="O43" s="227">
        <v>127</v>
      </c>
      <c r="P43" s="31">
        <f t="shared" ref="P43:P59" si="59">O43-S43</f>
        <v>127</v>
      </c>
      <c r="Q43" s="227">
        <v>13</v>
      </c>
      <c r="R43" s="233">
        <v>93</v>
      </c>
      <c r="S43" s="36"/>
      <c r="T43" s="34">
        <f t="shared" ref="T43:T59" si="60">W43*O43</f>
        <v>3543300</v>
      </c>
      <c r="U43" s="31">
        <f t="shared" ref="U43:U59" si="61">W43*S43</f>
        <v>0</v>
      </c>
      <c r="V43" s="34">
        <f t="shared" ref="V43:V59" si="62">T43-U43</f>
        <v>3543300</v>
      </c>
      <c r="W43" s="34">
        <v>27900</v>
      </c>
      <c r="X43" s="34">
        <f>SUMIF(헤몬팜마진!$B$7:$B$32,$C43,헤몬팜마진!$R$7:$R$32)</f>
        <v>8850.86</v>
      </c>
      <c r="Y43" s="34">
        <f t="shared" ref="Y43:Y59" si="63">AI43*P43</f>
        <v>1174122.8232000002</v>
      </c>
      <c r="Z43" s="34">
        <f t="shared" ref="Z43:Z59" si="64">AA43*1.1</f>
        <v>1008918.9000000001</v>
      </c>
      <c r="AA43" s="49">
        <v>917199</v>
      </c>
      <c r="AB43" s="36"/>
      <c r="AC43" s="204">
        <f t="shared" ref="AC43:AC44" si="65">(1072+1100)*Q43</f>
        <v>28236</v>
      </c>
      <c r="AD43" s="152">
        <v>0.1</v>
      </c>
      <c r="AE43" s="31">
        <f>3050*(P43)</f>
        <v>387350</v>
      </c>
      <c r="AF43" s="28">
        <f t="shared" ref="AF43:AF60" si="66">AD43+(AE43/V43)</f>
        <v>0.20931899641577062</v>
      </c>
      <c r="AG43" s="34">
        <f t="shared" ref="AG43:AG59" si="67">IFERROR(V43*AF43+3%,0)</f>
        <v>741680.03</v>
      </c>
      <c r="AH43" s="34">
        <f t="shared" ref="AH43:AH59" si="68">V43/1.1*10%-((AI43*P43)+AG43+(AN43*P43)+(AL43*P43))*10%</f>
        <v>129717.67969818178</v>
      </c>
      <c r="AI43" s="34">
        <f>SUMIF(헤몬팜마진!$B$7:$B$32,$C43,헤몬팜마진!$V$7:$V$32)</f>
        <v>9245.0616000000009</v>
      </c>
      <c r="AJ43" s="34">
        <f t="shared" ref="AJ43:AJ60" si="69">V43-(Y43+AG43+AH43+(AN43*P43))</f>
        <v>1497779.467101818</v>
      </c>
      <c r="AK43" s="46">
        <f t="shared" ref="AK43:AK60" si="70">AJ43-Z43-AB43</f>
        <v>488860.56710181781</v>
      </c>
      <c r="AL43" s="40">
        <f>SUMIF(헤몬팜마진!$B$7:$B$32,$C43,헤몬팜마진!$T$7:$T$32)</f>
        <v>64.584000000000003</v>
      </c>
      <c r="AM43" s="41">
        <f>SUMIF(헤몬팜마진!$B$7:$B$32,$C43,헤몬팜마진!$U$7:$U$32)</f>
        <v>329.61759999999998</v>
      </c>
      <c r="AN43" s="36"/>
      <c r="AO43" s="202">
        <v>581496</v>
      </c>
      <c r="AP43" s="205">
        <v>1521</v>
      </c>
      <c r="AQ43" s="27"/>
      <c r="AR43" s="27"/>
      <c r="AS43" s="26"/>
      <c r="AT43" s="26"/>
      <c r="AU43" s="26"/>
      <c r="AV43" s="26"/>
      <c r="AW43" s="26"/>
      <c r="AX43" s="26"/>
      <c r="AY43" s="26"/>
      <c r="AZ43" s="26"/>
      <c r="BA43" s="26"/>
      <c r="BB43" s="26"/>
      <c r="BC43" s="26"/>
      <c r="BD43" s="26"/>
      <c r="BE43" s="26"/>
      <c r="BF43" s="26"/>
      <c r="BG43" s="26"/>
      <c r="BH43" s="26"/>
      <c r="BI43" s="26"/>
      <c r="BJ43" s="26"/>
      <c r="BK43" s="26"/>
    </row>
    <row r="44" spans="1:63" ht="28.5" customHeight="1">
      <c r="A44" s="228" t="s">
        <v>130</v>
      </c>
      <c r="B44" s="200"/>
      <c r="C44" s="42" t="s">
        <v>108</v>
      </c>
      <c r="D44" s="28">
        <f t="shared" si="53"/>
        <v>0.21669609851822186</v>
      </c>
      <c r="E44" s="201">
        <f t="shared" si="54"/>
        <v>0.40985028354024833</v>
      </c>
      <c r="F44" s="30">
        <f t="shared" si="55"/>
        <v>0.19315418502202644</v>
      </c>
      <c r="G44" s="30">
        <f t="shared" si="56"/>
        <v>0</v>
      </c>
      <c r="H44" s="35">
        <v>1460</v>
      </c>
      <c r="I44" s="35">
        <f t="shared" si="57"/>
        <v>140</v>
      </c>
      <c r="J44" s="35">
        <f t="shared" si="58"/>
        <v>280</v>
      </c>
      <c r="K44" s="39">
        <v>325</v>
      </c>
      <c r="L44" s="39">
        <v>0</v>
      </c>
      <c r="M44" s="210"/>
      <c r="N44" s="44">
        <v>20</v>
      </c>
      <c r="O44" s="202">
        <v>1</v>
      </c>
      <c r="P44" s="31">
        <f t="shared" si="59"/>
        <v>1</v>
      </c>
      <c r="Q44" s="36"/>
      <c r="R44" s="167"/>
      <c r="S44" s="36"/>
      <c r="T44" s="34">
        <f t="shared" si="60"/>
        <v>22700</v>
      </c>
      <c r="U44" s="31">
        <f t="shared" si="61"/>
        <v>0</v>
      </c>
      <c r="V44" s="34">
        <f t="shared" si="62"/>
        <v>22700</v>
      </c>
      <c r="W44" s="43">
        <v>22700</v>
      </c>
      <c r="X44" s="34">
        <f>SUMIF(헤몬팜마진!$B$7:$B$32,$C44,헤몬팜마진!$R$7:$R$32)</f>
        <v>7080.6879999999992</v>
      </c>
      <c r="Y44" s="34">
        <f t="shared" si="63"/>
        <v>7377.3279999999995</v>
      </c>
      <c r="Z44" s="34">
        <f t="shared" si="64"/>
        <v>4384.6000000000004</v>
      </c>
      <c r="AA44" s="49">
        <v>3986</v>
      </c>
      <c r="AB44" s="36"/>
      <c r="AC44" s="204">
        <f t="shared" si="65"/>
        <v>0</v>
      </c>
      <c r="AD44" s="152">
        <v>0.1</v>
      </c>
      <c r="AE44" s="31">
        <f>2950*(P44)</f>
        <v>2950</v>
      </c>
      <c r="AF44" s="28">
        <f t="shared" si="66"/>
        <v>0.22995594713656389</v>
      </c>
      <c r="AG44" s="34">
        <f t="shared" si="67"/>
        <v>5220.03</v>
      </c>
      <c r="AH44" s="34">
        <f t="shared" si="68"/>
        <v>799.04056363636346</v>
      </c>
      <c r="AI44" s="34">
        <f>SUMIF(헤몬팜마진!$B$7:$B$32,$C44,헤몬팜마진!$V$7:$V$32)</f>
        <v>7377.3279999999995</v>
      </c>
      <c r="AJ44" s="34">
        <f t="shared" si="69"/>
        <v>9303.6014363636368</v>
      </c>
      <c r="AK44" s="46">
        <f t="shared" si="70"/>
        <v>4919.0014363636365</v>
      </c>
      <c r="AL44" s="40">
        <f>SUMIF(헤몬팜마진!$B$7:$B$32,$C44,헤몬팜마진!$T$7:$T$32)</f>
        <v>48.6</v>
      </c>
      <c r="AM44" s="41">
        <f>SUMIF(헤몬팜마진!$B$7:$B$32,$C44,헤몬팜마진!$U$7:$U$32)</f>
        <v>248.04000000000002</v>
      </c>
      <c r="AN44" s="36"/>
      <c r="AO44" s="202">
        <v>25424</v>
      </c>
      <c r="AP44" s="205">
        <v>9</v>
      </c>
      <c r="AQ44" s="27"/>
      <c r="AR44" s="27"/>
      <c r="AS44" s="26"/>
      <c r="AT44" s="26"/>
      <c r="AU44" s="26"/>
      <c r="AV44" s="26"/>
      <c r="AW44" s="26"/>
      <c r="AX44" s="26"/>
      <c r="AY44" s="26"/>
      <c r="AZ44" s="26"/>
      <c r="BA44" s="26"/>
      <c r="BB44" s="26"/>
      <c r="BC44" s="26"/>
      <c r="BD44" s="26"/>
      <c r="BE44" s="26"/>
      <c r="BF44" s="26"/>
      <c r="BG44" s="26"/>
      <c r="BH44" s="26"/>
      <c r="BI44" s="26"/>
      <c r="BJ44" s="26"/>
      <c r="BK44" s="26"/>
    </row>
    <row r="45" spans="1:63" ht="28.5" customHeight="1">
      <c r="A45" s="327" t="s">
        <v>131</v>
      </c>
      <c r="B45" s="323"/>
      <c r="C45" s="42" t="s">
        <v>109</v>
      </c>
      <c r="D45" s="28" t="e">
        <f t="shared" si="53"/>
        <v>#REF!</v>
      </c>
      <c r="E45" s="201" t="e">
        <f t="shared" si="54"/>
        <v>#REF!</v>
      </c>
      <c r="F45" s="30" t="e">
        <f t="shared" si="55"/>
        <v>#DIV/0!</v>
      </c>
      <c r="G45" s="30" t="e">
        <f t="shared" si="56"/>
        <v>#DIV/0!</v>
      </c>
      <c r="H45" s="35">
        <v>0</v>
      </c>
      <c r="I45" s="35">
        <f t="shared" si="57"/>
        <v>105</v>
      </c>
      <c r="J45" s="35">
        <f t="shared" si="58"/>
        <v>210</v>
      </c>
      <c r="K45" s="325">
        <v>430</v>
      </c>
      <c r="L45" s="49">
        <f>40+3+3</f>
        <v>46</v>
      </c>
      <c r="M45" s="48"/>
      <c r="N45" s="44">
        <v>15</v>
      </c>
      <c r="O45" s="202"/>
      <c r="P45" s="31">
        <f t="shared" si="59"/>
        <v>0</v>
      </c>
      <c r="Q45" s="36"/>
      <c r="R45" s="203"/>
      <c r="S45" s="36"/>
      <c r="T45" s="34">
        <f t="shared" si="60"/>
        <v>0</v>
      </c>
      <c r="U45" s="31">
        <f t="shared" si="61"/>
        <v>0</v>
      </c>
      <c r="V45" s="34">
        <f t="shared" si="62"/>
        <v>0</v>
      </c>
      <c r="W45" s="43">
        <v>45800</v>
      </c>
      <c r="X45" s="34">
        <f>SUMIF(헤몬팜마진!$B$7:$B$32,$C45,헤몬팜마진!$R$7:$R$32)</f>
        <v>9990.4082249999992</v>
      </c>
      <c r="Y45" s="34" t="e">
        <f t="shared" si="63"/>
        <v>#REF!</v>
      </c>
      <c r="Z45" s="34">
        <f t="shared" si="64"/>
        <v>0</v>
      </c>
      <c r="AA45" s="49"/>
      <c r="AB45" s="36"/>
      <c r="AC45" s="204">
        <f t="shared" ref="AC45:AC59" si="71">(1210+1100)*Q45</f>
        <v>0</v>
      </c>
      <c r="AD45" s="152">
        <v>0.11</v>
      </c>
      <c r="AE45" s="31">
        <f t="shared" ref="AE45:AE46" si="72">4150*(P45)</f>
        <v>0</v>
      </c>
      <c r="AF45" s="28" t="e">
        <f t="shared" si="66"/>
        <v>#DIV/0!</v>
      </c>
      <c r="AG45" s="34">
        <f t="shared" si="67"/>
        <v>0</v>
      </c>
      <c r="AH45" s="34" t="e">
        <f t="shared" si="68"/>
        <v>#REF!</v>
      </c>
      <c r="AI45" s="34" t="e">
        <f>SUMIF(헤몬팜마진!$B$7:$B$32,$C45,헤몬팜마진!$V$7:$V$32)</f>
        <v>#REF!</v>
      </c>
      <c r="AJ45" s="34" t="e">
        <f t="shared" si="69"/>
        <v>#REF!</v>
      </c>
      <c r="AK45" s="46" t="e">
        <f t="shared" si="70"/>
        <v>#REF!</v>
      </c>
      <c r="AL45" s="40">
        <f>SUMIF(헤몬팜마진!$B$7:$B$32,$C45,헤몬팜마진!$T$7:$T$32)</f>
        <v>162</v>
      </c>
      <c r="AM45" s="41">
        <f>SUMIF(헤몬팜마진!$B$7:$B$32,$C45,헤몬팜마진!$U$7:$U$32)</f>
        <v>826.80000000000007</v>
      </c>
      <c r="AN45" s="36"/>
      <c r="AO45" s="202"/>
      <c r="AP45" s="205"/>
      <c r="AQ45" s="27"/>
      <c r="AR45" s="27"/>
      <c r="AS45" s="26"/>
      <c r="AT45" s="26"/>
      <c r="AU45" s="26"/>
      <c r="AV45" s="26"/>
      <c r="AW45" s="26"/>
      <c r="AX45" s="26"/>
      <c r="AY45" s="26"/>
      <c r="AZ45" s="26"/>
      <c r="BA45" s="26"/>
      <c r="BB45" s="26"/>
      <c r="BC45" s="26"/>
      <c r="BD45" s="26"/>
      <c r="BE45" s="26"/>
      <c r="BF45" s="26"/>
      <c r="BG45" s="26"/>
      <c r="BH45" s="26"/>
      <c r="BI45" s="26"/>
      <c r="BJ45" s="26"/>
      <c r="BK45" s="26"/>
    </row>
    <row r="46" spans="1:63" ht="28.5" customHeight="1">
      <c r="A46" s="318"/>
      <c r="B46" s="324"/>
      <c r="C46" s="42" t="s">
        <v>110</v>
      </c>
      <c r="D46" s="28" t="e">
        <f t="shared" si="53"/>
        <v>#REF!</v>
      </c>
      <c r="E46" s="201" t="e">
        <f t="shared" si="54"/>
        <v>#REF!</v>
      </c>
      <c r="F46" s="30" t="e">
        <f t="shared" si="55"/>
        <v>#DIV/0!</v>
      </c>
      <c r="G46" s="30" t="e">
        <f t="shared" si="56"/>
        <v>#DIV/0!</v>
      </c>
      <c r="H46" s="35">
        <v>0</v>
      </c>
      <c r="I46" s="35">
        <f t="shared" si="57"/>
        <v>105</v>
      </c>
      <c r="J46" s="35">
        <f t="shared" si="58"/>
        <v>210</v>
      </c>
      <c r="K46" s="310"/>
      <c r="L46" s="49">
        <f>13+2</f>
        <v>15</v>
      </c>
      <c r="M46" s="48"/>
      <c r="N46" s="44">
        <v>15</v>
      </c>
      <c r="O46" s="202"/>
      <c r="P46" s="31">
        <f t="shared" si="59"/>
        <v>0</v>
      </c>
      <c r="Q46" s="202"/>
      <c r="R46" s="203"/>
      <c r="S46" s="36"/>
      <c r="T46" s="34">
        <f t="shared" si="60"/>
        <v>0</v>
      </c>
      <c r="U46" s="31">
        <f t="shared" si="61"/>
        <v>0</v>
      </c>
      <c r="V46" s="34">
        <f t="shared" si="62"/>
        <v>0</v>
      </c>
      <c r="W46" s="43">
        <v>46800</v>
      </c>
      <c r="X46" s="34">
        <f>SUMIF(헤몬팜마진!$B$7:$B$32,$C46,헤몬팜마진!$R$7:$R$32)</f>
        <v>9990.4082249999992</v>
      </c>
      <c r="Y46" s="34" t="e">
        <f t="shared" si="63"/>
        <v>#REF!</v>
      </c>
      <c r="Z46" s="34">
        <f t="shared" si="64"/>
        <v>0</v>
      </c>
      <c r="AA46" s="49"/>
      <c r="AB46" s="36"/>
      <c r="AC46" s="204">
        <f t="shared" si="71"/>
        <v>0</v>
      </c>
      <c r="AD46" s="152">
        <v>0.11</v>
      </c>
      <c r="AE46" s="31">
        <f t="shared" si="72"/>
        <v>0</v>
      </c>
      <c r="AF46" s="28" t="e">
        <f t="shared" si="66"/>
        <v>#DIV/0!</v>
      </c>
      <c r="AG46" s="34">
        <f t="shared" si="67"/>
        <v>0</v>
      </c>
      <c r="AH46" s="34" t="e">
        <f t="shared" si="68"/>
        <v>#REF!</v>
      </c>
      <c r="AI46" s="34" t="e">
        <f>SUMIF(헤몬팜마진!$B$7:$B$32,$C46,헤몬팜마진!$V$7:$V$32)</f>
        <v>#REF!</v>
      </c>
      <c r="AJ46" s="34" t="e">
        <f t="shared" si="69"/>
        <v>#REF!</v>
      </c>
      <c r="AK46" s="206" t="e">
        <f t="shared" si="70"/>
        <v>#REF!</v>
      </c>
      <c r="AL46" s="40">
        <f>SUMIF(헤몬팜마진!$B$7:$B$32,$C46,헤몬팜마진!$T$7:$T$32)</f>
        <v>162</v>
      </c>
      <c r="AM46" s="41">
        <f>SUMIF(헤몬팜마진!$B$7:$B$32,$C46,헤몬팜마진!$U$7:$U$32)</f>
        <v>826.80000000000007</v>
      </c>
      <c r="AN46" s="36"/>
      <c r="AO46" s="202"/>
      <c r="AP46" s="205"/>
      <c r="AQ46" s="27"/>
      <c r="AR46" s="27"/>
      <c r="AS46" s="26"/>
      <c r="AT46" s="26"/>
      <c r="AU46" s="26"/>
      <c r="AV46" s="26"/>
      <c r="AW46" s="26"/>
      <c r="AX46" s="26"/>
      <c r="AY46" s="26"/>
      <c r="AZ46" s="26"/>
      <c r="BA46" s="26"/>
      <c r="BB46" s="26"/>
      <c r="BC46" s="26"/>
      <c r="BD46" s="26"/>
      <c r="BE46" s="26"/>
      <c r="BF46" s="26"/>
      <c r="BG46" s="26"/>
      <c r="BH46" s="26"/>
      <c r="BI46" s="26"/>
      <c r="BJ46" s="26"/>
      <c r="BK46" s="26"/>
    </row>
    <row r="47" spans="1:63" ht="28.5" customHeight="1">
      <c r="A47" s="12" t="s">
        <v>132</v>
      </c>
      <c r="B47" s="323"/>
      <c r="C47" s="42" t="s">
        <v>32</v>
      </c>
      <c r="D47" s="28" t="e">
        <f t="shared" si="53"/>
        <v>#REF!</v>
      </c>
      <c r="E47" s="201" t="e">
        <f t="shared" si="54"/>
        <v>#REF!</v>
      </c>
      <c r="F47" s="30" t="e">
        <f t="shared" si="55"/>
        <v>#DIV/0!</v>
      </c>
      <c r="G47" s="30" t="e">
        <f t="shared" si="56"/>
        <v>#DIV/0!</v>
      </c>
      <c r="H47" s="37">
        <v>3504</v>
      </c>
      <c r="I47" s="35">
        <f t="shared" si="57"/>
        <v>210</v>
      </c>
      <c r="J47" s="35">
        <f t="shared" si="58"/>
        <v>420</v>
      </c>
      <c r="K47" s="325">
        <v>626</v>
      </c>
      <c r="L47" s="39">
        <f>30+13+6</f>
        <v>49</v>
      </c>
      <c r="M47" s="210"/>
      <c r="N47" s="208">
        <v>30</v>
      </c>
      <c r="O47" s="202"/>
      <c r="P47" s="31">
        <f t="shared" si="59"/>
        <v>0</v>
      </c>
      <c r="Q47" s="36"/>
      <c r="R47" s="203"/>
      <c r="S47" s="36"/>
      <c r="T47" s="34">
        <f t="shared" si="60"/>
        <v>0</v>
      </c>
      <c r="U47" s="31">
        <f t="shared" si="61"/>
        <v>0</v>
      </c>
      <c r="V47" s="34">
        <f t="shared" si="62"/>
        <v>0</v>
      </c>
      <c r="W47" s="43">
        <v>59800</v>
      </c>
      <c r="X47" s="34">
        <f>SUMIF(헤몬팜마진!$B$7:$B$32,$C47,헤몬팜마진!$R$7:$R$32)</f>
        <v>13276.289999999999</v>
      </c>
      <c r="Y47" s="34" t="e">
        <f t="shared" si="63"/>
        <v>#REF!</v>
      </c>
      <c r="Z47" s="34">
        <f t="shared" si="64"/>
        <v>0</v>
      </c>
      <c r="AA47" s="49"/>
      <c r="AB47" s="209"/>
      <c r="AC47" s="204">
        <f t="shared" si="71"/>
        <v>0</v>
      </c>
      <c r="AD47" s="152">
        <v>0.108</v>
      </c>
      <c r="AE47" s="31">
        <f t="shared" ref="AE47:AE48" si="73">4825*(P47)</f>
        <v>0</v>
      </c>
      <c r="AF47" s="28" t="e">
        <f t="shared" si="66"/>
        <v>#DIV/0!</v>
      </c>
      <c r="AG47" s="34">
        <f t="shared" si="67"/>
        <v>0</v>
      </c>
      <c r="AH47" s="34" t="e">
        <f t="shared" si="68"/>
        <v>#REF!</v>
      </c>
      <c r="AI47" s="34" t="e">
        <f>SUMIF(헤몬팜마진!$B$7:$B$32,$C47,헤몬팜마진!$V$7:$V$32)</f>
        <v>#REF!</v>
      </c>
      <c r="AJ47" s="34" t="e">
        <f t="shared" si="69"/>
        <v>#REF!</v>
      </c>
      <c r="AK47" s="46" t="e">
        <f t="shared" si="70"/>
        <v>#REF!</v>
      </c>
      <c r="AL47" s="40">
        <f>SUMIF(헤몬팜마진!$B$7:$B$32,$C47,헤몬팜마진!$T$7:$T$32)</f>
        <v>371.52</v>
      </c>
      <c r="AM47" s="41">
        <f>SUMIF(헤몬팜마진!$B$7:$B$32,$C47,헤몬팜마진!$U$7:$U$32)</f>
        <v>1896.1279999999999</v>
      </c>
      <c r="AN47" s="36"/>
      <c r="AO47" s="202"/>
      <c r="AP47" s="205"/>
      <c r="AQ47" s="27"/>
      <c r="AR47" s="27"/>
      <c r="AS47" s="26"/>
      <c r="AT47" s="26"/>
      <c r="AU47" s="26"/>
      <c r="AV47" s="26"/>
      <c r="AW47" s="26"/>
      <c r="AX47" s="26"/>
      <c r="AY47" s="26"/>
      <c r="AZ47" s="26"/>
      <c r="BA47" s="26"/>
      <c r="BB47" s="26"/>
      <c r="BC47" s="26"/>
      <c r="BD47" s="26"/>
      <c r="BE47" s="26"/>
      <c r="BF47" s="26"/>
      <c r="BG47" s="26"/>
      <c r="BH47" s="26"/>
      <c r="BI47" s="26"/>
      <c r="BJ47" s="26"/>
      <c r="BK47" s="26"/>
    </row>
    <row r="48" spans="1:63" ht="28.5" customHeight="1">
      <c r="A48" s="12" t="s">
        <v>132</v>
      </c>
      <c r="B48" s="324"/>
      <c r="C48" s="42" t="s">
        <v>33</v>
      </c>
      <c r="D48" s="28" t="e">
        <f t="shared" si="53"/>
        <v>#REF!</v>
      </c>
      <c r="E48" s="201" t="e">
        <f t="shared" si="54"/>
        <v>#REF!</v>
      </c>
      <c r="F48" s="30" t="e">
        <f t="shared" si="55"/>
        <v>#DIV/0!</v>
      </c>
      <c r="G48" s="30" t="e">
        <f t="shared" si="56"/>
        <v>#DIV/0!</v>
      </c>
      <c r="H48" s="35">
        <v>0</v>
      </c>
      <c r="I48" s="35">
        <f t="shared" si="57"/>
        <v>210</v>
      </c>
      <c r="J48" s="35">
        <f t="shared" si="58"/>
        <v>420</v>
      </c>
      <c r="K48" s="310"/>
      <c r="L48" s="39">
        <f>4+11+18+38+129</f>
        <v>200</v>
      </c>
      <c r="M48" s="210"/>
      <c r="N48" s="44">
        <v>30</v>
      </c>
      <c r="O48" s="202"/>
      <c r="P48" s="31">
        <f t="shared" si="59"/>
        <v>0</v>
      </c>
      <c r="Q48" s="36">
        <v>1</v>
      </c>
      <c r="R48" s="203"/>
      <c r="S48" s="36"/>
      <c r="T48" s="34">
        <f t="shared" si="60"/>
        <v>0</v>
      </c>
      <c r="U48" s="31">
        <f t="shared" si="61"/>
        <v>0</v>
      </c>
      <c r="V48" s="34">
        <f t="shared" si="62"/>
        <v>0</v>
      </c>
      <c r="W48" s="43">
        <v>69780</v>
      </c>
      <c r="X48" s="34">
        <f>SUMIF(헤몬팜마진!$B$7:$B$32,$C48,헤몬팜마진!$R$7:$R$32)</f>
        <v>13276.289999999999</v>
      </c>
      <c r="Y48" s="34" t="e">
        <f t="shared" si="63"/>
        <v>#REF!</v>
      </c>
      <c r="Z48" s="34">
        <f t="shared" si="64"/>
        <v>0</v>
      </c>
      <c r="AA48" s="49"/>
      <c r="AB48" s="36"/>
      <c r="AC48" s="204">
        <f t="shared" si="71"/>
        <v>2310</v>
      </c>
      <c r="AD48" s="152">
        <v>0.108</v>
      </c>
      <c r="AE48" s="31">
        <f t="shared" si="73"/>
        <v>0</v>
      </c>
      <c r="AF48" s="28" t="e">
        <f t="shared" si="66"/>
        <v>#DIV/0!</v>
      </c>
      <c r="AG48" s="34">
        <f t="shared" si="67"/>
        <v>0</v>
      </c>
      <c r="AH48" s="34" t="e">
        <f t="shared" si="68"/>
        <v>#REF!</v>
      </c>
      <c r="AI48" s="34" t="e">
        <f>SUMIF(헤몬팜마진!$B$7:$B$32,$C48,헤몬팜마진!$V$7:$V$32)</f>
        <v>#REF!</v>
      </c>
      <c r="AJ48" s="34" t="e">
        <f t="shared" si="69"/>
        <v>#REF!</v>
      </c>
      <c r="AK48" s="46" t="e">
        <f t="shared" si="70"/>
        <v>#REF!</v>
      </c>
      <c r="AL48" s="40">
        <f>SUMIF(헤몬팜마진!$B$7:$B$32,$C48,헤몬팜마진!$T$7:$T$32)</f>
        <v>371.52</v>
      </c>
      <c r="AM48" s="41">
        <f>SUMIF(헤몬팜마진!$B$7:$B$32,$C48,헤몬팜마진!$U$7:$U$32)</f>
        <v>1896.1279999999999</v>
      </c>
      <c r="AN48" s="36"/>
      <c r="AO48" s="202"/>
      <c r="AP48" s="205"/>
      <c r="AQ48" s="27"/>
      <c r="AR48" s="27"/>
      <c r="AS48" s="26"/>
      <c r="AT48" s="26"/>
      <c r="AU48" s="26"/>
      <c r="AV48" s="26"/>
      <c r="AW48" s="26"/>
      <c r="AX48" s="26"/>
      <c r="AY48" s="26"/>
      <c r="AZ48" s="26"/>
      <c r="BA48" s="26"/>
      <c r="BB48" s="26"/>
      <c r="BC48" s="26"/>
      <c r="BD48" s="26"/>
      <c r="BE48" s="26"/>
      <c r="BF48" s="26"/>
      <c r="BG48" s="26"/>
      <c r="BH48" s="26"/>
      <c r="BI48" s="26"/>
      <c r="BJ48" s="26"/>
      <c r="BK48" s="26"/>
    </row>
    <row r="49" spans="1:63" ht="28.5" customHeight="1">
      <c r="A49" s="228" t="s">
        <v>133</v>
      </c>
      <c r="B49" s="200"/>
      <c r="C49" s="42" t="s">
        <v>111</v>
      </c>
      <c r="D49" s="28">
        <f t="shared" si="53"/>
        <v>-0.1360880908204698</v>
      </c>
      <c r="E49" s="201">
        <f t="shared" si="54"/>
        <v>0.39080862133833916</v>
      </c>
      <c r="F49" s="30">
        <f t="shared" si="55"/>
        <v>0.52689671215880896</v>
      </c>
      <c r="G49" s="30">
        <f t="shared" si="56"/>
        <v>7.586206896551724E-2</v>
      </c>
      <c r="H49" s="35">
        <v>500</v>
      </c>
      <c r="I49" s="35">
        <f t="shared" si="57"/>
        <v>105</v>
      </c>
      <c r="J49" s="35">
        <f t="shared" si="58"/>
        <v>210</v>
      </c>
      <c r="K49" s="39">
        <v>577</v>
      </c>
      <c r="L49" s="39">
        <v>211</v>
      </c>
      <c r="M49" s="210"/>
      <c r="N49" s="44">
        <v>15</v>
      </c>
      <c r="O49" s="202">
        <v>19</v>
      </c>
      <c r="P49" s="31">
        <f t="shared" si="59"/>
        <v>14</v>
      </c>
      <c r="Q49" s="202">
        <v>2</v>
      </c>
      <c r="R49" s="203">
        <v>11</v>
      </c>
      <c r="S49" s="202">
        <v>5</v>
      </c>
      <c r="T49" s="34">
        <f t="shared" si="60"/>
        <v>306280</v>
      </c>
      <c r="U49" s="31">
        <f t="shared" si="61"/>
        <v>80600</v>
      </c>
      <c r="V49" s="34">
        <f t="shared" si="62"/>
        <v>225680</v>
      </c>
      <c r="W49" s="43">
        <v>16120</v>
      </c>
      <c r="X49" s="34">
        <f>SUMIF(헤몬팜마진!$B$7:$B$32,$C49,헤몬팜마진!$R$7:$R$32)</f>
        <v>5089.2444999999998</v>
      </c>
      <c r="Y49" s="34">
        <f t="shared" si="63"/>
        <v>71768.542999999991</v>
      </c>
      <c r="Z49" s="34">
        <f t="shared" si="64"/>
        <v>69572.800000000003</v>
      </c>
      <c r="AA49" s="49">
        <v>63248</v>
      </c>
      <c r="AB49" s="211">
        <f>((17890*0.015)+(17890*0.19)+2100+2200+1900)*5</f>
        <v>49337.25</v>
      </c>
      <c r="AC49" s="204">
        <f t="shared" si="71"/>
        <v>4620</v>
      </c>
      <c r="AD49" s="152">
        <v>7.8E-2</v>
      </c>
      <c r="AE49" s="31">
        <f>2900*(P49)</f>
        <v>40600</v>
      </c>
      <c r="AF49" s="28">
        <f t="shared" si="66"/>
        <v>0.25790074441687344</v>
      </c>
      <c r="AG49" s="34">
        <f t="shared" si="67"/>
        <v>58203.07</v>
      </c>
      <c r="AH49" s="34">
        <f t="shared" si="68"/>
        <v>7510.6973363636371</v>
      </c>
      <c r="AI49" s="34">
        <f>SUMIF(헤몬팜마진!$B$7:$B$32,$C49,헤몬팜마진!$V$7:$V$32)</f>
        <v>5126.3244999999997</v>
      </c>
      <c r="AJ49" s="34">
        <f t="shared" si="69"/>
        <v>88197.689663636382</v>
      </c>
      <c r="AK49" s="206">
        <f t="shared" si="70"/>
        <v>-30712.360336363621</v>
      </c>
      <c r="AL49" s="40">
        <f>SUMIF(헤몬팜마진!$B$7:$B$32,$C49,헤몬팜마진!$T$7:$T$32)</f>
        <v>6.0750000000000002</v>
      </c>
      <c r="AM49" s="41">
        <f>SUMIF(헤몬팜마진!$B$7:$B$32,$C49,헤몬팜마진!$U$7:$U$32)</f>
        <v>31.005000000000003</v>
      </c>
      <c r="AN49" s="36"/>
      <c r="AO49" s="202">
        <v>51155</v>
      </c>
      <c r="AP49" s="205">
        <v>145</v>
      </c>
      <c r="AQ49" s="27"/>
      <c r="AR49" s="27"/>
      <c r="AS49" s="26"/>
      <c r="AT49" s="26"/>
      <c r="AU49" s="26"/>
      <c r="AV49" s="26"/>
      <c r="AW49" s="26"/>
      <c r="AX49" s="26"/>
      <c r="AY49" s="26"/>
      <c r="AZ49" s="26"/>
      <c r="BA49" s="26"/>
      <c r="BB49" s="26"/>
      <c r="BC49" s="26"/>
      <c r="BD49" s="26"/>
      <c r="BE49" s="26"/>
      <c r="BF49" s="26"/>
      <c r="BG49" s="26"/>
      <c r="BH49" s="26"/>
      <c r="BI49" s="26"/>
      <c r="BJ49" s="26"/>
      <c r="BK49" s="26"/>
    </row>
    <row r="50" spans="1:63" ht="28.5" customHeight="1">
      <c r="A50" s="327" t="s">
        <v>134</v>
      </c>
      <c r="B50" s="323"/>
      <c r="C50" s="42" t="s">
        <v>112</v>
      </c>
      <c r="D50" s="29" t="e">
        <f t="shared" si="53"/>
        <v>#REF!</v>
      </c>
      <c r="E50" s="201" t="e">
        <f t="shared" si="54"/>
        <v>#REF!</v>
      </c>
      <c r="F50" s="30">
        <f t="shared" si="55"/>
        <v>0</v>
      </c>
      <c r="G50" s="30" t="e">
        <f t="shared" si="56"/>
        <v>#DIV/0!</v>
      </c>
      <c r="H50" s="312">
        <v>0</v>
      </c>
      <c r="I50" s="35">
        <f t="shared" si="57"/>
        <v>140</v>
      </c>
      <c r="J50" s="35">
        <f t="shared" si="58"/>
        <v>280</v>
      </c>
      <c r="K50" s="325">
        <v>343</v>
      </c>
      <c r="L50" s="39">
        <f>97+42+48+31+19+10</f>
        <v>247</v>
      </c>
      <c r="M50" s="210"/>
      <c r="N50" s="44">
        <v>20</v>
      </c>
      <c r="O50" s="202">
        <v>2</v>
      </c>
      <c r="P50" s="31">
        <f t="shared" si="59"/>
        <v>2</v>
      </c>
      <c r="Q50" s="202"/>
      <c r="R50" s="167"/>
      <c r="S50" s="36"/>
      <c r="T50" s="34">
        <f t="shared" si="60"/>
        <v>79600</v>
      </c>
      <c r="U50" s="31">
        <f t="shared" si="61"/>
        <v>0</v>
      </c>
      <c r="V50" s="34">
        <f t="shared" si="62"/>
        <v>79600</v>
      </c>
      <c r="W50" s="43">
        <v>39800</v>
      </c>
      <c r="X50" s="34">
        <f>SUMIF(헤몬팜마진!$B$7:$B$32,$C50,헤몬팜마진!$R$7:$R$32)</f>
        <v>7855.1382499999991</v>
      </c>
      <c r="Y50" s="34" t="e">
        <f t="shared" si="63"/>
        <v>#REF!</v>
      </c>
      <c r="Z50" s="34">
        <f t="shared" si="64"/>
        <v>0</v>
      </c>
      <c r="AA50" s="49"/>
      <c r="AB50" s="209"/>
      <c r="AC50" s="204">
        <f t="shared" si="71"/>
        <v>0</v>
      </c>
      <c r="AD50" s="152">
        <v>0.08</v>
      </c>
      <c r="AE50" s="31">
        <f>4150*(P50)</f>
        <v>8300</v>
      </c>
      <c r="AF50" s="28">
        <f t="shared" si="66"/>
        <v>0.18427135678391959</v>
      </c>
      <c r="AG50" s="34">
        <f t="shared" si="67"/>
        <v>14668.03</v>
      </c>
      <c r="AH50" s="34" t="e">
        <f t="shared" si="68"/>
        <v>#REF!</v>
      </c>
      <c r="AI50" s="34" t="e">
        <f>SUMIF(헤몬팜마진!$B$7:$B$32,$C50,헤몬팜마진!$V$7:$V$32)</f>
        <v>#REF!</v>
      </c>
      <c r="AJ50" s="34" t="e">
        <f t="shared" si="69"/>
        <v>#REF!</v>
      </c>
      <c r="AK50" s="46" t="e">
        <f t="shared" si="70"/>
        <v>#REF!</v>
      </c>
      <c r="AL50" s="40">
        <f>SUMIF(헤몬팜마진!$B$7:$B$32,$C50,헤몬팜마진!$T$7:$T$32)</f>
        <v>176.41799999999998</v>
      </c>
      <c r="AM50" s="41">
        <f>SUMIF(헤몬팜마진!$B$7:$B$32,$C50,헤몬팜마진!$U$7:$U$32)</f>
        <v>900.38519999999994</v>
      </c>
      <c r="AN50" s="36"/>
      <c r="AO50" s="202"/>
      <c r="AP50" s="205"/>
      <c r="AQ50" s="27"/>
      <c r="AR50" s="27"/>
      <c r="AS50" s="26"/>
      <c r="AT50" s="26"/>
      <c r="AU50" s="26"/>
      <c r="AV50" s="26"/>
      <c r="AW50" s="26"/>
      <c r="AX50" s="26"/>
      <c r="AY50" s="26"/>
      <c r="AZ50" s="26"/>
      <c r="BA50" s="26"/>
      <c r="BB50" s="26"/>
      <c r="BC50" s="26"/>
      <c r="BD50" s="26"/>
      <c r="BE50" s="26"/>
      <c r="BF50" s="26"/>
      <c r="BG50" s="26"/>
      <c r="BH50" s="26"/>
      <c r="BI50" s="26"/>
      <c r="BJ50" s="26"/>
      <c r="BK50" s="26"/>
    </row>
    <row r="51" spans="1:63" ht="28.5" customHeight="1">
      <c r="A51" s="318"/>
      <c r="B51" s="324"/>
      <c r="C51" s="42" t="s">
        <v>113</v>
      </c>
      <c r="D51" s="28" t="e">
        <f t="shared" si="53"/>
        <v>#REF!</v>
      </c>
      <c r="E51" s="201" t="e">
        <f t="shared" si="54"/>
        <v>#REF!</v>
      </c>
      <c r="F51" s="30" t="e">
        <f t="shared" si="55"/>
        <v>#DIV/0!</v>
      </c>
      <c r="G51" s="30" t="e">
        <f t="shared" si="56"/>
        <v>#DIV/0!</v>
      </c>
      <c r="H51" s="310"/>
      <c r="I51" s="35">
        <f t="shared" si="57"/>
        <v>105</v>
      </c>
      <c r="J51" s="35">
        <f t="shared" si="58"/>
        <v>210</v>
      </c>
      <c r="K51" s="310"/>
      <c r="L51" s="39">
        <f>74+42+48+18+8+2</f>
        <v>192</v>
      </c>
      <c r="M51" s="210"/>
      <c r="N51" s="44">
        <v>15</v>
      </c>
      <c r="O51" s="36"/>
      <c r="P51" s="31">
        <f t="shared" si="59"/>
        <v>0</v>
      </c>
      <c r="Q51" s="36"/>
      <c r="R51" s="167"/>
      <c r="S51" s="36"/>
      <c r="T51" s="34">
        <f t="shared" si="60"/>
        <v>0</v>
      </c>
      <c r="U51" s="31">
        <f t="shared" si="61"/>
        <v>0</v>
      </c>
      <c r="V51" s="34">
        <f t="shared" si="62"/>
        <v>0</v>
      </c>
      <c r="W51" s="43">
        <v>42900</v>
      </c>
      <c r="X51" s="34">
        <f>SUMIF(헤몬팜마진!$B$7:$B$32,$C51,헤몬팜마진!$R$7:$R$32)</f>
        <v>7855.1382499999991</v>
      </c>
      <c r="Y51" s="34" t="e">
        <f t="shared" si="63"/>
        <v>#REF!</v>
      </c>
      <c r="Z51" s="34">
        <f t="shared" si="64"/>
        <v>0</v>
      </c>
      <c r="AA51" s="49"/>
      <c r="AB51" s="36"/>
      <c r="AC51" s="204">
        <f t="shared" si="71"/>
        <v>0</v>
      </c>
      <c r="AD51" s="152">
        <v>7.8E-2</v>
      </c>
      <c r="AE51" s="31">
        <f>1900*(P51)</f>
        <v>0</v>
      </c>
      <c r="AF51" s="28" t="e">
        <f t="shared" si="66"/>
        <v>#DIV/0!</v>
      </c>
      <c r="AG51" s="34">
        <f t="shared" si="67"/>
        <v>0</v>
      </c>
      <c r="AH51" s="34" t="e">
        <f t="shared" si="68"/>
        <v>#REF!</v>
      </c>
      <c r="AI51" s="34" t="e">
        <f>SUMIF(헤몬팜마진!$B$7:$B$32,$C51,헤몬팜마진!$V$7:$V$32)</f>
        <v>#REF!</v>
      </c>
      <c r="AJ51" s="34" t="e">
        <f t="shared" si="69"/>
        <v>#REF!</v>
      </c>
      <c r="AK51" s="206" t="e">
        <f t="shared" si="70"/>
        <v>#REF!</v>
      </c>
      <c r="AL51" s="40">
        <f>SUMIF(헤몬팜마진!$B$7:$B$32,$C51,헤몬팜마진!$T$7:$T$32)</f>
        <v>176.41799999999998</v>
      </c>
      <c r="AM51" s="41">
        <f>SUMIF(헤몬팜마진!$B$7:$B$32,$C51,헤몬팜마진!$U$7:$U$32)</f>
        <v>900.38519999999994</v>
      </c>
      <c r="AN51" s="36"/>
      <c r="AO51" s="202"/>
      <c r="AP51" s="205"/>
      <c r="AQ51" s="27"/>
      <c r="AR51" s="27"/>
      <c r="AS51" s="26"/>
      <c r="AT51" s="26"/>
      <c r="AU51" s="26"/>
      <c r="AV51" s="26"/>
      <c r="AW51" s="26"/>
      <c r="AX51" s="26"/>
      <c r="AY51" s="26"/>
      <c r="AZ51" s="26"/>
      <c r="BA51" s="26"/>
      <c r="BB51" s="26"/>
      <c r="BC51" s="26"/>
      <c r="BD51" s="26"/>
      <c r="BE51" s="26"/>
      <c r="BF51" s="26"/>
      <c r="BG51" s="26"/>
      <c r="BH51" s="26"/>
      <c r="BI51" s="26"/>
      <c r="BJ51" s="26"/>
      <c r="BK51" s="26"/>
    </row>
    <row r="52" spans="1:63" ht="28.5" customHeight="1">
      <c r="A52" s="228" t="s">
        <v>135</v>
      </c>
      <c r="B52" s="200"/>
      <c r="C52" s="42" t="s">
        <v>114</v>
      </c>
      <c r="D52" s="28">
        <f t="shared" si="53"/>
        <v>0.32890024867424256</v>
      </c>
      <c r="E52" s="201">
        <f t="shared" si="54"/>
        <v>0.3629887903409092</v>
      </c>
      <c r="F52" s="30">
        <f t="shared" si="55"/>
        <v>3.4088541666666673E-2</v>
      </c>
      <c r="G52" s="30">
        <f t="shared" si="56"/>
        <v>3.5714285714285712E-2</v>
      </c>
      <c r="H52" s="35">
        <v>1750</v>
      </c>
      <c r="I52" s="35">
        <f t="shared" si="57"/>
        <v>350</v>
      </c>
      <c r="J52" s="35">
        <f t="shared" si="58"/>
        <v>700</v>
      </c>
      <c r="K52" s="39">
        <v>1449</v>
      </c>
      <c r="L52" s="39">
        <v>1217</v>
      </c>
      <c r="M52" s="210"/>
      <c r="N52" s="44">
        <v>50</v>
      </c>
      <c r="O52" s="202">
        <v>9</v>
      </c>
      <c r="P52" s="31">
        <f t="shared" si="59"/>
        <v>9</v>
      </c>
      <c r="Q52" s="36"/>
      <c r="R52" s="203">
        <v>1</v>
      </c>
      <c r="S52" s="36"/>
      <c r="T52" s="34">
        <f t="shared" si="60"/>
        <v>172800</v>
      </c>
      <c r="U52" s="31">
        <f t="shared" si="61"/>
        <v>0</v>
      </c>
      <c r="V52" s="34">
        <f t="shared" si="62"/>
        <v>172800</v>
      </c>
      <c r="W52" s="43">
        <v>19200</v>
      </c>
      <c r="X52" s="34">
        <f>SUMIF(헤몬팜마진!$B$7:$B$32,$C52,헤몬팜마진!$R$7:$R$32)</f>
        <v>6372.6191999999992</v>
      </c>
      <c r="Y52" s="34">
        <f t="shared" si="63"/>
        <v>60942.916799999992</v>
      </c>
      <c r="Z52" s="34">
        <f t="shared" si="64"/>
        <v>5890.5000000000009</v>
      </c>
      <c r="AA52" s="49">
        <v>5355</v>
      </c>
      <c r="AB52" s="36"/>
      <c r="AC52" s="204">
        <f t="shared" si="71"/>
        <v>0</v>
      </c>
      <c r="AD52" s="152">
        <v>0.08</v>
      </c>
      <c r="AE52" s="31">
        <f>3350*(P52)</f>
        <v>30150</v>
      </c>
      <c r="AF52" s="28">
        <f t="shared" si="66"/>
        <v>0.25447916666666665</v>
      </c>
      <c r="AG52" s="34">
        <f t="shared" si="67"/>
        <v>43974.029999999992</v>
      </c>
      <c r="AH52" s="34">
        <f t="shared" si="68"/>
        <v>5158.5902290909125</v>
      </c>
      <c r="AI52" s="34">
        <f>SUMIF(헤몬팜마진!$B$7:$B$32,$C52,헤몬팜마진!$V$7:$V$32)</f>
        <v>6771.435199999999</v>
      </c>
      <c r="AJ52" s="34">
        <f t="shared" si="69"/>
        <v>62724.46297090911</v>
      </c>
      <c r="AK52" s="46">
        <f t="shared" si="70"/>
        <v>56833.96297090911</v>
      </c>
      <c r="AL52" s="40">
        <f>SUMIF(헤몬팜마진!$B$7:$B$32,$C52,헤몬팜마진!$T$7:$T$32)</f>
        <v>65.34</v>
      </c>
      <c r="AM52" s="41">
        <f>SUMIF(헤몬팜마진!$B$7:$B$32,$C52,헤몬팜마진!$U$7:$U$32)</f>
        <v>333.476</v>
      </c>
      <c r="AN52" s="36"/>
      <c r="AO52" s="202">
        <v>7994</v>
      </c>
      <c r="AP52" s="205">
        <v>28</v>
      </c>
      <c r="AQ52" s="27"/>
      <c r="AR52" s="27"/>
      <c r="AS52" s="26"/>
      <c r="AT52" s="26"/>
      <c r="AU52" s="26"/>
      <c r="AV52" s="26"/>
      <c r="AW52" s="26"/>
      <c r="AX52" s="26"/>
      <c r="AY52" s="26"/>
      <c r="AZ52" s="26"/>
      <c r="BA52" s="26"/>
      <c r="BB52" s="26"/>
      <c r="BC52" s="26"/>
      <c r="BD52" s="26"/>
      <c r="BE52" s="26"/>
      <c r="BF52" s="26"/>
      <c r="BG52" s="26"/>
      <c r="BH52" s="26"/>
      <c r="BI52" s="26"/>
      <c r="BJ52" s="26"/>
      <c r="BK52" s="26"/>
    </row>
    <row r="53" spans="1:63" ht="28.5" customHeight="1">
      <c r="A53" s="327" t="s">
        <v>136</v>
      </c>
      <c r="B53" s="326"/>
      <c r="C53" s="42" t="s">
        <v>115</v>
      </c>
      <c r="D53" s="28" t="e">
        <f t="shared" si="53"/>
        <v>#REF!</v>
      </c>
      <c r="E53" s="201" t="e">
        <f t="shared" si="54"/>
        <v>#REF!</v>
      </c>
      <c r="F53" s="30" t="e">
        <f t="shared" si="55"/>
        <v>#DIV/0!</v>
      </c>
      <c r="G53" s="30" t="e">
        <f t="shared" si="56"/>
        <v>#DIV/0!</v>
      </c>
      <c r="H53" s="35">
        <v>0</v>
      </c>
      <c r="I53" s="35">
        <f t="shared" si="57"/>
        <v>70</v>
      </c>
      <c r="J53" s="35">
        <f t="shared" si="58"/>
        <v>140</v>
      </c>
      <c r="K53" s="328">
        <v>494</v>
      </c>
      <c r="L53" s="39">
        <v>0</v>
      </c>
      <c r="M53" s="210"/>
      <c r="N53" s="44">
        <v>10</v>
      </c>
      <c r="O53" s="36"/>
      <c r="P53" s="31">
        <f t="shared" si="59"/>
        <v>0</v>
      </c>
      <c r="Q53" s="36"/>
      <c r="R53" s="167"/>
      <c r="S53" s="36"/>
      <c r="T53" s="34">
        <f t="shared" si="60"/>
        <v>0</v>
      </c>
      <c r="U53" s="31">
        <f t="shared" si="61"/>
        <v>0</v>
      </c>
      <c r="V53" s="34">
        <f t="shared" si="62"/>
        <v>0</v>
      </c>
      <c r="W53" s="43">
        <v>54800</v>
      </c>
      <c r="X53" s="34">
        <f>SUMIF(헤몬팜마진!$B$7:$B$32,$C53,헤몬팜마진!$R$7:$R$32)</f>
        <v>12169.932499999999</v>
      </c>
      <c r="Y53" s="34" t="e">
        <f t="shared" si="63"/>
        <v>#REF!</v>
      </c>
      <c r="Z53" s="34">
        <f t="shared" si="64"/>
        <v>0</v>
      </c>
      <c r="AA53" s="49"/>
      <c r="AB53" s="36"/>
      <c r="AC53" s="204">
        <f t="shared" si="71"/>
        <v>0</v>
      </c>
      <c r="AD53" s="152">
        <v>7.8E-2</v>
      </c>
      <c r="AE53" s="31">
        <f t="shared" ref="AE53:AE54" si="74">4825*(P53)</f>
        <v>0</v>
      </c>
      <c r="AF53" s="28" t="e">
        <f t="shared" si="66"/>
        <v>#DIV/0!</v>
      </c>
      <c r="AG53" s="34">
        <f t="shared" si="67"/>
        <v>0</v>
      </c>
      <c r="AH53" s="34" t="e">
        <f t="shared" si="68"/>
        <v>#REF!</v>
      </c>
      <c r="AI53" s="34" t="e">
        <f>SUMIF(헤몬팜마진!$B$7:$B$32,$C53,헤몬팜마진!$V$7:$V$32)</f>
        <v>#REF!</v>
      </c>
      <c r="AJ53" s="34" t="e">
        <f t="shared" si="69"/>
        <v>#REF!</v>
      </c>
      <c r="AK53" s="206" t="e">
        <f t="shared" si="70"/>
        <v>#REF!</v>
      </c>
      <c r="AL53" s="40">
        <f>SUMIF(헤몬팜마진!$B$7:$B$32,$C53,헤몬팜마진!$T$7:$T$32)</f>
        <v>181.44000000000003</v>
      </c>
      <c r="AM53" s="41">
        <f>SUMIF(헤몬팜마진!$B$7:$B$32,$C53,헤몬팜마진!$U$7:$U$32)</f>
        <v>926.01600000000019</v>
      </c>
      <c r="AN53" s="36"/>
      <c r="AO53" s="202"/>
      <c r="AP53" s="205"/>
      <c r="AQ53" s="27"/>
      <c r="AR53" s="27"/>
      <c r="AS53" s="26"/>
      <c r="AT53" s="26"/>
      <c r="AU53" s="26"/>
      <c r="AV53" s="26"/>
      <c r="AW53" s="26"/>
      <c r="AX53" s="26"/>
      <c r="AY53" s="26"/>
      <c r="AZ53" s="26"/>
      <c r="BA53" s="26"/>
      <c r="BB53" s="26"/>
      <c r="BC53" s="26"/>
      <c r="BD53" s="26"/>
      <c r="BE53" s="26"/>
      <c r="BF53" s="26"/>
      <c r="BG53" s="26"/>
      <c r="BH53" s="26"/>
      <c r="BI53" s="26"/>
      <c r="BJ53" s="26"/>
      <c r="BK53" s="26"/>
    </row>
    <row r="54" spans="1:63" ht="28.5" customHeight="1">
      <c r="A54" s="318"/>
      <c r="B54" s="324"/>
      <c r="C54" s="42" t="s">
        <v>116</v>
      </c>
      <c r="D54" s="28" t="e">
        <f t="shared" si="53"/>
        <v>#REF!</v>
      </c>
      <c r="E54" s="201" t="e">
        <f t="shared" si="54"/>
        <v>#REF!</v>
      </c>
      <c r="F54" s="30">
        <f t="shared" si="55"/>
        <v>0</v>
      </c>
      <c r="G54" s="30" t="e">
        <f t="shared" si="56"/>
        <v>#DIV/0!</v>
      </c>
      <c r="H54" s="35">
        <v>0</v>
      </c>
      <c r="I54" s="35">
        <f t="shared" si="57"/>
        <v>70</v>
      </c>
      <c r="J54" s="35">
        <f t="shared" si="58"/>
        <v>140</v>
      </c>
      <c r="K54" s="310"/>
      <c r="L54" s="39">
        <v>1</v>
      </c>
      <c r="M54" s="210"/>
      <c r="N54" s="44">
        <v>10</v>
      </c>
      <c r="O54" s="202">
        <v>2</v>
      </c>
      <c r="P54" s="31">
        <f t="shared" si="59"/>
        <v>2</v>
      </c>
      <c r="Q54" s="202"/>
      <c r="R54" s="203"/>
      <c r="S54" s="36"/>
      <c r="T54" s="34">
        <f t="shared" si="60"/>
        <v>123080</v>
      </c>
      <c r="U54" s="31">
        <f t="shared" si="61"/>
        <v>0</v>
      </c>
      <c r="V54" s="34">
        <f t="shared" si="62"/>
        <v>123080</v>
      </c>
      <c r="W54" s="43">
        <v>61540</v>
      </c>
      <c r="X54" s="34">
        <f>SUMIF(헤몬팜마진!$B$7:$B$32,$C54,헤몬팜마진!$R$7:$R$32)</f>
        <v>12169.932499999999</v>
      </c>
      <c r="Y54" s="34" t="e">
        <f t="shared" si="63"/>
        <v>#REF!</v>
      </c>
      <c r="Z54" s="34">
        <f t="shared" si="64"/>
        <v>0</v>
      </c>
      <c r="AA54" s="49"/>
      <c r="AB54" s="36"/>
      <c r="AC54" s="204">
        <f t="shared" si="71"/>
        <v>0</v>
      </c>
      <c r="AD54" s="152">
        <v>7.8E-2</v>
      </c>
      <c r="AE54" s="31">
        <f t="shared" si="74"/>
        <v>9650</v>
      </c>
      <c r="AF54" s="28">
        <f t="shared" si="66"/>
        <v>0.15640428989275268</v>
      </c>
      <c r="AG54" s="34">
        <f t="shared" si="67"/>
        <v>19250.269999999997</v>
      </c>
      <c r="AH54" s="34" t="e">
        <f t="shared" si="68"/>
        <v>#REF!</v>
      </c>
      <c r="AI54" s="34" t="e">
        <f>SUMIF(헤몬팜마진!$B$7:$B$32,$C54,헤몬팜마진!$V$7:$V$32)</f>
        <v>#REF!</v>
      </c>
      <c r="AJ54" s="34" t="e">
        <f t="shared" si="69"/>
        <v>#REF!</v>
      </c>
      <c r="AK54" s="46" t="e">
        <f t="shared" si="70"/>
        <v>#REF!</v>
      </c>
      <c r="AL54" s="40">
        <f>SUMIF(헤몬팜마진!$B$7:$B$32,$C54,헤몬팜마진!$T$7:$T$32)</f>
        <v>181.44000000000003</v>
      </c>
      <c r="AM54" s="41">
        <f>SUMIF(헤몬팜마진!$B$7:$B$32,$C54,헤몬팜마진!$U$7:$U$32)</f>
        <v>926.01600000000019</v>
      </c>
      <c r="AN54" s="36"/>
      <c r="AO54" s="202"/>
      <c r="AP54" s="205"/>
      <c r="AQ54" s="27"/>
      <c r="AR54" s="27"/>
      <c r="AS54" s="26"/>
      <c r="AT54" s="26"/>
      <c r="AU54" s="26"/>
      <c r="AV54" s="26"/>
      <c r="AW54" s="26"/>
      <c r="AX54" s="26"/>
      <c r="AY54" s="26"/>
      <c r="AZ54" s="26"/>
      <c r="BA54" s="26"/>
      <c r="BB54" s="26"/>
      <c r="BC54" s="26"/>
      <c r="BD54" s="26"/>
      <c r="BE54" s="26"/>
      <c r="BF54" s="26"/>
      <c r="BG54" s="26"/>
      <c r="BH54" s="26"/>
      <c r="BI54" s="26"/>
      <c r="BJ54" s="26"/>
      <c r="BK54" s="26"/>
    </row>
    <row r="55" spans="1:63" ht="28.5" customHeight="1">
      <c r="A55" s="228" t="s">
        <v>137</v>
      </c>
      <c r="B55" s="200"/>
      <c r="C55" s="42" t="s">
        <v>117</v>
      </c>
      <c r="D55" s="28">
        <f t="shared" si="53"/>
        <v>0.47882773774499426</v>
      </c>
      <c r="E55" s="201">
        <f t="shared" si="54"/>
        <v>0.498266325039185</v>
      </c>
      <c r="F55" s="30">
        <f t="shared" si="55"/>
        <v>1.9438587294190745E-2</v>
      </c>
      <c r="G55" s="30">
        <f t="shared" si="56"/>
        <v>2.7700831024930748E-3</v>
      </c>
      <c r="H55" s="35">
        <v>2000</v>
      </c>
      <c r="I55" s="35">
        <f t="shared" si="57"/>
        <v>700</v>
      </c>
      <c r="J55" s="35">
        <f t="shared" si="58"/>
        <v>1400</v>
      </c>
      <c r="K55" s="39">
        <v>2373</v>
      </c>
      <c r="L55" s="39">
        <v>3</v>
      </c>
      <c r="M55" s="210"/>
      <c r="N55" s="44">
        <v>100</v>
      </c>
      <c r="O55" s="202">
        <v>116</v>
      </c>
      <c r="P55" s="31">
        <f t="shared" si="59"/>
        <v>116</v>
      </c>
      <c r="Q55" s="202">
        <v>8</v>
      </c>
      <c r="R55" s="203">
        <v>1</v>
      </c>
      <c r="S55" s="36"/>
      <c r="T55" s="34">
        <f t="shared" si="60"/>
        <v>2060160</v>
      </c>
      <c r="U55" s="31">
        <f t="shared" si="61"/>
        <v>0</v>
      </c>
      <c r="V55" s="34">
        <f t="shared" si="62"/>
        <v>2060160</v>
      </c>
      <c r="W55" s="43">
        <v>17760</v>
      </c>
      <c r="X55" s="34">
        <f>SUMIF(헤몬팜마진!$B$7:$B$32,$C55,헤몬팜마진!$R$7:$R$32)</f>
        <v>3982.8869999999997</v>
      </c>
      <c r="Y55" s="34">
        <f t="shared" si="63"/>
        <v>561116.38319999992</v>
      </c>
      <c r="Z55" s="34">
        <f t="shared" si="64"/>
        <v>40046.600000000006</v>
      </c>
      <c r="AA55" s="49">
        <v>36406</v>
      </c>
      <c r="AB55" s="36"/>
      <c r="AC55" s="204">
        <f t="shared" si="71"/>
        <v>18480</v>
      </c>
      <c r="AD55" s="152">
        <v>7.8E-2</v>
      </c>
      <c r="AE55" s="31">
        <f t="shared" ref="AE55:AE56" si="75">1900*(P55)</f>
        <v>220400</v>
      </c>
      <c r="AF55" s="28">
        <f t="shared" si="66"/>
        <v>0.18498198198198199</v>
      </c>
      <c r="AG55" s="34">
        <f t="shared" si="67"/>
        <v>381092.51</v>
      </c>
      <c r="AH55" s="34">
        <f t="shared" si="68"/>
        <v>91442.754607272698</v>
      </c>
      <c r="AI55" s="34">
        <f>SUMIF(헤몬팜마진!$B$7:$B$32,$C55,헤몬팜마진!$V$7:$V$32)</f>
        <v>4837.2101999999995</v>
      </c>
      <c r="AJ55" s="34">
        <f t="shared" si="69"/>
        <v>1026508.3521927274</v>
      </c>
      <c r="AK55" s="46">
        <f t="shared" si="70"/>
        <v>986461.75219272741</v>
      </c>
      <c r="AL55" s="40">
        <f>SUMIF(헤몬팜마진!$B$7:$B$32,$C55,헤몬팜마진!$T$7:$T$32)</f>
        <v>139.96800000000002</v>
      </c>
      <c r="AM55" s="41">
        <f>SUMIF(헤몬팜마진!$B$7:$B$32,$C55,헤몬팜마진!$U$7:$U$32)</f>
        <v>714.35519999999997</v>
      </c>
      <c r="AN55" s="36"/>
      <c r="AO55" s="202">
        <v>58626</v>
      </c>
      <c r="AP55" s="205">
        <v>361</v>
      </c>
      <c r="AQ55" s="27"/>
      <c r="AR55" s="27"/>
      <c r="AS55" s="26"/>
      <c r="AT55" s="26"/>
      <c r="AU55" s="26"/>
      <c r="AV55" s="26"/>
      <c r="AW55" s="26"/>
      <c r="AX55" s="26"/>
      <c r="AY55" s="26"/>
      <c r="AZ55" s="26"/>
      <c r="BA55" s="26"/>
      <c r="BB55" s="26"/>
      <c r="BC55" s="26"/>
      <c r="BD55" s="26"/>
      <c r="BE55" s="26"/>
      <c r="BF55" s="26"/>
      <c r="BG55" s="26"/>
      <c r="BH55" s="26"/>
      <c r="BI55" s="26"/>
      <c r="BJ55" s="26"/>
      <c r="BK55" s="26"/>
    </row>
    <row r="56" spans="1:63" ht="28.5" customHeight="1">
      <c r="A56" s="228" t="s">
        <v>138</v>
      </c>
      <c r="B56" s="200"/>
      <c r="C56" s="42" t="s">
        <v>118</v>
      </c>
      <c r="D56" s="28">
        <f t="shared" si="53"/>
        <v>1.5857568365102659E-2</v>
      </c>
      <c r="E56" s="201">
        <f t="shared" si="54"/>
        <v>0.43889184255865105</v>
      </c>
      <c r="F56" s="30">
        <f t="shared" si="55"/>
        <v>0.42303427419354839</v>
      </c>
      <c r="G56" s="30">
        <f t="shared" si="56"/>
        <v>7.4074074074074077E-3</v>
      </c>
      <c r="H56" s="35">
        <v>0</v>
      </c>
      <c r="I56" s="35">
        <f t="shared" si="57"/>
        <v>350</v>
      </c>
      <c r="J56" s="35">
        <f t="shared" si="58"/>
        <v>700</v>
      </c>
      <c r="K56" s="39">
        <v>87</v>
      </c>
      <c r="L56" s="39">
        <v>0</v>
      </c>
      <c r="M56" s="210"/>
      <c r="N56" s="44">
        <v>50</v>
      </c>
      <c r="O56" s="202">
        <v>4</v>
      </c>
      <c r="P56" s="31">
        <f t="shared" si="59"/>
        <v>4</v>
      </c>
      <c r="Q56" s="36"/>
      <c r="R56" s="203">
        <v>1</v>
      </c>
      <c r="S56" s="36"/>
      <c r="T56" s="34">
        <f t="shared" si="60"/>
        <v>99200</v>
      </c>
      <c r="U56" s="31">
        <f t="shared" si="61"/>
        <v>0</v>
      </c>
      <c r="V56" s="34">
        <f t="shared" si="62"/>
        <v>99200</v>
      </c>
      <c r="W56" s="43">
        <v>24800</v>
      </c>
      <c r="X56" s="34">
        <f>SUMIF(헤몬팜마진!$B$7:$B$32,$C56,헤몬팜마진!$R$7:$R$32)</f>
        <v>8408.3169999999991</v>
      </c>
      <c r="Y56" s="34">
        <f t="shared" si="63"/>
        <v>34318.835999999996</v>
      </c>
      <c r="Z56" s="34">
        <f t="shared" si="64"/>
        <v>41965</v>
      </c>
      <c r="AA56" s="49">
        <v>38150</v>
      </c>
      <c r="AB56" s="209"/>
      <c r="AC56" s="204">
        <f t="shared" si="71"/>
        <v>0</v>
      </c>
      <c r="AD56" s="152">
        <v>0.1</v>
      </c>
      <c r="AE56" s="31">
        <f t="shared" si="75"/>
        <v>7600</v>
      </c>
      <c r="AF56" s="28">
        <f t="shared" si="66"/>
        <v>0.17661290322580647</v>
      </c>
      <c r="AG56" s="34">
        <f t="shared" si="67"/>
        <v>17520.030000000002</v>
      </c>
      <c r="AH56" s="34">
        <f t="shared" si="68"/>
        <v>3823.0632181818182</v>
      </c>
      <c r="AI56" s="34">
        <f>SUMIF(헤몬팜마진!$B$7:$B$32,$C56,헤몬팜마진!$V$7:$V$32)</f>
        <v>8579.7089999999989</v>
      </c>
      <c r="AJ56" s="34">
        <f t="shared" si="69"/>
        <v>43538.070781818184</v>
      </c>
      <c r="AK56" s="206">
        <f t="shared" si="70"/>
        <v>1573.0707818181836</v>
      </c>
      <c r="AL56" s="40">
        <f>SUMIF(헤몬팜마진!$B$7:$B$32,$C56,헤몬팜마진!$T$7:$T$32)</f>
        <v>28.079999999999995</v>
      </c>
      <c r="AM56" s="41">
        <f>SUMIF(헤몬팜마진!$B$7:$B$32,$C56,헤몬팜마진!$U$7:$U$32)</f>
        <v>143.31199999999998</v>
      </c>
      <c r="AN56" s="36"/>
      <c r="AO56" s="202">
        <v>99025</v>
      </c>
      <c r="AP56" s="205">
        <v>135</v>
      </c>
      <c r="AQ56" s="27"/>
      <c r="AR56" s="27"/>
      <c r="AS56" s="26"/>
      <c r="AT56" s="26"/>
      <c r="AU56" s="26"/>
      <c r="AV56" s="26"/>
      <c r="AW56" s="26"/>
      <c r="AX56" s="26"/>
      <c r="AY56" s="26"/>
      <c r="AZ56" s="26"/>
      <c r="BA56" s="26"/>
      <c r="BB56" s="26"/>
      <c r="BC56" s="26"/>
      <c r="BD56" s="26"/>
      <c r="BE56" s="26"/>
      <c r="BF56" s="26"/>
      <c r="BG56" s="26"/>
      <c r="BH56" s="26"/>
      <c r="BI56" s="26"/>
      <c r="BJ56" s="26"/>
      <c r="BK56" s="26"/>
    </row>
    <row r="57" spans="1:63" ht="28.5" customHeight="1">
      <c r="A57" s="12"/>
      <c r="B57" s="214" t="s">
        <v>126</v>
      </c>
      <c r="C57" s="42" t="s">
        <v>31</v>
      </c>
      <c r="D57" s="28">
        <f t="shared" si="53"/>
        <v>7.7330755844155857E-2</v>
      </c>
      <c r="E57" s="201">
        <f t="shared" si="54"/>
        <v>0.40281947764866716</v>
      </c>
      <c r="F57" s="30">
        <f t="shared" si="55"/>
        <v>0.32548872180451133</v>
      </c>
      <c r="G57" s="30">
        <f t="shared" si="56"/>
        <v>1.8404907975460124E-2</v>
      </c>
      <c r="H57" s="35">
        <v>700</v>
      </c>
      <c r="I57" s="35">
        <f t="shared" si="57"/>
        <v>210</v>
      </c>
      <c r="J57" s="35">
        <f t="shared" si="58"/>
        <v>420</v>
      </c>
      <c r="K57" s="39">
        <v>954</v>
      </c>
      <c r="L57" s="39">
        <v>2</v>
      </c>
      <c r="M57" s="210"/>
      <c r="N57" s="44">
        <v>30</v>
      </c>
      <c r="O57" s="36">
        <v>7</v>
      </c>
      <c r="P57" s="31">
        <f t="shared" si="59"/>
        <v>7</v>
      </c>
      <c r="Q57" s="36">
        <v>2</v>
      </c>
      <c r="R57" s="167">
        <v>3</v>
      </c>
      <c r="S57" s="36"/>
      <c r="T57" s="34">
        <f t="shared" si="60"/>
        <v>146300</v>
      </c>
      <c r="U57" s="31">
        <f t="shared" si="61"/>
        <v>0</v>
      </c>
      <c r="V57" s="34">
        <f t="shared" si="62"/>
        <v>146300</v>
      </c>
      <c r="W57" s="43">
        <v>20900</v>
      </c>
      <c r="X57" s="34">
        <f>SUMIF(헤몬팜마진!$B$7:$B$32,$C57,헤몬팜마진!$R$7:$R$32)</f>
        <v>6638.1449999999995</v>
      </c>
      <c r="Y57" s="34">
        <f t="shared" si="63"/>
        <v>46799.251799999991</v>
      </c>
      <c r="Z57" s="34">
        <f t="shared" si="64"/>
        <v>47619.000000000007</v>
      </c>
      <c r="AA57" s="48">
        <v>43290</v>
      </c>
      <c r="AB57" s="209"/>
      <c r="AC57" s="204">
        <f t="shared" si="71"/>
        <v>4620</v>
      </c>
      <c r="AD57" s="152">
        <v>0.08</v>
      </c>
      <c r="AE57" s="31">
        <f>3400*(P57)</f>
        <v>23800</v>
      </c>
      <c r="AF57" s="28">
        <f t="shared" si="66"/>
        <v>0.24267942583732055</v>
      </c>
      <c r="AG57" s="34">
        <f t="shared" si="67"/>
        <v>35504.03</v>
      </c>
      <c r="AH57" s="34">
        <f t="shared" si="68"/>
        <v>5064.2286199999999</v>
      </c>
      <c r="AI57" s="34">
        <f>SUMIF(헤몬팜마진!$B$7:$B$32,$C57,헤몬팜마진!$V$7:$V$32)</f>
        <v>6685.607399999999</v>
      </c>
      <c r="AJ57" s="34">
        <f t="shared" si="69"/>
        <v>58932.489580000009</v>
      </c>
      <c r="AK57" s="206">
        <f t="shared" si="70"/>
        <v>11313.489580000001</v>
      </c>
      <c r="AL57" s="40">
        <f>SUMIF(헤몬팜마진!$B$7:$B$32,$C57,헤몬팜마진!$T$7:$T$32)</f>
        <v>7.7759999999999998</v>
      </c>
      <c r="AM57" s="41">
        <f>SUMIF(헤몬팜마진!$B$7:$B$32,$C57,헤몬팜마진!$U$7:$U$32)</f>
        <v>39.686400000000006</v>
      </c>
      <c r="AN57" s="36"/>
      <c r="AO57" s="202">
        <v>178254</v>
      </c>
      <c r="AP57" s="205">
        <v>163</v>
      </c>
      <c r="AQ57" s="27"/>
      <c r="AR57" s="27"/>
      <c r="AS57" s="26"/>
      <c r="AT57" s="26"/>
      <c r="AU57" s="26"/>
      <c r="AV57" s="26"/>
      <c r="AW57" s="26"/>
      <c r="AX57" s="26"/>
      <c r="AY57" s="26"/>
      <c r="AZ57" s="26"/>
      <c r="BA57" s="26"/>
      <c r="BB57" s="26"/>
      <c r="BC57" s="26"/>
      <c r="BD57" s="26"/>
      <c r="BE57" s="26"/>
      <c r="BF57" s="26"/>
      <c r="BG57" s="26"/>
      <c r="BH57" s="26"/>
      <c r="BI57" s="26"/>
      <c r="BJ57" s="26"/>
      <c r="BK57" s="26"/>
    </row>
    <row r="58" spans="1:63" ht="28.5" customHeight="1">
      <c r="A58" s="327" t="s">
        <v>139</v>
      </c>
      <c r="B58" s="127" t="s">
        <v>127</v>
      </c>
      <c r="C58" s="42" t="s">
        <v>119</v>
      </c>
      <c r="D58" s="28">
        <f t="shared" si="53"/>
        <v>0.3207587842482918</v>
      </c>
      <c r="E58" s="201">
        <f t="shared" si="54"/>
        <v>0.43444844405735455</v>
      </c>
      <c r="F58" s="30">
        <f t="shared" si="55"/>
        <v>0.1136896598090628</v>
      </c>
      <c r="G58" s="30">
        <f t="shared" si="56"/>
        <v>0.13750000000000001</v>
      </c>
      <c r="H58" s="35">
        <v>2000</v>
      </c>
      <c r="I58" s="35">
        <f t="shared" si="57"/>
        <v>280</v>
      </c>
      <c r="J58" s="35">
        <f t="shared" si="58"/>
        <v>560</v>
      </c>
      <c r="K58" s="328">
        <v>1048</v>
      </c>
      <c r="L58" s="39">
        <f>311+240+1</f>
        <v>552</v>
      </c>
      <c r="M58" s="210"/>
      <c r="N58" s="44">
        <v>40</v>
      </c>
      <c r="O58" s="202">
        <v>33</v>
      </c>
      <c r="P58" s="31">
        <f t="shared" si="59"/>
        <v>33</v>
      </c>
      <c r="Q58" s="202">
        <v>2</v>
      </c>
      <c r="R58" s="203">
        <v>11</v>
      </c>
      <c r="S58" s="36"/>
      <c r="T58" s="34">
        <f t="shared" si="60"/>
        <v>818070</v>
      </c>
      <c r="U58" s="31">
        <f t="shared" si="61"/>
        <v>0</v>
      </c>
      <c r="V58" s="34">
        <f t="shared" si="62"/>
        <v>818070</v>
      </c>
      <c r="W58" s="43">
        <v>24790</v>
      </c>
      <c r="X58" s="34">
        <f>SUMIF(헤몬팜마진!$B$7:$B$32,$C58,헤몬팜마진!$R$7:$R$32)</f>
        <v>6859.4164999999994</v>
      </c>
      <c r="Y58" s="34">
        <f t="shared" si="63"/>
        <v>239369.39729999995</v>
      </c>
      <c r="Z58" s="34">
        <f t="shared" si="64"/>
        <v>93006.1</v>
      </c>
      <c r="AA58" s="49">
        <v>84551</v>
      </c>
      <c r="AB58" s="209"/>
      <c r="AC58" s="204">
        <f t="shared" si="71"/>
        <v>4620</v>
      </c>
      <c r="AD58" s="152">
        <v>0.108</v>
      </c>
      <c r="AE58" s="31">
        <f>3150*(P58)</f>
        <v>103950</v>
      </c>
      <c r="AF58" s="28">
        <f t="shared" si="66"/>
        <v>0.23506736587333604</v>
      </c>
      <c r="AG58" s="34">
        <f t="shared" si="67"/>
        <v>192301.59000000003</v>
      </c>
      <c r="AH58" s="34">
        <f t="shared" si="68"/>
        <v>30989.774069999985</v>
      </c>
      <c r="AI58" s="34">
        <f>SUMIF(헤몬팜마진!$B$7:$B$32,$C58,헤몬팜마진!$V$7:$V$32)</f>
        <v>7253.6180999999988</v>
      </c>
      <c r="AJ58" s="34">
        <f t="shared" si="69"/>
        <v>355409.23863000004</v>
      </c>
      <c r="AK58" s="206">
        <f t="shared" si="70"/>
        <v>262403.13863000006</v>
      </c>
      <c r="AL58" s="40">
        <f>SUMIF(헤몬팜마진!$B$7:$B$32,$C58,헤몬팜마진!$T$7:$T$32)</f>
        <v>64.584000000000003</v>
      </c>
      <c r="AM58" s="41">
        <f>SUMIF(헤몬팜마진!$B$7:$B$32,$C58,헤몬팜마진!$U$7:$U$32)</f>
        <v>329.61759999999998</v>
      </c>
      <c r="AN58" s="36"/>
      <c r="AO58" s="202">
        <v>9184</v>
      </c>
      <c r="AP58" s="205">
        <v>80</v>
      </c>
      <c r="AQ58" s="126"/>
      <c r="AR58" s="126"/>
      <c r="AS58" s="118"/>
      <c r="AT58" s="118"/>
      <c r="AU58" s="118"/>
      <c r="AV58" s="118"/>
      <c r="AW58" s="118"/>
      <c r="AX58" s="118"/>
      <c r="AY58" s="118"/>
      <c r="AZ58" s="118"/>
      <c r="BA58" s="118"/>
      <c r="BB58" s="118"/>
      <c r="BC58" s="118"/>
      <c r="BD58" s="118"/>
      <c r="BE58" s="118"/>
      <c r="BF58" s="47"/>
      <c r="BG58" s="47"/>
      <c r="BH58" s="47"/>
      <c r="BI58" s="47"/>
      <c r="BJ58" s="47"/>
    </row>
    <row r="59" spans="1:63" ht="28.5" customHeight="1">
      <c r="A59" s="318"/>
      <c r="B59" s="214" t="s">
        <v>128</v>
      </c>
      <c r="C59" s="42" t="s">
        <v>120</v>
      </c>
      <c r="D59" s="28">
        <f t="shared" si="53"/>
        <v>0.11690884275925074</v>
      </c>
      <c r="E59" s="201">
        <f t="shared" si="54"/>
        <v>0.41263748597533118</v>
      </c>
      <c r="F59" s="30">
        <f t="shared" si="55"/>
        <v>0.29572864321608044</v>
      </c>
      <c r="G59" s="30">
        <f t="shared" si="56"/>
        <v>1.7857142857142856E-2</v>
      </c>
      <c r="H59" s="35">
        <v>0</v>
      </c>
      <c r="I59" s="35">
        <f t="shared" si="57"/>
        <v>105</v>
      </c>
      <c r="J59" s="35">
        <f t="shared" si="58"/>
        <v>210</v>
      </c>
      <c r="K59" s="310"/>
      <c r="L59" s="39">
        <f>22+3</f>
        <v>25</v>
      </c>
      <c r="M59" s="210"/>
      <c r="N59" s="44">
        <v>15</v>
      </c>
      <c r="O59" s="36">
        <v>2</v>
      </c>
      <c r="P59" s="31">
        <f t="shared" si="59"/>
        <v>2</v>
      </c>
      <c r="Q59" s="36"/>
      <c r="R59" s="167">
        <v>1</v>
      </c>
      <c r="S59" s="36"/>
      <c r="T59" s="34">
        <f t="shared" si="60"/>
        <v>79600</v>
      </c>
      <c r="U59" s="31">
        <f t="shared" si="61"/>
        <v>0</v>
      </c>
      <c r="V59" s="34">
        <f t="shared" si="62"/>
        <v>79600</v>
      </c>
      <c r="W59" s="43">
        <v>39800</v>
      </c>
      <c r="X59" s="34">
        <f>SUMIF(헤몬팜마진!$B$7:$B$32,$C59,헤몬팜마진!$R$7:$R$32)</f>
        <v>13718.832999999999</v>
      </c>
      <c r="Y59" s="34">
        <f t="shared" si="63"/>
        <v>28226.069199999998</v>
      </c>
      <c r="Z59" s="34">
        <f t="shared" si="64"/>
        <v>23540.000000000004</v>
      </c>
      <c r="AA59" s="49">
        <v>21400</v>
      </c>
      <c r="AB59" s="209"/>
      <c r="AC59" s="204">
        <f t="shared" si="71"/>
        <v>0</v>
      </c>
      <c r="AD59" s="152">
        <v>0.108</v>
      </c>
      <c r="AE59" s="31">
        <f>3550*(P59)</f>
        <v>7100</v>
      </c>
      <c r="AF59" s="28">
        <f t="shared" si="66"/>
        <v>0.1971959798994975</v>
      </c>
      <c r="AG59" s="34">
        <f t="shared" si="67"/>
        <v>15696.830000000002</v>
      </c>
      <c r="AH59" s="34">
        <f t="shared" si="68"/>
        <v>2831.1569163636359</v>
      </c>
      <c r="AI59" s="34">
        <f>SUMIF(헤몬팜마진!$B$7:$B$32,$C59,헤몬팜마진!$V$7:$V$32)</f>
        <v>14113.034599999999</v>
      </c>
      <c r="AJ59" s="34">
        <f t="shared" si="69"/>
        <v>32845.943883636362</v>
      </c>
      <c r="AK59" s="206">
        <f t="shared" si="70"/>
        <v>9305.9438836363588</v>
      </c>
      <c r="AL59" s="40">
        <f>SUMIF(헤몬팜마진!$B$7:$B$32,$C59,헤몬팜마진!$T$7:$T$32)</f>
        <v>64.584000000000003</v>
      </c>
      <c r="AM59" s="41">
        <f>SUMIF(헤몬팜마진!$B$7:$B$32,$C59,헤몬팜마진!$U$7:$U$32)</f>
        <v>329.61759999999998</v>
      </c>
      <c r="AN59" s="36"/>
      <c r="AO59" s="202">
        <v>12668</v>
      </c>
      <c r="AP59" s="205">
        <v>56</v>
      </c>
      <c r="AQ59" s="126"/>
      <c r="AR59" s="126"/>
      <c r="AS59" s="118"/>
      <c r="AT59" s="118"/>
      <c r="AU59" s="118"/>
      <c r="AV59" s="118"/>
      <c r="AW59" s="118"/>
      <c r="AX59" s="118"/>
      <c r="AY59" s="118"/>
      <c r="AZ59" s="118"/>
      <c r="BA59" s="118"/>
      <c r="BB59" s="118"/>
      <c r="BC59" s="118"/>
      <c r="BD59" s="118"/>
      <c r="BE59" s="118"/>
      <c r="BF59" s="47"/>
      <c r="BG59" s="47"/>
      <c r="BH59" s="47"/>
      <c r="BI59" s="47"/>
      <c r="BJ59" s="47"/>
    </row>
    <row r="60" spans="1:63" ht="28.5" customHeight="1">
      <c r="A60" s="12"/>
      <c r="B60" s="216"/>
      <c r="C60" s="217"/>
      <c r="D60" s="51" t="e">
        <f t="shared" si="53"/>
        <v>#REF!</v>
      </c>
      <c r="E60" s="218" t="e">
        <f t="shared" si="54"/>
        <v>#REF!</v>
      </c>
      <c r="F60" s="53">
        <f t="shared" si="55"/>
        <v>0.18781393774362359</v>
      </c>
      <c r="G60" s="219"/>
      <c r="H60" s="55"/>
      <c r="I60" s="55"/>
      <c r="J60" s="55"/>
      <c r="K60" s="55"/>
      <c r="L60" s="55"/>
      <c r="M60" s="55"/>
      <c r="N60" s="55"/>
      <c r="O60" s="130">
        <f t="shared" ref="O60:V60" si="76">SUM(O43:O59)</f>
        <v>322</v>
      </c>
      <c r="P60" s="220">
        <f t="shared" si="76"/>
        <v>317</v>
      </c>
      <c r="Q60" s="130">
        <f t="shared" si="76"/>
        <v>28</v>
      </c>
      <c r="R60" s="130">
        <f t="shared" si="76"/>
        <v>122</v>
      </c>
      <c r="S60" s="130">
        <f t="shared" si="76"/>
        <v>5</v>
      </c>
      <c r="T60" s="130">
        <f t="shared" si="76"/>
        <v>7451090</v>
      </c>
      <c r="U60" s="130">
        <f t="shared" si="76"/>
        <v>80600</v>
      </c>
      <c r="V60" s="220">
        <f t="shared" si="76"/>
        <v>7370490</v>
      </c>
      <c r="W60" s="55"/>
      <c r="X60" s="130">
        <f t="shared" ref="X60:AC60" si="77">SUM(X43:X59)</f>
        <v>153584.54814999999</v>
      </c>
      <c r="Y60" s="220" t="e">
        <f t="shared" si="77"/>
        <v>#REF!</v>
      </c>
      <c r="Z60" s="130">
        <f t="shared" si="77"/>
        <v>1334943.5000000002</v>
      </c>
      <c r="AA60" s="130">
        <f t="shared" si="77"/>
        <v>1213585</v>
      </c>
      <c r="AB60" s="130">
        <f t="shared" si="77"/>
        <v>49337.25</v>
      </c>
      <c r="AC60" s="130">
        <f t="shared" si="77"/>
        <v>62886</v>
      </c>
      <c r="AD60" s="154">
        <v>0.09</v>
      </c>
      <c r="AE60" s="220">
        <f>SUM(AE43:AE59)</f>
        <v>841850</v>
      </c>
      <c r="AF60" s="53">
        <f t="shared" si="66"/>
        <v>0.20421900036496893</v>
      </c>
      <c r="AG60" s="56">
        <f t="shared" ref="AG60:AI60" si="78">SUM(AG43:AG59)</f>
        <v>1525110.4500000004</v>
      </c>
      <c r="AH60" s="56" t="e">
        <f t="shared" si="78"/>
        <v>#REF!</v>
      </c>
      <c r="AI60" s="56" t="e">
        <f t="shared" si="78"/>
        <v>#REF!</v>
      </c>
      <c r="AJ60" s="56" t="e">
        <f t="shared" si="69"/>
        <v>#REF!</v>
      </c>
      <c r="AK60" s="221" t="e">
        <f t="shared" si="70"/>
        <v>#REF!</v>
      </c>
      <c r="AL60" s="54"/>
      <c r="AM60" s="222"/>
      <c r="AN60" s="57"/>
      <c r="AO60" s="131">
        <f t="shared" ref="AO60:AP60" si="79">SUM(AO43:AO44)</f>
        <v>606920</v>
      </c>
      <c r="AP60" s="132">
        <f t="shared" si="79"/>
        <v>1530</v>
      </c>
      <c r="AQ60" s="126"/>
      <c r="AR60" s="126"/>
      <c r="AS60" s="118"/>
      <c r="AT60" s="118"/>
      <c r="AU60" s="118"/>
      <c r="AV60" s="118"/>
      <c r="AW60" s="118"/>
      <c r="AX60" s="118"/>
      <c r="AY60" s="118"/>
      <c r="AZ60" s="118"/>
      <c r="BA60" s="118"/>
      <c r="BB60" s="118"/>
      <c r="BC60" s="118"/>
      <c r="BD60" s="118"/>
      <c r="BE60" s="118"/>
      <c r="BF60" s="47"/>
      <c r="BG60" s="47"/>
      <c r="BH60" s="47"/>
      <c r="BI60" s="47"/>
      <c r="BJ60" s="47"/>
    </row>
    <row r="61" spans="1:63" ht="28.5" customHeight="1">
      <c r="A61" s="3"/>
      <c r="B61" s="120"/>
      <c r="C61" s="229"/>
      <c r="D61" s="230"/>
      <c r="E61" s="230"/>
      <c r="F61" s="230"/>
      <c r="G61" s="230"/>
      <c r="H61" s="231"/>
      <c r="I61" s="231"/>
      <c r="J61" s="231"/>
      <c r="K61" s="231"/>
      <c r="L61" s="231"/>
      <c r="M61" s="231"/>
      <c r="N61" s="231"/>
      <c r="O61" s="231"/>
      <c r="P61" s="232"/>
      <c r="Q61" s="231"/>
      <c r="R61" s="231"/>
      <c r="S61" s="231"/>
      <c r="T61" s="231"/>
      <c r="U61" s="231"/>
      <c r="V61" s="231"/>
      <c r="W61" s="231"/>
      <c r="X61" s="231"/>
      <c r="Y61" s="231"/>
      <c r="Z61" s="231"/>
      <c r="AA61" s="133"/>
      <c r="AB61" s="61"/>
      <c r="AC61" s="148"/>
      <c r="AD61" s="148"/>
      <c r="AE61" s="148"/>
      <c r="AF61" s="148"/>
      <c r="AG61" s="61"/>
      <c r="AH61" s="61"/>
      <c r="AI61" s="187"/>
      <c r="AJ61" s="118"/>
      <c r="AK61" s="126"/>
      <c r="AL61" s="126"/>
      <c r="AM61" s="126"/>
      <c r="AN61" s="118"/>
      <c r="AO61" s="118"/>
      <c r="AP61" s="118"/>
      <c r="AQ61" s="126"/>
      <c r="AR61" s="126"/>
      <c r="AS61" s="126"/>
      <c r="AT61" s="118"/>
      <c r="AU61" s="118"/>
      <c r="AV61" s="118"/>
      <c r="AW61" s="118"/>
      <c r="AX61" s="118"/>
      <c r="AY61" s="118"/>
      <c r="AZ61" s="118"/>
      <c r="BA61" s="118"/>
      <c r="BB61" s="118"/>
      <c r="BC61" s="118"/>
      <c r="BD61" s="118"/>
      <c r="BE61" s="118"/>
      <c r="BF61" s="118"/>
      <c r="BG61" s="47"/>
      <c r="BH61" s="47"/>
      <c r="BI61" s="47"/>
      <c r="BJ61" s="47"/>
      <c r="BK61" s="47"/>
    </row>
    <row r="62" spans="1:63" ht="28.5" customHeight="1">
      <c r="A62" s="12"/>
      <c r="B62" s="189"/>
      <c r="C62" s="134">
        <v>45932</v>
      </c>
      <c r="D62" s="122" t="s">
        <v>0</v>
      </c>
      <c r="E62" s="122" t="s">
        <v>1</v>
      </c>
      <c r="F62" s="122" t="s">
        <v>2</v>
      </c>
      <c r="G62" s="190" t="s">
        <v>3</v>
      </c>
      <c r="H62" s="191" t="s">
        <v>4</v>
      </c>
      <c r="I62" s="192" t="s">
        <v>5</v>
      </c>
      <c r="J62" s="192" t="s">
        <v>90</v>
      </c>
      <c r="K62" s="193" t="s">
        <v>6</v>
      </c>
      <c r="L62" s="194" t="s">
        <v>7</v>
      </c>
      <c r="M62" s="15" t="s">
        <v>91</v>
      </c>
      <c r="N62" s="123" t="s">
        <v>125</v>
      </c>
      <c r="O62" s="123" t="s">
        <v>8</v>
      </c>
      <c r="P62" s="123" t="s">
        <v>9</v>
      </c>
      <c r="Q62" s="195" t="s">
        <v>10</v>
      </c>
      <c r="R62" s="123" t="s">
        <v>92</v>
      </c>
      <c r="S62" s="196" t="s">
        <v>11</v>
      </c>
      <c r="T62" s="17" t="s">
        <v>12</v>
      </c>
      <c r="U62" s="17" t="s">
        <v>13</v>
      </c>
      <c r="V62" s="17" t="s">
        <v>14</v>
      </c>
      <c r="W62" s="17" t="s">
        <v>15</v>
      </c>
      <c r="X62" s="15" t="s">
        <v>16</v>
      </c>
      <c r="Y62" s="15" t="s">
        <v>17</v>
      </c>
      <c r="Z62" s="19" t="s">
        <v>18</v>
      </c>
      <c r="AA62" s="19" t="s">
        <v>19</v>
      </c>
      <c r="AB62" s="20" t="s">
        <v>20</v>
      </c>
      <c r="AC62" s="22" t="s">
        <v>93</v>
      </c>
      <c r="AD62" s="197" t="s">
        <v>21</v>
      </c>
      <c r="AE62" s="122" t="s">
        <v>22</v>
      </c>
      <c r="AF62" s="21" t="s">
        <v>23</v>
      </c>
      <c r="AG62" s="21" t="s">
        <v>21</v>
      </c>
      <c r="AH62" s="122" t="s">
        <v>24</v>
      </c>
      <c r="AI62" s="15" t="s">
        <v>25</v>
      </c>
      <c r="AJ62" s="15" t="s">
        <v>26</v>
      </c>
      <c r="AK62" s="122" t="s">
        <v>27</v>
      </c>
      <c r="AL62" s="198" t="s">
        <v>28</v>
      </c>
      <c r="AM62" s="199" t="s">
        <v>29</v>
      </c>
      <c r="AN62" s="124" t="s">
        <v>30</v>
      </c>
      <c r="AO62" s="124" t="s">
        <v>94</v>
      </c>
      <c r="AP62" s="125" t="s">
        <v>95</v>
      </c>
      <c r="AQ62" s="126"/>
      <c r="AR62" s="126"/>
      <c r="AS62" s="126"/>
      <c r="AT62" s="118"/>
      <c r="AU62" s="118"/>
      <c r="AV62" s="118"/>
      <c r="AW62" s="118"/>
      <c r="AX62" s="118"/>
      <c r="AY62" s="118"/>
      <c r="AZ62" s="118"/>
      <c r="BA62" s="118"/>
      <c r="BB62" s="118"/>
      <c r="BC62" s="118"/>
      <c r="BD62" s="118"/>
      <c r="BE62" s="118"/>
      <c r="BF62" s="118"/>
      <c r="BG62" s="47"/>
      <c r="BH62" s="47"/>
      <c r="BI62" s="47"/>
      <c r="BJ62" s="47"/>
      <c r="BK62" s="47"/>
    </row>
    <row r="63" spans="1:63" ht="28.5" customHeight="1">
      <c r="A63" s="12" t="s">
        <v>129</v>
      </c>
      <c r="B63" s="200"/>
      <c r="C63" s="42" t="s">
        <v>107</v>
      </c>
      <c r="D63" s="28">
        <f t="shared" ref="D63:D80" si="80">AK63/V63</f>
        <v>0.17033225394891841</v>
      </c>
      <c r="E63" s="201">
        <f t="shared" ref="E63:E80" si="81">AJ63/V63</f>
        <v>0.4227074951951274</v>
      </c>
      <c r="F63" s="30">
        <f t="shared" ref="F63:F80" si="82">(Z63+AB63)/V63</f>
        <v>0.25237524124620903</v>
      </c>
      <c r="G63" s="30">
        <f t="shared" ref="G63:G79" si="83">R63/AP63</f>
        <v>5.9876543209876544E-2</v>
      </c>
      <c r="H63" s="35">
        <v>7410</v>
      </c>
      <c r="I63" s="35">
        <f t="shared" ref="I63:I79" si="84">N63*7</f>
        <v>1400</v>
      </c>
      <c r="J63" s="35">
        <f t="shared" ref="J63:J79" si="85">N63*14</f>
        <v>2800</v>
      </c>
      <c r="K63" s="49">
        <v>76</v>
      </c>
      <c r="L63" s="49">
        <f>1906+1320</f>
        <v>3226</v>
      </c>
      <c r="M63" s="48"/>
      <c r="N63" s="44">
        <v>200</v>
      </c>
      <c r="O63" s="227">
        <v>130</v>
      </c>
      <c r="P63" s="31">
        <f t="shared" ref="P63:P79" si="86">O63-S63</f>
        <v>130</v>
      </c>
      <c r="Q63" s="227">
        <v>9</v>
      </c>
      <c r="R63" s="233">
        <v>97</v>
      </c>
      <c r="S63" s="36"/>
      <c r="T63" s="34">
        <f t="shared" ref="T63:T79" si="87">W63*O63</f>
        <v>3627000</v>
      </c>
      <c r="U63" s="31">
        <f t="shared" ref="U63:U79" si="88">W63*S63</f>
        <v>0</v>
      </c>
      <c r="V63" s="34">
        <f t="shared" ref="V63:V79" si="89">T63-U63</f>
        <v>3627000</v>
      </c>
      <c r="W63" s="34">
        <v>27900</v>
      </c>
      <c r="X63" s="34">
        <f>SUMIF(헤몬팜마진!$B$7:$B$32,$C63,헤몬팜마진!$R$7:$R$32)</f>
        <v>8850.86</v>
      </c>
      <c r="Y63" s="34">
        <f t="shared" ref="Y63:Y79" si="90">AI63*P63</f>
        <v>1201858.0080000001</v>
      </c>
      <c r="Z63" s="34">
        <f t="shared" ref="Z63:Z79" si="91">AA63*1.1</f>
        <v>915365.00000000012</v>
      </c>
      <c r="AA63" s="234">
        <v>832150</v>
      </c>
      <c r="AB63" s="36"/>
      <c r="AC63" s="204">
        <f t="shared" ref="AC63:AC64" si="92">(1072+1100)*Q63</f>
        <v>19548</v>
      </c>
      <c r="AD63" s="152">
        <v>0.1</v>
      </c>
      <c r="AE63" s="31">
        <f>3050*(P63)</f>
        <v>396500</v>
      </c>
      <c r="AF63" s="28">
        <f t="shared" ref="AF63:AF80" si="93">AD63+(AE63/V63)</f>
        <v>0.20931899641577062</v>
      </c>
      <c r="AG63" s="34">
        <f t="shared" ref="AG63:AG79" si="94">IFERROR(V63*AF63+3%,0)</f>
        <v>759200.03</v>
      </c>
      <c r="AH63" s="34">
        <f t="shared" ref="AH63:AH79" si="95">V63/1.1*10%-((AI63*P63)+AG63+(AN63*P63)+(AL63*P63))*10%</f>
        <v>132781.87692727268</v>
      </c>
      <c r="AI63" s="34">
        <f>SUMIF(헤몬팜마진!$B$7:$B$32,$C63,헤몬팜마진!$V$7:$V$32)</f>
        <v>9245.0616000000009</v>
      </c>
      <c r="AJ63" s="34">
        <f t="shared" ref="AJ63:AJ80" si="96">V63-(Y63+AG63+AH63+(AN63*P63))</f>
        <v>1533160.0850727272</v>
      </c>
      <c r="AK63" s="46">
        <f t="shared" ref="AK63:AK80" si="97">AJ63-Z63-AB63</f>
        <v>617795.08507272706</v>
      </c>
      <c r="AL63" s="40">
        <f>SUMIF(헤몬팜마진!$B$7:$B$32,$C63,헤몬팜마진!$T$7:$T$32)</f>
        <v>64.584000000000003</v>
      </c>
      <c r="AM63" s="41">
        <f>SUMIF(헤몬팜마진!$B$7:$B$32,$C63,헤몬팜마진!$U$7:$U$32)</f>
        <v>329.61759999999998</v>
      </c>
      <c r="AN63" s="36"/>
      <c r="AO63" s="235">
        <v>563915</v>
      </c>
      <c r="AP63" s="235">
        <v>1620</v>
      </c>
      <c r="AQ63" s="126"/>
      <c r="AR63" s="126"/>
      <c r="AS63" s="126"/>
      <c r="AT63" s="118"/>
      <c r="AU63" s="118"/>
      <c r="AV63" s="118"/>
      <c r="AW63" s="118"/>
      <c r="AX63" s="118"/>
      <c r="AY63" s="118"/>
      <c r="AZ63" s="118"/>
      <c r="BA63" s="118"/>
      <c r="BB63" s="118"/>
      <c r="BC63" s="118"/>
      <c r="BD63" s="118"/>
      <c r="BE63" s="118"/>
      <c r="BF63" s="118"/>
      <c r="BG63" s="47"/>
      <c r="BH63" s="47"/>
      <c r="BI63" s="47"/>
      <c r="BJ63" s="47"/>
      <c r="BK63" s="47"/>
    </row>
    <row r="64" spans="1:63" ht="28.5" customHeight="1">
      <c r="A64" s="228" t="s">
        <v>130</v>
      </c>
      <c r="B64" s="200"/>
      <c r="C64" s="42" t="s">
        <v>108</v>
      </c>
      <c r="D64" s="28">
        <f t="shared" si="80"/>
        <v>0.11440094433319983</v>
      </c>
      <c r="E64" s="201">
        <f t="shared" si="81"/>
        <v>0.40985028354024833</v>
      </c>
      <c r="F64" s="30">
        <f t="shared" si="82"/>
        <v>0.29544933920704847</v>
      </c>
      <c r="G64" s="30">
        <f t="shared" si="83"/>
        <v>0</v>
      </c>
      <c r="H64" s="35">
        <v>1460</v>
      </c>
      <c r="I64" s="35">
        <f t="shared" si="84"/>
        <v>140</v>
      </c>
      <c r="J64" s="35">
        <f t="shared" si="85"/>
        <v>280</v>
      </c>
      <c r="K64" s="39">
        <v>325</v>
      </c>
      <c r="L64" s="39">
        <v>0</v>
      </c>
      <c r="M64" s="210"/>
      <c r="N64" s="44">
        <v>20</v>
      </c>
      <c r="O64" s="202">
        <v>1</v>
      </c>
      <c r="P64" s="31">
        <f t="shared" si="86"/>
        <v>1</v>
      </c>
      <c r="Q64" s="36"/>
      <c r="R64" s="167"/>
      <c r="S64" s="36"/>
      <c r="T64" s="34">
        <f t="shared" si="87"/>
        <v>22700</v>
      </c>
      <c r="U64" s="31">
        <f t="shared" si="88"/>
        <v>0</v>
      </c>
      <c r="V64" s="34">
        <f t="shared" si="89"/>
        <v>22700</v>
      </c>
      <c r="W64" s="43">
        <v>22700</v>
      </c>
      <c r="X64" s="34">
        <f>SUMIF(헤몬팜마진!$B$7:$B$32,$C64,헤몬팜마진!$R$7:$R$32)</f>
        <v>7080.6879999999992</v>
      </c>
      <c r="Y64" s="34">
        <f t="shared" si="90"/>
        <v>7377.3279999999995</v>
      </c>
      <c r="Z64" s="34">
        <f t="shared" si="91"/>
        <v>6706.7000000000007</v>
      </c>
      <c r="AA64" s="234">
        <v>6097</v>
      </c>
      <c r="AB64" s="36"/>
      <c r="AC64" s="204">
        <f t="shared" si="92"/>
        <v>0</v>
      </c>
      <c r="AD64" s="152">
        <v>0.1</v>
      </c>
      <c r="AE64" s="31">
        <f>2950*(P64)</f>
        <v>2950</v>
      </c>
      <c r="AF64" s="28">
        <f t="shared" si="93"/>
        <v>0.22995594713656389</v>
      </c>
      <c r="AG64" s="34">
        <f t="shared" si="94"/>
        <v>5220.03</v>
      </c>
      <c r="AH64" s="34">
        <f t="shared" si="95"/>
        <v>799.04056363636346</v>
      </c>
      <c r="AI64" s="34">
        <f>SUMIF(헤몬팜마진!$B$7:$B$32,$C64,헤몬팜마진!$V$7:$V$32)</f>
        <v>7377.3279999999995</v>
      </c>
      <c r="AJ64" s="34">
        <f t="shared" si="96"/>
        <v>9303.6014363636368</v>
      </c>
      <c r="AK64" s="46">
        <f t="shared" si="97"/>
        <v>2596.9014363636361</v>
      </c>
      <c r="AL64" s="40">
        <f>SUMIF(헤몬팜마진!$B$7:$B$32,$C64,헤몬팜마진!$T$7:$T$32)</f>
        <v>48.6</v>
      </c>
      <c r="AM64" s="41">
        <f>SUMIF(헤몬팜마진!$B$7:$B$32,$C64,헤몬팜마진!$U$7:$U$32)</f>
        <v>248.04000000000002</v>
      </c>
      <c r="AN64" s="36"/>
      <c r="AO64" s="202">
        <v>25041</v>
      </c>
      <c r="AP64" s="205">
        <v>9</v>
      </c>
      <c r="AQ64" s="126"/>
      <c r="AR64" s="126"/>
      <c r="AS64" s="126"/>
      <c r="AT64" s="118"/>
      <c r="AU64" s="118"/>
      <c r="AV64" s="118"/>
      <c r="AW64" s="118"/>
      <c r="AX64" s="118"/>
      <c r="AY64" s="118"/>
      <c r="AZ64" s="118"/>
      <c r="BA64" s="118"/>
      <c r="BB64" s="118"/>
      <c r="BC64" s="118"/>
      <c r="BD64" s="118"/>
      <c r="BE64" s="118"/>
      <c r="BF64" s="118"/>
      <c r="BG64" s="47"/>
      <c r="BH64" s="47"/>
      <c r="BI64" s="47"/>
      <c r="BJ64" s="47"/>
      <c r="BK64" s="47"/>
    </row>
    <row r="65" spans="1:63" ht="28.5" customHeight="1">
      <c r="A65" s="327" t="s">
        <v>131</v>
      </c>
      <c r="B65" s="323"/>
      <c r="C65" s="42" t="s">
        <v>109</v>
      </c>
      <c r="D65" s="28" t="e">
        <f t="shared" si="80"/>
        <v>#REF!</v>
      </c>
      <c r="E65" s="201" t="e">
        <f t="shared" si="81"/>
        <v>#REF!</v>
      </c>
      <c r="F65" s="30">
        <f t="shared" si="82"/>
        <v>0.11744541484716157</v>
      </c>
      <c r="G65" s="30">
        <f t="shared" si="83"/>
        <v>0</v>
      </c>
      <c r="H65" s="35">
        <v>0</v>
      </c>
      <c r="I65" s="35">
        <f t="shared" si="84"/>
        <v>105</v>
      </c>
      <c r="J65" s="35">
        <f t="shared" si="85"/>
        <v>210</v>
      </c>
      <c r="K65" s="325">
        <v>430</v>
      </c>
      <c r="L65" s="49">
        <f>40+3+3</f>
        <v>46</v>
      </c>
      <c r="M65" s="48"/>
      <c r="N65" s="44">
        <v>15</v>
      </c>
      <c r="O65" s="202">
        <v>1</v>
      </c>
      <c r="P65" s="31">
        <f t="shared" si="86"/>
        <v>1</v>
      </c>
      <c r="Q65" s="36"/>
      <c r="R65" s="203"/>
      <c r="S65" s="36"/>
      <c r="T65" s="34">
        <f t="shared" si="87"/>
        <v>45800</v>
      </c>
      <c r="U65" s="31">
        <f t="shared" si="88"/>
        <v>0</v>
      </c>
      <c r="V65" s="34">
        <f t="shared" si="89"/>
        <v>45800</v>
      </c>
      <c r="W65" s="43">
        <v>45800</v>
      </c>
      <c r="X65" s="34">
        <f>SUMIF(헤몬팜마진!$B$7:$B$32,$C65,헤몬팜마진!$R$7:$R$32)</f>
        <v>9990.4082249999992</v>
      </c>
      <c r="Y65" s="34" t="e">
        <f t="shared" si="90"/>
        <v>#REF!</v>
      </c>
      <c r="Z65" s="34">
        <f t="shared" si="91"/>
        <v>5379</v>
      </c>
      <c r="AA65" s="234">
        <v>4890</v>
      </c>
      <c r="AB65" s="36"/>
      <c r="AC65" s="204">
        <f t="shared" ref="AC65:AC79" si="98">(1210+1100)*Q65</f>
        <v>0</v>
      </c>
      <c r="AD65" s="152">
        <v>0.11</v>
      </c>
      <c r="AE65" s="31">
        <f t="shared" ref="AE65:AE66" si="99">4150*(P65)</f>
        <v>4150</v>
      </c>
      <c r="AF65" s="28">
        <f t="shared" si="93"/>
        <v>0.2006113537117904</v>
      </c>
      <c r="AG65" s="34">
        <f t="shared" si="94"/>
        <v>9188.0300000000007</v>
      </c>
      <c r="AH65" s="34" t="e">
        <f t="shared" si="95"/>
        <v>#REF!</v>
      </c>
      <c r="AI65" s="34" t="e">
        <f>SUMIF(헤몬팜마진!$B$7:$B$32,$C65,헤몬팜마진!$V$7:$V$32)</f>
        <v>#REF!</v>
      </c>
      <c r="AJ65" s="34" t="e">
        <f t="shared" si="96"/>
        <v>#REF!</v>
      </c>
      <c r="AK65" s="46" t="e">
        <f t="shared" si="97"/>
        <v>#REF!</v>
      </c>
      <c r="AL65" s="40">
        <f>SUMIF(헤몬팜마진!$B$7:$B$32,$C65,헤몬팜마진!$T$7:$T$32)</f>
        <v>162</v>
      </c>
      <c r="AM65" s="41">
        <f>SUMIF(헤몬팜마진!$B$7:$B$32,$C65,헤몬팜마진!$U$7:$U$32)</f>
        <v>826.80000000000007</v>
      </c>
      <c r="AN65" s="36"/>
      <c r="AO65" s="202">
        <v>14186</v>
      </c>
      <c r="AP65" s="205">
        <v>17</v>
      </c>
      <c r="AQ65" s="126"/>
      <c r="AR65" s="126"/>
      <c r="AS65" s="126"/>
      <c r="AT65" s="118"/>
      <c r="AU65" s="118"/>
      <c r="AV65" s="118"/>
      <c r="AW65" s="118"/>
      <c r="AX65" s="118"/>
      <c r="AY65" s="118"/>
      <c r="AZ65" s="118"/>
      <c r="BA65" s="118"/>
      <c r="BB65" s="118"/>
      <c r="BC65" s="118"/>
      <c r="BD65" s="118"/>
      <c r="BE65" s="118"/>
      <c r="BF65" s="118"/>
      <c r="BG65" s="47"/>
      <c r="BH65" s="47"/>
      <c r="BI65" s="47"/>
      <c r="BJ65" s="47"/>
      <c r="BK65" s="47"/>
    </row>
    <row r="66" spans="1:63" ht="28.5" customHeight="1">
      <c r="A66" s="318"/>
      <c r="B66" s="324"/>
      <c r="C66" s="42" t="s">
        <v>110</v>
      </c>
      <c r="D66" s="28" t="e">
        <f t="shared" si="80"/>
        <v>#REF!</v>
      </c>
      <c r="E66" s="201" t="e">
        <f t="shared" si="81"/>
        <v>#REF!</v>
      </c>
      <c r="F66" s="30">
        <f t="shared" si="82"/>
        <v>0.23837799145299146</v>
      </c>
      <c r="G66" s="30">
        <f t="shared" si="83"/>
        <v>4.5662100456621002E-2</v>
      </c>
      <c r="H66" s="35">
        <v>0</v>
      </c>
      <c r="I66" s="35">
        <f t="shared" si="84"/>
        <v>105</v>
      </c>
      <c r="J66" s="35">
        <f t="shared" si="85"/>
        <v>210</v>
      </c>
      <c r="K66" s="310"/>
      <c r="L66" s="49">
        <f>13+2</f>
        <v>15</v>
      </c>
      <c r="M66" s="48"/>
      <c r="N66" s="44">
        <v>15</v>
      </c>
      <c r="O66" s="202">
        <v>10</v>
      </c>
      <c r="P66" s="31">
        <f t="shared" si="86"/>
        <v>10</v>
      </c>
      <c r="Q66" s="202">
        <v>2</v>
      </c>
      <c r="R66" s="233">
        <v>10</v>
      </c>
      <c r="S66" s="36"/>
      <c r="T66" s="34">
        <f t="shared" si="87"/>
        <v>468000</v>
      </c>
      <c r="U66" s="31">
        <f t="shared" si="88"/>
        <v>0</v>
      </c>
      <c r="V66" s="34">
        <f t="shared" si="89"/>
        <v>468000</v>
      </c>
      <c r="W66" s="43">
        <v>46800</v>
      </c>
      <c r="X66" s="34">
        <f>SUMIF(헤몬팜마진!$B$7:$B$32,$C66,헤몬팜마진!$R$7:$R$32)</f>
        <v>9990.4082249999992</v>
      </c>
      <c r="Y66" s="34" t="e">
        <f t="shared" si="90"/>
        <v>#REF!</v>
      </c>
      <c r="Z66" s="34">
        <f t="shared" si="91"/>
        <v>111560.90000000001</v>
      </c>
      <c r="AA66" s="234">
        <v>101419</v>
      </c>
      <c r="AB66" s="36"/>
      <c r="AC66" s="204">
        <f t="shared" si="98"/>
        <v>4620</v>
      </c>
      <c r="AD66" s="152">
        <v>0.11</v>
      </c>
      <c r="AE66" s="31">
        <f t="shared" si="99"/>
        <v>41500</v>
      </c>
      <c r="AF66" s="28">
        <f t="shared" si="93"/>
        <v>0.19867521367521368</v>
      </c>
      <c r="AG66" s="34">
        <f t="shared" si="94"/>
        <v>92980.03</v>
      </c>
      <c r="AH66" s="34" t="e">
        <f t="shared" si="95"/>
        <v>#REF!</v>
      </c>
      <c r="AI66" s="34" t="e">
        <f>SUMIF(헤몬팜마진!$B$7:$B$32,$C66,헤몬팜마진!$V$7:$V$32)</f>
        <v>#REF!</v>
      </c>
      <c r="AJ66" s="34" t="e">
        <f t="shared" si="96"/>
        <v>#REF!</v>
      </c>
      <c r="AK66" s="206" t="e">
        <f t="shared" si="97"/>
        <v>#REF!</v>
      </c>
      <c r="AL66" s="40">
        <f>SUMIF(헤몬팜마진!$B$7:$B$32,$C66,헤몬팜마진!$T$7:$T$32)</f>
        <v>162</v>
      </c>
      <c r="AM66" s="41">
        <f>SUMIF(헤몬팜마진!$B$7:$B$32,$C66,헤몬팜마진!$U$7:$U$32)</f>
        <v>826.80000000000007</v>
      </c>
      <c r="AN66" s="36"/>
      <c r="AO66" s="235">
        <v>131553</v>
      </c>
      <c r="AP66" s="235">
        <v>219</v>
      </c>
      <c r="AQ66" s="126"/>
      <c r="AR66" s="126"/>
      <c r="AS66" s="126"/>
      <c r="AT66" s="118"/>
      <c r="AU66" s="118"/>
      <c r="AV66" s="118"/>
      <c r="AW66" s="118"/>
      <c r="AX66" s="118"/>
      <c r="AY66" s="118"/>
      <c r="AZ66" s="118"/>
      <c r="BA66" s="118"/>
      <c r="BB66" s="118"/>
      <c r="BC66" s="118"/>
      <c r="BD66" s="118"/>
      <c r="BE66" s="118"/>
      <c r="BF66" s="118"/>
      <c r="BG66" s="47"/>
      <c r="BH66" s="47"/>
      <c r="BI66" s="47"/>
      <c r="BJ66" s="47"/>
      <c r="BK66" s="47"/>
    </row>
    <row r="67" spans="1:63" ht="28.5" customHeight="1">
      <c r="A67" s="12" t="s">
        <v>132</v>
      </c>
      <c r="B67" s="323"/>
      <c r="C67" s="42" t="s">
        <v>32</v>
      </c>
      <c r="D67" s="28" t="e">
        <f t="shared" si="80"/>
        <v>#REF!</v>
      </c>
      <c r="E67" s="201" t="e">
        <f t="shared" si="81"/>
        <v>#REF!</v>
      </c>
      <c r="F67" s="30">
        <f t="shared" si="82"/>
        <v>8.8257525083612037E-2</v>
      </c>
      <c r="G67" s="30">
        <f t="shared" si="83"/>
        <v>0.1</v>
      </c>
      <c r="H67" s="37">
        <v>3504</v>
      </c>
      <c r="I67" s="35">
        <f t="shared" si="84"/>
        <v>210</v>
      </c>
      <c r="J67" s="35">
        <f t="shared" si="85"/>
        <v>420</v>
      </c>
      <c r="K67" s="325">
        <v>626</v>
      </c>
      <c r="L67" s="39">
        <f>30+13+6</f>
        <v>49</v>
      </c>
      <c r="M67" s="210"/>
      <c r="N67" s="208">
        <v>30</v>
      </c>
      <c r="O67" s="202">
        <v>2</v>
      </c>
      <c r="P67" s="31">
        <f t="shared" si="86"/>
        <v>2</v>
      </c>
      <c r="Q67" s="36">
        <v>1</v>
      </c>
      <c r="R67" s="233">
        <v>1</v>
      </c>
      <c r="S67" s="36"/>
      <c r="T67" s="34">
        <f t="shared" si="87"/>
        <v>119600</v>
      </c>
      <c r="U67" s="31">
        <f t="shared" si="88"/>
        <v>0</v>
      </c>
      <c r="V67" s="34">
        <f t="shared" si="89"/>
        <v>119600</v>
      </c>
      <c r="W67" s="43">
        <v>59800</v>
      </c>
      <c r="X67" s="34">
        <f>SUMIF(헤몬팜마진!$B$7:$B$32,$C67,헤몬팜마진!$R$7:$R$32)</f>
        <v>13276.289999999999</v>
      </c>
      <c r="Y67" s="34" t="e">
        <f t="shared" si="90"/>
        <v>#REF!</v>
      </c>
      <c r="Z67" s="34">
        <f t="shared" si="91"/>
        <v>10555.6</v>
      </c>
      <c r="AA67" s="234">
        <v>9596</v>
      </c>
      <c r="AB67" s="209"/>
      <c r="AC67" s="204">
        <f t="shared" si="98"/>
        <v>2310</v>
      </c>
      <c r="AD67" s="152">
        <v>0.108</v>
      </c>
      <c r="AE67" s="31">
        <f t="shared" ref="AE67:AE68" si="100">4825*(P67)</f>
        <v>9650</v>
      </c>
      <c r="AF67" s="28">
        <f t="shared" si="93"/>
        <v>0.188685618729097</v>
      </c>
      <c r="AG67" s="34">
        <f t="shared" si="94"/>
        <v>22566.83</v>
      </c>
      <c r="AH67" s="34" t="e">
        <f t="shared" si="95"/>
        <v>#REF!</v>
      </c>
      <c r="AI67" s="34" t="e">
        <f>SUMIF(헤몬팜마진!$B$7:$B$32,$C67,헤몬팜마진!$V$7:$V$32)</f>
        <v>#REF!</v>
      </c>
      <c r="AJ67" s="34" t="e">
        <f t="shared" si="96"/>
        <v>#REF!</v>
      </c>
      <c r="AK67" s="46" t="e">
        <f t="shared" si="97"/>
        <v>#REF!</v>
      </c>
      <c r="AL67" s="40">
        <f>SUMIF(헤몬팜마진!$B$7:$B$32,$C67,헤몬팜마진!$T$7:$T$32)</f>
        <v>371.52</v>
      </c>
      <c r="AM67" s="41">
        <f>SUMIF(헤몬팜마진!$B$7:$B$32,$C67,헤몬팜마진!$U$7:$U$32)</f>
        <v>1896.1279999999999</v>
      </c>
      <c r="AN67" s="36"/>
      <c r="AO67" s="202">
        <v>8021</v>
      </c>
      <c r="AP67" s="205">
        <v>10</v>
      </c>
      <c r="AQ67" s="126"/>
      <c r="AR67" s="126"/>
      <c r="AS67" s="126"/>
      <c r="AT67" s="118"/>
      <c r="AU67" s="118"/>
      <c r="AV67" s="118"/>
      <c r="AW67" s="118"/>
      <c r="AX67" s="118"/>
      <c r="AY67" s="118"/>
      <c r="AZ67" s="118"/>
      <c r="BA67" s="118"/>
      <c r="BB67" s="118"/>
      <c r="BC67" s="118"/>
      <c r="BD67" s="118"/>
      <c r="BE67" s="118"/>
      <c r="BF67" s="118"/>
      <c r="BG67" s="47"/>
      <c r="BH67" s="47"/>
      <c r="BI67" s="47"/>
      <c r="BJ67" s="47"/>
      <c r="BK67" s="47"/>
    </row>
    <row r="68" spans="1:63" ht="28.5" customHeight="1">
      <c r="A68" s="12" t="s">
        <v>132</v>
      </c>
      <c r="B68" s="324"/>
      <c r="C68" s="42" t="s">
        <v>33</v>
      </c>
      <c r="D68" s="28" t="e">
        <f t="shared" si="80"/>
        <v>#REF!</v>
      </c>
      <c r="E68" s="201" t="e">
        <f t="shared" si="81"/>
        <v>#REF!</v>
      </c>
      <c r="F68" s="30">
        <f t="shared" si="82"/>
        <v>0.56294998566924626</v>
      </c>
      <c r="G68" s="30">
        <f t="shared" si="83"/>
        <v>2.3255813953488372E-2</v>
      </c>
      <c r="H68" s="35">
        <v>0</v>
      </c>
      <c r="I68" s="35">
        <f t="shared" si="84"/>
        <v>210</v>
      </c>
      <c r="J68" s="35">
        <f t="shared" si="85"/>
        <v>420</v>
      </c>
      <c r="K68" s="310"/>
      <c r="L68" s="39">
        <f>4+11+18+38+129</f>
        <v>200</v>
      </c>
      <c r="M68" s="210"/>
      <c r="N68" s="44">
        <v>30</v>
      </c>
      <c r="O68" s="202">
        <v>2</v>
      </c>
      <c r="P68" s="31">
        <f t="shared" si="86"/>
        <v>2</v>
      </c>
      <c r="Q68" s="36">
        <v>1</v>
      </c>
      <c r="R68" s="233">
        <v>3</v>
      </c>
      <c r="S68" s="36"/>
      <c r="T68" s="34">
        <f t="shared" si="87"/>
        <v>139560</v>
      </c>
      <c r="U68" s="31">
        <f t="shared" si="88"/>
        <v>0</v>
      </c>
      <c r="V68" s="34">
        <f t="shared" si="89"/>
        <v>139560</v>
      </c>
      <c r="W68" s="43">
        <v>69780</v>
      </c>
      <c r="X68" s="34">
        <f>SUMIF(헤몬팜마진!$B$7:$B$32,$C68,헤몬팜마진!$R$7:$R$32)</f>
        <v>13276.289999999999</v>
      </c>
      <c r="Y68" s="34" t="e">
        <f t="shared" si="90"/>
        <v>#REF!</v>
      </c>
      <c r="Z68" s="34">
        <f t="shared" si="91"/>
        <v>78565.3</v>
      </c>
      <c r="AA68" s="234">
        <v>71423</v>
      </c>
      <c r="AB68" s="36"/>
      <c r="AC68" s="204">
        <f t="shared" si="98"/>
        <v>2310</v>
      </c>
      <c r="AD68" s="152">
        <v>0.108</v>
      </c>
      <c r="AE68" s="31">
        <f t="shared" si="100"/>
        <v>9650</v>
      </c>
      <c r="AF68" s="28">
        <f t="shared" si="93"/>
        <v>0.17714588707366008</v>
      </c>
      <c r="AG68" s="34">
        <f t="shared" si="94"/>
        <v>24722.51</v>
      </c>
      <c r="AH68" s="34" t="e">
        <f t="shared" si="95"/>
        <v>#REF!</v>
      </c>
      <c r="AI68" s="34" t="e">
        <f>SUMIF(헤몬팜마진!$B$7:$B$32,$C68,헤몬팜마진!$V$7:$V$32)</f>
        <v>#REF!</v>
      </c>
      <c r="AJ68" s="34" t="e">
        <f t="shared" si="96"/>
        <v>#REF!</v>
      </c>
      <c r="AK68" s="46" t="e">
        <f t="shared" si="97"/>
        <v>#REF!</v>
      </c>
      <c r="AL68" s="40">
        <f>SUMIF(헤몬팜마진!$B$7:$B$32,$C68,헤몬팜마진!$T$7:$T$32)</f>
        <v>371.52</v>
      </c>
      <c r="AM68" s="41">
        <f>SUMIF(헤몬팜마진!$B$7:$B$32,$C68,헤몬팜마진!$U$7:$U$32)</f>
        <v>1896.1279999999999</v>
      </c>
      <c r="AN68" s="36"/>
      <c r="AO68" s="235">
        <v>61506</v>
      </c>
      <c r="AP68" s="235">
        <v>129</v>
      </c>
      <c r="AQ68" s="126"/>
      <c r="AR68" s="126"/>
      <c r="AS68" s="126"/>
      <c r="AT68" s="118"/>
      <c r="AU68" s="118"/>
      <c r="AV68" s="118"/>
      <c r="AW68" s="118"/>
      <c r="AX68" s="118"/>
      <c r="AY68" s="118"/>
      <c r="AZ68" s="118"/>
      <c r="BA68" s="118"/>
      <c r="BB68" s="118"/>
      <c r="BC68" s="118"/>
      <c r="BD68" s="118"/>
      <c r="BE68" s="118"/>
      <c r="BF68" s="118"/>
      <c r="BG68" s="47"/>
      <c r="BH68" s="47"/>
      <c r="BI68" s="47"/>
      <c r="BJ68" s="47"/>
      <c r="BK68" s="47"/>
    </row>
    <row r="69" spans="1:63" ht="28.5" customHeight="1">
      <c r="A69" s="228" t="s">
        <v>133</v>
      </c>
      <c r="B69" s="200"/>
      <c r="C69" s="42" t="s">
        <v>111</v>
      </c>
      <c r="D69" s="28">
        <f t="shared" si="80"/>
        <v>-0.88343166845251531</v>
      </c>
      <c r="E69" s="201">
        <f t="shared" si="81"/>
        <v>0.3908084059891721</v>
      </c>
      <c r="F69" s="30">
        <f t="shared" si="82"/>
        <v>1.2742400744416873</v>
      </c>
      <c r="G69" s="30">
        <f t="shared" si="83"/>
        <v>2.7777777777777776E-2</v>
      </c>
      <c r="H69" s="35">
        <v>500</v>
      </c>
      <c r="I69" s="35">
        <f t="shared" si="84"/>
        <v>105</v>
      </c>
      <c r="J69" s="35">
        <f t="shared" si="85"/>
        <v>210</v>
      </c>
      <c r="K69" s="39">
        <v>577</v>
      </c>
      <c r="L69" s="39">
        <v>211</v>
      </c>
      <c r="M69" s="210"/>
      <c r="N69" s="44">
        <v>15</v>
      </c>
      <c r="O69" s="202">
        <v>10</v>
      </c>
      <c r="P69" s="31">
        <f t="shared" si="86"/>
        <v>5</v>
      </c>
      <c r="Q69" s="202"/>
      <c r="R69" s="233">
        <v>4</v>
      </c>
      <c r="S69" s="202">
        <v>5</v>
      </c>
      <c r="T69" s="34">
        <f t="shared" si="87"/>
        <v>161200</v>
      </c>
      <c r="U69" s="31">
        <f t="shared" si="88"/>
        <v>80600</v>
      </c>
      <c r="V69" s="34">
        <f t="shared" si="89"/>
        <v>80600</v>
      </c>
      <c r="W69" s="43">
        <v>16120</v>
      </c>
      <c r="X69" s="34">
        <f>SUMIF(헤몬팜마진!$B$7:$B$32,$C69,헤몬팜마진!$R$7:$R$32)</f>
        <v>5089.2444999999998</v>
      </c>
      <c r="Y69" s="34">
        <f t="shared" si="90"/>
        <v>25631.622499999998</v>
      </c>
      <c r="Z69" s="34">
        <f t="shared" si="91"/>
        <v>53366.500000000007</v>
      </c>
      <c r="AA69" s="234">
        <v>48515</v>
      </c>
      <c r="AB69" s="211">
        <f>((17890*0.015)+(17890*0.19)+2100+2200+1900)*5</f>
        <v>49337.25</v>
      </c>
      <c r="AC69" s="204">
        <f t="shared" si="98"/>
        <v>0</v>
      </c>
      <c r="AD69" s="152">
        <v>7.8E-2</v>
      </c>
      <c r="AE69" s="31">
        <f>2900*(P69)</f>
        <v>14500</v>
      </c>
      <c r="AF69" s="28">
        <f t="shared" si="93"/>
        <v>0.25790074441687344</v>
      </c>
      <c r="AG69" s="34">
        <f t="shared" si="94"/>
        <v>20786.829999999998</v>
      </c>
      <c r="AH69" s="34">
        <f t="shared" si="95"/>
        <v>2682.3899772727273</v>
      </c>
      <c r="AI69" s="34">
        <f>SUMIF(헤몬팜마진!$B$7:$B$32,$C69,헤몬팜마진!$V$7:$V$32)</f>
        <v>5126.3244999999997</v>
      </c>
      <c r="AJ69" s="34">
        <f t="shared" si="96"/>
        <v>31499.15752272727</v>
      </c>
      <c r="AK69" s="206">
        <f t="shared" si="97"/>
        <v>-71204.59247727273</v>
      </c>
      <c r="AL69" s="40">
        <f>SUMIF(헤몬팜마진!$B$7:$B$32,$C69,헤몬팜마진!$T$7:$T$32)</f>
        <v>6.0750000000000002</v>
      </c>
      <c r="AM69" s="41">
        <f>SUMIF(헤몬팜마진!$B$7:$B$32,$C69,헤몬팜마진!$U$7:$U$32)</f>
        <v>31.005000000000003</v>
      </c>
      <c r="AN69" s="36"/>
      <c r="AO69" s="235">
        <v>48846</v>
      </c>
      <c r="AP69" s="235">
        <v>144</v>
      </c>
      <c r="AQ69" s="126"/>
      <c r="AR69" s="126"/>
      <c r="AS69" s="126"/>
      <c r="AT69" s="118"/>
      <c r="AU69" s="118"/>
      <c r="AV69" s="118"/>
      <c r="AW69" s="118"/>
      <c r="AX69" s="118"/>
      <c r="AY69" s="118"/>
      <c r="AZ69" s="118"/>
      <c r="BA69" s="118"/>
      <c r="BB69" s="118"/>
      <c r="BC69" s="118"/>
      <c r="BD69" s="118"/>
      <c r="BE69" s="118"/>
      <c r="BF69" s="118"/>
      <c r="BG69" s="47"/>
      <c r="BH69" s="47"/>
      <c r="BI69" s="47"/>
      <c r="BJ69" s="47"/>
      <c r="BK69" s="47"/>
    </row>
    <row r="70" spans="1:63" ht="28.5" customHeight="1">
      <c r="A70" s="327" t="s">
        <v>134</v>
      </c>
      <c r="B70" s="323"/>
      <c r="C70" s="42" t="s">
        <v>112</v>
      </c>
      <c r="D70" s="29" t="e">
        <f t="shared" si="80"/>
        <v>#REF!</v>
      </c>
      <c r="E70" s="201" t="e">
        <f t="shared" si="81"/>
        <v>#REF!</v>
      </c>
      <c r="F70" s="30">
        <f t="shared" si="82"/>
        <v>0.14402261306532665</v>
      </c>
      <c r="G70" s="30">
        <f t="shared" si="83"/>
        <v>2.247191011235955E-2</v>
      </c>
      <c r="H70" s="312">
        <v>0</v>
      </c>
      <c r="I70" s="35">
        <f t="shared" si="84"/>
        <v>140</v>
      </c>
      <c r="J70" s="35">
        <f t="shared" si="85"/>
        <v>280</v>
      </c>
      <c r="K70" s="325">
        <v>343</v>
      </c>
      <c r="L70" s="39">
        <f>97+42+48+31+19+10</f>
        <v>247</v>
      </c>
      <c r="M70" s="210"/>
      <c r="N70" s="44">
        <v>20</v>
      </c>
      <c r="O70" s="202">
        <v>5</v>
      </c>
      <c r="P70" s="31">
        <f t="shared" si="86"/>
        <v>5</v>
      </c>
      <c r="Q70" s="202"/>
      <c r="R70" s="233">
        <v>2</v>
      </c>
      <c r="S70" s="36"/>
      <c r="T70" s="34">
        <f t="shared" si="87"/>
        <v>199000</v>
      </c>
      <c r="U70" s="31">
        <f t="shared" si="88"/>
        <v>0</v>
      </c>
      <c r="V70" s="34">
        <f t="shared" si="89"/>
        <v>199000</v>
      </c>
      <c r="W70" s="43">
        <v>39800</v>
      </c>
      <c r="X70" s="34">
        <f>SUMIF(헤몬팜마진!$B$7:$B$32,$C70,헤몬팜마진!$R$7:$R$32)</f>
        <v>7855.1382499999991</v>
      </c>
      <c r="Y70" s="34" t="e">
        <f t="shared" si="90"/>
        <v>#REF!</v>
      </c>
      <c r="Z70" s="34">
        <f t="shared" si="91"/>
        <v>28660.500000000004</v>
      </c>
      <c r="AA70" s="234">
        <v>26055</v>
      </c>
      <c r="AB70" s="209"/>
      <c r="AC70" s="204">
        <f t="shared" si="98"/>
        <v>0</v>
      </c>
      <c r="AD70" s="152">
        <v>0.08</v>
      </c>
      <c r="AE70" s="31">
        <f>4150*(P70)</f>
        <v>20750</v>
      </c>
      <c r="AF70" s="28">
        <f t="shared" si="93"/>
        <v>0.18427135678391959</v>
      </c>
      <c r="AG70" s="34">
        <f t="shared" si="94"/>
        <v>36670.03</v>
      </c>
      <c r="AH70" s="34" t="e">
        <f t="shared" si="95"/>
        <v>#REF!</v>
      </c>
      <c r="AI70" s="34" t="e">
        <f>SUMIF(헤몬팜마진!$B$7:$B$32,$C70,헤몬팜마진!$V$7:$V$32)</f>
        <v>#REF!</v>
      </c>
      <c r="AJ70" s="34" t="e">
        <f t="shared" si="96"/>
        <v>#REF!</v>
      </c>
      <c r="AK70" s="46" t="e">
        <f t="shared" si="97"/>
        <v>#REF!</v>
      </c>
      <c r="AL70" s="40">
        <f>SUMIF(헤몬팜마진!$B$7:$B$32,$C70,헤몬팜마진!$T$7:$T$32)</f>
        <v>176.41799999999998</v>
      </c>
      <c r="AM70" s="41">
        <f>SUMIF(헤몬팜마진!$B$7:$B$32,$C70,헤몬팜마진!$U$7:$U$32)</f>
        <v>900.38519999999994</v>
      </c>
      <c r="AN70" s="36"/>
      <c r="AO70" s="202">
        <v>39530</v>
      </c>
      <c r="AP70" s="205">
        <v>89</v>
      </c>
      <c r="AQ70" s="126"/>
      <c r="AR70" s="126"/>
      <c r="AS70" s="126"/>
      <c r="AT70" s="118"/>
      <c r="AU70" s="118"/>
      <c r="AV70" s="118"/>
      <c r="AW70" s="118"/>
      <c r="AX70" s="118"/>
      <c r="AY70" s="118"/>
      <c r="AZ70" s="118"/>
      <c r="BA70" s="118"/>
      <c r="BB70" s="118"/>
      <c r="BC70" s="118"/>
      <c r="BD70" s="118"/>
      <c r="BE70" s="118"/>
      <c r="BF70" s="118"/>
      <c r="BG70" s="47"/>
      <c r="BH70" s="47"/>
      <c r="BI70" s="47"/>
      <c r="BJ70" s="47"/>
      <c r="BK70" s="47"/>
    </row>
    <row r="71" spans="1:63" ht="28.5" customHeight="1">
      <c r="A71" s="318"/>
      <c r="B71" s="324"/>
      <c r="C71" s="42" t="s">
        <v>113</v>
      </c>
      <c r="D71" s="28" t="e">
        <f t="shared" si="80"/>
        <v>#REF!</v>
      </c>
      <c r="E71" s="201" t="e">
        <f t="shared" si="81"/>
        <v>#REF!</v>
      </c>
      <c r="F71" s="30">
        <f t="shared" si="82"/>
        <v>0.10715384615384617</v>
      </c>
      <c r="G71" s="30">
        <f t="shared" si="83"/>
        <v>2.8571428571428571E-2</v>
      </c>
      <c r="H71" s="310"/>
      <c r="I71" s="35">
        <f t="shared" si="84"/>
        <v>105</v>
      </c>
      <c r="J71" s="35">
        <f t="shared" si="85"/>
        <v>210</v>
      </c>
      <c r="K71" s="310"/>
      <c r="L71" s="39">
        <f>74+42+48+18+8+2</f>
        <v>192</v>
      </c>
      <c r="M71" s="210"/>
      <c r="N71" s="44">
        <v>15</v>
      </c>
      <c r="O71" s="36">
        <v>2</v>
      </c>
      <c r="P71" s="31">
        <f t="shared" si="86"/>
        <v>2</v>
      </c>
      <c r="Q71" s="36"/>
      <c r="R71" s="233">
        <v>1</v>
      </c>
      <c r="S71" s="36"/>
      <c r="T71" s="34">
        <f t="shared" si="87"/>
        <v>85800</v>
      </c>
      <c r="U71" s="31">
        <f t="shared" si="88"/>
        <v>0</v>
      </c>
      <c r="V71" s="34">
        <f t="shared" si="89"/>
        <v>85800</v>
      </c>
      <c r="W71" s="43">
        <v>42900</v>
      </c>
      <c r="X71" s="34">
        <f>SUMIF(헤몬팜마진!$B$7:$B$32,$C71,헤몬팜마진!$R$7:$R$32)</f>
        <v>7855.1382499999991</v>
      </c>
      <c r="Y71" s="34" t="e">
        <f t="shared" si="90"/>
        <v>#REF!</v>
      </c>
      <c r="Z71" s="34">
        <f t="shared" si="91"/>
        <v>9193.8000000000011</v>
      </c>
      <c r="AA71" s="234">
        <v>8358</v>
      </c>
      <c r="AB71" s="36"/>
      <c r="AC71" s="204">
        <f t="shared" si="98"/>
        <v>0</v>
      </c>
      <c r="AD71" s="152">
        <v>7.8E-2</v>
      </c>
      <c r="AE71" s="31">
        <f>1900*(P71)</f>
        <v>3800</v>
      </c>
      <c r="AF71" s="28">
        <f t="shared" si="93"/>
        <v>0.12228904428904429</v>
      </c>
      <c r="AG71" s="34">
        <f t="shared" si="94"/>
        <v>10492.43</v>
      </c>
      <c r="AH71" s="34" t="e">
        <f t="shared" si="95"/>
        <v>#REF!</v>
      </c>
      <c r="AI71" s="34" t="e">
        <f>SUMIF(헤몬팜마진!$B$7:$B$32,$C71,헤몬팜마진!$V$7:$V$32)</f>
        <v>#REF!</v>
      </c>
      <c r="AJ71" s="34" t="e">
        <f t="shared" si="96"/>
        <v>#REF!</v>
      </c>
      <c r="AK71" s="206" t="e">
        <f t="shared" si="97"/>
        <v>#REF!</v>
      </c>
      <c r="AL71" s="40">
        <f>SUMIF(헤몬팜마진!$B$7:$B$32,$C71,헤몬팜마진!$T$7:$T$32)</f>
        <v>176.41799999999998</v>
      </c>
      <c r="AM71" s="41">
        <f>SUMIF(헤몬팜마진!$B$7:$B$32,$C71,헤몬팜마진!$U$7:$U$32)</f>
        <v>900.38519999999994</v>
      </c>
      <c r="AN71" s="36"/>
      <c r="AO71" s="202">
        <v>11680</v>
      </c>
      <c r="AP71" s="205">
        <v>35</v>
      </c>
      <c r="AQ71" s="126"/>
      <c r="AR71" s="126"/>
      <c r="AS71" s="126"/>
      <c r="AT71" s="118"/>
      <c r="AU71" s="118"/>
      <c r="AV71" s="118"/>
      <c r="AW71" s="118"/>
      <c r="AX71" s="118"/>
      <c r="AY71" s="118"/>
      <c r="AZ71" s="118"/>
      <c r="BA71" s="118"/>
      <c r="BB71" s="118"/>
      <c r="BC71" s="118"/>
      <c r="BD71" s="118"/>
      <c r="BE71" s="118"/>
      <c r="BF71" s="118"/>
      <c r="BG71" s="47"/>
      <c r="BH71" s="47"/>
      <c r="BI71" s="47"/>
      <c r="BJ71" s="47"/>
      <c r="BK71" s="47"/>
    </row>
    <row r="72" spans="1:63" ht="28.5" customHeight="1">
      <c r="A72" s="228" t="s">
        <v>135</v>
      </c>
      <c r="B72" s="200"/>
      <c r="C72" s="42" t="s">
        <v>114</v>
      </c>
      <c r="D72" s="28">
        <f t="shared" si="80"/>
        <v>0.33134661846590918</v>
      </c>
      <c r="E72" s="201">
        <f t="shared" si="81"/>
        <v>0.36298880596590916</v>
      </c>
      <c r="F72" s="30">
        <f t="shared" si="82"/>
        <v>3.1642187500000002E-2</v>
      </c>
      <c r="G72" s="30">
        <f t="shared" si="83"/>
        <v>4.3478260869565216E-2</v>
      </c>
      <c r="H72" s="35">
        <v>1750</v>
      </c>
      <c r="I72" s="35">
        <f t="shared" si="84"/>
        <v>350</v>
      </c>
      <c r="J72" s="35">
        <f t="shared" si="85"/>
        <v>700</v>
      </c>
      <c r="K72" s="39">
        <v>1449</v>
      </c>
      <c r="L72" s="39">
        <v>1217</v>
      </c>
      <c r="M72" s="210"/>
      <c r="N72" s="44">
        <v>50</v>
      </c>
      <c r="O72" s="202">
        <v>10</v>
      </c>
      <c r="P72" s="31">
        <f t="shared" si="86"/>
        <v>10</v>
      </c>
      <c r="Q72" s="36">
        <v>4</v>
      </c>
      <c r="R72" s="233">
        <v>1</v>
      </c>
      <c r="S72" s="36"/>
      <c r="T72" s="34">
        <f t="shared" si="87"/>
        <v>192000</v>
      </c>
      <c r="U72" s="31">
        <f t="shared" si="88"/>
        <v>0</v>
      </c>
      <c r="V72" s="34">
        <f t="shared" si="89"/>
        <v>192000</v>
      </c>
      <c r="W72" s="43">
        <v>19200</v>
      </c>
      <c r="X72" s="34">
        <f>SUMIF(헤몬팜마진!$B$7:$B$32,$C72,헤몬팜마진!$R$7:$R$32)</f>
        <v>6372.6191999999992</v>
      </c>
      <c r="Y72" s="34">
        <f t="shared" si="90"/>
        <v>67714.351999999984</v>
      </c>
      <c r="Z72" s="34">
        <f t="shared" si="91"/>
        <v>6075.3</v>
      </c>
      <c r="AA72" s="234">
        <v>5523</v>
      </c>
      <c r="AB72" s="36"/>
      <c r="AC72" s="204">
        <f t="shared" si="98"/>
        <v>9240</v>
      </c>
      <c r="AD72" s="152">
        <v>0.08</v>
      </c>
      <c r="AE72" s="31">
        <f>3350*(P72)</f>
        <v>33500</v>
      </c>
      <c r="AF72" s="28">
        <f t="shared" si="93"/>
        <v>0.25447916666666665</v>
      </c>
      <c r="AG72" s="34">
        <f t="shared" si="94"/>
        <v>48860.029999999992</v>
      </c>
      <c r="AH72" s="34">
        <f t="shared" si="95"/>
        <v>5731.7672545454534</v>
      </c>
      <c r="AI72" s="34">
        <f>SUMIF(헤몬팜마진!$B$7:$B$32,$C72,헤몬팜마진!$V$7:$V$32)</f>
        <v>6771.435199999999</v>
      </c>
      <c r="AJ72" s="34">
        <f t="shared" si="96"/>
        <v>69693.850745454562</v>
      </c>
      <c r="AK72" s="46">
        <f t="shared" si="97"/>
        <v>63618.550745454559</v>
      </c>
      <c r="AL72" s="40">
        <f>SUMIF(헤몬팜마진!$B$7:$B$32,$C72,헤몬팜마진!$T$7:$T$32)</f>
        <v>65.34</v>
      </c>
      <c r="AM72" s="41">
        <f>SUMIF(헤몬팜마진!$B$7:$B$32,$C72,헤몬팜마진!$U$7:$U$32)</f>
        <v>333.476</v>
      </c>
      <c r="AN72" s="36"/>
      <c r="AO72" s="202">
        <v>7869</v>
      </c>
      <c r="AP72" s="205">
        <v>23</v>
      </c>
      <c r="AQ72" s="126"/>
      <c r="AR72" s="126"/>
      <c r="AS72" s="126"/>
      <c r="AT72" s="118"/>
      <c r="AU72" s="118"/>
      <c r="AV72" s="118"/>
      <c r="AW72" s="118"/>
      <c r="AX72" s="118"/>
      <c r="AY72" s="118"/>
      <c r="AZ72" s="118"/>
      <c r="BA72" s="118"/>
      <c r="BB72" s="118"/>
      <c r="BC72" s="118"/>
      <c r="BD72" s="118"/>
      <c r="BE72" s="118"/>
      <c r="BF72" s="118"/>
      <c r="BG72" s="47"/>
      <c r="BH72" s="47"/>
      <c r="BI72" s="47"/>
      <c r="BJ72" s="47"/>
      <c r="BK72" s="47"/>
    </row>
    <row r="73" spans="1:63" ht="28.5" customHeight="1">
      <c r="A73" s="327" t="s">
        <v>136</v>
      </c>
      <c r="B73" s="326"/>
      <c r="C73" s="42" t="s">
        <v>115</v>
      </c>
      <c r="D73" s="28" t="e">
        <f t="shared" si="80"/>
        <v>#REF!</v>
      </c>
      <c r="E73" s="201" t="e">
        <f t="shared" si="81"/>
        <v>#REF!</v>
      </c>
      <c r="F73" s="30">
        <f t="shared" si="82"/>
        <v>0.15866697080291972</v>
      </c>
      <c r="G73" s="30">
        <f t="shared" si="83"/>
        <v>3.5714285714285712E-2</v>
      </c>
      <c r="H73" s="35">
        <v>0</v>
      </c>
      <c r="I73" s="35">
        <f t="shared" si="84"/>
        <v>70</v>
      </c>
      <c r="J73" s="35">
        <f t="shared" si="85"/>
        <v>140</v>
      </c>
      <c r="K73" s="328">
        <v>494</v>
      </c>
      <c r="L73" s="39">
        <v>0</v>
      </c>
      <c r="M73" s="210"/>
      <c r="N73" s="44">
        <v>10</v>
      </c>
      <c r="O73" s="36">
        <v>2</v>
      </c>
      <c r="P73" s="31">
        <f t="shared" si="86"/>
        <v>2</v>
      </c>
      <c r="Q73" s="36"/>
      <c r="R73" s="233">
        <v>2</v>
      </c>
      <c r="S73" s="36"/>
      <c r="T73" s="34">
        <f t="shared" si="87"/>
        <v>109600</v>
      </c>
      <c r="U73" s="31">
        <f t="shared" si="88"/>
        <v>0</v>
      </c>
      <c r="V73" s="34">
        <f t="shared" si="89"/>
        <v>109600</v>
      </c>
      <c r="W73" s="43">
        <v>54800</v>
      </c>
      <c r="X73" s="34">
        <f>SUMIF(헤몬팜마진!$B$7:$B$32,$C73,헤몬팜마진!$R$7:$R$32)</f>
        <v>12169.932499999999</v>
      </c>
      <c r="Y73" s="34" t="e">
        <f t="shared" si="90"/>
        <v>#REF!</v>
      </c>
      <c r="Z73" s="34">
        <f t="shared" si="91"/>
        <v>17389.900000000001</v>
      </c>
      <c r="AA73" s="234">
        <v>15809</v>
      </c>
      <c r="AB73" s="36"/>
      <c r="AC73" s="204">
        <f t="shared" si="98"/>
        <v>0</v>
      </c>
      <c r="AD73" s="152">
        <v>7.8E-2</v>
      </c>
      <c r="AE73" s="31">
        <f t="shared" ref="AE73:AE74" si="101">4825*(P73)</f>
        <v>9650</v>
      </c>
      <c r="AF73" s="28">
        <f t="shared" si="93"/>
        <v>0.16604744525547444</v>
      </c>
      <c r="AG73" s="34">
        <f t="shared" si="94"/>
        <v>18198.829999999998</v>
      </c>
      <c r="AH73" s="34" t="e">
        <f t="shared" si="95"/>
        <v>#REF!</v>
      </c>
      <c r="AI73" s="34" t="e">
        <f>SUMIF(헤몬팜마진!$B$7:$B$32,$C73,헤몬팜마진!$V$7:$V$32)</f>
        <v>#REF!</v>
      </c>
      <c r="AJ73" s="34" t="e">
        <f t="shared" si="96"/>
        <v>#REF!</v>
      </c>
      <c r="AK73" s="206" t="e">
        <f t="shared" si="97"/>
        <v>#REF!</v>
      </c>
      <c r="AL73" s="40">
        <f>SUMIF(헤몬팜마진!$B$7:$B$32,$C73,헤몬팜마진!$T$7:$T$32)</f>
        <v>181.44000000000003</v>
      </c>
      <c r="AM73" s="41">
        <f>SUMIF(헤몬팜마진!$B$7:$B$32,$C73,헤몬팜마진!$U$7:$U$32)</f>
        <v>926.01600000000019</v>
      </c>
      <c r="AN73" s="36"/>
      <c r="AO73" s="202">
        <v>20476</v>
      </c>
      <c r="AP73" s="205">
        <v>56</v>
      </c>
      <c r="AQ73" s="126"/>
      <c r="AR73" s="126"/>
      <c r="AS73" s="126"/>
      <c r="AT73" s="118"/>
      <c r="AU73" s="118"/>
      <c r="AV73" s="118"/>
      <c r="AW73" s="118"/>
      <c r="AX73" s="118"/>
      <c r="AY73" s="118"/>
      <c r="AZ73" s="118"/>
      <c r="BA73" s="118"/>
      <c r="BB73" s="118"/>
      <c r="BC73" s="118"/>
      <c r="BD73" s="118"/>
      <c r="BE73" s="118"/>
      <c r="BF73" s="118"/>
      <c r="BG73" s="47"/>
      <c r="BH73" s="47"/>
      <c r="BI73" s="47"/>
      <c r="BJ73" s="47"/>
      <c r="BK73" s="47"/>
    </row>
    <row r="74" spans="1:63" ht="28.5" customHeight="1">
      <c r="A74" s="318"/>
      <c r="B74" s="324"/>
      <c r="C74" s="42" t="s">
        <v>116</v>
      </c>
      <c r="D74" s="28" t="e">
        <f t="shared" si="80"/>
        <v>#REF!</v>
      </c>
      <c r="E74" s="201" t="e">
        <f t="shared" si="81"/>
        <v>#REF!</v>
      </c>
      <c r="F74" s="30">
        <f t="shared" si="82"/>
        <v>0.11426010183078757</v>
      </c>
      <c r="G74" s="30">
        <f t="shared" si="83"/>
        <v>4.8192771084337352E-2</v>
      </c>
      <c r="H74" s="35">
        <v>0</v>
      </c>
      <c r="I74" s="35">
        <f t="shared" si="84"/>
        <v>70</v>
      </c>
      <c r="J74" s="35">
        <f t="shared" si="85"/>
        <v>140</v>
      </c>
      <c r="K74" s="310"/>
      <c r="L74" s="39">
        <v>1</v>
      </c>
      <c r="M74" s="210"/>
      <c r="N74" s="44">
        <v>10</v>
      </c>
      <c r="O74" s="202">
        <v>6</v>
      </c>
      <c r="P74" s="31">
        <f t="shared" si="86"/>
        <v>6</v>
      </c>
      <c r="Q74" s="202"/>
      <c r="R74" s="233">
        <v>4</v>
      </c>
      <c r="S74" s="36"/>
      <c r="T74" s="34">
        <f t="shared" si="87"/>
        <v>369240</v>
      </c>
      <c r="U74" s="31">
        <f t="shared" si="88"/>
        <v>0</v>
      </c>
      <c r="V74" s="34">
        <f t="shared" si="89"/>
        <v>369240</v>
      </c>
      <c r="W74" s="43">
        <v>61540</v>
      </c>
      <c r="X74" s="34">
        <f>SUMIF(헤몬팜마진!$B$7:$B$32,$C74,헤몬팜마진!$R$7:$R$32)</f>
        <v>12169.932499999999</v>
      </c>
      <c r="Y74" s="34" t="e">
        <f t="shared" si="90"/>
        <v>#REF!</v>
      </c>
      <c r="Z74" s="34">
        <f t="shared" si="91"/>
        <v>42189.4</v>
      </c>
      <c r="AA74" s="234">
        <v>38354</v>
      </c>
      <c r="AB74" s="36"/>
      <c r="AC74" s="204">
        <f t="shared" si="98"/>
        <v>0</v>
      </c>
      <c r="AD74" s="152">
        <v>7.8E-2</v>
      </c>
      <c r="AE74" s="31">
        <f t="shared" si="101"/>
        <v>28950</v>
      </c>
      <c r="AF74" s="28">
        <f t="shared" si="93"/>
        <v>0.15640428989275268</v>
      </c>
      <c r="AG74" s="34">
        <f t="shared" si="94"/>
        <v>57750.75</v>
      </c>
      <c r="AH74" s="34" t="e">
        <f t="shared" si="95"/>
        <v>#REF!</v>
      </c>
      <c r="AI74" s="34" t="e">
        <f>SUMIF(헤몬팜마진!$B$7:$B$32,$C74,헤몬팜마진!$V$7:$V$32)</f>
        <v>#REF!</v>
      </c>
      <c r="AJ74" s="34" t="e">
        <f t="shared" si="96"/>
        <v>#REF!</v>
      </c>
      <c r="AK74" s="46" t="e">
        <f t="shared" si="97"/>
        <v>#REF!</v>
      </c>
      <c r="AL74" s="40">
        <f>SUMIF(헤몬팜마진!$B$7:$B$32,$C74,헤몬팜마진!$T$7:$T$32)</f>
        <v>181.44000000000003</v>
      </c>
      <c r="AM74" s="41">
        <f>SUMIF(헤몬팜마진!$B$7:$B$32,$C74,헤몬팜마진!$U$7:$U$32)</f>
        <v>926.01600000000019</v>
      </c>
      <c r="AN74" s="36"/>
      <c r="AO74" s="202">
        <v>32026</v>
      </c>
      <c r="AP74" s="205">
        <v>83</v>
      </c>
      <c r="AQ74" s="126"/>
      <c r="AR74" s="126"/>
      <c r="AS74" s="126"/>
      <c r="AT74" s="118"/>
      <c r="AU74" s="118"/>
      <c r="AV74" s="118"/>
      <c r="AW74" s="118"/>
      <c r="AX74" s="118"/>
      <c r="AY74" s="118"/>
      <c r="AZ74" s="118"/>
      <c r="BA74" s="118"/>
      <c r="BB74" s="118"/>
      <c r="BC74" s="118"/>
      <c r="BD74" s="118"/>
      <c r="BE74" s="118"/>
      <c r="BF74" s="118"/>
      <c r="BG74" s="47"/>
      <c r="BH74" s="47"/>
      <c r="BI74" s="47"/>
      <c r="BJ74" s="47"/>
      <c r="BK74" s="47"/>
    </row>
    <row r="75" spans="1:63" ht="28.5" customHeight="1">
      <c r="A75" s="228" t="s">
        <v>137</v>
      </c>
      <c r="B75" s="200"/>
      <c r="C75" s="42" t="s">
        <v>117</v>
      </c>
      <c r="D75" s="28">
        <f t="shared" si="80"/>
        <v>0.36002798904586403</v>
      </c>
      <c r="E75" s="201">
        <f t="shared" si="81"/>
        <v>0.49826627733415235</v>
      </c>
      <c r="F75" s="30">
        <f t="shared" si="82"/>
        <v>0.1382382882882883</v>
      </c>
      <c r="G75" s="30">
        <f t="shared" si="83"/>
        <v>2.7624309392265192E-2</v>
      </c>
      <c r="H75" s="35">
        <v>2000</v>
      </c>
      <c r="I75" s="35">
        <f t="shared" si="84"/>
        <v>700</v>
      </c>
      <c r="J75" s="35">
        <f t="shared" si="85"/>
        <v>1400</v>
      </c>
      <c r="K75" s="39">
        <v>2373</v>
      </c>
      <c r="L75" s="39">
        <v>3</v>
      </c>
      <c r="M75" s="210"/>
      <c r="N75" s="44">
        <v>100</v>
      </c>
      <c r="O75" s="202">
        <v>25</v>
      </c>
      <c r="P75" s="31">
        <f t="shared" si="86"/>
        <v>25</v>
      </c>
      <c r="Q75" s="202">
        <v>3</v>
      </c>
      <c r="R75" s="233">
        <v>10</v>
      </c>
      <c r="S75" s="36"/>
      <c r="T75" s="34">
        <f t="shared" si="87"/>
        <v>444000</v>
      </c>
      <c r="U75" s="31">
        <f t="shared" si="88"/>
        <v>0</v>
      </c>
      <c r="V75" s="34">
        <f t="shared" si="89"/>
        <v>444000</v>
      </c>
      <c r="W75" s="43">
        <v>17760</v>
      </c>
      <c r="X75" s="34">
        <f>SUMIF(헤몬팜마진!$B$7:$B$32,$C75,헤몬팜마진!$R$7:$R$32)</f>
        <v>3982.8869999999997</v>
      </c>
      <c r="Y75" s="34">
        <f t="shared" si="90"/>
        <v>120930.25499999999</v>
      </c>
      <c r="Z75" s="34">
        <f t="shared" si="91"/>
        <v>61377.8</v>
      </c>
      <c r="AA75" s="234">
        <f>34268+21530</f>
        <v>55798</v>
      </c>
      <c r="AB75" s="36"/>
      <c r="AC75" s="204">
        <f t="shared" si="98"/>
        <v>6930</v>
      </c>
      <c r="AD75" s="152">
        <v>7.8E-2</v>
      </c>
      <c r="AE75" s="31">
        <f t="shared" ref="AE75:AE76" si="102">1900*(P75)</f>
        <v>47500</v>
      </c>
      <c r="AF75" s="28">
        <f t="shared" si="93"/>
        <v>0.18498198198198199</v>
      </c>
      <c r="AG75" s="34">
        <f t="shared" si="94"/>
        <v>82132.03</v>
      </c>
      <c r="AH75" s="34">
        <f t="shared" si="95"/>
        <v>19707.487863636361</v>
      </c>
      <c r="AI75" s="34">
        <f>SUMIF(헤몬팜마진!$B$7:$B$32,$C75,헤몬팜마진!$V$7:$V$32)</f>
        <v>4837.2101999999995</v>
      </c>
      <c r="AJ75" s="34">
        <f t="shared" si="96"/>
        <v>221230.22713636365</v>
      </c>
      <c r="AK75" s="46">
        <f t="shared" si="97"/>
        <v>159852.42713636364</v>
      </c>
      <c r="AL75" s="40">
        <f>SUMIF(헤몬팜마진!$B$7:$B$32,$C75,헤몬팜마진!$T$7:$T$32)</f>
        <v>139.96800000000002</v>
      </c>
      <c r="AM75" s="41">
        <f>SUMIF(헤몬팜마진!$B$7:$B$32,$C75,헤몬팜마진!$U$7:$U$32)</f>
        <v>714.35519999999997</v>
      </c>
      <c r="AN75" s="36"/>
      <c r="AO75" s="202">
        <v>69505</v>
      </c>
      <c r="AP75" s="205">
        <v>362</v>
      </c>
      <c r="AQ75" s="126"/>
      <c r="AR75" s="126"/>
      <c r="AS75" s="126"/>
      <c r="AT75" s="118"/>
      <c r="AU75" s="118"/>
      <c r="AV75" s="118"/>
      <c r="AW75" s="118"/>
      <c r="AX75" s="118"/>
      <c r="AY75" s="118"/>
      <c r="AZ75" s="118"/>
      <c r="BA75" s="118"/>
      <c r="BB75" s="118"/>
      <c r="BC75" s="118"/>
      <c r="BD75" s="118"/>
      <c r="BE75" s="118"/>
      <c r="BF75" s="118"/>
      <c r="BG75" s="47"/>
      <c r="BH75" s="47"/>
      <c r="BI75" s="47"/>
      <c r="BJ75" s="47"/>
      <c r="BK75" s="47"/>
    </row>
    <row r="76" spans="1:63" ht="28.5" customHeight="1">
      <c r="A76" s="228" t="s">
        <v>138</v>
      </c>
      <c r="B76" s="200"/>
      <c r="C76" s="42" t="s">
        <v>118</v>
      </c>
      <c r="D76" s="28">
        <f t="shared" si="80"/>
        <v>0.21594673570381234</v>
      </c>
      <c r="E76" s="201">
        <f t="shared" si="81"/>
        <v>0.43889189699413494</v>
      </c>
      <c r="F76" s="30">
        <f t="shared" si="82"/>
        <v>0.22294516129032257</v>
      </c>
      <c r="G76" s="30">
        <f t="shared" si="83"/>
        <v>5.3191489361702128E-2</v>
      </c>
      <c r="H76" s="35">
        <v>0</v>
      </c>
      <c r="I76" s="35">
        <f t="shared" si="84"/>
        <v>350</v>
      </c>
      <c r="J76" s="35">
        <f t="shared" si="85"/>
        <v>700</v>
      </c>
      <c r="K76" s="39">
        <v>87</v>
      </c>
      <c r="L76" s="39">
        <v>0</v>
      </c>
      <c r="M76" s="210"/>
      <c r="N76" s="44">
        <v>50</v>
      </c>
      <c r="O76" s="202">
        <v>5</v>
      </c>
      <c r="P76" s="31">
        <f t="shared" si="86"/>
        <v>5</v>
      </c>
      <c r="Q76" s="36">
        <v>1</v>
      </c>
      <c r="R76" s="233">
        <v>5</v>
      </c>
      <c r="S76" s="36"/>
      <c r="T76" s="34">
        <f t="shared" si="87"/>
        <v>124000</v>
      </c>
      <c r="U76" s="31">
        <f t="shared" si="88"/>
        <v>0</v>
      </c>
      <c r="V76" s="34">
        <f t="shared" si="89"/>
        <v>124000</v>
      </c>
      <c r="W76" s="43">
        <v>24800</v>
      </c>
      <c r="X76" s="34">
        <f>SUMIF(헤몬팜마진!$B$7:$B$32,$C76,헤몬팜마진!$R$7:$R$32)</f>
        <v>8408.3169999999991</v>
      </c>
      <c r="Y76" s="34">
        <f t="shared" si="90"/>
        <v>42898.544999999998</v>
      </c>
      <c r="Z76" s="34">
        <f t="shared" si="91"/>
        <v>27645.200000000001</v>
      </c>
      <c r="AA76" s="234">
        <v>25132</v>
      </c>
      <c r="AB76" s="209"/>
      <c r="AC76" s="204">
        <f t="shared" si="98"/>
        <v>2310</v>
      </c>
      <c r="AD76" s="152">
        <v>0.1</v>
      </c>
      <c r="AE76" s="31">
        <f t="shared" si="102"/>
        <v>9500</v>
      </c>
      <c r="AF76" s="28">
        <f t="shared" si="93"/>
        <v>0.17661290322580647</v>
      </c>
      <c r="AG76" s="34">
        <f t="shared" si="94"/>
        <v>21900.030000000002</v>
      </c>
      <c r="AH76" s="34">
        <f t="shared" si="95"/>
        <v>4778.829772727272</v>
      </c>
      <c r="AI76" s="34">
        <f>SUMIF(헤몬팜마진!$B$7:$B$32,$C76,헤몬팜마진!$V$7:$V$32)</f>
        <v>8579.7089999999989</v>
      </c>
      <c r="AJ76" s="34">
        <f t="shared" si="96"/>
        <v>54422.59522727273</v>
      </c>
      <c r="AK76" s="206">
        <f t="shared" si="97"/>
        <v>26777.395227272729</v>
      </c>
      <c r="AL76" s="40">
        <f>SUMIF(헤몬팜마진!$B$7:$B$32,$C76,헤몬팜마진!$T$7:$T$32)</f>
        <v>28.079999999999995</v>
      </c>
      <c r="AM76" s="41">
        <f>SUMIF(헤몬팜마진!$B$7:$B$32,$C76,헤몬팜마진!$U$7:$U$32)</f>
        <v>143.31199999999998</v>
      </c>
      <c r="AN76" s="36"/>
      <c r="AO76" s="202">
        <v>73576</v>
      </c>
      <c r="AP76" s="205">
        <v>94</v>
      </c>
      <c r="AQ76" s="126"/>
      <c r="AR76" s="126"/>
      <c r="AS76" s="126"/>
      <c r="AT76" s="118"/>
      <c r="AU76" s="118"/>
      <c r="AV76" s="118"/>
      <c r="AW76" s="118"/>
      <c r="AX76" s="118"/>
      <c r="AY76" s="118"/>
      <c r="AZ76" s="118"/>
      <c r="BA76" s="118"/>
      <c r="BB76" s="118"/>
      <c r="BC76" s="118"/>
      <c r="BD76" s="118"/>
      <c r="BE76" s="118"/>
      <c r="BF76" s="118"/>
      <c r="BG76" s="47"/>
      <c r="BH76" s="47"/>
      <c r="BI76" s="47"/>
      <c r="BJ76" s="47"/>
      <c r="BK76" s="47"/>
    </row>
    <row r="77" spans="1:63" ht="28.5" customHeight="1">
      <c r="A77" s="12"/>
      <c r="B77" s="214" t="s">
        <v>126</v>
      </c>
      <c r="C77" s="42" t="s">
        <v>31</v>
      </c>
      <c r="D77" s="28">
        <f t="shared" si="80"/>
        <v>-0.13095502081339708</v>
      </c>
      <c r="E77" s="201">
        <f t="shared" si="81"/>
        <v>0.40281950071770345</v>
      </c>
      <c r="F77" s="30">
        <f t="shared" si="82"/>
        <v>0.5337745215311005</v>
      </c>
      <c r="G77" s="30">
        <f t="shared" si="83"/>
        <v>4.4776119402985072E-2</v>
      </c>
      <c r="H77" s="35">
        <v>700</v>
      </c>
      <c r="I77" s="35">
        <f t="shared" si="84"/>
        <v>210</v>
      </c>
      <c r="J77" s="35">
        <f t="shared" si="85"/>
        <v>420</v>
      </c>
      <c r="K77" s="39">
        <v>954</v>
      </c>
      <c r="L77" s="39">
        <v>2</v>
      </c>
      <c r="M77" s="210"/>
      <c r="N77" s="44">
        <v>30</v>
      </c>
      <c r="O77" s="36">
        <v>10</v>
      </c>
      <c r="P77" s="31">
        <f t="shared" si="86"/>
        <v>8</v>
      </c>
      <c r="Q77" s="36">
        <v>4</v>
      </c>
      <c r="R77" s="233">
        <v>9</v>
      </c>
      <c r="S77" s="36">
        <v>2</v>
      </c>
      <c r="T77" s="34">
        <f t="shared" si="87"/>
        <v>209000</v>
      </c>
      <c r="U77" s="31">
        <f t="shared" si="88"/>
        <v>41800</v>
      </c>
      <c r="V77" s="34">
        <f t="shared" si="89"/>
        <v>167200</v>
      </c>
      <c r="W77" s="43">
        <v>20900</v>
      </c>
      <c r="X77" s="34">
        <f>SUMIF(헤몬팜마진!$B$7:$B$32,$C77,헤몬팜마진!$R$7:$R$32)</f>
        <v>6638.1449999999995</v>
      </c>
      <c r="Y77" s="34">
        <f t="shared" si="90"/>
        <v>53484.859199999992</v>
      </c>
      <c r="Z77" s="34">
        <f t="shared" si="91"/>
        <v>68278.100000000006</v>
      </c>
      <c r="AA77" s="234">
        <v>62071</v>
      </c>
      <c r="AB77" s="211">
        <f>((20900*0.015)+(20900*0.19)+2100+2200+1900)*2</f>
        <v>20969</v>
      </c>
      <c r="AC77" s="204">
        <f t="shared" si="98"/>
        <v>9240</v>
      </c>
      <c r="AD77" s="152">
        <v>0.08</v>
      </c>
      <c r="AE77" s="31">
        <f>3400*(P77)</f>
        <v>27200</v>
      </c>
      <c r="AF77" s="28">
        <f t="shared" si="93"/>
        <v>0.24267942583732055</v>
      </c>
      <c r="AG77" s="34">
        <f t="shared" si="94"/>
        <v>40576.029999999992</v>
      </c>
      <c r="AH77" s="34">
        <f t="shared" si="95"/>
        <v>5787.6902800000025</v>
      </c>
      <c r="AI77" s="34">
        <f>SUMIF(헤몬팜마진!$B$7:$B$32,$C77,헤몬팜마진!$V$7:$V$32)</f>
        <v>6685.607399999999</v>
      </c>
      <c r="AJ77" s="34">
        <f t="shared" si="96"/>
        <v>67351.420520000014</v>
      </c>
      <c r="AK77" s="206">
        <f t="shared" si="97"/>
        <v>-21895.679479999992</v>
      </c>
      <c r="AL77" s="40">
        <f>SUMIF(헤몬팜마진!$B$7:$B$32,$C77,헤몬팜마진!$T$7:$T$32)</f>
        <v>7.7759999999999998</v>
      </c>
      <c r="AM77" s="41">
        <f>SUMIF(헤몬팜마진!$B$7:$B$32,$C77,헤몬팜마진!$U$7:$U$32)</f>
        <v>39.686400000000006</v>
      </c>
      <c r="AN77" s="36"/>
      <c r="AO77" s="235">
        <v>168066</v>
      </c>
      <c r="AP77" s="235">
        <v>201</v>
      </c>
      <c r="AQ77" s="126"/>
      <c r="AR77" s="126"/>
      <c r="AS77" s="126"/>
      <c r="AT77" s="118"/>
      <c r="AU77" s="118"/>
      <c r="AV77" s="118"/>
      <c r="AW77" s="118"/>
      <c r="AX77" s="118"/>
      <c r="AY77" s="118"/>
      <c r="AZ77" s="118"/>
      <c r="BA77" s="118"/>
      <c r="BB77" s="118"/>
      <c r="BC77" s="118"/>
      <c r="BD77" s="118"/>
      <c r="BE77" s="118"/>
      <c r="BF77" s="118"/>
      <c r="BG77" s="47"/>
      <c r="BH77" s="47"/>
      <c r="BI77" s="47"/>
      <c r="BJ77" s="47"/>
      <c r="BK77" s="47"/>
    </row>
    <row r="78" spans="1:63" ht="28.5" customHeight="1">
      <c r="A78" s="327" t="s">
        <v>139</v>
      </c>
      <c r="B78" s="127" t="s">
        <v>127</v>
      </c>
      <c r="C78" s="42" t="s">
        <v>119</v>
      </c>
      <c r="D78" s="28">
        <f t="shared" si="80"/>
        <v>0.24419718477811012</v>
      </c>
      <c r="E78" s="201">
        <f t="shared" si="81"/>
        <v>0.43444843816369189</v>
      </c>
      <c r="F78" s="30">
        <f t="shared" si="82"/>
        <v>0.19025125338558177</v>
      </c>
      <c r="G78" s="30">
        <f t="shared" si="83"/>
        <v>0.12949640287769784</v>
      </c>
      <c r="H78" s="35">
        <v>2000</v>
      </c>
      <c r="I78" s="35">
        <f t="shared" si="84"/>
        <v>280</v>
      </c>
      <c r="J78" s="35">
        <f t="shared" si="85"/>
        <v>560</v>
      </c>
      <c r="K78" s="328">
        <v>1048</v>
      </c>
      <c r="L78" s="39">
        <f>311+240+1</f>
        <v>552</v>
      </c>
      <c r="M78" s="210"/>
      <c r="N78" s="44">
        <v>40</v>
      </c>
      <c r="O78" s="202">
        <v>28</v>
      </c>
      <c r="P78" s="31">
        <f t="shared" si="86"/>
        <v>28</v>
      </c>
      <c r="Q78" s="202">
        <v>4</v>
      </c>
      <c r="R78" s="233">
        <v>18</v>
      </c>
      <c r="S78" s="36"/>
      <c r="T78" s="34">
        <f t="shared" si="87"/>
        <v>694120</v>
      </c>
      <c r="U78" s="31">
        <f t="shared" si="88"/>
        <v>0</v>
      </c>
      <c r="V78" s="34">
        <f t="shared" si="89"/>
        <v>694120</v>
      </c>
      <c r="W78" s="43">
        <v>24790</v>
      </c>
      <c r="X78" s="34">
        <f>SUMIF(헤몬팜마진!$B$7:$B$32,$C78,헤몬팜마진!$R$7:$R$32)</f>
        <v>6859.4164999999994</v>
      </c>
      <c r="Y78" s="34">
        <f t="shared" si="90"/>
        <v>203101.30679999996</v>
      </c>
      <c r="Z78" s="34">
        <f t="shared" si="91"/>
        <v>132057.20000000001</v>
      </c>
      <c r="AA78" s="234">
        <v>120052</v>
      </c>
      <c r="AB78" s="209"/>
      <c r="AC78" s="204">
        <f t="shared" si="98"/>
        <v>9240</v>
      </c>
      <c r="AD78" s="152">
        <v>0.108</v>
      </c>
      <c r="AE78" s="31">
        <f>3150*(P78)</f>
        <v>88200</v>
      </c>
      <c r="AF78" s="28">
        <f t="shared" si="93"/>
        <v>0.23506736587333604</v>
      </c>
      <c r="AG78" s="34">
        <f t="shared" si="94"/>
        <v>163164.99000000002</v>
      </c>
      <c r="AH78" s="34">
        <f t="shared" si="95"/>
        <v>26294.35330181817</v>
      </c>
      <c r="AI78" s="34">
        <f>SUMIF(헤몬팜마진!$B$7:$B$32,$C78,헤몬팜마진!$V$7:$V$32)</f>
        <v>7253.6180999999988</v>
      </c>
      <c r="AJ78" s="34">
        <f t="shared" si="96"/>
        <v>301559.3498981818</v>
      </c>
      <c r="AK78" s="206">
        <f t="shared" si="97"/>
        <v>169502.14989818179</v>
      </c>
      <c r="AL78" s="40">
        <f>SUMIF(헤몬팜마진!$B$7:$B$32,$C78,헤몬팜마진!$T$7:$T$32)</f>
        <v>64.584000000000003</v>
      </c>
      <c r="AM78" s="41">
        <f>SUMIF(헤몬팜마진!$B$7:$B$32,$C78,헤몬팜마진!$U$7:$U$32)</f>
        <v>329.61759999999998</v>
      </c>
      <c r="AN78" s="36"/>
      <c r="AO78" s="235">
        <v>18401</v>
      </c>
      <c r="AP78" s="235">
        <v>139</v>
      </c>
      <c r="AQ78" s="126"/>
      <c r="AR78" s="126"/>
      <c r="AS78" s="126"/>
      <c r="AT78" s="118"/>
      <c r="AU78" s="118"/>
      <c r="AV78" s="118"/>
      <c r="AW78" s="118"/>
      <c r="AX78" s="118"/>
      <c r="AY78" s="118"/>
      <c r="AZ78" s="118"/>
      <c r="BA78" s="118"/>
      <c r="BB78" s="118"/>
      <c r="BC78" s="118"/>
      <c r="BD78" s="118"/>
      <c r="BE78" s="118"/>
      <c r="BF78" s="118"/>
      <c r="BG78" s="47"/>
      <c r="BH78" s="47"/>
      <c r="BI78" s="47"/>
      <c r="BJ78" s="47"/>
      <c r="BK78" s="47"/>
    </row>
    <row r="79" spans="1:63" ht="28.5" customHeight="1">
      <c r="A79" s="318"/>
      <c r="B79" s="214" t="s">
        <v>128</v>
      </c>
      <c r="C79" s="42" t="s">
        <v>120</v>
      </c>
      <c r="D79" s="28">
        <f t="shared" si="80"/>
        <v>-0.30266687332115122</v>
      </c>
      <c r="E79" s="201">
        <f t="shared" si="81"/>
        <v>0.41263714677935137</v>
      </c>
      <c r="F79" s="30">
        <f t="shared" si="82"/>
        <v>0.71530402010050254</v>
      </c>
      <c r="G79" s="30">
        <f t="shared" si="83"/>
        <v>3.3898305084745763E-2</v>
      </c>
      <c r="H79" s="35">
        <v>0</v>
      </c>
      <c r="I79" s="35">
        <f t="shared" si="84"/>
        <v>105</v>
      </c>
      <c r="J79" s="35">
        <f t="shared" si="85"/>
        <v>210</v>
      </c>
      <c r="K79" s="310"/>
      <c r="L79" s="39">
        <f>22+3</f>
        <v>25</v>
      </c>
      <c r="M79" s="210"/>
      <c r="N79" s="44">
        <v>15</v>
      </c>
      <c r="O79" s="36">
        <v>1</v>
      </c>
      <c r="P79" s="31">
        <f t="shared" si="86"/>
        <v>1</v>
      </c>
      <c r="Q79" s="36">
        <v>2</v>
      </c>
      <c r="R79" s="233">
        <v>2</v>
      </c>
      <c r="S79" s="36"/>
      <c r="T79" s="34">
        <f t="shared" si="87"/>
        <v>39800</v>
      </c>
      <c r="U79" s="31">
        <f t="shared" si="88"/>
        <v>0</v>
      </c>
      <c r="V79" s="34">
        <f t="shared" si="89"/>
        <v>39800</v>
      </c>
      <c r="W79" s="43">
        <v>39800</v>
      </c>
      <c r="X79" s="34">
        <f>SUMIF(헤몬팜마진!$B$7:$B$32,$C79,헤몬팜마진!$R$7:$R$32)</f>
        <v>13718.832999999999</v>
      </c>
      <c r="Y79" s="34">
        <f t="shared" si="90"/>
        <v>14113.034599999999</v>
      </c>
      <c r="Z79" s="34">
        <f t="shared" si="91"/>
        <v>28469.100000000002</v>
      </c>
      <c r="AA79" s="234">
        <v>25881</v>
      </c>
      <c r="AB79" s="209"/>
      <c r="AC79" s="204">
        <f t="shared" si="98"/>
        <v>4620</v>
      </c>
      <c r="AD79" s="152">
        <v>0.108</v>
      </c>
      <c r="AE79" s="31">
        <f>3550*(P79)</f>
        <v>3550</v>
      </c>
      <c r="AF79" s="28">
        <f t="shared" si="93"/>
        <v>0.1971959798994975</v>
      </c>
      <c r="AG79" s="34">
        <f t="shared" si="94"/>
        <v>7848.43</v>
      </c>
      <c r="AH79" s="34">
        <f t="shared" si="95"/>
        <v>1415.5769581818181</v>
      </c>
      <c r="AI79" s="34">
        <f>SUMIF(헤몬팜마진!$B$7:$B$32,$C79,헤몬팜마진!$V$7:$V$32)</f>
        <v>14113.034599999999</v>
      </c>
      <c r="AJ79" s="34">
        <f t="shared" si="96"/>
        <v>16422.958441818184</v>
      </c>
      <c r="AK79" s="206">
        <f t="shared" si="97"/>
        <v>-12046.141558181818</v>
      </c>
      <c r="AL79" s="40">
        <f>SUMIF(헤몬팜마진!$B$7:$B$32,$C79,헤몬팜마진!$T$7:$T$32)</f>
        <v>64.584000000000003</v>
      </c>
      <c r="AM79" s="41">
        <f>SUMIF(헤몬팜마진!$B$7:$B$32,$C79,헤몬팜마진!$U$7:$U$32)</f>
        <v>329.61759999999998</v>
      </c>
      <c r="AN79" s="36"/>
      <c r="AO79" s="202">
        <v>27596</v>
      </c>
      <c r="AP79" s="205">
        <v>59</v>
      </c>
      <c r="AQ79" s="126"/>
      <c r="AR79" s="126"/>
      <c r="AS79" s="126"/>
      <c r="AT79" s="118"/>
      <c r="AU79" s="118"/>
      <c r="AV79" s="118"/>
      <c r="AW79" s="118"/>
      <c r="AX79" s="118"/>
      <c r="AY79" s="118"/>
      <c r="AZ79" s="118"/>
      <c r="BA79" s="118"/>
      <c r="BB79" s="118"/>
      <c r="BC79" s="118"/>
      <c r="BD79" s="118"/>
      <c r="BE79" s="118"/>
      <c r="BF79" s="118"/>
      <c r="BG79" s="47"/>
      <c r="BH79" s="47"/>
      <c r="BI79" s="47"/>
      <c r="BJ79" s="47"/>
      <c r="BK79" s="47"/>
    </row>
    <row r="80" spans="1:63" ht="28.5" customHeight="1">
      <c r="A80" s="12"/>
      <c r="B80" s="216"/>
      <c r="C80" s="217"/>
      <c r="D80" s="51" t="e">
        <f t="shared" si="80"/>
        <v>#REF!</v>
      </c>
      <c r="E80" s="218" t="e">
        <f t="shared" si="81"/>
        <v>#REF!</v>
      </c>
      <c r="F80" s="53">
        <f t="shared" si="82"/>
        <v>0.24150356811902973</v>
      </c>
      <c r="G80" s="219"/>
      <c r="H80" s="55"/>
      <c r="I80" s="55"/>
      <c r="J80" s="55"/>
      <c r="K80" s="55"/>
      <c r="L80" s="55"/>
      <c r="M80" s="55"/>
      <c r="N80" s="55"/>
      <c r="O80" s="130">
        <f t="shared" ref="O80:V80" si="103">SUM(O63:O79)</f>
        <v>250</v>
      </c>
      <c r="P80" s="220">
        <f t="shared" si="103"/>
        <v>243</v>
      </c>
      <c r="Q80" s="130">
        <f t="shared" si="103"/>
        <v>31</v>
      </c>
      <c r="R80" s="130">
        <f t="shared" si="103"/>
        <v>169</v>
      </c>
      <c r="S80" s="130">
        <f t="shared" si="103"/>
        <v>7</v>
      </c>
      <c r="T80" s="130">
        <f t="shared" si="103"/>
        <v>7050420</v>
      </c>
      <c r="U80" s="130">
        <f t="shared" si="103"/>
        <v>122400</v>
      </c>
      <c r="V80" s="220">
        <f t="shared" si="103"/>
        <v>6928020</v>
      </c>
      <c r="W80" s="55"/>
      <c r="X80" s="130">
        <f t="shared" ref="X80:AC80" si="104">SUM(X63:X79)</f>
        <v>153584.54814999999</v>
      </c>
      <c r="Y80" s="220" t="e">
        <f t="shared" si="104"/>
        <v>#REF!</v>
      </c>
      <c r="Z80" s="130">
        <f t="shared" si="104"/>
        <v>1602835.3000000003</v>
      </c>
      <c r="AA80" s="130">
        <f t="shared" si="104"/>
        <v>1457123</v>
      </c>
      <c r="AB80" s="130">
        <f t="shared" si="104"/>
        <v>70306.25</v>
      </c>
      <c r="AC80" s="130">
        <f t="shared" si="104"/>
        <v>70368</v>
      </c>
      <c r="AD80" s="154">
        <v>0.09</v>
      </c>
      <c r="AE80" s="220">
        <f>SUM(AE63:AE79)</f>
        <v>751500</v>
      </c>
      <c r="AF80" s="53">
        <f t="shared" si="93"/>
        <v>0.19847255059887242</v>
      </c>
      <c r="AG80" s="56">
        <f t="shared" ref="AG80:AI80" si="105">SUM(AG63:AG79)</f>
        <v>1422257.87</v>
      </c>
      <c r="AH80" s="56" t="e">
        <f t="shared" si="105"/>
        <v>#REF!</v>
      </c>
      <c r="AI80" s="56" t="e">
        <f t="shared" si="105"/>
        <v>#REF!</v>
      </c>
      <c r="AJ80" s="56" t="e">
        <f t="shared" si="96"/>
        <v>#REF!</v>
      </c>
      <c r="AK80" s="221" t="e">
        <f t="shared" si="97"/>
        <v>#REF!</v>
      </c>
      <c r="AL80" s="54"/>
      <c r="AM80" s="222"/>
      <c r="AN80" s="57"/>
      <c r="AO80" s="131">
        <f t="shared" ref="AO80:AP80" si="106">SUM(AO63:AO64)</f>
        <v>588956</v>
      </c>
      <c r="AP80" s="132">
        <f t="shared" si="106"/>
        <v>1629</v>
      </c>
      <c r="AQ80" s="126"/>
      <c r="AR80" s="126"/>
      <c r="AS80" s="126"/>
      <c r="AT80" s="118"/>
      <c r="AU80" s="118"/>
      <c r="AV80" s="118"/>
      <c r="AW80" s="118"/>
      <c r="AX80" s="118"/>
      <c r="AY80" s="118"/>
      <c r="AZ80" s="118"/>
      <c r="BA80" s="118"/>
      <c r="BB80" s="118"/>
      <c r="BC80" s="118"/>
      <c r="BD80" s="118"/>
      <c r="BE80" s="118"/>
      <c r="BF80" s="118"/>
      <c r="BG80" s="47"/>
      <c r="BH80" s="47"/>
      <c r="BI80" s="47"/>
      <c r="BJ80" s="47"/>
      <c r="BK80" s="47"/>
    </row>
    <row r="81" spans="1:63" ht="28.5" customHeight="1">
      <c r="A81" s="3"/>
      <c r="B81" s="120"/>
      <c r="C81" s="229"/>
      <c r="D81" s="230"/>
      <c r="E81" s="230"/>
      <c r="F81" s="230"/>
      <c r="G81" s="230"/>
      <c r="H81" s="231"/>
      <c r="I81" s="231"/>
      <c r="J81" s="231"/>
      <c r="K81" s="231"/>
      <c r="L81" s="231"/>
      <c r="M81" s="231"/>
      <c r="N81" s="231"/>
      <c r="O81" s="231"/>
      <c r="P81" s="232"/>
      <c r="Q81" s="231"/>
      <c r="R81" s="231"/>
      <c r="S81" s="231"/>
      <c r="T81" s="231"/>
      <c r="U81" s="231"/>
      <c r="V81" s="231"/>
      <c r="W81" s="231"/>
      <c r="X81" s="231"/>
      <c r="Y81" s="231"/>
      <c r="Z81" s="231"/>
      <c r="AA81" s="133"/>
      <c r="AB81" s="61"/>
      <c r="AC81" s="148"/>
      <c r="AD81" s="148"/>
      <c r="AE81" s="148"/>
      <c r="AF81" s="148"/>
      <c r="AG81" s="61"/>
      <c r="AH81" s="61"/>
      <c r="AI81" s="187"/>
      <c r="AJ81" s="118"/>
      <c r="AK81" s="126"/>
      <c r="AL81" s="126"/>
      <c r="AM81" s="126"/>
      <c r="AN81" s="118"/>
      <c r="AO81" s="118"/>
      <c r="AP81" s="118"/>
      <c r="AQ81" s="126"/>
      <c r="AR81" s="126"/>
      <c r="AS81" s="126"/>
      <c r="AT81" s="118"/>
      <c r="AU81" s="118"/>
      <c r="AV81" s="118"/>
      <c r="AW81" s="118"/>
      <c r="AX81" s="118"/>
      <c r="AY81" s="118"/>
      <c r="AZ81" s="118"/>
      <c r="BA81" s="118"/>
      <c r="BB81" s="118"/>
      <c r="BC81" s="118"/>
      <c r="BD81" s="118"/>
      <c r="BE81" s="118"/>
      <c r="BF81" s="118"/>
      <c r="BG81" s="47"/>
      <c r="BH81" s="47"/>
      <c r="BI81" s="47"/>
      <c r="BJ81" s="47"/>
      <c r="BK81" s="47"/>
    </row>
    <row r="82" spans="1:63" ht="28.5" customHeight="1">
      <c r="A82" s="12"/>
      <c r="B82" s="189"/>
      <c r="C82" s="134">
        <v>45933</v>
      </c>
      <c r="D82" s="122" t="s">
        <v>0</v>
      </c>
      <c r="E82" s="122" t="s">
        <v>1</v>
      </c>
      <c r="F82" s="122" t="s">
        <v>2</v>
      </c>
      <c r="G82" s="190" t="s">
        <v>3</v>
      </c>
      <c r="H82" s="191" t="s">
        <v>4</v>
      </c>
      <c r="I82" s="192" t="s">
        <v>5</v>
      </c>
      <c r="J82" s="192" t="s">
        <v>90</v>
      </c>
      <c r="K82" s="193" t="s">
        <v>6</v>
      </c>
      <c r="L82" s="194" t="s">
        <v>7</v>
      </c>
      <c r="M82" s="15" t="s">
        <v>91</v>
      </c>
      <c r="N82" s="123" t="s">
        <v>125</v>
      </c>
      <c r="O82" s="123" t="s">
        <v>8</v>
      </c>
      <c r="P82" s="123" t="s">
        <v>9</v>
      </c>
      <c r="Q82" s="195" t="s">
        <v>10</v>
      </c>
      <c r="R82" s="123" t="s">
        <v>92</v>
      </c>
      <c r="S82" s="196" t="s">
        <v>11</v>
      </c>
      <c r="T82" s="17" t="s">
        <v>12</v>
      </c>
      <c r="U82" s="17" t="s">
        <v>13</v>
      </c>
      <c r="V82" s="17" t="s">
        <v>14</v>
      </c>
      <c r="W82" s="17" t="s">
        <v>15</v>
      </c>
      <c r="X82" s="15" t="s">
        <v>16</v>
      </c>
      <c r="Y82" s="15" t="s">
        <v>17</v>
      </c>
      <c r="Z82" s="19" t="s">
        <v>18</v>
      </c>
      <c r="AA82" s="19" t="s">
        <v>19</v>
      </c>
      <c r="AB82" s="20" t="s">
        <v>20</v>
      </c>
      <c r="AC82" s="22" t="s">
        <v>93</v>
      </c>
      <c r="AD82" s="197" t="s">
        <v>21</v>
      </c>
      <c r="AE82" s="122" t="s">
        <v>22</v>
      </c>
      <c r="AF82" s="21" t="s">
        <v>23</v>
      </c>
      <c r="AG82" s="21" t="s">
        <v>21</v>
      </c>
      <c r="AH82" s="122" t="s">
        <v>24</v>
      </c>
      <c r="AI82" s="15" t="s">
        <v>25</v>
      </c>
      <c r="AJ82" s="15" t="s">
        <v>26</v>
      </c>
      <c r="AK82" s="122" t="s">
        <v>27</v>
      </c>
      <c r="AL82" s="198" t="s">
        <v>28</v>
      </c>
      <c r="AM82" s="199" t="s">
        <v>29</v>
      </c>
      <c r="AN82" s="124" t="s">
        <v>30</v>
      </c>
      <c r="AO82" s="124" t="s">
        <v>94</v>
      </c>
      <c r="AP82" s="125" t="s">
        <v>95</v>
      </c>
      <c r="AQ82" s="126"/>
      <c r="AR82" s="126"/>
      <c r="AS82" s="126"/>
      <c r="AT82" s="118"/>
      <c r="AU82" s="118"/>
      <c r="AV82" s="118"/>
      <c r="AW82" s="118"/>
      <c r="AX82" s="118"/>
      <c r="AY82" s="118"/>
      <c r="AZ82" s="118"/>
      <c r="BA82" s="118"/>
      <c r="BB82" s="118"/>
      <c r="BC82" s="118"/>
      <c r="BD82" s="118"/>
      <c r="BE82" s="118"/>
      <c r="BF82" s="118"/>
      <c r="BG82" s="47"/>
      <c r="BH82" s="47"/>
      <c r="BI82" s="47"/>
      <c r="BJ82" s="47"/>
      <c r="BK82" s="47"/>
    </row>
    <row r="83" spans="1:63" ht="28.5" customHeight="1">
      <c r="A83" s="12" t="s">
        <v>129</v>
      </c>
      <c r="B83" s="200"/>
      <c r="C83" s="42" t="s">
        <v>107</v>
      </c>
      <c r="D83" s="28">
        <f t="shared" ref="D83:D100" si="107">AK83/V83</f>
        <v>0.17925469626822765</v>
      </c>
      <c r="E83" s="201">
        <f t="shared" ref="E83:E100" si="108">AJ83/V83</f>
        <v>0.42270749720254364</v>
      </c>
      <c r="F83" s="30">
        <f t="shared" ref="F83:F100" si="109">(Z83+AB83)/V83</f>
        <v>0.24345280093431598</v>
      </c>
      <c r="G83" s="30">
        <f t="shared" ref="G83:G99" si="110">R83/AP83</f>
        <v>7.3287307488050984E-2</v>
      </c>
      <c r="H83" s="35">
        <v>7410</v>
      </c>
      <c r="I83" s="35">
        <f t="shared" ref="I83:I99" si="111">N83*7</f>
        <v>1400</v>
      </c>
      <c r="J83" s="35">
        <f t="shared" ref="J83:J99" si="112">N83*14</f>
        <v>2800</v>
      </c>
      <c r="K83" s="49">
        <v>76</v>
      </c>
      <c r="L83" s="49">
        <f>1906+1320</f>
        <v>3226</v>
      </c>
      <c r="M83" s="48"/>
      <c r="N83" s="44">
        <v>200</v>
      </c>
      <c r="O83" s="227">
        <v>178</v>
      </c>
      <c r="P83" s="31">
        <f t="shared" ref="P83:P99" si="113">O83-S83</f>
        <v>178</v>
      </c>
      <c r="Q83" s="227">
        <v>12</v>
      </c>
      <c r="R83" s="233">
        <v>138</v>
      </c>
      <c r="S83" s="36"/>
      <c r="T83" s="34">
        <f t="shared" ref="T83:T99" si="114">W83*O83</f>
        <v>4966200</v>
      </c>
      <c r="U83" s="31">
        <f t="shared" ref="U83:U99" si="115">W83*S83</f>
        <v>0</v>
      </c>
      <c r="V83" s="34">
        <f t="shared" ref="V83:V99" si="116">T83-U83</f>
        <v>4966200</v>
      </c>
      <c r="W83" s="34">
        <v>27900</v>
      </c>
      <c r="X83" s="34">
        <f>SUMIF(헤몬팜마진!$B$7:$B$32,$C83,헤몬팜마진!$R$7:$R$32)</f>
        <v>8850.86</v>
      </c>
      <c r="Y83" s="34">
        <f t="shared" ref="Y83:Y99" si="117">AI83*P83</f>
        <v>1645620.9648000002</v>
      </c>
      <c r="Z83" s="34">
        <f t="shared" ref="Z83:Z99" si="118">AA83*1.1</f>
        <v>1209035.3</v>
      </c>
      <c r="AA83" s="49">
        <v>1099123</v>
      </c>
      <c r="AB83" s="36"/>
      <c r="AC83" s="204">
        <f t="shared" ref="AC83:AC84" si="119">(1072+1100)*Q83</f>
        <v>26064</v>
      </c>
      <c r="AD83" s="152">
        <v>0.1</v>
      </c>
      <c r="AE83" s="31">
        <f>3050*(P83)</f>
        <v>542900</v>
      </c>
      <c r="AF83" s="28">
        <f t="shared" ref="AF83:AF100" si="120">AD83+(AE83/V83)</f>
        <v>0.20931899641577062</v>
      </c>
      <c r="AG83" s="34">
        <f t="shared" ref="AG83:AG99" si="121">IFERROR(V83*AF83+3%,0)</f>
        <v>1039520.03</v>
      </c>
      <c r="AH83" s="34">
        <f t="shared" ref="AH83:AH99" si="122">V83/1.1*10%-((AI83*P83)+AG83+(AN83*P83)+(AL83*P83))*10%</f>
        <v>181809.03259272722</v>
      </c>
      <c r="AI83" s="34">
        <f>SUMIF(헤몬팜마진!$B$7:$B$32,$C83,헤몬팜마진!$V$7:$V$32)</f>
        <v>9245.0616000000009</v>
      </c>
      <c r="AJ83" s="34">
        <f t="shared" ref="AJ83:AJ100" si="123">V83-(Y83+AG83+AH83+(AN83*P83))</f>
        <v>2099249.9726072722</v>
      </c>
      <c r="AK83" s="46">
        <f t="shared" ref="AK83:AK100" si="124">AJ83-Z83-AB83</f>
        <v>890214.67260727216</v>
      </c>
      <c r="AL83" s="40">
        <f>SUMIF(헤몬팜마진!$B$7:$B$32,$C83,헤몬팜마진!$T$7:$T$32)</f>
        <v>64.584000000000003</v>
      </c>
      <c r="AM83" s="41">
        <f>SUMIF(헤몬팜마진!$B$7:$B$32,$C83,헤몬팜마진!$U$7:$U$32)</f>
        <v>329.61759999999998</v>
      </c>
      <c r="AN83" s="36"/>
      <c r="AO83" s="202">
        <v>580779</v>
      </c>
      <c r="AP83" s="205">
        <v>1883</v>
      </c>
      <c r="AQ83" s="126"/>
      <c r="AR83" s="126"/>
      <c r="AS83" s="126"/>
      <c r="AT83" s="118"/>
      <c r="AU83" s="118"/>
      <c r="AV83" s="118"/>
      <c r="AW83" s="118"/>
      <c r="AX83" s="118"/>
      <c r="AY83" s="118"/>
      <c r="AZ83" s="118"/>
      <c r="BA83" s="118"/>
      <c r="BB83" s="118"/>
      <c r="BC83" s="118"/>
      <c r="BD83" s="118"/>
      <c r="BE83" s="118"/>
      <c r="BF83" s="118"/>
      <c r="BG83" s="47"/>
      <c r="BH83" s="47"/>
      <c r="BI83" s="47"/>
      <c r="BJ83" s="47"/>
      <c r="BK83" s="47"/>
    </row>
    <row r="84" spans="1:63" ht="28.5" customHeight="1">
      <c r="A84" s="228" t="s">
        <v>130</v>
      </c>
      <c r="B84" s="200"/>
      <c r="C84" s="42" t="s">
        <v>108</v>
      </c>
      <c r="D84" s="28" t="e">
        <f t="shared" si="107"/>
        <v>#DIV/0!</v>
      </c>
      <c r="E84" s="201" t="e">
        <f t="shared" si="108"/>
        <v>#DIV/0!</v>
      </c>
      <c r="F84" s="30" t="e">
        <f t="shared" si="109"/>
        <v>#DIV/0!</v>
      </c>
      <c r="G84" s="30">
        <f t="shared" si="110"/>
        <v>0</v>
      </c>
      <c r="H84" s="35">
        <v>1460</v>
      </c>
      <c r="I84" s="35">
        <f t="shared" si="111"/>
        <v>140</v>
      </c>
      <c r="J84" s="35">
        <f t="shared" si="112"/>
        <v>280</v>
      </c>
      <c r="K84" s="39">
        <v>325</v>
      </c>
      <c r="L84" s="39">
        <v>0</v>
      </c>
      <c r="M84" s="210"/>
      <c r="N84" s="44">
        <v>20</v>
      </c>
      <c r="O84" s="202"/>
      <c r="P84" s="31">
        <f t="shared" si="113"/>
        <v>0</v>
      </c>
      <c r="Q84" s="36"/>
      <c r="R84" s="167"/>
      <c r="S84" s="36"/>
      <c r="T84" s="34">
        <f t="shared" si="114"/>
        <v>0</v>
      </c>
      <c r="U84" s="31">
        <f t="shared" si="115"/>
        <v>0</v>
      </c>
      <c r="V84" s="34">
        <f t="shared" si="116"/>
        <v>0</v>
      </c>
      <c r="W84" s="43">
        <v>22700</v>
      </c>
      <c r="X84" s="34">
        <f>SUMIF(헤몬팜마진!$B$7:$B$32,$C84,헤몬팜마진!$R$7:$R$32)</f>
        <v>7080.6879999999992</v>
      </c>
      <c r="Y84" s="34">
        <f t="shared" si="117"/>
        <v>0</v>
      </c>
      <c r="Z84" s="34">
        <f t="shared" si="118"/>
        <v>3994.1000000000004</v>
      </c>
      <c r="AA84" s="49">
        <v>3631</v>
      </c>
      <c r="AB84" s="36"/>
      <c r="AC84" s="204">
        <f t="shared" si="119"/>
        <v>0</v>
      </c>
      <c r="AD84" s="152">
        <v>0.1</v>
      </c>
      <c r="AE84" s="31">
        <f>2950*(P84)</f>
        <v>0</v>
      </c>
      <c r="AF84" s="28" t="e">
        <f t="shared" si="120"/>
        <v>#DIV/0!</v>
      </c>
      <c r="AG84" s="34">
        <f t="shared" si="121"/>
        <v>0</v>
      </c>
      <c r="AH84" s="34">
        <f t="shared" si="122"/>
        <v>0</v>
      </c>
      <c r="AI84" s="34">
        <f>SUMIF(헤몬팜마진!$B$7:$B$32,$C84,헤몬팜마진!$V$7:$V$32)</f>
        <v>7377.3279999999995</v>
      </c>
      <c r="AJ84" s="34">
        <f t="shared" si="123"/>
        <v>0</v>
      </c>
      <c r="AK84" s="46">
        <f t="shared" si="124"/>
        <v>-3994.1000000000004</v>
      </c>
      <c r="AL84" s="40">
        <f>SUMIF(헤몬팜마진!$B$7:$B$32,$C84,헤몬팜마진!$T$7:$T$32)</f>
        <v>48.6</v>
      </c>
      <c r="AM84" s="41">
        <f>SUMIF(헤몬팜마진!$B$7:$B$32,$C84,헤몬팜마진!$U$7:$U$32)</f>
        <v>248.04000000000002</v>
      </c>
      <c r="AN84" s="36"/>
      <c r="AO84" s="202">
        <v>39345</v>
      </c>
      <c r="AP84" s="205">
        <v>8</v>
      </c>
      <c r="AQ84" s="126"/>
      <c r="AR84" s="126"/>
      <c r="AS84" s="126"/>
      <c r="AT84" s="118"/>
      <c r="AU84" s="118"/>
      <c r="AV84" s="118"/>
      <c r="AW84" s="118"/>
      <c r="AX84" s="118"/>
      <c r="AY84" s="118"/>
      <c r="AZ84" s="118"/>
      <c r="BA84" s="118"/>
      <c r="BB84" s="118"/>
      <c r="BC84" s="118"/>
      <c r="BD84" s="118"/>
      <c r="BE84" s="118"/>
      <c r="BF84" s="118"/>
      <c r="BG84" s="47"/>
      <c r="BH84" s="47"/>
      <c r="BI84" s="47"/>
      <c r="BJ84" s="47"/>
      <c r="BK84" s="47"/>
    </row>
    <row r="85" spans="1:63" ht="28.5" customHeight="1">
      <c r="A85" s="327" t="s">
        <v>131</v>
      </c>
      <c r="B85" s="323"/>
      <c r="C85" s="42" t="s">
        <v>109</v>
      </c>
      <c r="D85" s="28" t="e">
        <f t="shared" si="107"/>
        <v>#REF!</v>
      </c>
      <c r="E85" s="201" t="e">
        <f t="shared" si="108"/>
        <v>#REF!</v>
      </c>
      <c r="F85" s="30">
        <f t="shared" si="109"/>
        <v>0.26006113537117909</v>
      </c>
      <c r="G85" s="30">
        <f t="shared" si="110"/>
        <v>0</v>
      </c>
      <c r="H85" s="35">
        <v>0</v>
      </c>
      <c r="I85" s="35">
        <f t="shared" si="111"/>
        <v>105</v>
      </c>
      <c r="J85" s="35">
        <f t="shared" si="112"/>
        <v>210</v>
      </c>
      <c r="K85" s="325">
        <v>430</v>
      </c>
      <c r="L85" s="49">
        <f>40+3+3</f>
        <v>46</v>
      </c>
      <c r="M85" s="48"/>
      <c r="N85" s="44">
        <v>15</v>
      </c>
      <c r="O85" s="202">
        <v>1</v>
      </c>
      <c r="P85" s="31">
        <f t="shared" si="113"/>
        <v>1</v>
      </c>
      <c r="Q85" s="36"/>
      <c r="R85" s="203"/>
      <c r="S85" s="36"/>
      <c r="T85" s="34">
        <f t="shared" si="114"/>
        <v>45800</v>
      </c>
      <c r="U85" s="31">
        <f t="shared" si="115"/>
        <v>0</v>
      </c>
      <c r="V85" s="34">
        <f t="shared" si="116"/>
        <v>45800</v>
      </c>
      <c r="W85" s="43">
        <v>45800</v>
      </c>
      <c r="X85" s="34">
        <f>SUMIF(헤몬팜마진!$B$7:$B$32,$C85,헤몬팜마진!$R$7:$R$32)</f>
        <v>9990.4082249999992</v>
      </c>
      <c r="Y85" s="34" t="e">
        <f t="shared" si="117"/>
        <v>#REF!</v>
      </c>
      <c r="Z85" s="34">
        <f t="shared" si="118"/>
        <v>11910.800000000001</v>
      </c>
      <c r="AA85" s="49">
        <v>10828</v>
      </c>
      <c r="AB85" s="36"/>
      <c r="AC85" s="204">
        <f t="shared" ref="AC85:AC99" si="125">(1210+1100)*Q85</f>
        <v>0</v>
      </c>
      <c r="AD85" s="152">
        <v>0.11</v>
      </c>
      <c r="AE85" s="31">
        <f t="shared" ref="AE85:AE86" si="126">4150*(P85)</f>
        <v>4150</v>
      </c>
      <c r="AF85" s="28">
        <f t="shared" si="120"/>
        <v>0.2006113537117904</v>
      </c>
      <c r="AG85" s="34">
        <f t="shared" si="121"/>
        <v>9188.0300000000007</v>
      </c>
      <c r="AH85" s="34" t="e">
        <f t="shared" si="122"/>
        <v>#REF!</v>
      </c>
      <c r="AI85" s="34" t="e">
        <f>SUMIF(헤몬팜마진!$B$7:$B$32,$C85,헤몬팜마진!$V$7:$V$32)</f>
        <v>#REF!</v>
      </c>
      <c r="AJ85" s="34" t="e">
        <f t="shared" si="123"/>
        <v>#REF!</v>
      </c>
      <c r="AK85" s="46" t="e">
        <f t="shared" si="124"/>
        <v>#REF!</v>
      </c>
      <c r="AL85" s="40">
        <f>SUMIF(헤몬팜마진!$B$7:$B$32,$C85,헤몬팜마진!$T$7:$T$32)</f>
        <v>162</v>
      </c>
      <c r="AM85" s="41">
        <f>SUMIF(헤몬팜마진!$B$7:$B$32,$C85,헤몬팜마진!$U$7:$U$32)</f>
        <v>826.80000000000007</v>
      </c>
      <c r="AN85" s="36"/>
      <c r="AO85" s="202">
        <v>28676</v>
      </c>
      <c r="AP85" s="205">
        <v>30</v>
      </c>
      <c r="AQ85" s="126"/>
      <c r="AR85" s="126"/>
      <c r="AS85" s="126"/>
      <c r="AT85" s="118"/>
      <c r="AU85" s="118"/>
      <c r="AV85" s="118"/>
      <c r="AW85" s="118"/>
      <c r="AX85" s="118"/>
      <c r="AY85" s="118"/>
      <c r="AZ85" s="118"/>
      <c r="BA85" s="118"/>
      <c r="BB85" s="118"/>
      <c r="BC85" s="118"/>
      <c r="BD85" s="118"/>
      <c r="BE85" s="118"/>
      <c r="BF85" s="118"/>
      <c r="BG85" s="47"/>
      <c r="BH85" s="47"/>
      <c r="BI85" s="47"/>
      <c r="BJ85" s="47"/>
      <c r="BK85" s="47"/>
    </row>
    <row r="86" spans="1:63" ht="28.5" customHeight="1">
      <c r="A86" s="318"/>
      <c r="B86" s="324"/>
      <c r="C86" s="42" t="s">
        <v>110</v>
      </c>
      <c r="D86" s="28" t="e">
        <f t="shared" si="107"/>
        <v>#REF!</v>
      </c>
      <c r="E86" s="201" t="e">
        <f t="shared" si="108"/>
        <v>#REF!</v>
      </c>
      <c r="F86" s="30">
        <f t="shared" si="109"/>
        <v>0.44962891737891741</v>
      </c>
      <c r="G86" s="30">
        <f t="shared" si="110"/>
        <v>7.9365079365079361E-3</v>
      </c>
      <c r="H86" s="35">
        <v>0</v>
      </c>
      <c r="I86" s="35">
        <f t="shared" si="111"/>
        <v>105</v>
      </c>
      <c r="J86" s="35">
        <f t="shared" si="112"/>
        <v>210</v>
      </c>
      <c r="K86" s="310"/>
      <c r="L86" s="49">
        <f>13+2</f>
        <v>15</v>
      </c>
      <c r="M86" s="48"/>
      <c r="N86" s="44">
        <v>15</v>
      </c>
      <c r="O86" s="202">
        <v>3</v>
      </c>
      <c r="P86" s="31">
        <f t="shared" si="113"/>
        <v>3</v>
      </c>
      <c r="Q86" s="202"/>
      <c r="R86" s="203">
        <v>1</v>
      </c>
      <c r="S86" s="36"/>
      <c r="T86" s="34">
        <f t="shared" si="114"/>
        <v>140400</v>
      </c>
      <c r="U86" s="31">
        <f t="shared" si="115"/>
        <v>0</v>
      </c>
      <c r="V86" s="34">
        <f t="shared" si="116"/>
        <v>140400</v>
      </c>
      <c r="W86" s="43">
        <v>46800</v>
      </c>
      <c r="X86" s="34">
        <f>SUMIF(헤몬팜마진!$B$7:$B$32,$C86,헤몬팜마진!$R$7:$R$32)</f>
        <v>9990.4082249999992</v>
      </c>
      <c r="Y86" s="34" t="e">
        <f t="shared" si="117"/>
        <v>#REF!</v>
      </c>
      <c r="Z86" s="34">
        <f t="shared" si="118"/>
        <v>63127.900000000009</v>
      </c>
      <c r="AA86" s="49">
        <v>57389</v>
      </c>
      <c r="AB86" s="36"/>
      <c r="AC86" s="204">
        <f t="shared" si="125"/>
        <v>0</v>
      </c>
      <c r="AD86" s="152">
        <v>0.11</v>
      </c>
      <c r="AE86" s="31">
        <f t="shared" si="126"/>
        <v>12450</v>
      </c>
      <c r="AF86" s="28">
        <f t="shared" si="120"/>
        <v>0.19867521367521368</v>
      </c>
      <c r="AG86" s="34">
        <f t="shared" si="121"/>
        <v>27894.03</v>
      </c>
      <c r="AH86" s="34" t="e">
        <f t="shared" si="122"/>
        <v>#REF!</v>
      </c>
      <c r="AI86" s="34" t="e">
        <f>SUMIF(헤몬팜마진!$B$7:$B$32,$C86,헤몬팜마진!$V$7:$V$32)</f>
        <v>#REF!</v>
      </c>
      <c r="AJ86" s="34" t="e">
        <f t="shared" si="123"/>
        <v>#REF!</v>
      </c>
      <c r="AK86" s="206" t="e">
        <f t="shared" si="124"/>
        <v>#REF!</v>
      </c>
      <c r="AL86" s="40">
        <f>SUMIF(헤몬팜마진!$B$7:$B$32,$C86,헤몬팜마진!$T$7:$T$32)</f>
        <v>162</v>
      </c>
      <c r="AM86" s="41">
        <f>SUMIF(헤몬팜마진!$B$7:$B$32,$C86,헤몬팜마진!$U$7:$U$32)</f>
        <v>826.80000000000007</v>
      </c>
      <c r="AN86" s="36"/>
      <c r="AO86" s="202">
        <v>126741</v>
      </c>
      <c r="AP86" s="205">
        <v>126</v>
      </c>
      <c r="AQ86" s="126"/>
      <c r="AR86" s="126"/>
      <c r="AS86" s="126"/>
      <c r="AT86" s="118"/>
      <c r="AU86" s="118"/>
      <c r="AV86" s="118"/>
      <c r="AW86" s="118"/>
      <c r="AX86" s="118"/>
      <c r="AY86" s="118"/>
      <c r="AZ86" s="118"/>
      <c r="BA86" s="118"/>
      <c r="BB86" s="118"/>
      <c r="BC86" s="118"/>
      <c r="BD86" s="118"/>
      <c r="BE86" s="118"/>
      <c r="BF86" s="118"/>
      <c r="BG86" s="47"/>
      <c r="BH86" s="47"/>
      <c r="BI86" s="47"/>
      <c r="BJ86" s="47"/>
      <c r="BK86" s="47"/>
    </row>
    <row r="87" spans="1:63" ht="28.5" customHeight="1">
      <c r="A87" s="12" t="s">
        <v>132</v>
      </c>
      <c r="B87" s="323"/>
      <c r="C87" s="42" t="s">
        <v>32</v>
      </c>
      <c r="D87" s="28" t="e">
        <f t="shared" si="107"/>
        <v>#REF!</v>
      </c>
      <c r="E87" s="201" t="e">
        <f t="shared" si="108"/>
        <v>#REF!</v>
      </c>
      <c r="F87" s="30" t="e">
        <f t="shared" si="109"/>
        <v>#DIV/0!</v>
      </c>
      <c r="G87" s="30">
        <f t="shared" si="110"/>
        <v>0</v>
      </c>
      <c r="H87" s="37">
        <v>3504</v>
      </c>
      <c r="I87" s="35">
        <f t="shared" si="111"/>
        <v>210</v>
      </c>
      <c r="J87" s="35">
        <f t="shared" si="112"/>
        <v>420</v>
      </c>
      <c r="K87" s="325">
        <v>626</v>
      </c>
      <c r="L87" s="39">
        <f>30+13+6</f>
        <v>49</v>
      </c>
      <c r="M87" s="210"/>
      <c r="N87" s="208">
        <v>30</v>
      </c>
      <c r="O87" s="202"/>
      <c r="P87" s="31">
        <f t="shared" si="113"/>
        <v>0</v>
      </c>
      <c r="Q87" s="36"/>
      <c r="R87" s="203"/>
      <c r="S87" s="36"/>
      <c r="T87" s="34">
        <f t="shared" si="114"/>
        <v>0</v>
      </c>
      <c r="U87" s="31">
        <f t="shared" si="115"/>
        <v>0</v>
      </c>
      <c r="V87" s="34">
        <f t="shared" si="116"/>
        <v>0</v>
      </c>
      <c r="W87" s="43">
        <v>59800</v>
      </c>
      <c r="X87" s="34">
        <f>SUMIF(헤몬팜마진!$B$7:$B$32,$C87,헤몬팜마진!$R$7:$R$32)</f>
        <v>13276.289999999999</v>
      </c>
      <c r="Y87" s="34" t="e">
        <f t="shared" si="117"/>
        <v>#REF!</v>
      </c>
      <c r="Z87" s="34">
        <f t="shared" si="118"/>
        <v>16806.900000000001</v>
      </c>
      <c r="AA87" s="49">
        <v>15279</v>
      </c>
      <c r="AB87" s="209"/>
      <c r="AC87" s="204">
        <f t="shared" si="125"/>
        <v>0</v>
      </c>
      <c r="AD87" s="152">
        <v>0.108</v>
      </c>
      <c r="AE87" s="31">
        <f t="shared" ref="AE87:AE88" si="127">4825*(P87)</f>
        <v>0</v>
      </c>
      <c r="AF87" s="28" t="e">
        <f t="shared" si="120"/>
        <v>#DIV/0!</v>
      </c>
      <c r="AG87" s="34">
        <f t="shared" si="121"/>
        <v>0</v>
      </c>
      <c r="AH87" s="34" t="e">
        <f t="shared" si="122"/>
        <v>#REF!</v>
      </c>
      <c r="AI87" s="34" t="e">
        <f>SUMIF(헤몬팜마진!$B$7:$B$32,$C87,헤몬팜마진!$V$7:$V$32)</f>
        <v>#REF!</v>
      </c>
      <c r="AJ87" s="34" t="e">
        <f t="shared" si="123"/>
        <v>#REF!</v>
      </c>
      <c r="AK87" s="46" t="e">
        <f t="shared" si="124"/>
        <v>#REF!</v>
      </c>
      <c r="AL87" s="40">
        <f>SUMIF(헤몬팜마진!$B$7:$B$32,$C87,헤몬팜마진!$T$7:$T$32)</f>
        <v>371.52</v>
      </c>
      <c r="AM87" s="41">
        <f>SUMIF(헤몬팜마진!$B$7:$B$32,$C87,헤몬팜마진!$U$7:$U$32)</f>
        <v>1896.1279999999999</v>
      </c>
      <c r="AN87" s="36"/>
      <c r="AO87" s="202">
        <v>14928</v>
      </c>
      <c r="AP87" s="205">
        <v>25</v>
      </c>
      <c r="AQ87" s="126"/>
      <c r="AR87" s="126"/>
      <c r="AS87" s="126"/>
      <c r="AT87" s="118"/>
      <c r="AU87" s="118"/>
      <c r="AV87" s="118"/>
      <c r="AW87" s="118"/>
      <c r="AX87" s="118"/>
      <c r="AY87" s="118"/>
      <c r="AZ87" s="118"/>
      <c r="BA87" s="118"/>
      <c r="BB87" s="118"/>
      <c r="BC87" s="118"/>
      <c r="BD87" s="118"/>
      <c r="BE87" s="118"/>
      <c r="BF87" s="118"/>
      <c r="BG87" s="47"/>
      <c r="BH87" s="47"/>
      <c r="BI87" s="47"/>
      <c r="BJ87" s="47"/>
      <c r="BK87" s="47"/>
    </row>
    <row r="88" spans="1:63" ht="28.5" customHeight="1">
      <c r="A88" s="12" t="s">
        <v>132</v>
      </c>
      <c r="B88" s="324"/>
      <c r="C88" s="42" t="s">
        <v>33</v>
      </c>
      <c r="D88" s="28" t="e">
        <f t="shared" si="107"/>
        <v>#REF!</v>
      </c>
      <c r="E88" s="201" t="e">
        <f t="shared" si="108"/>
        <v>#REF!</v>
      </c>
      <c r="F88" s="30">
        <f t="shared" si="109"/>
        <v>0.37889151619375183</v>
      </c>
      <c r="G88" s="30">
        <f t="shared" si="110"/>
        <v>0</v>
      </c>
      <c r="H88" s="35">
        <v>0</v>
      </c>
      <c r="I88" s="35">
        <f t="shared" si="111"/>
        <v>210</v>
      </c>
      <c r="J88" s="35">
        <f t="shared" si="112"/>
        <v>420</v>
      </c>
      <c r="K88" s="310"/>
      <c r="L88" s="39">
        <f>4+11+18+38+129</f>
        <v>200</v>
      </c>
      <c r="M88" s="210"/>
      <c r="N88" s="44">
        <v>30</v>
      </c>
      <c r="O88" s="202">
        <v>2</v>
      </c>
      <c r="P88" s="31">
        <f t="shared" si="113"/>
        <v>2</v>
      </c>
      <c r="Q88" s="36"/>
      <c r="R88" s="203"/>
      <c r="S88" s="36"/>
      <c r="T88" s="34">
        <f t="shared" si="114"/>
        <v>139560</v>
      </c>
      <c r="U88" s="31">
        <f t="shared" si="115"/>
        <v>0</v>
      </c>
      <c r="V88" s="34">
        <f t="shared" si="116"/>
        <v>139560</v>
      </c>
      <c r="W88" s="43">
        <v>69780</v>
      </c>
      <c r="X88" s="34">
        <f>SUMIF(헤몬팜마진!$B$7:$B$32,$C88,헤몬팜마진!$R$7:$R$32)</f>
        <v>13276.289999999999</v>
      </c>
      <c r="Y88" s="34" t="e">
        <f t="shared" si="117"/>
        <v>#REF!</v>
      </c>
      <c r="Z88" s="34">
        <f t="shared" si="118"/>
        <v>52878.100000000006</v>
      </c>
      <c r="AA88" s="49">
        <v>48071</v>
      </c>
      <c r="AB88" s="36"/>
      <c r="AC88" s="204">
        <f t="shared" si="125"/>
        <v>0</v>
      </c>
      <c r="AD88" s="152">
        <v>0.108</v>
      </c>
      <c r="AE88" s="31">
        <f t="shared" si="127"/>
        <v>9650</v>
      </c>
      <c r="AF88" s="28">
        <f t="shared" si="120"/>
        <v>0.17714588707366008</v>
      </c>
      <c r="AG88" s="34">
        <f t="shared" si="121"/>
        <v>24722.51</v>
      </c>
      <c r="AH88" s="34" t="e">
        <f t="shared" si="122"/>
        <v>#REF!</v>
      </c>
      <c r="AI88" s="34" t="e">
        <f>SUMIF(헤몬팜마진!$B$7:$B$32,$C88,헤몬팜마진!$V$7:$V$32)</f>
        <v>#REF!</v>
      </c>
      <c r="AJ88" s="34" t="e">
        <f t="shared" si="123"/>
        <v>#REF!</v>
      </c>
      <c r="AK88" s="46" t="e">
        <f t="shared" si="124"/>
        <v>#REF!</v>
      </c>
      <c r="AL88" s="40">
        <f>SUMIF(헤몬팜마진!$B$7:$B$32,$C88,헤몬팜마진!$T$7:$T$32)</f>
        <v>371.52</v>
      </c>
      <c r="AM88" s="41">
        <f>SUMIF(헤몬팜마진!$B$7:$B$32,$C88,헤몬팜마진!$U$7:$U$32)</f>
        <v>1896.1279999999999</v>
      </c>
      <c r="AN88" s="36"/>
      <c r="AO88" s="202">
        <v>58994</v>
      </c>
      <c r="AP88" s="205">
        <v>93</v>
      </c>
      <c r="AQ88" s="126"/>
      <c r="AR88" s="126"/>
      <c r="AS88" s="126"/>
      <c r="AT88" s="118"/>
      <c r="AU88" s="118"/>
      <c r="AV88" s="118"/>
      <c r="AW88" s="118"/>
      <c r="AX88" s="118"/>
      <c r="AY88" s="118"/>
      <c r="AZ88" s="118"/>
      <c r="BA88" s="118"/>
      <c r="BB88" s="118"/>
      <c r="BC88" s="118"/>
      <c r="BD88" s="118"/>
      <c r="BE88" s="118"/>
      <c r="BF88" s="118"/>
      <c r="BG88" s="47"/>
      <c r="BH88" s="47"/>
      <c r="BI88" s="47"/>
      <c r="BJ88" s="47"/>
      <c r="BK88" s="47"/>
    </row>
    <row r="89" spans="1:63" ht="28.5" customHeight="1">
      <c r="A89" s="228" t="s">
        <v>133</v>
      </c>
      <c r="B89" s="200"/>
      <c r="C89" s="42" t="s">
        <v>111</v>
      </c>
      <c r="D89" s="28">
        <f t="shared" si="107"/>
        <v>-9.8250001490444994E-2</v>
      </c>
      <c r="E89" s="201">
        <f t="shared" si="108"/>
        <v>0.39080862133833916</v>
      </c>
      <c r="F89" s="30">
        <f t="shared" si="109"/>
        <v>0.4890586228287841</v>
      </c>
      <c r="G89" s="30">
        <f t="shared" si="110"/>
        <v>8.2352941176470587E-2</v>
      </c>
      <c r="H89" s="35">
        <v>500</v>
      </c>
      <c r="I89" s="35">
        <f t="shared" si="111"/>
        <v>105</v>
      </c>
      <c r="J89" s="35">
        <f t="shared" si="112"/>
        <v>210</v>
      </c>
      <c r="K89" s="39">
        <v>577</v>
      </c>
      <c r="L89" s="39">
        <v>211</v>
      </c>
      <c r="M89" s="210"/>
      <c r="N89" s="44">
        <v>15</v>
      </c>
      <c r="O89" s="202">
        <v>19</v>
      </c>
      <c r="P89" s="31">
        <f t="shared" si="113"/>
        <v>14</v>
      </c>
      <c r="Q89" s="202"/>
      <c r="R89" s="203">
        <v>14</v>
      </c>
      <c r="S89" s="202">
        <v>5</v>
      </c>
      <c r="T89" s="34">
        <f t="shared" si="114"/>
        <v>306280</v>
      </c>
      <c r="U89" s="31">
        <f t="shared" si="115"/>
        <v>80600</v>
      </c>
      <c r="V89" s="34">
        <f t="shared" si="116"/>
        <v>225680</v>
      </c>
      <c r="W89" s="43">
        <v>16120</v>
      </c>
      <c r="X89" s="34">
        <f>SUMIF(헤몬팜마진!$B$7:$B$32,$C89,헤몬팜마진!$R$7:$R$32)</f>
        <v>5089.2444999999998</v>
      </c>
      <c r="Y89" s="34">
        <f t="shared" si="117"/>
        <v>71768.542999999991</v>
      </c>
      <c r="Z89" s="34">
        <f t="shared" si="118"/>
        <v>61033.500000000007</v>
      </c>
      <c r="AA89" s="49">
        <v>55485</v>
      </c>
      <c r="AB89" s="211">
        <f>((17890*0.015)+(17890*0.19)+2100+2200+1900)*5</f>
        <v>49337.25</v>
      </c>
      <c r="AC89" s="204">
        <f t="shared" si="125"/>
        <v>0</v>
      </c>
      <c r="AD89" s="152">
        <v>7.8E-2</v>
      </c>
      <c r="AE89" s="31">
        <f>2900*(P89)</f>
        <v>40600</v>
      </c>
      <c r="AF89" s="28">
        <f t="shared" si="120"/>
        <v>0.25790074441687344</v>
      </c>
      <c r="AG89" s="34">
        <f t="shared" si="121"/>
        <v>58203.07</v>
      </c>
      <c r="AH89" s="34">
        <f t="shared" si="122"/>
        <v>7510.6973363636371</v>
      </c>
      <c r="AI89" s="34">
        <f>SUMIF(헤몬팜마진!$B$7:$B$32,$C89,헤몬팜마진!$V$7:$V$32)</f>
        <v>5126.3244999999997</v>
      </c>
      <c r="AJ89" s="34">
        <f t="shared" si="123"/>
        <v>88197.689663636382</v>
      </c>
      <c r="AK89" s="206">
        <f t="shared" si="124"/>
        <v>-22173.060336363626</v>
      </c>
      <c r="AL89" s="40">
        <f>SUMIF(헤몬팜마진!$B$7:$B$32,$C89,헤몬팜마진!$T$7:$T$32)</f>
        <v>6.0750000000000002</v>
      </c>
      <c r="AM89" s="41">
        <f>SUMIF(헤몬팜마진!$B$7:$B$32,$C89,헤몬팜마진!$U$7:$U$32)</f>
        <v>31.005000000000003</v>
      </c>
      <c r="AN89" s="36"/>
      <c r="AO89" s="202">
        <v>54159</v>
      </c>
      <c r="AP89" s="205">
        <v>170</v>
      </c>
      <c r="AQ89" s="126"/>
      <c r="AR89" s="126"/>
      <c r="AS89" s="126"/>
      <c r="AT89" s="118"/>
      <c r="AU89" s="118"/>
      <c r="AV89" s="118"/>
      <c r="AW89" s="118"/>
      <c r="AX89" s="118"/>
      <c r="AY89" s="118"/>
      <c r="AZ89" s="118"/>
      <c r="BA89" s="118"/>
      <c r="BB89" s="118"/>
      <c r="BC89" s="118"/>
      <c r="BD89" s="118"/>
      <c r="BE89" s="118"/>
      <c r="BF89" s="118"/>
      <c r="BG89" s="47"/>
      <c r="BH89" s="47"/>
      <c r="BI89" s="47"/>
      <c r="BJ89" s="47"/>
      <c r="BK89" s="47"/>
    </row>
    <row r="90" spans="1:63" ht="28.5" customHeight="1">
      <c r="A90" s="327" t="s">
        <v>134</v>
      </c>
      <c r="B90" s="323"/>
      <c r="C90" s="42" t="s">
        <v>112</v>
      </c>
      <c r="D90" s="29" t="e">
        <f t="shared" si="107"/>
        <v>#REF!</v>
      </c>
      <c r="E90" s="201" t="e">
        <f t="shared" si="108"/>
        <v>#REF!</v>
      </c>
      <c r="F90" s="30">
        <f t="shared" si="109"/>
        <v>0.19856381909547741</v>
      </c>
      <c r="G90" s="30">
        <f t="shared" si="110"/>
        <v>2.8846153846153848E-2</v>
      </c>
      <c r="H90" s="312">
        <v>0</v>
      </c>
      <c r="I90" s="35">
        <f t="shared" si="111"/>
        <v>140</v>
      </c>
      <c r="J90" s="35">
        <f t="shared" si="112"/>
        <v>280</v>
      </c>
      <c r="K90" s="325">
        <v>343</v>
      </c>
      <c r="L90" s="39">
        <f>97+42+48+31+19+10</f>
        <v>247</v>
      </c>
      <c r="M90" s="210"/>
      <c r="N90" s="44">
        <v>20</v>
      </c>
      <c r="O90" s="202">
        <v>5</v>
      </c>
      <c r="P90" s="31">
        <f t="shared" si="113"/>
        <v>5</v>
      </c>
      <c r="Q90" s="202"/>
      <c r="R90" s="167">
        <v>3</v>
      </c>
      <c r="S90" s="36"/>
      <c r="T90" s="34">
        <f t="shared" si="114"/>
        <v>199000</v>
      </c>
      <c r="U90" s="31">
        <f t="shared" si="115"/>
        <v>0</v>
      </c>
      <c r="V90" s="34">
        <f t="shared" si="116"/>
        <v>199000</v>
      </c>
      <c r="W90" s="43">
        <v>39800</v>
      </c>
      <c r="X90" s="34">
        <f>SUMIF(헤몬팜마진!$B$7:$B$32,$C90,헤몬팜마진!$R$7:$R$32)</f>
        <v>7855.1382499999991</v>
      </c>
      <c r="Y90" s="34" t="e">
        <f t="shared" si="117"/>
        <v>#REF!</v>
      </c>
      <c r="Z90" s="34">
        <f t="shared" si="118"/>
        <v>39514.200000000004</v>
      </c>
      <c r="AA90" s="49">
        <v>35922</v>
      </c>
      <c r="AB90" s="209"/>
      <c r="AC90" s="204">
        <f t="shared" si="125"/>
        <v>0</v>
      </c>
      <c r="AD90" s="152">
        <v>0.08</v>
      </c>
      <c r="AE90" s="31">
        <f>4150*(P90)</f>
        <v>20750</v>
      </c>
      <c r="AF90" s="28">
        <f t="shared" si="120"/>
        <v>0.18427135678391959</v>
      </c>
      <c r="AG90" s="34">
        <f t="shared" si="121"/>
        <v>36670.03</v>
      </c>
      <c r="AH90" s="34" t="e">
        <f t="shared" si="122"/>
        <v>#REF!</v>
      </c>
      <c r="AI90" s="34" t="e">
        <f>SUMIF(헤몬팜마진!$B$7:$B$32,$C90,헤몬팜마진!$V$7:$V$32)</f>
        <v>#REF!</v>
      </c>
      <c r="AJ90" s="34" t="e">
        <f t="shared" si="123"/>
        <v>#REF!</v>
      </c>
      <c r="AK90" s="46" t="e">
        <f t="shared" si="124"/>
        <v>#REF!</v>
      </c>
      <c r="AL90" s="40">
        <f>SUMIF(헤몬팜마진!$B$7:$B$32,$C90,헤몬팜마진!$T$7:$T$32)</f>
        <v>176.41799999999998</v>
      </c>
      <c r="AM90" s="41">
        <f>SUMIF(헤몬팜마진!$B$7:$B$32,$C90,헤몬팜마진!$U$7:$U$32)</f>
        <v>900.38519999999994</v>
      </c>
      <c r="AN90" s="36"/>
      <c r="AO90" s="202">
        <v>36287</v>
      </c>
      <c r="AP90" s="205">
        <v>104</v>
      </c>
      <c r="AQ90" s="126"/>
      <c r="AR90" s="126"/>
      <c r="AS90" s="126"/>
      <c r="AT90" s="118"/>
      <c r="AU90" s="118"/>
      <c r="AV90" s="118"/>
      <c r="AW90" s="118"/>
      <c r="AX90" s="118"/>
      <c r="AY90" s="118"/>
      <c r="AZ90" s="118"/>
      <c r="BA90" s="118"/>
      <c r="BB90" s="118"/>
      <c r="BC90" s="118"/>
      <c r="BD90" s="118"/>
      <c r="BE90" s="118"/>
      <c r="BF90" s="118"/>
      <c r="BG90" s="47"/>
      <c r="BH90" s="47"/>
      <c r="BI90" s="47"/>
      <c r="BJ90" s="47"/>
      <c r="BK90" s="47"/>
    </row>
    <row r="91" spans="1:63" ht="28.5" customHeight="1">
      <c r="A91" s="318"/>
      <c r="B91" s="324"/>
      <c r="C91" s="42" t="s">
        <v>113</v>
      </c>
      <c r="D91" s="28" t="e">
        <f t="shared" si="107"/>
        <v>#REF!</v>
      </c>
      <c r="E91" s="201" t="e">
        <f t="shared" si="108"/>
        <v>#REF!</v>
      </c>
      <c r="F91" s="30" t="e">
        <f t="shared" si="109"/>
        <v>#DIV/0!</v>
      </c>
      <c r="G91" s="30">
        <f t="shared" si="110"/>
        <v>0</v>
      </c>
      <c r="H91" s="310"/>
      <c r="I91" s="35">
        <f t="shared" si="111"/>
        <v>105</v>
      </c>
      <c r="J91" s="35">
        <f t="shared" si="112"/>
        <v>210</v>
      </c>
      <c r="K91" s="310"/>
      <c r="L91" s="39">
        <f>74+42+48+18+8+2</f>
        <v>192</v>
      </c>
      <c r="M91" s="210"/>
      <c r="N91" s="44">
        <v>15</v>
      </c>
      <c r="O91" s="36"/>
      <c r="P91" s="31">
        <f t="shared" si="113"/>
        <v>0</v>
      </c>
      <c r="Q91" s="36">
        <v>1</v>
      </c>
      <c r="R91" s="167"/>
      <c r="S91" s="36"/>
      <c r="T91" s="34">
        <f t="shared" si="114"/>
        <v>0</v>
      </c>
      <c r="U91" s="31">
        <f t="shared" si="115"/>
        <v>0</v>
      </c>
      <c r="V91" s="34">
        <f t="shared" si="116"/>
        <v>0</v>
      </c>
      <c r="W91" s="43">
        <v>42900</v>
      </c>
      <c r="X91" s="34">
        <f>SUMIF(헤몬팜마진!$B$7:$B$32,$C91,헤몬팜마진!$R$7:$R$32)</f>
        <v>7855.1382499999991</v>
      </c>
      <c r="Y91" s="34" t="e">
        <f t="shared" si="117"/>
        <v>#REF!</v>
      </c>
      <c r="Z91" s="34">
        <f t="shared" si="118"/>
        <v>10476.400000000001</v>
      </c>
      <c r="AA91" s="49">
        <v>9524</v>
      </c>
      <c r="AB91" s="36"/>
      <c r="AC91" s="204">
        <f t="shared" si="125"/>
        <v>2310</v>
      </c>
      <c r="AD91" s="152">
        <v>7.8E-2</v>
      </c>
      <c r="AE91" s="31">
        <f>1900*(P91)</f>
        <v>0</v>
      </c>
      <c r="AF91" s="28" t="e">
        <f t="shared" si="120"/>
        <v>#DIV/0!</v>
      </c>
      <c r="AG91" s="34">
        <f t="shared" si="121"/>
        <v>0</v>
      </c>
      <c r="AH91" s="34" t="e">
        <f t="shared" si="122"/>
        <v>#REF!</v>
      </c>
      <c r="AI91" s="34" t="e">
        <f>SUMIF(헤몬팜마진!$B$7:$B$32,$C91,헤몬팜마진!$V$7:$V$32)</f>
        <v>#REF!</v>
      </c>
      <c r="AJ91" s="34" t="e">
        <f t="shared" si="123"/>
        <v>#REF!</v>
      </c>
      <c r="AK91" s="206" t="e">
        <f t="shared" si="124"/>
        <v>#REF!</v>
      </c>
      <c r="AL91" s="40">
        <f>SUMIF(헤몬팜마진!$B$7:$B$32,$C91,헤몬팜마진!$T$7:$T$32)</f>
        <v>176.41799999999998</v>
      </c>
      <c r="AM91" s="41">
        <f>SUMIF(헤몬팜마진!$B$7:$B$32,$C91,헤몬팜마진!$U$7:$U$32)</f>
        <v>900.38519999999994</v>
      </c>
      <c r="AN91" s="36"/>
      <c r="AO91" s="202">
        <v>25366</v>
      </c>
      <c r="AP91" s="205">
        <v>87</v>
      </c>
      <c r="AQ91" s="126"/>
      <c r="AR91" s="126"/>
      <c r="AS91" s="126"/>
      <c r="AT91" s="118"/>
      <c r="AU91" s="118"/>
      <c r="AV91" s="118"/>
      <c r="AW91" s="118"/>
      <c r="AX91" s="118"/>
      <c r="AY91" s="118"/>
      <c r="AZ91" s="118"/>
      <c r="BA91" s="118"/>
      <c r="BB91" s="118"/>
      <c r="BC91" s="118"/>
      <c r="BD91" s="118"/>
      <c r="BE91" s="118"/>
      <c r="BF91" s="118"/>
      <c r="BG91" s="47"/>
      <c r="BH91" s="47"/>
      <c r="BI91" s="47"/>
      <c r="BJ91" s="47"/>
      <c r="BK91" s="47"/>
    </row>
    <row r="92" spans="1:63" ht="28.5" customHeight="1">
      <c r="A92" s="228" t="s">
        <v>135</v>
      </c>
      <c r="B92" s="200"/>
      <c r="C92" s="42" t="s">
        <v>114</v>
      </c>
      <c r="D92" s="28">
        <f t="shared" si="107"/>
        <v>0.33994803079229807</v>
      </c>
      <c r="E92" s="201">
        <f t="shared" si="108"/>
        <v>0.36298882940340921</v>
      </c>
      <c r="F92" s="30">
        <f t="shared" si="109"/>
        <v>2.3040798611111114E-2</v>
      </c>
      <c r="G92" s="30">
        <f t="shared" si="110"/>
        <v>9.0909090909090912E-2</v>
      </c>
      <c r="H92" s="35">
        <v>1750</v>
      </c>
      <c r="I92" s="35">
        <f t="shared" si="111"/>
        <v>350</v>
      </c>
      <c r="J92" s="35">
        <f t="shared" si="112"/>
        <v>700</v>
      </c>
      <c r="K92" s="39">
        <v>1449</v>
      </c>
      <c r="L92" s="39">
        <v>1217</v>
      </c>
      <c r="M92" s="210"/>
      <c r="N92" s="44">
        <v>50</v>
      </c>
      <c r="O92" s="202">
        <v>12</v>
      </c>
      <c r="P92" s="31">
        <f t="shared" si="113"/>
        <v>12</v>
      </c>
      <c r="Q92" s="36">
        <v>1</v>
      </c>
      <c r="R92" s="203">
        <v>2</v>
      </c>
      <c r="S92" s="36"/>
      <c r="T92" s="34">
        <f t="shared" si="114"/>
        <v>230400</v>
      </c>
      <c r="U92" s="31">
        <f t="shared" si="115"/>
        <v>0</v>
      </c>
      <c r="V92" s="34">
        <f t="shared" si="116"/>
        <v>230400</v>
      </c>
      <c r="W92" s="43">
        <v>19200</v>
      </c>
      <c r="X92" s="34">
        <f>SUMIF(헤몬팜마진!$B$7:$B$32,$C92,헤몬팜마진!$R$7:$R$32)</f>
        <v>6372.6191999999992</v>
      </c>
      <c r="Y92" s="34">
        <f t="shared" si="117"/>
        <v>81257.222399999984</v>
      </c>
      <c r="Z92" s="34">
        <f t="shared" si="118"/>
        <v>5308.6</v>
      </c>
      <c r="AA92" s="49">
        <v>4826</v>
      </c>
      <c r="AB92" s="36"/>
      <c r="AC92" s="204">
        <f t="shared" si="125"/>
        <v>2310</v>
      </c>
      <c r="AD92" s="152">
        <v>0.08</v>
      </c>
      <c r="AE92" s="31">
        <f>3350*(P92)</f>
        <v>40200</v>
      </c>
      <c r="AF92" s="28">
        <f t="shared" si="120"/>
        <v>0.25447916666666665</v>
      </c>
      <c r="AG92" s="34">
        <f t="shared" si="121"/>
        <v>58632.029999999992</v>
      </c>
      <c r="AH92" s="34">
        <f t="shared" si="122"/>
        <v>6878.1213054545478</v>
      </c>
      <c r="AI92" s="34">
        <f>SUMIF(헤몬팜마진!$B$7:$B$32,$C92,헤몬팜마진!$V$7:$V$32)</f>
        <v>6771.435199999999</v>
      </c>
      <c r="AJ92" s="34">
        <f t="shared" si="123"/>
        <v>83632.62629454548</v>
      </c>
      <c r="AK92" s="46">
        <f t="shared" si="124"/>
        <v>78324.026294545474</v>
      </c>
      <c r="AL92" s="40">
        <f>SUMIF(헤몬팜마진!$B$7:$B$32,$C92,헤몬팜마진!$T$7:$T$32)</f>
        <v>65.34</v>
      </c>
      <c r="AM92" s="41">
        <f>SUMIF(헤몬팜마진!$B$7:$B$32,$C92,헤몬팜마진!$U$7:$U$32)</f>
        <v>333.476</v>
      </c>
      <c r="AN92" s="36"/>
      <c r="AO92" s="202">
        <v>7636</v>
      </c>
      <c r="AP92" s="205">
        <v>22</v>
      </c>
      <c r="AQ92" s="126"/>
      <c r="AR92" s="126"/>
      <c r="AS92" s="126"/>
      <c r="AT92" s="118"/>
      <c r="AU92" s="118"/>
      <c r="AV92" s="118"/>
      <c r="AW92" s="118"/>
      <c r="AX92" s="118"/>
      <c r="AY92" s="118"/>
      <c r="AZ92" s="118"/>
      <c r="BA92" s="118"/>
      <c r="BB92" s="118"/>
      <c r="BC92" s="118"/>
      <c r="BD92" s="118"/>
      <c r="BE92" s="118"/>
      <c r="BF92" s="118"/>
      <c r="BG92" s="47"/>
      <c r="BH92" s="47"/>
      <c r="BI92" s="47"/>
      <c r="BJ92" s="47"/>
      <c r="BK92" s="47"/>
    </row>
    <row r="93" spans="1:63" ht="28.5" customHeight="1">
      <c r="A93" s="327" t="s">
        <v>136</v>
      </c>
      <c r="B93" s="326"/>
      <c r="C93" s="42" t="s">
        <v>115</v>
      </c>
      <c r="D93" s="28" t="e">
        <f t="shared" si="107"/>
        <v>#REF!</v>
      </c>
      <c r="E93" s="201" t="e">
        <f t="shared" si="108"/>
        <v>#REF!</v>
      </c>
      <c r="F93" s="30">
        <f t="shared" si="109"/>
        <v>0.16464370437956205</v>
      </c>
      <c r="G93" s="30">
        <f t="shared" si="110"/>
        <v>4.6511627906976744E-2</v>
      </c>
      <c r="H93" s="35">
        <v>0</v>
      </c>
      <c r="I93" s="35">
        <f t="shared" si="111"/>
        <v>70</v>
      </c>
      <c r="J93" s="35">
        <f t="shared" si="112"/>
        <v>140</v>
      </c>
      <c r="K93" s="328">
        <v>494</v>
      </c>
      <c r="L93" s="39">
        <v>0</v>
      </c>
      <c r="M93" s="210"/>
      <c r="N93" s="44">
        <v>10</v>
      </c>
      <c r="O93" s="36">
        <v>4</v>
      </c>
      <c r="P93" s="31">
        <f t="shared" si="113"/>
        <v>4</v>
      </c>
      <c r="Q93" s="36">
        <v>1</v>
      </c>
      <c r="R93" s="167">
        <v>4</v>
      </c>
      <c r="S93" s="36"/>
      <c r="T93" s="34">
        <f t="shared" si="114"/>
        <v>219200</v>
      </c>
      <c r="U93" s="31">
        <f t="shared" si="115"/>
        <v>0</v>
      </c>
      <c r="V93" s="34">
        <f t="shared" si="116"/>
        <v>219200</v>
      </c>
      <c r="W93" s="43">
        <v>54800</v>
      </c>
      <c r="X93" s="34">
        <f>SUMIF(헤몬팜마진!$B$7:$B$32,$C93,헤몬팜마진!$R$7:$R$32)</f>
        <v>12169.932499999999</v>
      </c>
      <c r="Y93" s="34" t="e">
        <f t="shared" si="117"/>
        <v>#REF!</v>
      </c>
      <c r="Z93" s="34">
        <f t="shared" si="118"/>
        <v>36089.9</v>
      </c>
      <c r="AA93" s="49">
        <v>32809</v>
      </c>
      <c r="AB93" s="36"/>
      <c r="AC93" s="204">
        <f t="shared" si="125"/>
        <v>2310</v>
      </c>
      <c r="AD93" s="152">
        <v>7.8E-2</v>
      </c>
      <c r="AE93" s="31">
        <f t="shared" ref="AE93:AE94" si="128">4825*(P93)</f>
        <v>19300</v>
      </c>
      <c r="AF93" s="28">
        <f t="shared" si="120"/>
        <v>0.16604744525547444</v>
      </c>
      <c r="AG93" s="34">
        <f t="shared" si="121"/>
        <v>36397.629999999997</v>
      </c>
      <c r="AH93" s="34" t="e">
        <f t="shared" si="122"/>
        <v>#REF!</v>
      </c>
      <c r="AI93" s="34" t="e">
        <f>SUMIF(헤몬팜마진!$B$7:$B$32,$C93,헤몬팜마진!$V$7:$V$32)</f>
        <v>#REF!</v>
      </c>
      <c r="AJ93" s="34" t="e">
        <f t="shared" si="123"/>
        <v>#REF!</v>
      </c>
      <c r="AK93" s="206" t="e">
        <f t="shared" si="124"/>
        <v>#REF!</v>
      </c>
      <c r="AL93" s="40">
        <f>SUMIF(헤몬팜마진!$B$7:$B$32,$C93,헤몬팜마진!$T$7:$T$32)</f>
        <v>181.44000000000003</v>
      </c>
      <c r="AM93" s="41">
        <f>SUMIF(헤몬팜마진!$B$7:$B$32,$C93,헤몬팜마진!$U$7:$U$32)</f>
        <v>926.01600000000019</v>
      </c>
      <c r="AN93" s="36"/>
      <c r="AO93" s="202">
        <v>19453</v>
      </c>
      <c r="AP93" s="205">
        <v>86</v>
      </c>
      <c r="AQ93" s="126"/>
      <c r="AR93" s="126"/>
      <c r="AS93" s="126"/>
      <c r="AT93" s="118"/>
      <c r="AU93" s="118"/>
      <c r="AV93" s="118"/>
      <c r="AW93" s="118"/>
      <c r="AX93" s="118"/>
      <c r="AY93" s="118"/>
      <c r="AZ93" s="118"/>
      <c r="BA93" s="118"/>
      <c r="BB93" s="118"/>
      <c r="BC93" s="118"/>
      <c r="BD93" s="118"/>
      <c r="BE93" s="118"/>
      <c r="BF93" s="118"/>
      <c r="BG93" s="47"/>
      <c r="BH93" s="47"/>
      <c r="BI93" s="47"/>
      <c r="BJ93" s="47"/>
      <c r="BK93" s="47"/>
    </row>
    <row r="94" spans="1:63" ht="28.5" customHeight="1">
      <c r="A94" s="318"/>
      <c r="B94" s="324"/>
      <c r="C94" s="42" t="s">
        <v>116</v>
      </c>
      <c r="D94" s="28" t="e">
        <f t="shared" si="107"/>
        <v>#REF!</v>
      </c>
      <c r="E94" s="201" t="e">
        <f t="shared" si="108"/>
        <v>#REF!</v>
      </c>
      <c r="F94" s="30">
        <f t="shared" si="109"/>
        <v>0.1118385254654348</v>
      </c>
      <c r="G94" s="30">
        <f t="shared" si="110"/>
        <v>6.4814814814814811E-2</v>
      </c>
      <c r="H94" s="35">
        <v>0</v>
      </c>
      <c r="I94" s="35">
        <f t="shared" si="111"/>
        <v>70</v>
      </c>
      <c r="J94" s="35">
        <f t="shared" si="112"/>
        <v>140</v>
      </c>
      <c r="K94" s="310"/>
      <c r="L94" s="39">
        <v>1</v>
      </c>
      <c r="M94" s="210"/>
      <c r="N94" s="44">
        <v>10</v>
      </c>
      <c r="O94" s="202">
        <v>7</v>
      </c>
      <c r="P94" s="31">
        <f t="shared" si="113"/>
        <v>7</v>
      </c>
      <c r="Q94" s="202"/>
      <c r="R94" s="203">
        <v>7</v>
      </c>
      <c r="S94" s="36"/>
      <c r="T94" s="34">
        <f t="shared" si="114"/>
        <v>430780</v>
      </c>
      <c r="U94" s="31">
        <f t="shared" si="115"/>
        <v>0</v>
      </c>
      <c r="V94" s="34">
        <f t="shared" si="116"/>
        <v>430780</v>
      </c>
      <c r="W94" s="43">
        <v>61540</v>
      </c>
      <c r="X94" s="34">
        <f>SUMIF(헤몬팜마진!$B$7:$B$32,$C94,헤몬팜마진!$R$7:$R$32)</f>
        <v>12169.932499999999</v>
      </c>
      <c r="Y94" s="34" t="e">
        <f t="shared" si="117"/>
        <v>#REF!</v>
      </c>
      <c r="Z94" s="34">
        <f t="shared" si="118"/>
        <v>48177.8</v>
      </c>
      <c r="AA94" s="49">
        <v>43798</v>
      </c>
      <c r="AB94" s="36"/>
      <c r="AC94" s="204">
        <f t="shared" si="125"/>
        <v>0</v>
      </c>
      <c r="AD94" s="152">
        <v>7.8E-2</v>
      </c>
      <c r="AE94" s="31">
        <f t="shared" si="128"/>
        <v>33775</v>
      </c>
      <c r="AF94" s="28">
        <f t="shared" si="120"/>
        <v>0.15640428989275268</v>
      </c>
      <c r="AG94" s="34">
        <f t="shared" si="121"/>
        <v>67375.87</v>
      </c>
      <c r="AH94" s="34" t="e">
        <f t="shared" si="122"/>
        <v>#REF!</v>
      </c>
      <c r="AI94" s="34" t="e">
        <f>SUMIF(헤몬팜마진!$B$7:$B$32,$C94,헤몬팜마진!$V$7:$V$32)</f>
        <v>#REF!</v>
      </c>
      <c r="AJ94" s="34" t="e">
        <f t="shared" si="123"/>
        <v>#REF!</v>
      </c>
      <c r="AK94" s="46" t="e">
        <f t="shared" si="124"/>
        <v>#REF!</v>
      </c>
      <c r="AL94" s="40">
        <f>SUMIF(헤몬팜마진!$B$7:$B$32,$C94,헤몬팜마진!$T$7:$T$32)</f>
        <v>181.44000000000003</v>
      </c>
      <c r="AM94" s="41">
        <f>SUMIF(헤몬팜마진!$B$7:$B$32,$C94,헤몬팜마진!$U$7:$U$32)</f>
        <v>926.01600000000019</v>
      </c>
      <c r="AN94" s="36"/>
      <c r="AO94" s="202">
        <v>34074</v>
      </c>
      <c r="AP94" s="205">
        <v>108</v>
      </c>
      <c r="AQ94" s="126"/>
      <c r="AR94" s="126"/>
      <c r="AS94" s="126"/>
      <c r="AT94" s="118"/>
      <c r="AU94" s="118"/>
      <c r="AV94" s="118"/>
      <c r="AW94" s="118"/>
      <c r="AX94" s="118"/>
      <c r="AY94" s="118"/>
      <c r="AZ94" s="118"/>
      <c r="BA94" s="118"/>
      <c r="BB94" s="118"/>
      <c r="BC94" s="118"/>
      <c r="BD94" s="118"/>
      <c r="BE94" s="118"/>
      <c r="BF94" s="118"/>
      <c r="BG94" s="47"/>
      <c r="BH94" s="47"/>
      <c r="BI94" s="47"/>
      <c r="BJ94" s="47"/>
      <c r="BK94" s="47"/>
    </row>
    <row r="95" spans="1:63" ht="28.5" customHeight="1">
      <c r="A95" s="228" t="s">
        <v>137</v>
      </c>
      <c r="B95" s="200"/>
      <c r="C95" s="42" t="s">
        <v>117</v>
      </c>
      <c r="D95" s="28">
        <f t="shared" si="107"/>
        <v>0.21999309230296724</v>
      </c>
      <c r="E95" s="201">
        <f t="shared" si="108"/>
        <v>0.49826622120109615</v>
      </c>
      <c r="F95" s="30">
        <f t="shared" si="109"/>
        <v>0.27827312889812894</v>
      </c>
      <c r="G95" s="30">
        <f t="shared" si="110"/>
        <v>5.7971014492753624E-3</v>
      </c>
      <c r="H95" s="35">
        <v>2000</v>
      </c>
      <c r="I95" s="35">
        <f t="shared" si="111"/>
        <v>700</v>
      </c>
      <c r="J95" s="35">
        <f t="shared" si="112"/>
        <v>1400</v>
      </c>
      <c r="K95" s="39">
        <v>2373</v>
      </c>
      <c r="L95" s="39">
        <v>3</v>
      </c>
      <c r="M95" s="210"/>
      <c r="N95" s="44">
        <v>100</v>
      </c>
      <c r="O95" s="202">
        <v>13</v>
      </c>
      <c r="P95" s="31">
        <f t="shared" si="113"/>
        <v>13</v>
      </c>
      <c r="Q95" s="202"/>
      <c r="R95" s="203">
        <v>2</v>
      </c>
      <c r="S95" s="36"/>
      <c r="T95" s="34">
        <f t="shared" si="114"/>
        <v>230880</v>
      </c>
      <c r="U95" s="31">
        <f t="shared" si="115"/>
        <v>0</v>
      </c>
      <c r="V95" s="34">
        <f t="shared" si="116"/>
        <v>230880</v>
      </c>
      <c r="W95" s="43">
        <v>17760</v>
      </c>
      <c r="X95" s="34">
        <f>SUMIF(헤몬팜마진!$B$7:$B$32,$C95,헤몬팜마진!$R$7:$R$32)</f>
        <v>3982.8869999999997</v>
      </c>
      <c r="Y95" s="34">
        <f t="shared" si="117"/>
        <v>62883.732599999996</v>
      </c>
      <c r="Z95" s="34">
        <f t="shared" si="118"/>
        <v>64247.700000000004</v>
      </c>
      <c r="AA95" s="49">
        <f>36750+21657</f>
        <v>58407</v>
      </c>
      <c r="AB95" s="36"/>
      <c r="AC95" s="204">
        <f t="shared" si="125"/>
        <v>0</v>
      </c>
      <c r="AD95" s="152">
        <v>7.8E-2</v>
      </c>
      <c r="AE95" s="31">
        <f t="shared" ref="AE95:AE96" si="129">1900*(P95)</f>
        <v>24700</v>
      </c>
      <c r="AF95" s="28">
        <f t="shared" si="120"/>
        <v>0.18498198198198199</v>
      </c>
      <c r="AG95" s="34">
        <f t="shared" si="121"/>
        <v>42708.67</v>
      </c>
      <c r="AH95" s="34">
        <f t="shared" si="122"/>
        <v>10247.89224909091</v>
      </c>
      <c r="AI95" s="34">
        <f>SUMIF(헤몬팜마진!$B$7:$B$32,$C95,헤몬팜마진!$V$7:$V$32)</f>
        <v>4837.2101999999995</v>
      </c>
      <c r="AJ95" s="34">
        <f t="shared" si="123"/>
        <v>115039.70515090908</v>
      </c>
      <c r="AK95" s="46">
        <f t="shared" si="124"/>
        <v>50792.005150909077</v>
      </c>
      <c r="AL95" s="40">
        <f>SUMIF(헤몬팜마진!$B$7:$B$32,$C95,헤몬팜마진!$T$7:$T$32)</f>
        <v>139.96800000000002</v>
      </c>
      <c r="AM95" s="41">
        <f>SUMIF(헤몬팜마진!$B$7:$B$32,$C95,헤몬팜마진!$U$7:$U$32)</f>
        <v>714.35519999999997</v>
      </c>
      <c r="AN95" s="36"/>
      <c r="AO95" s="202">
        <v>88200</v>
      </c>
      <c r="AP95" s="205">
        <v>345</v>
      </c>
      <c r="AQ95" s="126"/>
      <c r="AR95" s="126"/>
      <c r="AS95" s="126"/>
      <c r="AT95" s="118"/>
      <c r="AU95" s="118"/>
      <c r="AV95" s="118"/>
      <c r="AW95" s="118"/>
      <c r="AX95" s="118"/>
      <c r="AY95" s="118"/>
      <c r="AZ95" s="118"/>
      <c r="BA95" s="118"/>
      <c r="BB95" s="118"/>
      <c r="BC95" s="118"/>
      <c r="BD95" s="118"/>
      <c r="BE95" s="118"/>
      <c r="BF95" s="118"/>
      <c r="BG95" s="47"/>
      <c r="BH95" s="47"/>
      <c r="BI95" s="47"/>
      <c r="BJ95" s="47"/>
      <c r="BK95" s="47"/>
    </row>
    <row r="96" spans="1:63" ht="28.5" customHeight="1">
      <c r="A96" s="228" t="s">
        <v>138</v>
      </c>
      <c r="B96" s="200"/>
      <c r="C96" s="42" t="s">
        <v>118</v>
      </c>
      <c r="D96" s="28">
        <f t="shared" si="107"/>
        <v>-1.0158146191348976</v>
      </c>
      <c r="E96" s="201">
        <f t="shared" si="108"/>
        <v>0.43889102602639302</v>
      </c>
      <c r="F96" s="30">
        <f t="shared" si="109"/>
        <v>1.4547056451612905</v>
      </c>
      <c r="G96" s="30">
        <f t="shared" si="110"/>
        <v>8.9285714285714281E-3</v>
      </c>
      <c r="H96" s="35">
        <v>0</v>
      </c>
      <c r="I96" s="35">
        <f t="shared" si="111"/>
        <v>350</v>
      </c>
      <c r="J96" s="35">
        <f t="shared" si="112"/>
        <v>700</v>
      </c>
      <c r="K96" s="39">
        <v>87</v>
      </c>
      <c r="L96" s="39">
        <v>0</v>
      </c>
      <c r="M96" s="210"/>
      <c r="N96" s="44">
        <v>50</v>
      </c>
      <c r="O96" s="202">
        <v>1</v>
      </c>
      <c r="P96" s="31">
        <f t="shared" si="113"/>
        <v>1</v>
      </c>
      <c r="Q96" s="36"/>
      <c r="R96" s="203">
        <v>1</v>
      </c>
      <c r="S96" s="36"/>
      <c r="T96" s="34">
        <f t="shared" si="114"/>
        <v>24800</v>
      </c>
      <c r="U96" s="31">
        <f t="shared" si="115"/>
        <v>0</v>
      </c>
      <c r="V96" s="34">
        <f t="shared" si="116"/>
        <v>24800</v>
      </c>
      <c r="W96" s="43">
        <v>24800</v>
      </c>
      <c r="X96" s="34">
        <f>SUMIF(헤몬팜마진!$B$7:$B$32,$C96,헤몬팜마진!$R$7:$R$32)</f>
        <v>8408.3169999999991</v>
      </c>
      <c r="Y96" s="34">
        <f t="shared" si="117"/>
        <v>8579.7089999999989</v>
      </c>
      <c r="Z96" s="34">
        <f t="shared" si="118"/>
        <v>36076.700000000004</v>
      </c>
      <c r="AA96" s="49">
        <v>32797</v>
      </c>
      <c r="AB96" s="209"/>
      <c r="AC96" s="204">
        <f t="shared" si="125"/>
        <v>0</v>
      </c>
      <c r="AD96" s="152">
        <v>0.1</v>
      </c>
      <c r="AE96" s="31">
        <f t="shared" si="129"/>
        <v>1900</v>
      </c>
      <c r="AF96" s="28">
        <f t="shared" si="120"/>
        <v>0.17661290322580647</v>
      </c>
      <c r="AG96" s="34">
        <f t="shared" si="121"/>
        <v>4380.0300000000007</v>
      </c>
      <c r="AH96" s="34">
        <f t="shared" si="122"/>
        <v>955.76355454545455</v>
      </c>
      <c r="AI96" s="34">
        <f>SUMIF(헤몬팜마진!$B$7:$B$32,$C96,헤몬팜마진!$V$7:$V$32)</f>
        <v>8579.7089999999989</v>
      </c>
      <c r="AJ96" s="34">
        <f t="shared" si="123"/>
        <v>10884.497445454546</v>
      </c>
      <c r="AK96" s="206">
        <f t="shared" si="124"/>
        <v>-25192.20255454546</v>
      </c>
      <c r="AL96" s="40">
        <f>SUMIF(헤몬팜마진!$B$7:$B$32,$C96,헤몬팜마진!$T$7:$T$32)</f>
        <v>28.079999999999995</v>
      </c>
      <c r="AM96" s="41">
        <f>SUMIF(헤몬팜마진!$B$7:$B$32,$C96,헤몬팜마진!$U$7:$U$32)</f>
        <v>143.31199999999998</v>
      </c>
      <c r="AN96" s="36"/>
      <c r="AO96" s="202">
        <v>86433</v>
      </c>
      <c r="AP96" s="205">
        <v>112</v>
      </c>
      <c r="AQ96" s="126"/>
      <c r="AR96" s="126"/>
      <c r="AS96" s="126"/>
      <c r="AT96" s="118"/>
      <c r="AU96" s="118"/>
      <c r="AV96" s="118"/>
      <c r="AW96" s="118"/>
      <c r="AX96" s="118"/>
      <c r="AY96" s="118"/>
      <c r="AZ96" s="118"/>
      <c r="BA96" s="118"/>
      <c r="BB96" s="118"/>
      <c r="BC96" s="118"/>
      <c r="BD96" s="118"/>
      <c r="BE96" s="118"/>
      <c r="BF96" s="118"/>
      <c r="BG96" s="47"/>
      <c r="BH96" s="47"/>
      <c r="BI96" s="47"/>
      <c r="BJ96" s="47"/>
      <c r="BK96" s="47"/>
    </row>
    <row r="97" spans="1:63" ht="28.5" customHeight="1">
      <c r="A97" s="12"/>
      <c r="B97" s="214" t="s">
        <v>126</v>
      </c>
      <c r="C97" s="42" t="s">
        <v>31</v>
      </c>
      <c r="D97" s="28">
        <f t="shared" si="107"/>
        <v>0.14921052344497612</v>
      </c>
      <c r="E97" s="201">
        <f t="shared" si="108"/>
        <v>0.40281958620883768</v>
      </c>
      <c r="F97" s="30">
        <f t="shared" si="109"/>
        <v>0.25360906276386153</v>
      </c>
      <c r="G97" s="30">
        <f t="shared" si="110"/>
        <v>7.1005917159763315E-2</v>
      </c>
      <c r="H97" s="35">
        <v>700</v>
      </c>
      <c r="I97" s="35">
        <f t="shared" si="111"/>
        <v>210</v>
      </c>
      <c r="J97" s="35">
        <f t="shared" si="112"/>
        <v>420</v>
      </c>
      <c r="K97" s="39">
        <v>954</v>
      </c>
      <c r="L97" s="39">
        <v>2</v>
      </c>
      <c r="M97" s="210"/>
      <c r="N97" s="44">
        <v>30</v>
      </c>
      <c r="O97" s="36">
        <v>17</v>
      </c>
      <c r="P97" s="31">
        <f t="shared" si="113"/>
        <v>17</v>
      </c>
      <c r="Q97" s="36"/>
      <c r="R97" s="167">
        <v>12</v>
      </c>
      <c r="S97" s="36"/>
      <c r="T97" s="34">
        <f t="shared" si="114"/>
        <v>355300</v>
      </c>
      <c r="U97" s="31">
        <f t="shared" si="115"/>
        <v>0</v>
      </c>
      <c r="V97" s="34">
        <f t="shared" si="116"/>
        <v>355300</v>
      </c>
      <c r="W97" s="43">
        <v>20900</v>
      </c>
      <c r="X97" s="34">
        <f>SUMIF(헤몬팜마진!$B$7:$B$32,$C97,헤몬팜마진!$R$7:$R$32)</f>
        <v>6638.1449999999995</v>
      </c>
      <c r="Y97" s="34">
        <f t="shared" si="117"/>
        <v>113655.32579999998</v>
      </c>
      <c r="Z97" s="34">
        <f t="shared" si="118"/>
        <v>69138.3</v>
      </c>
      <c r="AA97" s="48">
        <v>62853</v>
      </c>
      <c r="AB97" s="211">
        <f>((20900*0.015)+(20900*0.19)+2100+2200+1900)*2</f>
        <v>20969</v>
      </c>
      <c r="AC97" s="204">
        <f t="shared" si="125"/>
        <v>0</v>
      </c>
      <c r="AD97" s="152">
        <v>0.08</v>
      </c>
      <c r="AE97" s="31">
        <f>3400*(P97)</f>
        <v>57800</v>
      </c>
      <c r="AF97" s="28">
        <f t="shared" si="120"/>
        <v>0.24267942583732055</v>
      </c>
      <c r="AG97" s="34">
        <f t="shared" si="121"/>
        <v>86224.029999999984</v>
      </c>
      <c r="AH97" s="34">
        <f t="shared" si="122"/>
        <v>12298.845220000003</v>
      </c>
      <c r="AI97" s="34">
        <f>SUMIF(헤몬팜마진!$B$7:$B$32,$C97,헤몬팜마진!$V$7:$V$32)</f>
        <v>6685.607399999999</v>
      </c>
      <c r="AJ97" s="34">
        <f t="shared" si="123"/>
        <v>143121.79898000002</v>
      </c>
      <c r="AK97" s="206">
        <f t="shared" si="124"/>
        <v>53014.498980000018</v>
      </c>
      <c r="AL97" s="40">
        <f>SUMIF(헤몬팜마진!$B$7:$B$32,$C97,헤몬팜마진!$T$7:$T$32)</f>
        <v>7.7759999999999998</v>
      </c>
      <c r="AM97" s="41">
        <f>SUMIF(헤몬팜마진!$B$7:$B$32,$C97,헤몬팜마진!$U$7:$U$32)</f>
        <v>39.686400000000006</v>
      </c>
      <c r="AN97" s="36"/>
      <c r="AO97" s="202">
        <v>130527</v>
      </c>
      <c r="AP97" s="205">
        <v>169</v>
      </c>
      <c r="AQ97" s="126"/>
      <c r="AR97" s="126"/>
      <c r="AS97" s="126"/>
      <c r="AT97" s="118"/>
      <c r="AU97" s="118"/>
      <c r="AV97" s="118"/>
      <c r="AW97" s="118"/>
      <c r="AX97" s="118"/>
      <c r="AY97" s="118"/>
      <c r="AZ97" s="118"/>
      <c r="BA97" s="118"/>
      <c r="BB97" s="118"/>
      <c r="BC97" s="118"/>
      <c r="BD97" s="118"/>
      <c r="BE97" s="118"/>
      <c r="BF97" s="118"/>
      <c r="BG97" s="47"/>
      <c r="BH97" s="47"/>
      <c r="BI97" s="47"/>
      <c r="BJ97" s="47"/>
      <c r="BK97" s="47"/>
    </row>
    <row r="98" spans="1:63" ht="28.5" customHeight="1">
      <c r="A98" s="327" t="s">
        <v>139</v>
      </c>
      <c r="B98" s="127" t="s">
        <v>127</v>
      </c>
      <c r="C98" s="42" t="s">
        <v>119</v>
      </c>
      <c r="D98" s="28">
        <f t="shared" si="107"/>
        <v>0.23151669131156258</v>
      </c>
      <c r="E98" s="201">
        <f t="shared" si="108"/>
        <v>0.43444844302596353</v>
      </c>
      <c r="F98" s="30">
        <f t="shared" si="109"/>
        <v>0.20293175171440098</v>
      </c>
      <c r="G98" s="30">
        <f t="shared" si="110"/>
        <v>0.1005586592178771</v>
      </c>
      <c r="H98" s="35">
        <v>2000</v>
      </c>
      <c r="I98" s="35">
        <f t="shared" si="111"/>
        <v>280</v>
      </c>
      <c r="J98" s="35">
        <f t="shared" si="112"/>
        <v>560</v>
      </c>
      <c r="K98" s="328">
        <v>1048</v>
      </c>
      <c r="L98" s="39">
        <f>311+240+1</f>
        <v>552</v>
      </c>
      <c r="M98" s="210"/>
      <c r="N98" s="44">
        <v>40</v>
      </c>
      <c r="O98" s="202">
        <v>32</v>
      </c>
      <c r="P98" s="31">
        <f t="shared" si="113"/>
        <v>32</v>
      </c>
      <c r="Q98" s="202">
        <v>2</v>
      </c>
      <c r="R98" s="203">
        <v>18</v>
      </c>
      <c r="S98" s="36"/>
      <c r="T98" s="34">
        <f t="shared" si="114"/>
        <v>793280</v>
      </c>
      <c r="U98" s="31">
        <f t="shared" si="115"/>
        <v>0</v>
      </c>
      <c r="V98" s="34">
        <f t="shared" si="116"/>
        <v>793280</v>
      </c>
      <c r="W98" s="43">
        <v>24790</v>
      </c>
      <c r="X98" s="34">
        <f>SUMIF(헤몬팜마진!$B$7:$B$32,$C98,헤몬팜마진!$R$7:$R$32)</f>
        <v>6859.4164999999994</v>
      </c>
      <c r="Y98" s="34">
        <f t="shared" si="117"/>
        <v>232115.77919999996</v>
      </c>
      <c r="Z98" s="34">
        <f t="shared" si="118"/>
        <v>160981.70000000001</v>
      </c>
      <c r="AA98" s="49">
        <v>146347</v>
      </c>
      <c r="AB98" s="209"/>
      <c r="AC98" s="204">
        <f t="shared" si="125"/>
        <v>4620</v>
      </c>
      <c r="AD98" s="152">
        <v>0.108</v>
      </c>
      <c r="AE98" s="31">
        <f>3150*(P98)</f>
        <v>100800</v>
      </c>
      <c r="AF98" s="28">
        <f t="shared" si="120"/>
        <v>0.23506736587333604</v>
      </c>
      <c r="AG98" s="34">
        <f t="shared" si="121"/>
        <v>186474.27000000002</v>
      </c>
      <c r="AH98" s="34">
        <f t="shared" si="122"/>
        <v>30050.689916363626</v>
      </c>
      <c r="AI98" s="34">
        <f>SUMIF(헤몬팜마진!$B$7:$B$32,$C98,헤몬팜마진!$V$7:$V$32)</f>
        <v>7253.6180999999988</v>
      </c>
      <c r="AJ98" s="34">
        <f t="shared" si="123"/>
        <v>344639.26088363637</v>
      </c>
      <c r="AK98" s="206">
        <f t="shared" si="124"/>
        <v>183657.56088363635</v>
      </c>
      <c r="AL98" s="40">
        <f>SUMIF(헤몬팜마진!$B$7:$B$32,$C98,헤몬팜마진!$T$7:$T$32)</f>
        <v>64.584000000000003</v>
      </c>
      <c r="AM98" s="41">
        <f>SUMIF(헤몬팜마진!$B$7:$B$32,$C98,헤몬팜마진!$U$7:$U$32)</f>
        <v>329.61759999999998</v>
      </c>
      <c r="AN98" s="36"/>
      <c r="AO98" s="202">
        <v>36564</v>
      </c>
      <c r="AP98" s="205">
        <v>179</v>
      </c>
      <c r="AQ98" s="126"/>
      <c r="AR98" s="126"/>
      <c r="AS98" s="126"/>
      <c r="AT98" s="118"/>
      <c r="AU98" s="118"/>
      <c r="AV98" s="118"/>
      <c r="AW98" s="118"/>
      <c r="AX98" s="118"/>
      <c r="AY98" s="118"/>
      <c r="AZ98" s="118"/>
      <c r="BA98" s="118"/>
      <c r="BB98" s="118"/>
      <c r="BC98" s="118"/>
      <c r="BD98" s="118"/>
      <c r="BE98" s="118"/>
      <c r="BF98" s="118"/>
      <c r="BG98" s="47"/>
      <c r="BH98" s="47"/>
      <c r="BI98" s="47"/>
      <c r="BJ98" s="47"/>
      <c r="BK98" s="47"/>
    </row>
    <row r="99" spans="1:63" ht="28.5" customHeight="1">
      <c r="A99" s="318"/>
      <c r="B99" s="214" t="s">
        <v>128</v>
      </c>
      <c r="C99" s="42" t="s">
        <v>120</v>
      </c>
      <c r="D99" s="28" t="e">
        <f t="shared" si="107"/>
        <v>#DIV/0!</v>
      </c>
      <c r="E99" s="201" t="e">
        <f t="shared" si="108"/>
        <v>#DIV/0!</v>
      </c>
      <c r="F99" s="30" t="e">
        <f t="shared" si="109"/>
        <v>#DIV/0!</v>
      </c>
      <c r="G99" s="30">
        <f t="shared" si="110"/>
        <v>0</v>
      </c>
      <c r="H99" s="35">
        <v>0</v>
      </c>
      <c r="I99" s="35">
        <f t="shared" si="111"/>
        <v>105</v>
      </c>
      <c r="J99" s="35">
        <f t="shared" si="112"/>
        <v>210</v>
      </c>
      <c r="K99" s="310"/>
      <c r="L99" s="39">
        <f>22+3</f>
        <v>25</v>
      </c>
      <c r="M99" s="210"/>
      <c r="N99" s="44">
        <v>15</v>
      </c>
      <c r="O99" s="36">
        <v>0</v>
      </c>
      <c r="P99" s="31">
        <f t="shared" si="113"/>
        <v>0</v>
      </c>
      <c r="Q99" s="36"/>
      <c r="R99" s="167"/>
      <c r="S99" s="36"/>
      <c r="T99" s="34">
        <f t="shared" si="114"/>
        <v>0</v>
      </c>
      <c r="U99" s="31">
        <f t="shared" si="115"/>
        <v>0</v>
      </c>
      <c r="V99" s="34">
        <f t="shared" si="116"/>
        <v>0</v>
      </c>
      <c r="W99" s="43">
        <v>39800</v>
      </c>
      <c r="X99" s="34">
        <f>SUMIF(헤몬팜마진!$B$7:$B$32,$C99,헤몬팜마진!$R$7:$R$32)</f>
        <v>13718.832999999999</v>
      </c>
      <c r="Y99" s="34">
        <f t="shared" si="117"/>
        <v>0</v>
      </c>
      <c r="Z99" s="34">
        <f t="shared" si="118"/>
        <v>2906.2000000000003</v>
      </c>
      <c r="AA99" s="49">
        <v>2642</v>
      </c>
      <c r="AB99" s="209"/>
      <c r="AC99" s="204">
        <f t="shared" si="125"/>
        <v>0</v>
      </c>
      <c r="AD99" s="152">
        <v>0.108</v>
      </c>
      <c r="AE99" s="31">
        <f>3550*(P99)</f>
        <v>0</v>
      </c>
      <c r="AF99" s="28" t="e">
        <f t="shared" si="120"/>
        <v>#DIV/0!</v>
      </c>
      <c r="AG99" s="34">
        <f t="shared" si="121"/>
        <v>0</v>
      </c>
      <c r="AH99" s="34">
        <f t="shared" si="122"/>
        <v>0</v>
      </c>
      <c r="AI99" s="34">
        <f>SUMIF(헤몬팜마진!$B$7:$B$32,$C99,헤몬팜마진!$V$7:$V$32)</f>
        <v>14113.034599999999</v>
      </c>
      <c r="AJ99" s="34">
        <f t="shared" si="123"/>
        <v>0</v>
      </c>
      <c r="AK99" s="206">
        <f t="shared" si="124"/>
        <v>-2906.2000000000003</v>
      </c>
      <c r="AL99" s="40">
        <f>SUMIF(헤몬팜마진!$B$7:$B$32,$C99,헤몬팜마진!$T$7:$T$32)</f>
        <v>64.584000000000003</v>
      </c>
      <c r="AM99" s="41">
        <f>SUMIF(헤몬팜마진!$B$7:$B$32,$C99,헤몬팜마진!$U$7:$U$32)</f>
        <v>329.61759999999998</v>
      </c>
      <c r="AN99" s="36"/>
      <c r="AO99" s="202">
        <v>692</v>
      </c>
      <c r="AP99" s="205">
        <v>9</v>
      </c>
      <c r="AQ99" s="126"/>
      <c r="AR99" s="126"/>
      <c r="AS99" s="126"/>
      <c r="AT99" s="118"/>
      <c r="AU99" s="118"/>
      <c r="AV99" s="118"/>
      <c r="AW99" s="118"/>
      <c r="AX99" s="118"/>
      <c r="AY99" s="118"/>
      <c r="AZ99" s="118"/>
      <c r="BA99" s="118"/>
      <c r="BB99" s="118"/>
      <c r="BC99" s="118"/>
      <c r="BD99" s="118"/>
      <c r="BE99" s="118"/>
      <c r="BF99" s="118"/>
      <c r="BG99" s="47"/>
      <c r="BH99" s="47"/>
      <c r="BI99" s="47"/>
      <c r="BJ99" s="47"/>
      <c r="BK99" s="47"/>
    </row>
    <row r="100" spans="1:63" ht="28.5" customHeight="1">
      <c r="A100" s="12"/>
      <c r="B100" s="216"/>
      <c r="C100" s="217"/>
      <c r="D100" s="51" t="e">
        <f t="shared" si="107"/>
        <v>#REF!</v>
      </c>
      <c r="E100" s="218" t="e">
        <f t="shared" si="108"/>
        <v>#REF!</v>
      </c>
      <c r="F100" s="53">
        <f t="shared" si="109"/>
        <v>0.24521205982042871</v>
      </c>
      <c r="G100" s="219"/>
      <c r="H100" s="55"/>
      <c r="I100" s="55"/>
      <c r="J100" s="55"/>
      <c r="K100" s="55"/>
      <c r="L100" s="55"/>
      <c r="M100" s="55"/>
      <c r="N100" s="55"/>
      <c r="O100" s="130">
        <f t="shared" ref="O100:V100" si="130">SUM(O83:O99)</f>
        <v>294</v>
      </c>
      <c r="P100" s="220">
        <f t="shared" si="130"/>
        <v>289</v>
      </c>
      <c r="Q100" s="130">
        <f t="shared" si="130"/>
        <v>17</v>
      </c>
      <c r="R100" s="130">
        <f t="shared" si="130"/>
        <v>202</v>
      </c>
      <c r="S100" s="130">
        <f t="shared" si="130"/>
        <v>5</v>
      </c>
      <c r="T100" s="130">
        <f t="shared" si="130"/>
        <v>8081880</v>
      </c>
      <c r="U100" s="130">
        <f t="shared" si="130"/>
        <v>80600</v>
      </c>
      <c r="V100" s="220">
        <f t="shared" si="130"/>
        <v>8001280</v>
      </c>
      <c r="W100" s="55"/>
      <c r="X100" s="130">
        <f t="shared" ref="X100:AC100" si="131">SUM(X83:X99)</f>
        <v>153584.54814999999</v>
      </c>
      <c r="Y100" s="220" t="e">
        <f t="shared" si="131"/>
        <v>#REF!</v>
      </c>
      <c r="Z100" s="130">
        <f t="shared" si="131"/>
        <v>1891704.0999999999</v>
      </c>
      <c r="AA100" s="130">
        <f t="shared" si="131"/>
        <v>1719731</v>
      </c>
      <c r="AB100" s="130">
        <f t="shared" si="131"/>
        <v>70306.25</v>
      </c>
      <c r="AC100" s="130">
        <f t="shared" si="131"/>
        <v>37614</v>
      </c>
      <c r="AD100" s="154">
        <v>0.09</v>
      </c>
      <c r="AE100" s="220">
        <f>SUM(AE83:AE99)</f>
        <v>908975</v>
      </c>
      <c r="AF100" s="53">
        <f t="shared" si="120"/>
        <v>0.20360369840825468</v>
      </c>
      <c r="AG100" s="56">
        <f t="shared" ref="AG100:AI100" si="132">SUM(AG83:AG99)</f>
        <v>1678390.23</v>
      </c>
      <c r="AH100" s="56" t="e">
        <f t="shared" si="132"/>
        <v>#REF!</v>
      </c>
      <c r="AI100" s="56" t="e">
        <f t="shared" si="132"/>
        <v>#REF!</v>
      </c>
      <c r="AJ100" s="56" t="e">
        <f t="shared" si="123"/>
        <v>#REF!</v>
      </c>
      <c r="AK100" s="221" t="e">
        <f t="shared" si="124"/>
        <v>#REF!</v>
      </c>
      <c r="AL100" s="54"/>
      <c r="AM100" s="222"/>
      <c r="AN100" s="57"/>
      <c r="AO100" s="131">
        <f t="shared" ref="AO100:AP100" si="133">SUM(AO83:AO84)</f>
        <v>620124</v>
      </c>
      <c r="AP100" s="132">
        <f t="shared" si="133"/>
        <v>1891</v>
      </c>
      <c r="AQ100" s="126"/>
      <c r="AR100" s="126"/>
      <c r="AS100" s="126"/>
      <c r="AT100" s="118"/>
      <c r="AU100" s="118"/>
      <c r="AV100" s="118"/>
      <c r="AW100" s="118"/>
      <c r="AX100" s="118"/>
      <c r="AY100" s="118"/>
      <c r="AZ100" s="118"/>
      <c r="BA100" s="118"/>
      <c r="BB100" s="118"/>
      <c r="BC100" s="118"/>
      <c r="BD100" s="118"/>
      <c r="BE100" s="118"/>
      <c r="BF100" s="118"/>
      <c r="BG100" s="47"/>
      <c r="BH100" s="47"/>
      <c r="BI100" s="47"/>
      <c r="BJ100" s="47"/>
      <c r="BK100" s="47"/>
    </row>
    <row r="101" spans="1:63" ht="28.5" customHeight="1">
      <c r="A101" s="3"/>
      <c r="B101" s="120"/>
      <c r="C101" s="229"/>
      <c r="D101" s="230"/>
      <c r="E101" s="230"/>
      <c r="F101" s="230"/>
      <c r="G101" s="230"/>
      <c r="H101" s="231"/>
      <c r="I101" s="231"/>
      <c r="J101" s="231"/>
      <c r="K101" s="231"/>
      <c r="L101" s="231"/>
      <c r="M101" s="231"/>
      <c r="N101" s="231"/>
      <c r="O101" s="231"/>
      <c r="P101" s="232"/>
      <c r="Q101" s="231"/>
      <c r="R101" s="231"/>
      <c r="S101" s="231"/>
      <c r="T101" s="231"/>
      <c r="U101" s="231"/>
      <c r="V101" s="231"/>
      <c r="W101" s="231"/>
      <c r="X101" s="231"/>
      <c r="Y101" s="231"/>
      <c r="Z101" s="231"/>
      <c r="AA101" s="133"/>
      <c r="AB101" s="61"/>
      <c r="AC101" s="148"/>
      <c r="AD101" s="148"/>
      <c r="AE101" s="148"/>
      <c r="AF101" s="148"/>
      <c r="AG101" s="61"/>
      <c r="AH101" s="61"/>
      <c r="AI101" s="187"/>
      <c r="AJ101" s="118"/>
      <c r="AK101" s="126"/>
      <c r="AL101" s="126"/>
      <c r="AM101" s="126"/>
      <c r="AN101" s="118"/>
      <c r="AO101" s="118"/>
      <c r="AP101" s="118"/>
      <c r="AQ101" s="126"/>
      <c r="AR101" s="126"/>
      <c r="AS101" s="126"/>
      <c r="AT101" s="118"/>
      <c r="AU101" s="118"/>
      <c r="AV101" s="118"/>
      <c r="AW101" s="118"/>
      <c r="AX101" s="118"/>
      <c r="AY101" s="118"/>
      <c r="AZ101" s="118"/>
      <c r="BA101" s="118"/>
      <c r="BB101" s="118"/>
      <c r="BC101" s="118"/>
      <c r="BD101" s="118"/>
      <c r="BE101" s="118"/>
      <c r="BF101" s="118"/>
      <c r="BG101" s="47"/>
      <c r="BH101" s="47"/>
      <c r="BI101" s="47"/>
      <c r="BJ101" s="47"/>
      <c r="BK101" s="47"/>
    </row>
    <row r="102" spans="1:63" ht="28.5" customHeight="1">
      <c r="A102" s="12"/>
      <c r="B102" s="189"/>
      <c r="C102" s="134">
        <v>45934</v>
      </c>
      <c r="D102" s="122" t="s">
        <v>0</v>
      </c>
      <c r="E102" s="122" t="s">
        <v>1</v>
      </c>
      <c r="F102" s="122" t="s">
        <v>2</v>
      </c>
      <c r="G102" s="190" t="s">
        <v>3</v>
      </c>
      <c r="H102" s="191" t="s">
        <v>4</v>
      </c>
      <c r="I102" s="192" t="s">
        <v>5</v>
      </c>
      <c r="J102" s="192" t="s">
        <v>90</v>
      </c>
      <c r="K102" s="193" t="s">
        <v>6</v>
      </c>
      <c r="L102" s="194" t="s">
        <v>7</v>
      </c>
      <c r="M102" s="15" t="s">
        <v>91</v>
      </c>
      <c r="N102" s="123" t="s">
        <v>125</v>
      </c>
      <c r="O102" s="123" t="s">
        <v>8</v>
      </c>
      <c r="P102" s="123" t="s">
        <v>9</v>
      </c>
      <c r="Q102" s="195" t="s">
        <v>10</v>
      </c>
      <c r="R102" s="123" t="s">
        <v>92</v>
      </c>
      <c r="S102" s="196" t="s">
        <v>11</v>
      </c>
      <c r="T102" s="17" t="s">
        <v>12</v>
      </c>
      <c r="U102" s="17" t="s">
        <v>13</v>
      </c>
      <c r="V102" s="17" t="s">
        <v>14</v>
      </c>
      <c r="W102" s="17" t="s">
        <v>15</v>
      </c>
      <c r="X102" s="15" t="s">
        <v>16</v>
      </c>
      <c r="Y102" s="15" t="s">
        <v>17</v>
      </c>
      <c r="Z102" s="19" t="s">
        <v>18</v>
      </c>
      <c r="AA102" s="19" t="s">
        <v>19</v>
      </c>
      <c r="AB102" s="20" t="s">
        <v>20</v>
      </c>
      <c r="AC102" s="22" t="s">
        <v>93</v>
      </c>
      <c r="AD102" s="197" t="s">
        <v>21</v>
      </c>
      <c r="AE102" s="122" t="s">
        <v>22</v>
      </c>
      <c r="AF102" s="21" t="s">
        <v>23</v>
      </c>
      <c r="AG102" s="21" t="s">
        <v>21</v>
      </c>
      <c r="AH102" s="122" t="s">
        <v>24</v>
      </c>
      <c r="AI102" s="15" t="s">
        <v>25</v>
      </c>
      <c r="AJ102" s="15" t="s">
        <v>26</v>
      </c>
      <c r="AK102" s="122" t="s">
        <v>27</v>
      </c>
      <c r="AL102" s="198" t="s">
        <v>28</v>
      </c>
      <c r="AM102" s="199" t="s">
        <v>29</v>
      </c>
      <c r="AN102" s="124" t="s">
        <v>30</v>
      </c>
      <c r="AO102" s="124" t="s">
        <v>94</v>
      </c>
      <c r="AP102" s="125" t="s">
        <v>95</v>
      </c>
      <c r="AQ102" s="126"/>
      <c r="AR102" s="126"/>
      <c r="AS102" s="126"/>
      <c r="AT102" s="118"/>
      <c r="AU102" s="118"/>
      <c r="AV102" s="118"/>
      <c r="AW102" s="118"/>
      <c r="AX102" s="118"/>
      <c r="AY102" s="118"/>
      <c r="AZ102" s="118"/>
      <c r="BA102" s="118"/>
      <c r="BB102" s="118"/>
      <c r="BC102" s="118"/>
      <c r="BD102" s="118"/>
      <c r="BE102" s="118"/>
      <c r="BF102" s="118"/>
      <c r="BG102" s="47"/>
      <c r="BH102" s="47"/>
      <c r="BI102" s="47"/>
      <c r="BJ102" s="47"/>
      <c r="BK102" s="47"/>
    </row>
    <row r="103" spans="1:63" ht="28.5" customHeight="1">
      <c r="A103" s="12" t="s">
        <v>129</v>
      </c>
      <c r="B103" s="200"/>
      <c r="C103" s="42" t="s">
        <v>107</v>
      </c>
      <c r="D103" s="28">
        <f t="shared" ref="D103:D120" si="134">AK103/V103</f>
        <v>0.15343757955633561</v>
      </c>
      <c r="E103" s="201">
        <f t="shared" ref="E103:E120" si="135">AJ103/V103</f>
        <v>0.42270749557548642</v>
      </c>
      <c r="F103" s="30">
        <f t="shared" ref="F103:F120" si="136">(Z103+AB103)/V103</f>
        <v>0.26926991601915079</v>
      </c>
      <c r="G103" s="30">
        <f t="shared" ref="G103:G119" si="137">R103/AP103</f>
        <v>5.8962264150943397E-2</v>
      </c>
      <c r="H103" s="35">
        <v>7410</v>
      </c>
      <c r="I103" s="35">
        <f t="shared" ref="I103:I119" si="138">N103*7</f>
        <v>1400</v>
      </c>
      <c r="J103" s="35">
        <f t="shared" ref="J103:J119" si="139">N103*14</f>
        <v>2800</v>
      </c>
      <c r="K103" s="49">
        <v>76</v>
      </c>
      <c r="L103" s="49">
        <f>1906+1320</f>
        <v>3226</v>
      </c>
      <c r="M103" s="48"/>
      <c r="N103" s="44">
        <v>200</v>
      </c>
      <c r="O103" s="227">
        <v>137</v>
      </c>
      <c r="P103" s="31">
        <f t="shared" ref="P103:P119" si="140">O103-S103</f>
        <v>137</v>
      </c>
      <c r="Q103" s="227">
        <v>12</v>
      </c>
      <c r="R103" s="233">
        <v>100</v>
      </c>
      <c r="S103" s="36"/>
      <c r="T103" s="34">
        <f t="shared" ref="T103:T119" si="141">W103*O103</f>
        <v>3822300</v>
      </c>
      <c r="U103" s="31">
        <f t="shared" ref="U103:U119" si="142">W103*S103</f>
        <v>0</v>
      </c>
      <c r="V103" s="34">
        <f t="shared" ref="V103:V119" si="143">T103-U103</f>
        <v>3822300</v>
      </c>
      <c r="W103" s="34">
        <v>27900</v>
      </c>
      <c r="X103" s="34">
        <f>SUMIF(헤몬팜마진!$B$7:$B$32,$C103,헤몬팜마진!$R$7:$R$32)</f>
        <v>8850.86</v>
      </c>
      <c r="Y103" s="34">
        <f t="shared" ref="Y103:Y119" si="144">AI103*P103</f>
        <v>1266573.4392000001</v>
      </c>
      <c r="Z103" s="34">
        <f t="shared" ref="Z103:Z119" si="145">AA103*1.1</f>
        <v>1029230.4000000001</v>
      </c>
      <c r="AA103" s="49">
        <v>935664</v>
      </c>
      <c r="AB103" s="36"/>
      <c r="AC103" s="204">
        <f t="shared" ref="AC103:AC104" si="146">(1072+1100)*Q103</f>
        <v>26064</v>
      </c>
      <c r="AD103" s="152">
        <v>0.1</v>
      </c>
      <c r="AE103" s="31">
        <f>3050*(P103)</f>
        <v>417850</v>
      </c>
      <c r="AF103" s="28">
        <f t="shared" ref="AF103:AF120" si="147">AD103+(AE103/V103)</f>
        <v>0.20931899641577062</v>
      </c>
      <c r="AG103" s="34">
        <f t="shared" ref="AG103:AG119" si="148">IFERROR(V103*AF103+3%,0)</f>
        <v>800080.03</v>
      </c>
      <c r="AH103" s="34">
        <f t="shared" ref="AH103:AH119" si="149">V103/1.1*10%-((AI103*P103)+AG103+(AN103*P103)+(AL103*P103))*10%</f>
        <v>139931.67046181817</v>
      </c>
      <c r="AI103" s="34">
        <f>SUMIF(헤몬팜마진!$B$7:$B$32,$C103,헤몬팜마진!$V$7:$V$32)</f>
        <v>9245.0616000000009</v>
      </c>
      <c r="AJ103" s="34">
        <f t="shared" ref="AJ103:AJ120" si="150">V103-(Y103+AG103+AH103+(AN103*P103))</f>
        <v>1615714.8603381817</v>
      </c>
      <c r="AK103" s="46">
        <f t="shared" ref="AK103:AK120" si="151">AJ103-Z103-AB103</f>
        <v>586484.46033818158</v>
      </c>
      <c r="AL103" s="40">
        <f>SUMIF(헤몬팜마진!$B$7:$B$32,$C103,헤몬팜마진!$T$7:$T$32)</f>
        <v>64.584000000000003</v>
      </c>
      <c r="AM103" s="41">
        <f>SUMIF(헤몬팜마진!$B$7:$B$32,$C103,헤몬팜마진!$U$7:$U$32)</f>
        <v>329.61759999999998</v>
      </c>
      <c r="AN103" s="36"/>
      <c r="AO103" s="202">
        <v>409791</v>
      </c>
      <c r="AP103" s="205">
        <v>1696</v>
      </c>
      <c r="AQ103" s="126"/>
      <c r="AR103" s="126"/>
      <c r="AS103" s="126"/>
      <c r="AT103" s="118"/>
      <c r="AU103" s="118"/>
      <c r="AV103" s="118"/>
      <c r="AW103" s="118"/>
      <c r="AX103" s="118"/>
      <c r="AY103" s="118"/>
      <c r="AZ103" s="118"/>
      <c r="BA103" s="118"/>
      <c r="BB103" s="118"/>
      <c r="BC103" s="118"/>
      <c r="BD103" s="118"/>
      <c r="BE103" s="118"/>
      <c r="BF103" s="118"/>
      <c r="BG103" s="47"/>
      <c r="BH103" s="47"/>
      <c r="BI103" s="47"/>
      <c r="BJ103" s="47"/>
      <c r="BK103" s="47"/>
    </row>
    <row r="104" spans="1:63" ht="28.5" customHeight="1">
      <c r="A104" s="228" t="s">
        <v>130</v>
      </c>
      <c r="B104" s="200"/>
      <c r="C104" s="42" t="s">
        <v>108</v>
      </c>
      <c r="D104" s="28" t="e">
        <f t="shared" si="134"/>
        <v>#DIV/0!</v>
      </c>
      <c r="E104" s="201" t="e">
        <f t="shared" si="135"/>
        <v>#DIV/0!</v>
      </c>
      <c r="F104" s="30" t="e">
        <f t="shared" si="136"/>
        <v>#DIV/0!</v>
      </c>
      <c r="G104" s="30">
        <f t="shared" si="137"/>
        <v>0</v>
      </c>
      <c r="H104" s="35">
        <v>1460</v>
      </c>
      <c r="I104" s="35">
        <f t="shared" si="138"/>
        <v>140</v>
      </c>
      <c r="J104" s="35">
        <f t="shared" si="139"/>
        <v>280</v>
      </c>
      <c r="K104" s="39">
        <v>325</v>
      </c>
      <c r="L104" s="39">
        <v>0</v>
      </c>
      <c r="M104" s="210"/>
      <c r="N104" s="44">
        <v>20</v>
      </c>
      <c r="O104" s="202">
        <v>0</v>
      </c>
      <c r="P104" s="31">
        <f t="shared" si="140"/>
        <v>0</v>
      </c>
      <c r="Q104" s="36"/>
      <c r="R104" s="167"/>
      <c r="S104" s="36"/>
      <c r="T104" s="34">
        <f t="shared" si="141"/>
        <v>0</v>
      </c>
      <c r="U104" s="31">
        <f t="shared" si="142"/>
        <v>0</v>
      </c>
      <c r="V104" s="34">
        <f t="shared" si="143"/>
        <v>0</v>
      </c>
      <c r="W104" s="43">
        <v>22700</v>
      </c>
      <c r="X104" s="34">
        <f>SUMIF(헤몬팜마진!$B$7:$B$32,$C104,헤몬팜마진!$R$7:$R$32)</f>
        <v>7080.6879999999992</v>
      </c>
      <c r="Y104" s="34">
        <f t="shared" si="144"/>
        <v>0</v>
      </c>
      <c r="Z104" s="34">
        <f t="shared" si="145"/>
        <v>2960.1000000000004</v>
      </c>
      <c r="AA104" s="49">
        <v>2691</v>
      </c>
      <c r="AB104" s="36"/>
      <c r="AC104" s="204">
        <f t="shared" si="146"/>
        <v>0</v>
      </c>
      <c r="AD104" s="152">
        <v>0.1</v>
      </c>
      <c r="AE104" s="31">
        <f>2950*(P104)</f>
        <v>0</v>
      </c>
      <c r="AF104" s="28" t="e">
        <f t="shared" si="147"/>
        <v>#DIV/0!</v>
      </c>
      <c r="AG104" s="34">
        <f t="shared" si="148"/>
        <v>0</v>
      </c>
      <c r="AH104" s="34">
        <f t="shared" si="149"/>
        <v>0</v>
      </c>
      <c r="AI104" s="34">
        <f>SUMIF(헤몬팜마진!$B$7:$B$32,$C104,헤몬팜마진!$V$7:$V$32)</f>
        <v>7377.3279999999995</v>
      </c>
      <c r="AJ104" s="34">
        <f t="shared" si="150"/>
        <v>0</v>
      </c>
      <c r="AK104" s="46">
        <f t="shared" si="151"/>
        <v>-2960.1000000000004</v>
      </c>
      <c r="AL104" s="40">
        <f>SUMIF(헤몬팜마진!$B$7:$B$32,$C104,헤몬팜마진!$T$7:$T$32)</f>
        <v>48.6</v>
      </c>
      <c r="AM104" s="41">
        <f>SUMIF(헤몬팜마진!$B$7:$B$32,$C104,헤몬팜마진!$U$7:$U$32)</f>
        <v>248.04000000000002</v>
      </c>
      <c r="AN104" s="36"/>
      <c r="AO104" s="202">
        <v>9876</v>
      </c>
      <c r="AP104" s="205">
        <v>6</v>
      </c>
      <c r="AQ104" s="126"/>
      <c r="AR104" s="126"/>
      <c r="AS104" s="126"/>
      <c r="AT104" s="118"/>
      <c r="AU104" s="118"/>
      <c r="AV104" s="118"/>
      <c r="AW104" s="118"/>
      <c r="AX104" s="118"/>
      <c r="AY104" s="118"/>
      <c r="AZ104" s="118"/>
      <c r="BA104" s="118"/>
      <c r="BB104" s="118"/>
      <c r="BC104" s="118"/>
      <c r="BD104" s="118"/>
      <c r="BE104" s="118"/>
      <c r="BF104" s="118"/>
      <c r="BG104" s="47"/>
      <c r="BH104" s="47"/>
      <c r="BI104" s="47"/>
      <c r="BJ104" s="47"/>
      <c r="BK104" s="47"/>
    </row>
    <row r="105" spans="1:63" ht="28.5" customHeight="1">
      <c r="A105" s="327" t="s">
        <v>131</v>
      </c>
      <c r="B105" s="323"/>
      <c r="C105" s="42" t="s">
        <v>109</v>
      </c>
      <c r="D105" s="28" t="e">
        <f t="shared" si="134"/>
        <v>#REF!</v>
      </c>
      <c r="E105" s="201" t="e">
        <f t="shared" si="135"/>
        <v>#REF!</v>
      </c>
      <c r="F105" s="30">
        <f t="shared" si="136"/>
        <v>0.45301746724890829</v>
      </c>
      <c r="G105" s="30">
        <f t="shared" si="137"/>
        <v>3.3333333333333333E-2</v>
      </c>
      <c r="H105" s="35">
        <v>0</v>
      </c>
      <c r="I105" s="35">
        <f t="shared" si="138"/>
        <v>105</v>
      </c>
      <c r="J105" s="35">
        <f t="shared" si="139"/>
        <v>210</v>
      </c>
      <c r="K105" s="325">
        <v>430</v>
      </c>
      <c r="L105" s="49">
        <f>40+3+3</f>
        <v>46</v>
      </c>
      <c r="M105" s="48"/>
      <c r="N105" s="44">
        <v>15</v>
      </c>
      <c r="O105" s="202">
        <v>2</v>
      </c>
      <c r="P105" s="31">
        <f t="shared" si="140"/>
        <v>2</v>
      </c>
      <c r="Q105" s="36"/>
      <c r="R105" s="203">
        <v>2</v>
      </c>
      <c r="S105" s="36"/>
      <c r="T105" s="34">
        <f t="shared" si="141"/>
        <v>91600</v>
      </c>
      <c r="U105" s="31">
        <f t="shared" si="142"/>
        <v>0</v>
      </c>
      <c r="V105" s="34">
        <f t="shared" si="143"/>
        <v>91600</v>
      </c>
      <c r="W105" s="43">
        <v>45800</v>
      </c>
      <c r="X105" s="34">
        <f>SUMIF(헤몬팜마진!$B$7:$B$32,$C105,헤몬팜마진!$R$7:$R$32)</f>
        <v>9990.4082249999992</v>
      </c>
      <c r="Y105" s="34" t="e">
        <f t="shared" si="144"/>
        <v>#REF!</v>
      </c>
      <c r="Z105" s="34">
        <f t="shared" si="145"/>
        <v>41496.400000000001</v>
      </c>
      <c r="AA105" s="49">
        <v>37724</v>
      </c>
      <c r="AB105" s="36"/>
      <c r="AC105" s="204">
        <f t="shared" ref="AC105:AC119" si="152">(1210+1100)*Q105</f>
        <v>0</v>
      </c>
      <c r="AD105" s="152">
        <v>0.11</v>
      </c>
      <c r="AE105" s="31">
        <f t="shared" ref="AE105:AE106" si="153">4150*(P105)</f>
        <v>8300</v>
      </c>
      <c r="AF105" s="28">
        <f t="shared" si="147"/>
        <v>0.2006113537117904</v>
      </c>
      <c r="AG105" s="34">
        <f t="shared" si="148"/>
        <v>18376.03</v>
      </c>
      <c r="AH105" s="34" t="e">
        <f t="shared" si="149"/>
        <v>#REF!</v>
      </c>
      <c r="AI105" s="34" t="e">
        <f>SUMIF(헤몬팜마진!$B$7:$B$32,$C105,헤몬팜마진!$V$7:$V$32)</f>
        <v>#REF!</v>
      </c>
      <c r="AJ105" s="34" t="e">
        <f t="shared" si="150"/>
        <v>#REF!</v>
      </c>
      <c r="AK105" s="46" t="e">
        <f t="shared" si="151"/>
        <v>#REF!</v>
      </c>
      <c r="AL105" s="40">
        <f>SUMIF(헤몬팜마진!$B$7:$B$32,$C105,헤몬팜마진!$T$7:$T$32)</f>
        <v>162</v>
      </c>
      <c r="AM105" s="41">
        <f>SUMIF(헤몬팜마진!$B$7:$B$32,$C105,헤몬팜마진!$U$7:$U$32)</f>
        <v>826.80000000000007</v>
      </c>
      <c r="AN105" s="36"/>
      <c r="AO105" s="202">
        <v>45747</v>
      </c>
      <c r="AP105" s="205">
        <v>60</v>
      </c>
      <c r="AQ105" s="126"/>
      <c r="AR105" s="126"/>
      <c r="AS105" s="126"/>
      <c r="AT105" s="118"/>
      <c r="AU105" s="118"/>
      <c r="AV105" s="118"/>
      <c r="AW105" s="118"/>
      <c r="AX105" s="118"/>
      <c r="AY105" s="118"/>
      <c r="AZ105" s="118"/>
      <c r="BA105" s="118"/>
      <c r="BB105" s="118"/>
      <c r="BC105" s="118"/>
      <c r="BD105" s="118"/>
      <c r="BE105" s="118"/>
      <c r="BF105" s="118"/>
      <c r="BG105" s="47"/>
      <c r="BH105" s="47"/>
      <c r="BI105" s="47"/>
      <c r="BJ105" s="47"/>
      <c r="BK105" s="47"/>
    </row>
    <row r="106" spans="1:63" ht="28.5" customHeight="1">
      <c r="A106" s="318"/>
      <c r="B106" s="324"/>
      <c r="C106" s="42" t="s">
        <v>110</v>
      </c>
      <c r="D106" s="28" t="e">
        <f t="shared" si="134"/>
        <v>#REF!</v>
      </c>
      <c r="E106" s="201" t="e">
        <f t="shared" si="135"/>
        <v>#REF!</v>
      </c>
      <c r="F106" s="30">
        <f t="shared" si="136"/>
        <v>0.75968162393162408</v>
      </c>
      <c r="G106" s="30">
        <f t="shared" si="137"/>
        <v>1.0752688172043012E-2</v>
      </c>
      <c r="H106" s="35">
        <v>0</v>
      </c>
      <c r="I106" s="35">
        <f t="shared" si="138"/>
        <v>105</v>
      </c>
      <c r="J106" s="35">
        <f t="shared" si="139"/>
        <v>210</v>
      </c>
      <c r="K106" s="310"/>
      <c r="L106" s="49">
        <f>13+2</f>
        <v>15</v>
      </c>
      <c r="M106" s="48"/>
      <c r="N106" s="44">
        <v>15</v>
      </c>
      <c r="O106" s="202">
        <v>1</v>
      </c>
      <c r="P106" s="31">
        <f t="shared" si="140"/>
        <v>1</v>
      </c>
      <c r="Q106" s="202">
        <v>1</v>
      </c>
      <c r="R106" s="203">
        <v>1</v>
      </c>
      <c r="S106" s="36"/>
      <c r="T106" s="34">
        <f t="shared" si="141"/>
        <v>46800</v>
      </c>
      <c r="U106" s="31">
        <f t="shared" si="142"/>
        <v>0</v>
      </c>
      <c r="V106" s="34">
        <f t="shared" si="143"/>
        <v>46800</v>
      </c>
      <c r="W106" s="43">
        <v>46800</v>
      </c>
      <c r="X106" s="34">
        <f>SUMIF(헤몬팜마진!$B$7:$B$32,$C106,헤몬팜마진!$R$7:$R$32)</f>
        <v>9990.4082249999992</v>
      </c>
      <c r="Y106" s="34" t="e">
        <f t="shared" si="144"/>
        <v>#REF!</v>
      </c>
      <c r="Z106" s="34">
        <f t="shared" si="145"/>
        <v>35553.100000000006</v>
      </c>
      <c r="AA106" s="49">
        <v>32321</v>
      </c>
      <c r="AB106" s="36"/>
      <c r="AC106" s="204">
        <f t="shared" si="152"/>
        <v>2310</v>
      </c>
      <c r="AD106" s="152">
        <v>0.11</v>
      </c>
      <c r="AE106" s="31">
        <f t="shared" si="153"/>
        <v>4150</v>
      </c>
      <c r="AF106" s="28">
        <f t="shared" si="147"/>
        <v>0.19867521367521368</v>
      </c>
      <c r="AG106" s="34">
        <f t="shared" si="148"/>
        <v>9298.0300000000007</v>
      </c>
      <c r="AH106" s="34" t="e">
        <f t="shared" si="149"/>
        <v>#REF!</v>
      </c>
      <c r="AI106" s="34" t="e">
        <f>SUMIF(헤몬팜마진!$B$7:$B$32,$C106,헤몬팜마진!$V$7:$V$32)</f>
        <v>#REF!</v>
      </c>
      <c r="AJ106" s="34" t="e">
        <f t="shared" si="150"/>
        <v>#REF!</v>
      </c>
      <c r="AK106" s="206" t="e">
        <f t="shared" si="151"/>
        <v>#REF!</v>
      </c>
      <c r="AL106" s="40">
        <f>SUMIF(헤몬팜마진!$B$7:$B$32,$C106,헤몬팜마진!$T$7:$T$32)</f>
        <v>162</v>
      </c>
      <c r="AM106" s="41">
        <f>SUMIF(헤몬팜마진!$B$7:$B$32,$C106,헤몬팜마진!$U$7:$U$32)</f>
        <v>826.80000000000007</v>
      </c>
      <c r="AN106" s="36"/>
      <c r="AO106" s="202">
        <v>62249</v>
      </c>
      <c r="AP106" s="205">
        <v>93</v>
      </c>
      <c r="AQ106" s="126"/>
      <c r="AR106" s="126"/>
      <c r="AS106" s="126"/>
      <c r="AT106" s="118"/>
      <c r="AU106" s="118"/>
      <c r="AV106" s="118"/>
      <c r="AW106" s="118"/>
      <c r="AX106" s="118"/>
      <c r="AY106" s="118"/>
      <c r="AZ106" s="118"/>
      <c r="BA106" s="118"/>
      <c r="BB106" s="118"/>
      <c r="BC106" s="118"/>
      <c r="BD106" s="118"/>
      <c r="BE106" s="118"/>
      <c r="BF106" s="118"/>
      <c r="BG106" s="47"/>
      <c r="BH106" s="47"/>
      <c r="BI106" s="47"/>
      <c r="BJ106" s="47"/>
      <c r="BK106" s="47"/>
    </row>
    <row r="107" spans="1:63" ht="28.5" customHeight="1">
      <c r="A107" s="12" t="s">
        <v>132</v>
      </c>
      <c r="B107" s="323"/>
      <c r="C107" s="42" t="s">
        <v>32</v>
      </c>
      <c r="D107" s="28" t="e">
        <f t="shared" si="134"/>
        <v>#REF!</v>
      </c>
      <c r="E107" s="201" t="e">
        <f t="shared" si="135"/>
        <v>#REF!</v>
      </c>
      <c r="F107" s="30" t="e">
        <f t="shared" si="136"/>
        <v>#DIV/0!</v>
      </c>
      <c r="G107" s="30">
        <f t="shared" si="137"/>
        <v>0</v>
      </c>
      <c r="H107" s="37">
        <v>3504</v>
      </c>
      <c r="I107" s="35">
        <f t="shared" si="138"/>
        <v>210</v>
      </c>
      <c r="J107" s="35">
        <f t="shared" si="139"/>
        <v>420</v>
      </c>
      <c r="K107" s="325">
        <v>626</v>
      </c>
      <c r="L107" s="39">
        <f>30+13+6</f>
        <v>49</v>
      </c>
      <c r="M107" s="210"/>
      <c r="N107" s="208">
        <v>30</v>
      </c>
      <c r="O107" s="202">
        <v>0</v>
      </c>
      <c r="P107" s="31">
        <f t="shared" si="140"/>
        <v>0</v>
      </c>
      <c r="Q107" s="36"/>
      <c r="R107" s="203"/>
      <c r="S107" s="36"/>
      <c r="T107" s="34">
        <f t="shared" si="141"/>
        <v>0</v>
      </c>
      <c r="U107" s="31">
        <f t="shared" si="142"/>
        <v>0</v>
      </c>
      <c r="V107" s="34">
        <f t="shared" si="143"/>
        <v>0</v>
      </c>
      <c r="W107" s="43">
        <v>59800</v>
      </c>
      <c r="X107" s="34">
        <f>SUMIF(헤몬팜마진!$B$7:$B$32,$C107,헤몬팜마진!$R$7:$R$32)</f>
        <v>13276.289999999999</v>
      </c>
      <c r="Y107" s="34" t="e">
        <f t="shared" si="144"/>
        <v>#REF!</v>
      </c>
      <c r="Z107" s="34">
        <f t="shared" si="145"/>
        <v>35087.800000000003</v>
      </c>
      <c r="AA107" s="49">
        <v>31898</v>
      </c>
      <c r="AB107" s="209"/>
      <c r="AC107" s="204">
        <f t="shared" si="152"/>
        <v>0</v>
      </c>
      <c r="AD107" s="152">
        <v>0.108</v>
      </c>
      <c r="AE107" s="31">
        <f t="shared" ref="AE107:AE108" si="154">4825*(P107)</f>
        <v>0</v>
      </c>
      <c r="AF107" s="28" t="e">
        <f t="shared" si="147"/>
        <v>#DIV/0!</v>
      </c>
      <c r="AG107" s="34">
        <f t="shared" si="148"/>
        <v>0</v>
      </c>
      <c r="AH107" s="34" t="e">
        <f t="shared" si="149"/>
        <v>#REF!</v>
      </c>
      <c r="AI107" s="34" t="e">
        <f>SUMIF(헤몬팜마진!$B$7:$B$32,$C107,헤몬팜마진!$V$7:$V$32)</f>
        <v>#REF!</v>
      </c>
      <c r="AJ107" s="34" t="e">
        <f t="shared" si="150"/>
        <v>#REF!</v>
      </c>
      <c r="AK107" s="46" t="e">
        <f t="shared" si="151"/>
        <v>#REF!</v>
      </c>
      <c r="AL107" s="40">
        <f>SUMIF(헤몬팜마진!$B$7:$B$32,$C107,헤몬팜마진!$T$7:$T$32)</f>
        <v>371.52</v>
      </c>
      <c r="AM107" s="41">
        <f>SUMIF(헤몬팜마진!$B$7:$B$32,$C107,헤몬팜마진!$U$7:$U$32)</f>
        <v>1896.1279999999999</v>
      </c>
      <c r="AN107" s="36"/>
      <c r="AO107" s="202">
        <v>16769</v>
      </c>
      <c r="AP107" s="205">
        <v>37</v>
      </c>
      <c r="AQ107" s="126"/>
      <c r="AR107" s="126"/>
      <c r="AS107" s="126"/>
      <c r="AT107" s="118"/>
      <c r="AU107" s="118"/>
      <c r="AV107" s="118"/>
      <c r="AW107" s="118"/>
      <c r="AX107" s="118"/>
      <c r="AY107" s="118"/>
      <c r="AZ107" s="118"/>
      <c r="BA107" s="118"/>
      <c r="BB107" s="118"/>
      <c r="BC107" s="118"/>
      <c r="BD107" s="118"/>
      <c r="BE107" s="118"/>
      <c r="BF107" s="118"/>
      <c r="BG107" s="47"/>
      <c r="BH107" s="47"/>
      <c r="BI107" s="47"/>
      <c r="BJ107" s="47"/>
      <c r="BK107" s="47"/>
    </row>
    <row r="108" spans="1:63" ht="28.5" customHeight="1">
      <c r="A108" s="12" t="s">
        <v>132</v>
      </c>
      <c r="B108" s="324"/>
      <c r="C108" s="42" t="s">
        <v>33</v>
      </c>
      <c r="D108" s="28" t="e">
        <f t="shared" si="134"/>
        <v>#REF!</v>
      </c>
      <c r="E108" s="201" t="e">
        <f t="shared" si="135"/>
        <v>#REF!</v>
      </c>
      <c r="F108" s="30">
        <f t="shared" si="136"/>
        <v>0.84834623101175133</v>
      </c>
      <c r="G108" s="30">
        <f t="shared" si="137"/>
        <v>1.4925373134328358E-2</v>
      </c>
      <c r="H108" s="35">
        <v>0</v>
      </c>
      <c r="I108" s="35">
        <f t="shared" si="138"/>
        <v>210</v>
      </c>
      <c r="J108" s="35">
        <f t="shared" si="139"/>
        <v>420</v>
      </c>
      <c r="K108" s="310"/>
      <c r="L108" s="39">
        <f>4+11+18+38+129</f>
        <v>200</v>
      </c>
      <c r="M108" s="210"/>
      <c r="N108" s="44">
        <v>30</v>
      </c>
      <c r="O108" s="202">
        <v>1</v>
      </c>
      <c r="P108" s="31">
        <f t="shared" si="140"/>
        <v>1</v>
      </c>
      <c r="Q108" s="36">
        <v>1</v>
      </c>
      <c r="R108" s="203">
        <v>1</v>
      </c>
      <c r="S108" s="36"/>
      <c r="T108" s="34">
        <f t="shared" si="141"/>
        <v>69780</v>
      </c>
      <c r="U108" s="31">
        <f t="shared" si="142"/>
        <v>0</v>
      </c>
      <c r="V108" s="34">
        <f t="shared" si="143"/>
        <v>69780</v>
      </c>
      <c r="W108" s="43">
        <v>69780</v>
      </c>
      <c r="X108" s="34">
        <f>SUMIF(헤몬팜마진!$B$7:$B$32,$C108,헤몬팜마진!$R$7:$R$32)</f>
        <v>13276.289999999999</v>
      </c>
      <c r="Y108" s="34" t="e">
        <f t="shared" si="144"/>
        <v>#REF!</v>
      </c>
      <c r="Z108" s="34">
        <f t="shared" si="145"/>
        <v>59197.600000000006</v>
      </c>
      <c r="AA108" s="49">
        <v>53816</v>
      </c>
      <c r="AB108" s="36"/>
      <c r="AC108" s="204">
        <f t="shared" si="152"/>
        <v>2310</v>
      </c>
      <c r="AD108" s="152">
        <v>0.108</v>
      </c>
      <c r="AE108" s="31">
        <f t="shared" si="154"/>
        <v>4825</v>
      </c>
      <c r="AF108" s="28">
        <f t="shared" si="147"/>
        <v>0.17714588707366008</v>
      </c>
      <c r="AG108" s="34">
        <f t="shared" si="148"/>
        <v>12361.27</v>
      </c>
      <c r="AH108" s="34" t="e">
        <f t="shared" si="149"/>
        <v>#REF!</v>
      </c>
      <c r="AI108" s="34" t="e">
        <f>SUMIF(헤몬팜마진!$B$7:$B$32,$C108,헤몬팜마진!$V$7:$V$32)</f>
        <v>#REF!</v>
      </c>
      <c r="AJ108" s="34" t="e">
        <f t="shared" si="150"/>
        <v>#REF!</v>
      </c>
      <c r="AK108" s="46" t="e">
        <f t="shared" si="151"/>
        <v>#REF!</v>
      </c>
      <c r="AL108" s="40">
        <f>SUMIF(헤몬팜마진!$B$7:$B$32,$C108,헤몬팜마진!$T$7:$T$32)</f>
        <v>371.52</v>
      </c>
      <c r="AM108" s="41">
        <f>SUMIF(헤몬팜마진!$B$7:$B$32,$C108,헤몬팜마진!$U$7:$U$32)</f>
        <v>1896.1279999999999</v>
      </c>
      <c r="AN108" s="36"/>
      <c r="AO108" s="202">
        <v>44586</v>
      </c>
      <c r="AP108" s="205">
        <v>67</v>
      </c>
      <c r="AQ108" s="126"/>
      <c r="AR108" s="126"/>
      <c r="AS108" s="126"/>
      <c r="AT108" s="118"/>
      <c r="AU108" s="118"/>
      <c r="AV108" s="118"/>
      <c r="AW108" s="118"/>
      <c r="AX108" s="118"/>
      <c r="AY108" s="118"/>
      <c r="AZ108" s="118"/>
      <c r="BA108" s="118"/>
      <c r="BB108" s="118"/>
      <c r="BC108" s="118"/>
      <c r="BD108" s="118"/>
      <c r="BE108" s="118"/>
      <c r="BF108" s="118"/>
      <c r="BG108" s="47"/>
      <c r="BH108" s="47"/>
      <c r="BI108" s="47"/>
      <c r="BJ108" s="47"/>
      <c r="BK108" s="47"/>
    </row>
    <row r="109" spans="1:63" ht="28.5" customHeight="1">
      <c r="A109" s="228" t="s">
        <v>133</v>
      </c>
      <c r="B109" s="200"/>
      <c r="C109" s="42" t="s">
        <v>111</v>
      </c>
      <c r="D109" s="28">
        <f t="shared" si="134"/>
        <v>-0.39967841783216784</v>
      </c>
      <c r="E109" s="201">
        <f t="shared" si="135"/>
        <v>0.39080855487254684</v>
      </c>
      <c r="F109" s="30">
        <f t="shared" si="136"/>
        <v>0.79048697270471469</v>
      </c>
      <c r="G109" s="30">
        <f t="shared" si="137"/>
        <v>4.046242774566474E-2</v>
      </c>
      <c r="H109" s="35">
        <v>500</v>
      </c>
      <c r="I109" s="35">
        <f t="shared" si="138"/>
        <v>105</v>
      </c>
      <c r="J109" s="35">
        <f t="shared" si="139"/>
        <v>210</v>
      </c>
      <c r="K109" s="39">
        <v>577</v>
      </c>
      <c r="L109" s="39">
        <v>211</v>
      </c>
      <c r="M109" s="210"/>
      <c r="N109" s="44">
        <v>15</v>
      </c>
      <c r="O109" s="202">
        <v>14</v>
      </c>
      <c r="P109" s="31">
        <f t="shared" si="140"/>
        <v>9</v>
      </c>
      <c r="Q109" s="202">
        <v>1</v>
      </c>
      <c r="R109" s="203">
        <v>7</v>
      </c>
      <c r="S109" s="202">
        <v>5</v>
      </c>
      <c r="T109" s="34">
        <f t="shared" si="141"/>
        <v>225680</v>
      </c>
      <c r="U109" s="31">
        <f t="shared" si="142"/>
        <v>80600</v>
      </c>
      <c r="V109" s="34">
        <f t="shared" si="143"/>
        <v>145080</v>
      </c>
      <c r="W109" s="43">
        <v>16120</v>
      </c>
      <c r="X109" s="34">
        <f>SUMIF(헤몬팜마진!$B$7:$B$32,$C109,헤몬팜마진!$R$7:$R$32)</f>
        <v>5089.2444999999998</v>
      </c>
      <c r="Y109" s="34">
        <f t="shared" si="144"/>
        <v>46136.9205</v>
      </c>
      <c r="Z109" s="34">
        <f t="shared" si="145"/>
        <v>65346.600000000006</v>
      </c>
      <c r="AA109" s="49">
        <v>59406</v>
      </c>
      <c r="AB109" s="211">
        <f>((17890*0.015)+(17890*0.19)+2100+2200+1900)*5</f>
        <v>49337.25</v>
      </c>
      <c r="AC109" s="204">
        <f t="shared" si="152"/>
        <v>2310</v>
      </c>
      <c r="AD109" s="152">
        <v>7.8E-2</v>
      </c>
      <c r="AE109" s="31">
        <f>2900*(P109)</f>
        <v>26100</v>
      </c>
      <c r="AF109" s="28">
        <f t="shared" si="147"/>
        <v>0.25790074441687344</v>
      </c>
      <c r="AG109" s="34">
        <f t="shared" si="148"/>
        <v>37416.269999999997</v>
      </c>
      <c r="AH109" s="34">
        <f t="shared" si="149"/>
        <v>4828.3043590909092</v>
      </c>
      <c r="AI109" s="34">
        <f>SUMIF(헤몬팜마진!$B$7:$B$32,$C109,헤몬팜마진!$V$7:$V$32)</f>
        <v>5126.3244999999997</v>
      </c>
      <c r="AJ109" s="34">
        <f t="shared" si="150"/>
        <v>56698.505140909096</v>
      </c>
      <c r="AK109" s="206">
        <f t="shared" si="151"/>
        <v>-57985.34485909091</v>
      </c>
      <c r="AL109" s="40">
        <f>SUMIF(헤몬팜마진!$B$7:$B$32,$C109,헤몬팜마진!$T$7:$T$32)</f>
        <v>6.0750000000000002</v>
      </c>
      <c r="AM109" s="41">
        <f>SUMIF(헤몬팜마진!$B$7:$B$32,$C109,헤몬팜마진!$U$7:$U$32)</f>
        <v>31.005000000000003</v>
      </c>
      <c r="AN109" s="36"/>
      <c r="AO109" s="202">
        <v>62642</v>
      </c>
      <c r="AP109" s="205">
        <v>173</v>
      </c>
      <c r="AQ109" s="126"/>
      <c r="AR109" s="126"/>
      <c r="AS109" s="126"/>
      <c r="AT109" s="118"/>
      <c r="AU109" s="118"/>
      <c r="AV109" s="118"/>
      <c r="AW109" s="118"/>
      <c r="AX109" s="118"/>
      <c r="AY109" s="118"/>
      <c r="AZ109" s="118"/>
      <c r="BA109" s="118"/>
      <c r="BB109" s="118"/>
      <c r="BC109" s="118"/>
      <c r="BD109" s="118"/>
      <c r="BE109" s="118"/>
      <c r="BF109" s="118"/>
      <c r="BG109" s="47"/>
      <c r="BH109" s="47"/>
      <c r="BI109" s="47"/>
      <c r="BJ109" s="47"/>
      <c r="BK109" s="47"/>
    </row>
    <row r="110" spans="1:63" ht="28.5" customHeight="1">
      <c r="A110" s="327" t="s">
        <v>134</v>
      </c>
      <c r="B110" s="323"/>
      <c r="C110" s="42" t="s">
        <v>112</v>
      </c>
      <c r="D110" s="29" t="e">
        <f t="shared" si="134"/>
        <v>#REF!</v>
      </c>
      <c r="E110" s="201" t="e">
        <f t="shared" si="135"/>
        <v>#REF!</v>
      </c>
      <c r="F110" s="30">
        <f t="shared" si="136"/>
        <v>0.2440452261306533</v>
      </c>
      <c r="G110" s="30">
        <f t="shared" si="137"/>
        <v>6.3063063063063057E-2</v>
      </c>
      <c r="H110" s="312">
        <v>0</v>
      </c>
      <c r="I110" s="35">
        <f t="shared" si="138"/>
        <v>140</v>
      </c>
      <c r="J110" s="35">
        <f t="shared" si="139"/>
        <v>280</v>
      </c>
      <c r="K110" s="325">
        <v>343</v>
      </c>
      <c r="L110" s="39">
        <f>97+42+48+31+19+10</f>
        <v>247</v>
      </c>
      <c r="M110" s="210"/>
      <c r="N110" s="44">
        <v>20</v>
      </c>
      <c r="O110" s="202">
        <v>5</v>
      </c>
      <c r="P110" s="31">
        <f t="shared" si="140"/>
        <v>5</v>
      </c>
      <c r="Q110" s="202"/>
      <c r="R110" s="167">
        <v>7</v>
      </c>
      <c r="S110" s="36"/>
      <c r="T110" s="34">
        <f t="shared" si="141"/>
        <v>199000</v>
      </c>
      <c r="U110" s="31">
        <f t="shared" si="142"/>
        <v>0</v>
      </c>
      <c r="V110" s="34">
        <f t="shared" si="143"/>
        <v>199000</v>
      </c>
      <c r="W110" s="43">
        <v>39800</v>
      </c>
      <c r="X110" s="34">
        <f>SUMIF(헤몬팜마진!$B$7:$B$32,$C110,헤몬팜마진!$R$7:$R$32)</f>
        <v>7855.1382499999991</v>
      </c>
      <c r="Y110" s="34" t="e">
        <f t="shared" si="144"/>
        <v>#REF!</v>
      </c>
      <c r="Z110" s="34">
        <f t="shared" si="145"/>
        <v>48565.000000000007</v>
      </c>
      <c r="AA110" s="49">
        <v>44150</v>
      </c>
      <c r="AB110" s="209"/>
      <c r="AC110" s="204">
        <f t="shared" si="152"/>
        <v>0</v>
      </c>
      <c r="AD110" s="152">
        <v>0.08</v>
      </c>
      <c r="AE110" s="31">
        <f>4150*(P110)</f>
        <v>20750</v>
      </c>
      <c r="AF110" s="28">
        <f t="shared" si="147"/>
        <v>0.18427135678391959</v>
      </c>
      <c r="AG110" s="34">
        <f t="shared" si="148"/>
        <v>36670.03</v>
      </c>
      <c r="AH110" s="34" t="e">
        <f t="shared" si="149"/>
        <v>#REF!</v>
      </c>
      <c r="AI110" s="34" t="e">
        <f>SUMIF(헤몬팜마진!$B$7:$B$32,$C110,헤몬팜마진!$V$7:$V$32)</f>
        <v>#REF!</v>
      </c>
      <c r="AJ110" s="34" t="e">
        <f t="shared" si="150"/>
        <v>#REF!</v>
      </c>
      <c r="AK110" s="46" t="e">
        <f t="shared" si="151"/>
        <v>#REF!</v>
      </c>
      <c r="AL110" s="40">
        <f>SUMIF(헤몬팜마진!$B$7:$B$32,$C110,헤몬팜마진!$T$7:$T$32)</f>
        <v>176.41799999999998</v>
      </c>
      <c r="AM110" s="41">
        <f>SUMIF(헤몬팜마진!$B$7:$B$32,$C110,헤몬팜마진!$U$7:$U$32)</f>
        <v>900.38519999999994</v>
      </c>
      <c r="AN110" s="36"/>
      <c r="AO110" s="202">
        <v>57157</v>
      </c>
      <c r="AP110" s="205">
        <v>111</v>
      </c>
      <c r="AQ110" s="126"/>
      <c r="AR110" s="126"/>
      <c r="AS110" s="126"/>
      <c r="AT110" s="118"/>
      <c r="AU110" s="118"/>
      <c r="AV110" s="118"/>
      <c r="AW110" s="118"/>
      <c r="AX110" s="118"/>
      <c r="AY110" s="118"/>
      <c r="AZ110" s="118"/>
      <c r="BA110" s="118"/>
      <c r="BB110" s="118"/>
      <c r="BC110" s="118"/>
      <c r="BD110" s="118"/>
      <c r="BE110" s="118"/>
      <c r="BF110" s="118"/>
      <c r="BG110" s="47"/>
      <c r="BH110" s="47"/>
      <c r="BI110" s="47"/>
      <c r="BJ110" s="47"/>
      <c r="BK110" s="47"/>
    </row>
    <row r="111" spans="1:63" ht="28.5" customHeight="1">
      <c r="A111" s="318"/>
      <c r="B111" s="324"/>
      <c r="C111" s="42" t="s">
        <v>113</v>
      </c>
      <c r="D111" s="28" t="e">
        <f t="shared" si="134"/>
        <v>#REF!</v>
      </c>
      <c r="E111" s="201" t="e">
        <f t="shared" si="135"/>
        <v>#REF!</v>
      </c>
      <c r="F111" s="30" t="e">
        <f t="shared" si="136"/>
        <v>#DIV/0!</v>
      </c>
      <c r="G111" s="30">
        <f t="shared" si="137"/>
        <v>4.5454545454545456E-2</v>
      </c>
      <c r="H111" s="310"/>
      <c r="I111" s="35">
        <f t="shared" si="138"/>
        <v>105</v>
      </c>
      <c r="J111" s="35">
        <f t="shared" si="139"/>
        <v>210</v>
      </c>
      <c r="K111" s="310"/>
      <c r="L111" s="39">
        <f>74+42+48+18+8+2</f>
        <v>192</v>
      </c>
      <c r="M111" s="210"/>
      <c r="N111" s="44">
        <v>15</v>
      </c>
      <c r="O111" s="36">
        <v>0</v>
      </c>
      <c r="P111" s="31">
        <f t="shared" si="140"/>
        <v>0</v>
      </c>
      <c r="Q111" s="36">
        <v>1</v>
      </c>
      <c r="R111" s="167">
        <v>2</v>
      </c>
      <c r="S111" s="36"/>
      <c r="T111" s="34">
        <f t="shared" si="141"/>
        <v>0</v>
      </c>
      <c r="U111" s="31">
        <f t="shared" si="142"/>
        <v>0</v>
      </c>
      <c r="V111" s="34">
        <f t="shared" si="143"/>
        <v>0</v>
      </c>
      <c r="W111" s="43">
        <v>42900</v>
      </c>
      <c r="X111" s="34">
        <f>SUMIF(헤몬팜마진!$B$7:$B$32,$C111,헤몬팜마진!$R$7:$R$32)</f>
        <v>7855.1382499999991</v>
      </c>
      <c r="Y111" s="34" t="e">
        <f t="shared" si="144"/>
        <v>#REF!</v>
      </c>
      <c r="Z111" s="34">
        <f t="shared" si="145"/>
        <v>15176.7</v>
      </c>
      <c r="AA111" s="49">
        <v>13797</v>
      </c>
      <c r="AB111" s="36"/>
      <c r="AC111" s="204">
        <f t="shared" si="152"/>
        <v>2310</v>
      </c>
      <c r="AD111" s="152">
        <v>7.8E-2</v>
      </c>
      <c r="AE111" s="31">
        <f>1900*(P111)</f>
        <v>0</v>
      </c>
      <c r="AF111" s="28" t="e">
        <f t="shared" si="147"/>
        <v>#DIV/0!</v>
      </c>
      <c r="AG111" s="34">
        <f t="shared" si="148"/>
        <v>0</v>
      </c>
      <c r="AH111" s="34" t="e">
        <f t="shared" si="149"/>
        <v>#REF!</v>
      </c>
      <c r="AI111" s="34" t="e">
        <f>SUMIF(헤몬팜마진!$B$7:$B$32,$C111,헤몬팜마진!$V$7:$V$32)</f>
        <v>#REF!</v>
      </c>
      <c r="AJ111" s="34" t="e">
        <f t="shared" si="150"/>
        <v>#REF!</v>
      </c>
      <c r="AK111" s="206" t="e">
        <f t="shared" si="151"/>
        <v>#REF!</v>
      </c>
      <c r="AL111" s="40">
        <f>SUMIF(헤몬팜마진!$B$7:$B$32,$C111,헤몬팜마진!$T$7:$T$32)</f>
        <v>176.41799999999998</v>
      </c>
      <c r="AM111" s="41">
        <f>SUMIF(헤몬팜마진!$B$7:$B$32,$C111,헤몬팜마진!$U$7:$U$32)</f>
        <v>900.38519999999994</v>
      </c>
      <c r="AN111" s="36"/>
      <c r="AO111" s="202">
        <v>12668</v>
      </c>
      <c r="AP111" s="205">
        <v>44</v>
      </c>
      <c r="AQ111" s="126"/>
      <c r="AR111" s="126"/>
      <c r="AS111" s="126"/>
      <c r="AT111" s="118"/>
      <c r="AU111" s="118"/>
      <c r="AV111" s="118"/>
      <c r="AW111" s="118"/>
      <c r="AX111" s="118"/>
      <c r="AY111" s="118"/>
      <c r="AZ111" s="118"/>
      <c r="BA111" s="118"/>
      <c r="BB111" s="118"/>
      <c r="BC111" s="118"/>
      <c r="BD111" s="118"/>
      <c r="BE111" s="118"/>
      <c r="BF111" s="118"/>
      <c r="BG111" s="47"/>
      <c r="BH111" s="47"/>
      <c r="BI111" s="47"/>
      <c r="BJ111" s="47"/>
      <c r="BK111" s="47"/>
    </row>
    <row r="112" spans="1:63" ht="28.5" customHeight="1">
      <c r="A112" s="228" t="s">
        <v>135</v>
      </c>
      <c r="B112" s="200"/>
      <c r="C112" s="42" t="s">
        <v>114</v>
      </c>
      <c r="D112" s="28">
        <f t="shared" si="134"/>
        <v>0.31129736455965912</v>
      </c>
      <c r="E112" s="201">
        <f t="shared" si="135"/>
        <v>0.36298877080965913</v>
      </c>
      <c r="F112" s="30">
        <f t="shared" si="136"/>
        <v>5.1691406250000009E-2</v>
      </c>
      <c r="G112" s="30">
        <f t="shared" si="137"/>
        <v>2.5000000000000001E-2</v>
      </c>
      <c r="H112" s="35">
        <v>1750</v>
      </c>
      <c r="I112" s="35">
        <f t="shared" si="138"/>
        <v>350</v>
      </c>
      <c r="J112" s="35">
        <f t="shared" si="139"/>
        <v>700</v>
      </c>
      <c r="K112" s="39">
        <v>1449</v>
      </c>
      <c r="L112" s="39">
        <v>1217</v>
      </c>
      <c r="M112" s="210"/>
      <c r="N112" s="44">
        <v>50</v>
      </c>
      <c r="O112" s="202">
        <v>8</v>
      </c>
      <c r="P112" s="31">
        <f t="shared" si="140"/>
        <v>8</v>
      </c>
      <c r="Q112" s="36"/>
      <c r="R112" s="203">
        <v>1</v>
      </c>
      <c r="S112" s="36"/>
      <c r="T112" s="34">
        <f t="shared" si="141"/>
        <v>153600</v>
      </c>
      <c r="U112" s="31">
        <f t="shared" si="142"/>
        <v>0</v>
      </c>
      <c r="V112" s="34">
        <f t="shared" si="143"/>
        <v>153600</v>
      </c>
      <c r="W112" s="43">
        <v>19200</v>
      </c>
      <c r="X112" s="34">
        <f>SUMIF(헤몬팜마진!$B$7:$B$32,$C112,헤몬팜마진!$R$7:$R$32)</f>
        <v>6372.6191999999992</v>
      </c>
      <c r="Y112" s="34">
        <f t="shared" si="144"/>
        <v>54171.481599999992</v>
      </c>
      <c r="Z112" s="34">
        <f t="shared" si="145"/>
        <v>7939.8000000000011</v>
      </c>
      <c r="AA112" s="49">
        <v>7218</v>
      </c>
      <c r="AB112" s="36"/>
      <c r="AC112" s="204">
        <f t="shared" si="152"/>
        <v>0</v>
      </c>
      <c r="AD112" s="152">
        <v>0.08</v>
      </c>
      <c r="AE112" s="31">
        <f>3350*(P112)</f>
        <v>26800</v>
      </c>
      <c r="AF112" s="28">
        <f t="shared" si="147"/>
        <v>0.25447916666666665</v>
      </c>
      <c r="AG112" s="34">
        <f t="shared" si="148"/>
        <v>39088.03</v>
      </c>
      <c r="AH112" s="34">
        <f t="shared" si="149"/>
        <v>4585.4132036363626</v>
      </c>
      <c r="AI112" s="34">
        <f>SUMIF(헤몬팜마진!$B$7:$B$32,$C112,헤몬팜마진!$V$7:$V$32)</f>
        <v>6771.435199999999</v>
      </c>
      <c r="AJ112" s="34">
        <f t="shared" si="150"/>
        <v>55755.075196363643</v>
      </c>
      <c r="AK112" s="46">
        <f t="shared" si="151"/>
        <v>47815.27519636364</v>
      </c>
      <c r="AL112" s="40">
        <f>SUMIF(헤몬팜마진!$B$7:$B$32,$C112,헤몬팜마진!$T$7:$T$32)</f>
        <v>65.34</v>
      </c>
      <c r="AM112" s="41">
        <f>SUMIF(헤몬팜마진!$B$7:$B$32,$C112,헤몬팜마진!$U$7:$U$32)</f>
        <v>333.476</v>
      </c>
      <c r="AN112" s="36"/>
      <c r="AO112" s="202">
        <v>17481</v>
      </c>
      <c r="AP112" s="205">
        <v>40</v>
      </c>
      <c r="AQ112" s="126"/>
      <c r="AR112" s="126"/>
      <c r="AS112" s="126"/>
      <c r="AT112" s="118"/>
      <c r="AU112" s="118"/>
      <c r="AV112" s="118"/>
      <c r="AW112" s="118"/>
      <c r="AX112" s="118"/>
      <c r="AY112" s="118"/>
      <c r="AZ112" s="118"/>
      <c r="BA112" s="118"/>
      <c r="BB112" s="118"/>
      <c r="BC112" s="118"/>
      <c r="BD112" s="118"/>
      <c r="BE112" s="118"/>
      <c r="BF112" s="118"/>
      <c r="BG112" s="47"/>
      <c r="BH112" s="47"/>
      <c r="BI112" s="47"/>
      <c r="BJ112" s="47"/>
      <c r="BK112" s="47"/>
    </row>
    <row r="113" spans="1:63" ht="28.5" customHeight="1">
      <c r="A113" s="327" t="s">
        <v>136</v>
      </c>
      <c r="B113" s="326"/>
      <c r="C113" s="42" t="s">
        <v>115</v>
      </c>
      <c r="D113" s="28" t="e">
        <f t="shared" si="134"/>
        <v>#REF!</v>
      </c>
      <c r="E113" s="201" t="e">
        <f t="shared" si="135"/>
        <v>#REF!</v>
      </c>
      <c r="F113" s="30">
        <f t="shared" si="136"/>
        <v>0.44239872262773722</v>
      </c>
      <c r="G113" s="30">
        <f t="shared" si="137"/>
        <v>2.3809523809523808E-2</v>
      </c>
      <c r="H113" s="35">
        <v>0</v>
      </c>
      <c r="I113" s="35">
        <f t="shared" si="138"/>
        <v>70</v>
      </c>
      <c r="J113" s="35">
        <f t="shared" si="139"/>
        <v>140</v>
      </c>
      <c r="K113" s="328">
        <v>494</v>
      </c>
      <c r="L113" s="39">
        <v>0</v>
      </c>
      <c r="M113" s="210"/>
      <c r="N113" s="44">
        <v>10</v>
      </c>
      <c r="O113" s="36">
        <v>4</v>
      </c>
      <c r="P113" s="31">
        <f t="shared" si="140"/>
        <v>4</v>
      </c>
      <c r="Q113" s="36">
        <v>1</v>
      </c>
      <c r="R113" s="167">
        <v>2</v>
      </c>
      <c r="S113" s="36"/>
      <c r="T113" s="34">
        <f t="shared" si="141"/>
        <v>219200</v>
      </c>
      <c r="U113" s="31">
        <f t="shared" si="142"/>
        <v>0</v>
      </c>
      <c r="V113" s="34">
        <f t="shared" si="143"/>
        <v>219200</v>
      </c>
      <c r="W113" s="43">
        <v>54800</v>
      </c>
      <c r="X113" s="34">
        <f>SUMIF(헤몬팜마진!$B$7:$B$32,$C113,헤몬팜마진!$R$7:$R$32)</f>
        <v>12169.932499999999</v>
      </c>
      <c r="Y113" s="34" t="e">
        <f t="shared" si="144"/>
        <v>#REF!</v>
      </c>
      <c r="Z113" s="34">
        <f t="shared" si="145"/>
        <v>96973.8</v>
      </c>
      <c r="AA113" s="49">
        <v>88158</v>
      </c>
      <c r="AB113" s="36"/>
      <c r="AC113" s="204">
        <f t="shared" si="152"/>
        <v>2310</v>
      </c>
      <c r="AD113" s="152">
        <v>7.8E-2</v>
      </c>
      <c r="AE113" s="31">
        <f t="shared" ref="AE113:AE114" si="155">4825*(P113)</f>
        <v>19300</v>
      </c>
      <c r="AF113" s="28">
        <f t="shared" si="147"/>
        <v>0.16604744525547444</v>
      </c>
      <c r="AG113" s="34">
        <f t="shared" si="148"/>
        <v>36397.629999999997</v>
      </c>
      <c r="AH113" s="34" t="e">
        <f t="shared" si="149"/>
        <v>#REF!</v>
      </c>
      <c r="AI113" s="34" t="e">
        <f>SUMIF(헤몬팜마진!$B$7:$B$32,$C113,헤몬팜마진!$V$7:$V$32)</f>
        <v>#REF!</v>
      </c>
      <c r="AJ113" s="34" t="e">
        <f t="shared" si="150"/>
        <v>#REF!</v>
      </c>
      <c r="AK113" s="206" t="e">
        <f t="shared" si="151"/>
        <v>#REF!</v>
      </c>
      <c r="AL113" s="40">
        <f>SUMIF(헤몬팜마진!$B$7:$B$32,$C113,헤몬팜마진!$T$7:$T$32)</f>
        <v>181.44000000000003</v>
      </c>
      <c r="AM113" s="41">
        <f>SUMIF(헤몬팜마진!$B$7:$B$32,$C113,헤몬팜마진!$U$7:$U$32)</f>
        <v>926.01600000000019</v>
      </c>
      <c r="AN113" s="36"/>
      <c r="AO113" s="202">
        <v>24731</v>
      </c>
      <c r="AP113" s="205">
        <v>84</v>
      </c>
      <c r="AQ113" s="126"/>
      <c r="AR113" s="126"/>
      <c r="AS113" s="126"/>
      <c r="AT113" s="118"/>
      <c r="AU113" s="118"/>
      <c r="AV113" s="118"/>
      <c r="AW113" s="118"/>
      <c r="AX113" s="118"/>
      <c r="AY113" s="118"/>
      <c r="AZ113" s="118"/>
      <c r="BA113" s="118"/>
      <c r="BB113" s="118"/>
      <c r="BC113" s="118"/>
      <c r="BD113" s="118"/>
      <c r="BE113" s="118"/>
      <c r="BF113" s="118"/>
      <c r="BG113" s="47"/>
      <c r="BH113" s="47"/>
      <c r="BI113" s="47"/>
      <c r="BJ113" s="47"/>
      <c r="BK113" s="47"/>
    </row>
    <row r="114" spans="1:63" ht="28.5" customHeight="1">
      <c r="A114" s="318"/>
      <c r="B114" s="324"/>
      <c r="C114" s="42" t="s">
        <v>116</v>
      </c>
      <c r="D114" s="28" t="e">
        <f t="shared" si="134"/>
        <v>#REF!</v>
      </c>
      <c r="E114" s="201" t="e">
        <f t="shared" si="135"/>
        <v>#REF!</v>
      </c>
      <c r="F114" s="30">
        <f t="shared" si="136"/>
        <v>0.1866486373554947</v>
      </c>
      <c r="G114" s="30">
        <f t="shared" si="137"/>
        <v>3.4188034188034191E-2</v>
      </c>
      <c r="H114" s="35">
        <v>0</v>
      </c>
      <c r="I114" s="35">
        <f t="shared" si="138"/>
        <v>70</v>
      </c>
      <c r="J114" s="35">
        <f t="shared" si="139"/>
        <v>140</v>
      </c>
      <c r="K114" s="310"/>
      <c r="L114" s="39">
        <v>1</v>
      </c>
      <c r="M114" s="210"/>
      <c r="N114" s="44">
        <v>10</v>
      </c>
      <c r="O114" s="202">
        <v>7</v>
      </c>
      <c r="P114" s="31">
        <f t="shared" si="140"/>
        <v>7</v>
      </c>
      <c r="Q114" s="202"/>
      <c r="R114" s="203">
        <v>4</v>
      </c>
      <c r="S114" s="36"/>
      <c r="T114" s="34">
        <f t="shared" si="141"/>
        <v>430780</v>
      </c>
      <c r="U114" s="31">
        <f t="shared" si="142"/>
        <v>0</v>
      </c>
      <c r="V114" s="34">
        <f t="shared" si="143"/>
        <v>430780</v>
      </c>
      <c r="W114" s="43">
        <v>61540</v>
      </c>
      <c r="X114" s="34">
        <f>SUMIF(헤몬팜마진!$B$7:$B$32,$C114,헤몬팜마진!$R$7:$R$32)</f>
        <v>12169.932499999999</v>
      </c>
      <c r="Y114" s="34" t="e">
        <f t="shared" si="144"/>
        <v>#REF!</v>
      </c>
      <c r="Z114" s="34">
        <f t="shared" si="145"/>
        <v>80404.5</v>
      </c>
      <c r="AA114" s="49">
        <v>73095</v>
      </c>
      <c r="AB114" s="36"/>
      <c r="AC114" s="204">
        <f t="shared" si="152"/>
        <v>0</v>
      </c>
      <c r="AD114" s="152">
        <v>7.8E-2</v>
      </c>
      <c r="AE114" s="31">
        <f t="shared" si="155"/>
        <v>33775</v>
      </c>
      <c r="AF114" s="28">
        <f t="shared" si="147"/>
        <v>0.15640428989275268</v>
      </c>
      <c r="AG114" s="34">
        <f t="shared" si="148"/>
        <v>67375.87</v>
      </c>
      <c r="AH114" s="34" t="e">
        <f t="shared" si="149"/>
        <v>#REF!</v>
      </c>
      <c r="AI114" s="34" t="e">
        <f>SUMIF(헤몬팜마진!$B$7:$B$32,$C114,헤몬팜마진!$V$7:$V$32)</f>
        <v>#REF!</v>
      </c>
      <c r="AJ114" s="34" t="e">
        <f t="shared" si="150"/>
        <v>#REF!</v>
      </c>
      <c r="AK114" s="46" t="e">
        <f t="shared" si="151"/>
        <v>#REF!</v>
      </c>
      <c r="AL114" s="40">
        <f>SUMIF(헤몬팜마진!$B$7:$B$32,$C114,헤몬팜마진!$T$7:$T$32)</f>
        <v>181.44000000000003</v>
      </c>
      <c r="AM114" s="41">
        <f>SUMIF(헤몬팜마진!$B$7:$B$32,$C114,헤몬팜마진!$U$7:$U$32)</f>
        <v>926.01600000000019</v>
      </c>
      <c r="AN114" s="36"/>
      <c r="AO114" s="202">
        <v>61973</v>
      </c>
      <c r="AP114" s="205">
        <v>117</v>
      </c>
      <c r="AQ114" s="126"/>
      <c r="AR114" s="126"/>
      <c r="AS114" s="126"/>
      <c r="AT114" s="118"/>
      <c r="AU114" s="118"/>
      <c r="AV114" s="118"/>
      <c r="AW114" s="118"/>
      <c r="AX114" s="118"/>
      <c r="AY114" s="118"/>
      <c r="AZ114" s="118"/>
      <c r="BA114" s="118"/>
      <c r="BB114" s="118"/>
      <c r="BC114" s="118"/>
      <c r="BD114" s="118"/>
      <c r="BE114" s="118"/>
      <c r="BF114" s="118"/>
      <c r="BG114" s="47"/>
      <c r="BH114" s="47"/>
      <c r="BI114" s="47"/>
      <c r="BJ114" s="47"/>
      <c r="BK114" s="47"/>
    </row>
    <row r="115" spans="1:63" ht="28.5" customHeight="1">
      <c r="A115" s="228" t="s">
        <v>137</v>
      </c>
      <c r="B115" s="200"/>
      <c r="C115" s="42" t="s">
        <v>117</v>
      </c>
      <c r="D115" s="28">
        <f t="shared" si="134"/>
        <v>-0.22836421115433622</v>
      </c>
      <c r="E115" s="201">
        <f t="shared" si="135"/>
        <v>0.49826616922604422</v>
      </c>
      <c r="F115" s="30">
        <f t="shared" si="136"/>
        <v>0.72663038038038041</v>
      </c>
      <c r="G115" s="30">
        <f t="shared" si="137"/>
        <v>2.3498694516971279E-2</v>
      </c>
      <c r="H115" s="35">
        <v>2000</v>
      </c>
      <c r="I115" s="35">
        <f t="shared" si="138"/>
        <v>700</v>
      </c>
      <c r="J115" s="35">
        <f t="shared" si="139"/>
        <v>1400</v>
      </c>
      <c r="K115" s="39">
        <v>2373</v>
      </c>
      <c r="L115" s="39">
        <v>3</v>
      </c>
      <c r="M115" s="210"/>
      <c r="N115" s="44">
        <v>100</v>
      </c>
      <c r="O115" s="202">
        <v>9</v>
      </c>
      <c r="P115" s="31">
        <f t="shared" si="140"/>
        <v>9</v>
      </c>
      <c r="Q115" s="202">
        <v>5</v>
      </c>
      <c r="R115" s="203">
        <v>9</v>
      </c>
      <c r="S115" s="36"/>
      <c r="T115" s="34">
        <f t="shared" si="141"/>
        <v>159840</v>
      </c>
      <c r="U115" s="31">
        <f t="shared" si="142"/>
        <v>0</v>
      </c>
      <c r="V115" s="34">
        <f t="shared" si="143"/>
        <v>159840</v>
      </c>
      <c r="W115" s="43">
        <v>17760</v>
      </c>
      <c r="X115" s="34">
        <f>SUMIF(헤몬팜마진!$B$7:$B$32,$C115,헤몬팜마진!$R$7:$R$32)</f>
        <v>3982.8869999999997</v>
      </c>
      <c r="Y115" s="34">
        <f t="shared" si="144"/>
        <v>43534.891799999998</v>
      </c>
      <c r="Z115" s="34">
        <f t="shared" si="145"/>
        <v>116144.6</v>
      </c>
      <c r="AA115" s="49">
        <f>64023+41563</f>
        <v>105586</v>
      </c>
      <c r="AB115" s="36"/>
      <c r="AC115" s="204">
        <f t="shared" si="152"/>
        <v>11550</v>
      </c>
      <c r="AD115" s="152">
        <v>7.8E-2</v>
      </c>
      <c r="AE115" s="31">
        <f t="shared" ref="AE115:AE116" si="156">1900*(P115)</f>
        <v>17100</v>
      </c>
      <c r="AF115" s="28">
        <f t="shared" si="147"/>
        <v>0.18498198198198199</v>
      </c>
      <c r="AG115" s="34">
        <f t="shared" si="148"/>
        <v>29567.55</v>
      </c>
      <c r="AH115" s="34">
        <f t="shared" si="149"/>
        <v>7094.6937109090914</v>
      </c>
      <c r="AI115" s="34">
        <f>SUMIF(헤몬팜마진!$B$7:$B$32,$C115,헤몬팜마진!$V$7:$V$32)</f>
        <v>4837.2101999999995</v>
      </c>
      <c r="AJ115" s="34">
        <f t="shared" si="150"/>
        <v>79642.864489090905</v>
      </c>
      <c r="AK115" s="46">
        <f t="shared" si="151"/>
        <v>-36501.7355109091</v>
      </c>
      <c r="AL115" s="40">
        <f>SUMIF(헤몬팜마진!$B$7:$B$32,$C115,헤몬팜마진!$T$7:$T$32)</f>
        <v>139.96800000000002</v>
      </c>
      <c r="AM115" s="41">
        <f>SUMIF(헤몬팜마진!$B$7:$B$32,$C115,헤몬팜마진!$U$7:$U$32)</f>
        <v>714.35519999999997</v>
      </c>
      <c r="AN115" s="36"/>
      <c r="AO115" s="202">
        <v>104499</v>
      </c>
      <c r="AP115" s="205">
        <v>383</v>
      </c>
      <c r="AQ115" s="126"/>
      <c r="AR115" s="126"/>
      <c r="AS115" s="126"/>
      <c r="AT115" s="118"/>
      <c r="AU115" s="118"/>
      <c r="AV115" s="118"/>
      <c r="AW115" s="118"/>
      <c r="AX115" s="118"/>
      <c r="AY115" s="118"/>
      <c r="AZ115" s="118"/>
      <c r="BA115" s="118"/>
      <c r="BB115" s="118"/>
      <c r="BC115" s="118"/>
      <c r="BD115" s="118"/>
      <c r="BE115" s="118"/>
      <c r="BF115" s="118"/>
      <c r="BG115" s="47"/>
      <c r="BH115" s="47"/>
      <c r="BI115" s="47"/>
      <c r="BJ115" s="47"/>
      <c r="BK115" s="47"/>
    </row>
    <row r="116" spans="1:63" ht="28.5" customHeight="1">
      <c r="A116" s="228" t="s">
        <v>138</v>
      </c>
      <c r="B116" s="200"/>
      <c r="C116" s="42" t="s">
        <v>118</v>
      </c>
      <c r="D116" s="28">
        <f t="shared" si="134"/>
        <v>-7.4981141312316743E-2</v>
      </c>
      <c r="E116" s="201">
        <f t="shared" si="135"/>
        <v>0.43889184255865105</v>
      </c>
      <c r="F116" s="30">
        <f t="shared" si="136"/>
        <v>0.5138729838709678</v>
      </c>
      <c r="G116" s="30">
        <f t="shared" si="137"/>
        <v>3.4482758620689655E-2</v>
      </c>
      <c r="H116" s="35">
        <v>0</v>
      </c>
      <c r="I116" s="35">
        <f t="shared" si="138"/>
        <v>350</v>
      </c>
      <c r="J116" s="35">
        <f t="shared" si="139"/>
        <v>700</v>
      </c>
      <c r="K116" s="39">
        <v>87</v>
      </c>
      <c r="L116" s="39">
        <v>0</v>
      </c>
      <c r="M116" s="210"/>
      <c r="N116" s="44">
        <v>50</v>
      </c>
      <c r="O116" s="202">
        <v>4</v>
      </c>
      <c r="P116" s="31">
        <f t="shared" si="140"/>
        <v>4</v>
      </c>
      <c r="Q116" s="36"/>
      <c r="R116" s="203">
        <v>4</v>
      </c>
      <c r="S116" s="36"/>
      <c r="T116" s="34">
        <f t="shared" si="141"/>
        <v>99200</v>
      </c>
      <c r="U116" s="31">
        <f t="shared" si="142"/>
        <v>0</v>
      </c>
      <c r="V116" s="34">
        <f t="shared" si="143"/>
        <v>99200</v>
      </c>
      <c r="W116" s="43">
        <v>24800</v>
      </c>
      <c r="X116" s="34">
        <f>SUMIF(헤몬팜마진!$B$7:$B$32,$C116,헤몬팜마진!$R$7:$R$32)</f>
        <v>8408.3169999999991</v>
      </c>
      <c r="Y116" s="34">
        <f t="shared" si="144"/>
        <v>34318.835999999996</v>
      </c>
      <c r="Z116" s="34">
        <f t="shared" si="145"/>
        <v>50976.200000000004</v>
      </c>
      <c r="AA116" s="49">
        <v>46342</v>
      </c>
      <c r="AB116" s="209"/>
      <c r="AC116" s="204">
        <f t="shared" si="152"/>
        <v>0</v>
      </c>
      <c r="AD116" s="152">
        <v>0.1</v>
      </c>
      <c r="AE116" s="31">
        <f t="shared" si="156"/>
        <v>7600</v>
      </c>
      <c r="AF116" s="28">
        <f t="shared" si="147"/>
        <v>0.17661290322580647</v>
      </c>
      <c r="AG116" s="34">
        <f t="shared" si="148"/>
        <v>17520.030000000002</v>
      </c>
      <c r="AH116" s="34">
        <f t="shared" si="149"/>
        <v>3823.0632181818182</v>
      </c>
      <c r="AI116" s="34">
        <f>SUMIF(헤몬팜마진!$B$7:$B$32,$C116,헤몬팜마진!$V$7:$V$32)</f>
        <v>8579.7089999999989</v>
      </c>
      <c r="AJ116" s="34">
        <f t="shared" si="150"/>
        <v>43538.070781818184</v>
      </c>
      <c r="AK116" s="206">
        <f t="shared" si="151"/>
        <v>-7438.1292181818208</v>
      </c>
      <c r="AL116" s="40">
        <f>SUMIF(헤몬팜마진!$B$7:$B$32,$C116,헤몬팜마진!$T$7:$T$32)</f>
        <v>28.079999999999995</v>
      </c>
      <c r="AM116" s="41">
        <f>SUMIF(헤몬팜마진!$B$7:$B$32,$C116,헤몬팜마진!$U$7:$U$32)</f>
        <v>143.31199999999998</v>
      </c>
      <c r="AN116" s="36"/>
      <c r="AO116" s="202">
        <v>53159</v>
      </c>
      <c r="AP116" s="205">
        <v>116</v>
      </c>
      <c r="AQ116" s="126"/>
      <c r="AR116" s="126"/>
      <c r="AS116" s="126"/>
      <c r="AT116" s="118"/>
      <c r="AU116" s="118"/>
      <c r="AV116" s="118"/>
      <c r="AW116" s="118"/>
      <c r="AX116" s="118"/>
      <c r="AY116" s="118"/>
      <c r="AZ116" s="118"/>
      <c r="BA116" s="118"/>
      <c r="BB116" s="118"/>
      <c r="BC116" s="118"/>
      <c r="BD116" s="118"/>
      <c r="BE116" s="118"/>
      <c r="BF116" s="118"/>
      <c r="BG116" s="47"/>
      <c r="BH116" s="47"/>
      <c r="BI116" s="47"/>
      <c r="BJ116" s="47"/>
      <c r="BK116" s="47"/>
    </row>
    <row r="117" spans="1:63" ht="28.5" customHeight="1">
      <c r="A117" s="12"/>
      <c r="B117" s="214" t="s">
        <v>126</v>
      </c>
      <c r="C117" s="42" t="s">
        <v>31</v>
      </c>
      <c r="D117" s="28">
        <f t="shared" si="134"/>
        <v>-1.6942562679425802E-2</v>
      </c>
      <c r="E117" s="201">
        <f t="shared" si="135"/>
        <v>0.4028195699248121</v>
      </c>
      <c r="F117" s="30">
        <f t="shared" si="136"/>
        <v>0.41976213260423789</v>
      </c>
      <c r="G117" s="30">
        <f t="shared" si="137"/>
        <v>4.3668122270742356E-2</v>
      </c>
      <c r="H117" s="35">
        <v>700</v>
      </c>
      <c r="I117" s="35">
        <f t="shared" si="138"/>
        <v>210</v>
      </c>
      <c r="J117" s="35">
        <f t="shared" si="139"/>
        <v>420</v>
      </c>
      <c r="K117" s="39">
        <v>954</v>
      </c>
      <c r="L117" s="39">
        <v>2</v>
      </c>
      <c r="M117" s="210"/>
      <c r="N117" s="44">
        <v>30</v>
      </c>
      <c r="O117" s="36">
        <v>14</v>
      </c>
      <c r="P117" s="31">
        <f t="shared" si="140"/>
        <v>14</v>
      </c>
      <c r="Q117" s="36"/>
      <c r="R117" s="233">
        <v>10</v>
      </c>
      <c r="S117" s="36"/>
      <c r="T117" s="34">
        <f t="shared" si="141"/>
        <v>292600</v>
      </c>
      <c r="U117" s="31">
        <f t="shared" si="142"/>
        <v>0</v>
      </c>
      <c r="V117" s="34">
        <f t="shared" si="143"/>
        <v>292600</v>
      </c>
      <c r="W117" s="43">
        <v>20900</v>
      </c>
      <c r="X117" s="34">
        <f>SUMIF(헤몬팜마진!$B$7:$B$32,$C117,헤몬팜마진!$R$7:$R$32)</f>
        <v>6638.1449999999995</v>
      </c>
      <c r="Y117" s="34">
        <f t="shared" si="144"/>
        <v>93598.503599999982</v>
      </c>
      <c r="Z117" s="34">
        <f t="shared" si="145"/>
        <v>101853.40000000001</v>
      </c>
      <c r="AA117" s="48">
        <v>92594</v>
      </c>
      <c r="AB117" s="211">
        <f>((20900*0.015)+(20900*0.19)+2100+2200+1900)*2</f>
        <v>20969</v>
      </c>
      <c r="AC117" s="204">
        <f t="shared" si="152"/>
        <v>0</v>
      </c>
      <c r="AD117" s="152">
        <v>0.08</v>
      </c>
      <c r="AE117" s="31">
        <f>3400*(P117)</f>
        <v>47600</v>
      </c>
      <c r="AF117" s="28">
        <f t="shared" si="147"/>
        <v>0.24267942583732055</v>
      </c>
      <c r="AG117" s="34">
        <f t="shared" si="148"/>
        <v>71008.03</v>
      </c>
      <c r="AH117" s="34">
        <f t="shared" si="149"/>
        <v>10128.460240000004</v>
      </c>
      <c r="AI117" s="34">
        <f>SUMIF(헤몬팜마진!$B$7:$B$32,$C117,헤몬팜마진!$V$7:$V$32)</f>
        <v>6685.607399999999</v>
      </c>
      <c r="AJ117" s="34">
        <f t="shared" si="150"/>
        <v>117865.00616000002</v>
      </c>
      <c r="AK117" s="206">
        <f t="shared" si="151"/>
        <v>-4957.3938399999897</v>
      </c>
      <c r="AL117" s="40">
        <f>SUMIF(헤몬팜마진!$B$7:$B$32,$C117,헤몬팜마진!$T$7:$T$32)</f>
        <v>7.7759999999999998</v>
      </c>
      <c r="AM117" s="41">
        <f>SUMIF(헤몬팜마진!$B$7:$B$32,$C117,헤몬팜마진!$U$7:$U$32)</f>
        <v>39.686400000000006</v>
      </c>
      <c r="AN117" s="36"/>
      <c r="AO117" s="202">
        <v>155361</v>
      </c>
      <c r="AP117" s="205">
        <v>229</v>
      </c>
      <c r="AQ117" s="126"/>
      <c r="AR117" s="126"/>
      <c r="AS117" s="126"/>
      <c r="AT117" s="118"/>
      <c r="AU117" s="118"/>
      <c r="AV117" s="118"/>
      <c r="AW117" s="118"/>
      <c r="AX117" s="118"/>
      <c r="AY117" s="118"/>
      <c r="AZ117" s="118"/>
      <c r="BA117" s="118"/>
      <c r="BB117" s="118"/>
      <c r="BC117" s="118"/>
      <c r="BD117" s="118"/>
      <c r="BE117" s="118"/>
      <c r="BF117" s="118"/>
      <c r="BG117" s="47"/>
      <c r="BH117" s="47"/>
      <c r="BI117" s="47"/>
      <c r="BJ117" s="47"/>
      <c r="BK117" s="47"/>
    </row>
    <row r="118" spans="1:63" ht="28.5" customHeight="1">
      <c r="A118" s="327" t="s">
        <v>139</v>
      </c>
      <c r="B118" s="127" t="s">
        <v>127</v>
      </c>
      <c r="C118" s="42" t="s">
        <v>119</v>
      </c>
      <c r="D118" s="28">
        <f t="shared" si="134"/>
        <v>0.20490037730966082</v>
      </c>
      <c r="E118" s="201">
        <f t="shared" si="135"/>
        <v>0.43444843816369189</v>
      </c>
      <c r="F118" s="30">
        <f t="shared" si="136"/>
        <v>0.22954806085403104</v>
      </c>
      <c r="G118" s="30">
        <f t="shared" si="137"/>
        <v>0.13253012048192772</v>
      </c>
      <c r="H118" s="35">
        <v>2000</v>
      </c>
      <c r="I118" s="35">
        <f t="shared" si="138"/>
        <v>280</v>
      </c>
      <c r="J118" s="35">
        <f t="shared" si="139"/>
        <v>560</v>
      </c>
      <c r="K118" s="328">
        <v>1048</v>
      </c>
      <c r="L118" s="39">
        <f>311+240+1</f>
        <v>552</v>
      </c>
      <c r="M118" s="210"/>
      <c r="N118" s="44">
        <v>40</v>
      </c>
      <c r="O118" s="202">
        <v>28</v>
      </c>
      <c r="P118" s="31">
        <f t="shared" si="140"/>
        <v>28</v>
      </c>
      <c r="Q118" s="202">
        <v>8</v>
      </c>
      <c r="R118" s="233">
        <v>22</v>
      </c>
      <c r="S118" s="36"/>
      <c r="T118" s="34">
        <f t="shared" si="141"/>
        <v>694120</v>
      </c>
      <c r="U118" s="31">
        <f t="shared" si="142"/>
        <v>0</v>
      </c>
      <c r="V118" s="34">
        <f t="shared" si="143"/>
        <v>694120</v>
      </c>
      <c r="W118" s="43">
        <v>24790</v>
      </c>
      <c r="X118" s="34">
        <f>SUMIF(헤몬팜마진!$B$7:$B$32,$C118,헤몬팜마진!$R$7:$R$32)</f>
        <v>6859.4164999999994</v>
      </c>
      <c r="Y118" s="34">
        <f t="shared" si="144"/>
        <v>203101.30679999996</v>
      </c>
      <c r="Z118" s="34">
        <f t="shared" si="145"/>
        <v>159333.90000000002</v>
      </c>
      <c r="AA118" s="49">
        <v>144849</v>
      </c>
      <c r="AB118" s="209"/>
      <c r="AC118" s="204">
        <f t="shared" si="152"/>
        <v>18480</v>
      </c>
      <c r="AD118" s="152">
        <v>0.108</v>
      </c>
      <c r="AE118" s="31">
        <f>3150*(P118)</f>
        <v>88200</v>
      </c>
      <c r="AF118" s="28">
        <f t="shared" si="147"/>
        <v>0.23506736587333604</v>
      </c>
      <c r="AG118" s="34">
        <f t="shared" si="148"/>
        <v>163164.99000000002</v>
      </c>
      <c r="AH118" s="34">
        <f t="shared" si="149"/>
        <v>26294.35330181817</v>
      </c>
      <c r="AI118" s="34">
        <f>SUMIF(헤몬팜마진!$B$7:$B$32,$C118,헤몬팜마진!$V$7:$V$32)</f>
        <v>7253.6180999999988</v>
      </c>
      <c r="AJ118" s="34">
        <f t="shared" si="150"/>
        <v>301559.3498981818</v>
      </c>
      <c r="AK118" s="206">
        <f t="shared" si="151"/>
        <v>142225.44989818177</v>
      </c>
      <c r="AL118" s="40">
        <f>SUMIF(헤몬팜마진!$B$7:$B$32,$C118,헤몬팜마진!$T$7:$T$32)</f>
        <v>64.584000000000003</v>
      </c>
      <c r="AM118" s="41">
        <f>SUMIF(헤몬팜마진!$B$7:$B$32,$C118,헤몬팜마진!$U$7:$U$32)</f>
        <v>329.61759999999998</v>
      </c>
      <c r="AN118" s="36"/>
      <c r="AO118" s="202">
        <v>30471</v>
      </c>
      <c r="AP118" s="205">
        <v>166</v>
      </c>
      <c r="AQ118" s="126"/>
      <c r="AR118" s="126"/>
      <c r="AS118" s="126"/>
      <c r="AT118" s="118"/>
      <c r="AU118" s="118"/>
      <c r="AV118" s="118"/>
      <c r="AW118" s="118"/>
      <c r="AX118" s="118"/>
      <c r="AY118" s="118"/>
      <c r="AZ118" s="118"/>
      <c r="BA118" s="118"/>
      <c r="BB118" s="118"/>
      <c r="BC118" s="118"/>
      <c r="BD118" s="118"/>
      <c r="BE118" s="118"/>
      <c r="BF118" s="118"/>
      <c r="BG118" s="47"/>
      <c r="BH118" s="47"/>
      <c r="BI118" s="47"/>
      <c r="BJ118" s="47"/>
      <c r="BK118" s="47"/>
    </row>
    <row r="119" spans="1:63" ht="28.5" customHeight="1">
      <c r="A119" s="318"/>
      <c r="B119" s="214" t="s">
        <v>128</v>
      </c>
      <c r="C119" s="42" t="s">
        <v>120</v>
      </c>
      <c r="D119" s="28">
        <f t="shared" si="134"/>
        <v>0.54610332768387393</v>
      </c>
      <c r="E119" s="201">
        <f t="shared" si="135"/>
        <v>0.41263850356327086</v>
      </c>
      <c r="F119" s="30">
        <f t="shared" si="136"/>
        <v>-0.13346482412060304</v>
      </c>
      <c r="G119" s="30">
        <f t="shared" si="137"/>
        <v>0</v>
      </c>
      <c r="H119" s="35">
        <v>0</v>
      </c>
      <c r="I119" s="35">
        <f t="shared" si="138"/>
        <v>105</v>
      </c>
      <c r="J119" s="35">
        <f t="shared" si="139"/>
        <v>210</v>
      </c>
      <c r="K119" s="310"/>
      <c r="L119" s="39">
        <f>22+3</f>
        <v>25</v>
      </c>
      <c r="M119" s="210"/>
      <c r="N119" s="44">
        <v>15</v>
      </c>
      <c r="O119" s="36">
        <v>-1</v>
      </c>
      <c r="P119" s="31">
        <f t="shared" si="140"/>
        <v>-1</v>
      </c>
      <c r="Q119" s="36">
        <v>1</v>
      </c>
      <c r="R119" s="167"/>
      <c r="S119" s="36"/>
      <c r="T119" s="34">
        <f t="shared" si="141"/>
        <v>-39800</v>
      </c>
      <c r="U119" s="31">
        <f t="shared" si="142"/>
        <v>0</v>
      </c>
      <c r="V119" s="34">
        <f t="shared" si="143"/>
        <v>-39800</v>
      </c>
      <c r="W119" s="43">
        <v>39800</v>
      </c>
      <c r="X119" s="34">
        <f>SUMIF(헤몬팜마진!$B$7:$B$32,$C119,헤몬팜마진!$R$7:$R$32)</f>
        <v>13718.832999999999</v>
      </c>
      <c r="Y119" s="34">
        <f t="shared" si="144"/>
        <v>-14113.034599999999</v>
      </c>
      <c r="Z119" s="34">
        <f t="shared" si="145"/>
        <v>5311.9000000000005</v>
      </c>
      <c r="AA119" s="49">
        <v>4829</v>
      </c>
      <c r="AB119" s="209"/>
      <c r="AC119" s="204">
        <f t="shared" si="152"/>
        <v>2310</v>
      </c>
      <c r="AD119" s="152">
        <v>0.108</v>
      </c>
      <c r="AE119" s="31">
        <f>3550*(P119)</f>
        <v>-3550</v>
      </c>
      <c r="AF119" s="28">
        <f t="shared" si="147"/>
        <v>0.1971959798994975</v>
      </c>
      <c r="AG119" s="34">
        <f t="shared" si="148"/>
        <v>-7848.3700000000008</v>
      </c>
      <c r="AH119" s="34">
        <f t="shared" si="149"/>
        <v>-1415.582958181818</v>
      </c>
      <c r="AI119" s="34">
        <f>SUMIF(헤몬팜마진!$B$7:$B$32,$C119,헤몬팜마진!$V$7:$V$32)</f>
        <v>14113.034599999999</v>
      </c>
      <c r="AJ119" s="34">
        <f t="shared" si="150"/>
        <v>-16423.01244181818</v>
      </c>
      <c r="AK119" s="206">
        <f t="shared" si="151"/>
        <v>-21734.912441818182</v>
      </c>
      <c r="AL119" s="40">
        <f>SUMIF(헤몬팜마진!$B$7:$B$32,$C119,헤몬팜마진!$T$7:$T$32)</f>
        <v>64.584000000000003</v>
      </c>
      <c r="AM119" s="41">
        <f>SUMIF(헤몬팜마진!$B$7:$B$32,$C119,헤몬팜마진!$U$7:$U$32)</f>
        <v>329.61759999999998</v>
      </c>
      <c r="AN119" s="36"/>
      <c r="AO119" s="202">
        <v>1105</v>
      </c>
      <c r="AP119" s="205">
        <v>11</v>
      </c>
      <c r="AQ119" s="126"/>
      <c r="AR119" s="126"/>
      <c r="AS119" s="126"/>
      <c r="AT119" s="118"/>
      <c r="AU119" s="118"/>
      <c r="AV119" s="118"/>
      <c r="AW119" s="118"/>
      <c r="AX119" s="118"/>
      <c r="AY119" s="118"/>
      <c r="AZ119" s="118"/>
      <c r="BA119" s="118"/>
      <c r="BB119" s="118"/>
      <c r="BC119" s="118"/>
      <c r="BD119" s="118"/>
      <c r="BE119" s="118"/>
      <c r="BF119" s="118"/>
      <c r="BG119" s="47"/>
      <c r="BH119" s="47"/>
      <c r="BI119" s="47"/>
      <c r="BJ119" s="47"/>
      <c r="BK119" s="47"/>
    </row>
    <row r="120" spans="1:63" ht="28.5" customHeight="1">
      <c r="A120" s="12"/>
      <c r="B120" s="216"/>
      <c r="C120" s="217"/>
      <c r="D120" s="51" t="e">
        <f t="shared" si="134"/>
        <v>#REF!</v>
      </c>
      <c r="E120" s="218" t="e">
        <f t="shared" si="135"/>
        <v>#REF!</v>
      </c>
      <c r="F120" s="53">
        <f t="shared" si="136"/>
        <v>0.31670212715966234</v>
      </c>
      <c r="G120" s="219"/>
      <c r="H120" s="55"/>
      <c r="I120" s="55"/>
      <c r="J120" s="55"/>
      <c r="K120" s="55"/>
      <c r="L120" s="55"/>
      <c r="M120" s="55"/>
      <c r="N120" s="55"/>
      <c r="O120" s="130">
        <f t="shared" ref="O120:V120" si="157">SUM(O103:O119)</f>
        <v>233</v>
      </c>
      <c r="P120" s="220">
        <f t="shared" si="157"/>
        <v>228</v>
      </c>
      <c r="Q120" s="130">
        <f t="shared" si="157"/>
        <v>31</v>
      </c>
      <c r="R120" s="130">
        <f t="shared" si="157"/>
        <v>172</v>
      </c>
      <c r="S120" s="130">
        <f t="shared" si="157"/>
        <v>5</v>
      </c>
      <c r="T120" s="130">
        <f t="shared" si="157"/>
        <v>6464700</v>
      </c>
      <c r="U120" s="130">
        <f t="shared" si="157"/>
        <v>80600</v>
      </c>
      <c r="V120" s="220">
        <f t="shared" si="157"/>
        <v>6384100</v>
      </c>
      <c r="W120" s="55"/>
      <c r="X120" s="130">
        <f t="shared" ref="X120:AC120" si="158">SUM(X103:X119)</f>
        <v>153584.54814999999</v>
      </c>
      <c r="Y120" s="220" t="e">
        <f t="shared" si="158"/>
        <v>#REF!</v>
      </c>
      <c r="Z120" s="130">
        <f t="shared" si="158"/>
        <v>1951551.8000000003</v>
      </c>
      <c r="AA120" s="130">
        <f t="shared" si="158"/>
        <v>1774138</v>
      </c>
      <c r="AB120" s="130">
        <f t="shared" si="158"/>
        <v>70306.25</v>
      </c>
      <c r="AC120" s="130">
        <f t="shared" si="158"/>
        <v>69954</v>
      </c>
      <c r="AD120" s="154">
        <v>0.09</v>
      </c>
      <c r="AE120" s="220">
        <f>SUM(AE103:AE119)</f>
        <v>718800</v>
      </c>
      <c r="AF120" s="53">
        <f t="shared" si="147"/>
        <v>0.20259222129979165</v>
      </c>
      <c r="AG120" s="56">
        <f t="shared" ref="AG120:AI120" si="159">SUM(AG103:AG119)</f>
        <v>1330475.4200000002</v>
      </c>
      <c r="AH120" s="56" t="e">
        <f t="shared" si="159"/>
        <v>#REF!</v>
      </c>
      <c r="AI120" s="56" t="e">
        <f t="shared" si="159"/>
        <v>#REF!</v>
      </c>
      <c r="AJ120" s="56" t="e">
        <f t="shared" si="150"/>
        <v>#REF!</v>
      </c>
      <c r="AK120" s="221" t="e">
        <f t="shared" si="151"/>
        <v>#REF!</v>
      </c>
      <c r="AL120" s="54"/>
      <c r="AM120" s="222"/>
      <c r="AN120" s="57"/>
      <c r="AO120" s="131">
        <f t="shared" ref="AO120:AP120" si="160">SUM(AO103:AO104)</f>
        <v>419667</v>
      </c>
      <c r="AP120" s="132">
        <f t="shared" si="160"/>
        <v>1702</v>
      </c>
      <c r="AQ120" s="126"/>
      <c r="AR120" s="126"/>
      <c r="AS120" s="126"/>
      <c r="AT120" s="118"/>
      <c r="AU120" s="118"/>
      <c r="AV120" s="118"/>
      <c r="AW120" s="118"/>
      <c r="AX120" s="118"/>
      <c r="AY120" s="118"/>
      <c r="AZ120" s="118"/>
      <c r="BA120" s="118"/>
      <c r="BB120" s="118"/>
      <c r="BC120" s="118"/>
      <c r="BD120" s="118"/>
      <c r="BE120" s="118"/>
      <c r="BF120" s="118"/>
      <c r="BG120" s="47"/>
      <c r="BH120" s="47"/>
      <c r="BI120" s="47"/>
      <c r="BJ120" s="47"/>
      <c r="BK120" s="47"/>
    </row>
    <row r="121" spans="1:63" ht="28.5" customHeight="1">
      <c r="A121" s="3"/>
      <c r="B121" s="120"/>
      <c r="C121" s="229"/>
      <c r="D121" s="230"/>
      <c r="E121" s="230"/>
      <c r="F121" s="230"/>
      <c r="G121" s="230"/>
      <c r="H121" s="231"/>
      <c r="I121" s="231"/>
      <c r="J121" s="231"/>
      <c r="K121" s="231"/>
      <c r="L121" s="231"/>
      <c r="M121" s="231"/>
      <c r="N121" s="231"/>
      <c r="O121" s="231"/>
      <c r="P121" s="232"/>
      <c r="Q121" s="231"/>
      <c r="R121" s="231"/>
      <c r="S121" s="231"/>
      <c r="T121" s="231"/>
      <c r="U121" s="231"/>
      <c r="V121" s="231"/>
      <c r="W121" s="231"/>
      <c r="X121" s="231"/>
      <c r="Y121" s="231"/>
      <c r="Z121" s="231"/>
      <c r="AA121" s="133"/>
      <c r="AB121" s="61"/>
      <c r="AC121" s="148"/>
      <c r="AD121" s="148"/>
      <c r="AE121" s="148"/>
      <c r="AF121" s="148"/>
      <c r="AG121" s="61"/>
      <c r="AH121" s="61"/>
      <c r="AI121" s="187"/>
      <c r="AJ121" s="118"/>
      <c r="AK121" s="126"/>
      <c r="AL121" s="126"/>
      <c r="AM121" s="126"/>
      <c r="AN121" s="118"/>
      <c r="AO121" s="118"/>
      <c r="AP121" s="118"/>
      <c r="AQ121" s="126"/>
      <c r="AR121" s="126"/>
      <c r="AS121" s="126"/>
      <c r="AT121" s="118"/>
      <c r="AU121" s="118"/>
      <c r="AV121" s="118"/>
      <c r="AW121" s="118"/>
      <c r="AX121" s="118"/>
      <c r="AY121" s="118"/>
      <c r="AZ121" s="118"/>
      <c r="BA121" s="118"/>
      <c r="BB121" s="118"/>
      <c r="BC121" s="118"/>
      <c r="BD121" s="118"/>
      <c r="BE121" s="118"/>
      <c r="BF121" s="118"/>
      <c r="BG121" s="47"/>
      <c r="BH121" s="47"/>
      <c r="BI121" s="47"/>
      <c r="BJ121" s="47"/>
      <c r="BK121" s="47"/>
    </row>
    <row r="122" spans="1:63" ht="28.5" customHeight="1">
      <c r="A122" s="12"/>
      <c r="B122" s="189"/>
      <c r="C122" s="134">
        <v>45935</v>
      </c>
      <c r="D122" s="122" t="s">
        <v>0</v>
      </c>
      <c r="E122" s="122" t="s">
        <v>1</v>
      </c>
      <c r="F122" s="122" t="s">
        <v>2</v>
      </c>
      <c r="G122" s="190" t="s">
        <v>3</v>
      </c>
      <c r="H122" s="191" t="s">
        <v>4</v>
      </c>
      <c r="I122" s="192" t="s">
        <v>5</v>
      </c>
      <c r="J122" s="192" t="s">
        <v>90</v>
      </c>
      <c r="K122" s="193" t="s">
        <v>6</v>
      </c>
      <c r="L122" s="194" t="s">
        <v>7</v>
      </c>
      <c r="M122" s="15" t="s">
        <v>91</v>
      </c>
      <c r="N122" s="123" t="s">
        <v>125</v>
      </c>
      <c r="O122" s="123" t="s">
        <v>8</v>
      </c>
      <c r="P122" s="123" t="s">
        <v>9</v>
      </c>
      <c r="Q122" s="195" t="s">
        <v>10</v>
      </c>
      <c r="R122" s="123" t="s">
        <v>92</v>
      </c>
      <c r="S122" s="196" t="s">
        <v>11</v>
      </c>
      <c r="T122" s="17" t="s">
        <v>12</v>
      </c>
      <c r="U122" s="17" t="s">
        <v>13</v>
      </c>
      <c r="V122" s="17" t="s">
        <v>14</v>
      </c>
      <c r="W122" s="17" t="s">
        <v>15</v>
      </c>
      <c r="X122" s="15" t="s">
        <v>16</v>
      </c>
      <c r="Y122" s="15" t="s">
        <v>17</v>
      </c>
      <c r="Z122" s="19" t="s">
        <v>18</v>
      </c>
      <c r="AA122" s="19" t="s">
        <v>19</v>
      </c>
      <c r="AB122" s="20" t="s">
        <v>20</v>
      </c>
      <c r="AC122" s="22" t="s">
        <v>93</v>
      </c>
      <c r="AD122" s="197" t="s">
        <v>21</v>
      </c>
      <c r="AE122" s="122" t="s">
        <v>22</v>
      </c>
      <c r="AF122" s="21" t="s">
        <v>23</v>
      </c>
      <c r="AG122" s="21" t="s">
        <v>21</v>
      </c>
      <c r="AH122" s="122" t="s">
        <v>24</v>
      </c>
      <c r="AI122" s="15" t="s">
        <v>25</v>
      </c>
      <c r="AJ122" s="15" t="s">
        <v>26</v>
      </c>
      <c r="AK122" s="122" t="s">
        <v>27</v>
      </c>
      <c r="AL122" s="198" t="s">
        <v>28</v>
      </c>
      <c r="AM122" s="199" t="s">
        <v>29</v>
      </c>
      <c r="AN122" s="124" t="s">
        <v>30</v>
      </c>
      <c r="AO122" s="124" t="s">
        <v>94</v>
      </c>
      <c r="AP122" s="125" t="s">
        <v>95</v>
      </c>
      <c r="AQ122" s="126"/>
      <c r="AR122" s="126"/>
      <c r="AS122" s="126"/>
      <c r="AT122" s="118"/>
      <c r="AU122" s="118"/>
      <c r="AV122" s="118"/>
      <c r="AW122" s="118"/>
      <c r="AX122" s="118"/>
      <c r="AY122" s="118"/>
      <c r="AZ122" s="118"/>
      <c r="BA122" s="118"/>
      <c r="BB122" s="118"/>
      <c r="BC122" s="118"/>
      <c r="BD122" s="118"/>
      <c r="BE122" s="118"/>
      <c r="BF122" s="118"/>
      <c r="BG122" s="47"/>
      <c r="BH122" s="47"/>
      <c r="BI122" s="47"/>
      <c r="BJ122" s="47"/>
      <c r="BK122" s="47"/>
    </row>
    <row r="123" spans="1:63" ht="28.5" customHeight="1">
      <c r="A123" s="12" t="s">
        <v>129</v>
      </c>
      <c r="B123" s="200"/>
      <c r="C123" s="42" t="s">
        <v>107</v>
      </c>
      <c r="D123" s="28">
        <f t="shared" ref="D123:D140" si="161">AK123/V123</f>
        <v>0.1704857960470362</v>
      </c>
      <c r="E123" s="201">
        <f t="shared" ref="E123:E140" si="162">AJ123/V123</f>
        <v>0.42270749651434714</v>
      </c>
      <c r="F123" s="30">
        <f t="shared" ref="F123:F140" si="163">(Z123+AB123)/V123</f>
        <v>0.25222170046731096</v>
      </c>
      <c r="G123" s="30">
        <f t="shared" ref="G123:G139" si="164">R123/AP123</f>
        <v>6.0498220640569395E-2</v>
      </c>
      <c r="H123" s="35">
        <v>7410</v>
      </c>
      <c r="I123" s="35">
        <f t="shared" ref="I123:I139" si="165">N123*7</f>
        <v>1400</v>
      </c>
      <c r="J123" s="35">
        <f t="shared" ref="J123:J139" si="166">N123*14</f>
        <v>2800</v>
      </c>
      <c r="K123" s="49">
        <v>76</v>
      </c>
      <c r="L123" s="49">
        <f>1906+1320</f>
        <v>3226</v>
      </c>
      <c r="M123" s="48"/>
      <c r="N123" s="44">
        <v>200</v>
      </c>
      <c r="O123" s="227">
        <v>158</v>
      </c>
      <c r="P123" s="31">
        <f t="shared" ref="P123:P139" si="167">O123-S123</f>
        <v>158</v>
      </c>
      <c r="Q123" s="227">
        <v>12</v>
      </c>
      <c r="R123" s="233">
        <v>119</v>
      </c>
      <c r="S123" s="36"/>
      <c r="T123" s="34">
        <f t="shared" ref="T123:T139" si="168">W123*O123</f>
        <v>4408200</v>
      </c>
      <c r="U123" s="31">
        <f t="shared" ref="U123:U139" si="169">W123*S123</f>
        <v>0</v>
      </c>
      <c r="V123" s="34">
        <f t="shared" ref="V123:V139" si="170">T123-U123</f>
        <v>4408200</v>
      </c>
      <c r="W123" s="34">
        <v>27900</v>
      </c>
      <c r="X123" s="34">
        <f>SUMIF(헤몬팜마진!$B$7:$B$32,$C123,헤몬팜마진!$R$7:$R$32)</f>
        <v>8850.86</v>
      </c>
      <c r="Y123" s="34">
        <f t="shared" ref="Y123:Y139" si="171">AI123*P123</f>
        <v>1460719.7328000001</v>
      </c>
      <c r="Z123" s="34">
        <f t="shared" ref="Z123:Z139" si="172">AA123*1.1</f>
        <v>1111843.7000000002</v>
      </c>
      <c r="AA123" s="234">
        <v>1010767</v>
      </c>
      <c r="AB123" s="36"/>
      <c r="AC123" s="204">
        <f t="shared" ref="AC123:AC124" si="173">(1072+1100)*Q123</f>
        <v>26064</v>
      </c>
      <c r="AD123" s="152">
        <v>0.1</v>
      </c>
      <c r="AE123" s="31">
        <f>3050*(P123)</f>
        <v>481900</v>
      </c>
      <c r="AF123" s="28">
        <f t="shared" ref="AF123:AF140" si="174">AD123+(AE123/V123)</f>
        <v>0.20931899641577062</v>
      </c>
      <c r="AG123" s="34">
        <f t="shared" ref="AG123:AG139" si="175">IFERROR(V123*AF123+3%,0)</f>
        <v>922720.03</v>
      </c>
      <c r="AH123" s="34">
        <f t="shared" ref="AH123:AH139" si="176">V123/1.1*10%-((AI123*P123)+AG123+(AN123*P123)+(AL123*P123))*10%</f>
        <v>161381.05106545452</v>
      </c>
      <c r="AI123" s="34">
        <f>SUMIF(헤몬팜마진!$B$7:$B$32,$C123,헤몬팜마진!$V$7:$V$32)</f>
        <v>9245.0616000000009</v>
      </c>
      <c r="AJ123" s="34">
        <f t="shared" ref="AJ123:AJ140" si="177">V123-(Y123+AG123+AH123+(AN123*P123))</f>
        <v>1863379.1861345451</v>
      </c>
      <c r="AK123" s="46">
        <f t="shared" ref="AK123:AK140" si="178">AJ123-Z123-AB123</f>
        <v>751535.48613454495</v>
      </c>
      <c r="AL123" s="40">
        <f>SUMIF(헤몬팜마진!$B$7:$B$32,$C123,헤몬팜마진!$T$7:$T$32)</f>
        <v>64.584000000000003</v>
      </c>
      <c r="AM123" s="41">
        <f>SUMIF(헤몬팜마진!$B$7:$B$32,$C123,헤몬팜마진!$U$7:$U$32)</f>
        <v>329.61759999999998</v>
      </c>
      <c r="AN123" s="36"/>
      <c r="AO123" s="202">
        <v>497685</v>
      </c>
      <c r="AP123" s="205">
        <v>1967</v>
      </c>
      <c r="AQ123" s="126"/>
      <c r="AR123" s="126"/>
      <c r="AS123" s="126"/>
      <c r="AT123" s="118"/>
      <c r="AU123" s="118"/>
      <c r="AV123" s="118"/>
      <c r="AW123" s="118"/>
      <c r="AX123" s="118"/>
      <c r="AY123" s="118"/>
      <c r="AZ123" s="118"/>
      <c r="BA123" s="118"/>
      <c r="BB123" s="118"/>
      <c r="BC123" s="118"/>
      <c r="BD123" s="118"/>
      <c r="BE123" s="118"/>
      <c r="BF123" s="118"/>
      <c r="BG123" s="47"/>
      <c r="BH123" s="47"/>
      <c r="BI123" s="47"/>
      <c r="BJ123" s="47"/>
      <c r="BK123" s="47"/>
    </row>
    <row r="124" spans="1:63" ht="28.5" customHeight="1">
      <c r="A124" s="228" t="s">
        <v>130</v>
      </c>
      <c r="B124" s="200"/>
      <c r="C124" s="42" t="s">
        <v>108</v>
      </c>
      <c r="D124" s="28">
        <f t="shared" si="161"/>
        <v>0.30949405006007208</v>
      </c>
      <c r="E124" s="201">
        <f t="shared" si="162"/>
        <v>0.40985087825390465</v>
      </c>
      <c r="F124" s="30">
        <f t="shared" si="163"/>
        <v>0.10035682819383261</v>
      </c>
      <c r="G124" s="30">
        <f t="shared" si="164"/>
        <v>0</v>
      </c>
      <c r="H124" s="35">
        <v>1460</v>
      </c>
      <c r="I124" s="35">
        <f t="shared" si="165"/>
        <v>140</v>
      </c>
      <c r="J124" s="35">
        <f t="shared" si="166"/>
        <v>280</v>
      </c>
      <c r="K124" s="39">
        <v>325</v>
      </c>
      <c r="L124" s="39">
        <v>0</v>
      </c>
      <c r="M124" s="210"/>
      <c r="N124" s="44">
        <v>20</v>
      </c>
      <c r="O124" s="202">
        <v>2</v>
      </c>
      <c r="P124" s="31">
        <f t="shared" si="167"/>
        <v>2</v>
      </c>
      <c r="Q124" s="36"/>
      <c r="R124" s="167"/>
      <c r="S124" s="36"/>
      <c r="T124" s="34">
        <f t="shared" si="168"/>
        <v>45400</v>
      </c>
      <c r="U124" s="31">
        <f t="shared" si="169"/>
        <v>0</v>
      </c>
      <c r="V124" s="34">
        <f t="shared" si="170"/>
        <v>45400</v>
      </c>
      <c r="W124" s="43">
        <v>22700</v>
      </c>
      <c r="X124" s="34">
        <f>SUMIF(헤몬팜마진!$B$7:$B$32,$C124,헤몬팜마진!$R$7:$R$32)</f>
        <v>7080.6879999999992</v>
      </c>
      <c r="Y124" s="34">
        <f t="shared" si="171"/>
        <v>14754.655999999999</v>
      </c>
      <c r="Z124" s="34">
        <f t="shared" si="172"/>
        <v>4556.2000000000007</v>
      </c>
      <c r="AA124" s="49">
        <v>4142</v>
      </c>
      <c r="AB124" s="36"/>
      <c r="AC124" s="204">
        <f t="shared" si="173"/>
        <v>0</v>
      </c>
      <c r="AD124" s="152">
        <v>0.1</v>
      </c>
      <c r="AE124" s="31">
        <f>2950*(P124)</f>
        <v>5900</v>
      </c>
      <c r="AF124" s="28">
        <f t="shared" si="174"/>
        <v>0.22995594713656389</v>
      </c>
      <c r="AG124" s="34">
        <f t="shared" si="175"/>
        <v>10440.030000000001</v>
      </c>
      <c r="AH124" s="34">
        <f t="shared" si="176"/>
        <v>1598.0841272727266</v>
      </c>
      <c r="AI124" s="34">
        <f>SUMIF(헤몬팜마진!$B$7:$B$32,$C124,헤몬팜마진!$V$7:$V$32)</f>
        <v>7377.3279999999995</v>
      </c>
      <c r="AJ124" s="34">
        <f t="shared" si="177"/>
        <v>18607.229872727272</v>
      </c>
      <c r="AK124" s="46">
        <f t="shared" si="178"/>
        <v>14051.029872727271</v>
      </c>
      <c r="AL124" s="40">
        <f>SUMIF(헤몬팜마진!$B$7:$B$32,$C124,헤몬팜마진!$T$7:$T$32)</f>
        <v>48.6</v>
      </c>
      <c r="AM124" s="41">
        <f>SUMIF(헤몬팜마진!$B$7:$B$32,$C124,헤몬팜마진!$U$7:$U$32)</f>
        <v>248.04000000000002</v>
      </c>
      <c r="AN124" s="36"/>
      <c r="AO124" s="202">
        <v>43276</v>
      </c>
      <c r="AP124" s="205">
        <v>14</v>
      </c>
      <c r="AQ124" s="126"/>
      <c r="AR124" s="126"/>
      <c r="AS124" s="126"/>
      <c r="AT124" s="118"/>
      <c r="AU124" s="118"/>
      <c r="AV124" s="118"/>
      <c r="AW124" s="118"/>
      <c r="AX124" s="118"/>
      <c r="AY124" s="118"/>
      <c r="AZ124" s="118"/>
      <c r="BA124" s="118"/>
      <c r="BB124" s="118"/>
      <c r="BC124" s="118"/>
      <c r="BD124" s="118"/>
      <c r="BE124" s="118"/>
      <c r="BF124" s="118"/>
      <c r="BG124" s="47"/>
      <c r="BH124" s="47"/>
      <c r="BI124" s="47"/>
      <c r="BJ124" s="47"/>
      <c r="BK124" s="47"/>
    </row>
    <row r="125" spans="1:63" ht="28.5" customHeight="1">
      <c r="A125" s="327" t="s">
        <v>131</v>
      </c>
      <c r="B125" s="323"/>
      <c r="C125" s="42" t="s">
        <v>109</v>
      </c>
      <c r="D125" s="28" t="e">
        <f t="shared" si="161"/>
        <v>#REF!</v>
      </c>
      <c r="E125" s="201" t="e">
        <f t="shared" si="162"/>
        <v>#REF!</v>
      </c>
      <c r="F125" s="30">
        <f t="shared" si="163"/>
        <v>1.3580676855895197</v>
      </c>
      <c r="G125" s="30">
        <f t="shared" si="164"/>
        <v>0.02</v>
      </c>
      <c r="H125" s="35">
        <v>0</v>
      </c>
      <c r="I125" s="35">
        <f t="shared" si="165"/>
        <v>105</v>
      </c>
      <c r="J125" s="35">
        <f t="shared" si="166"/>
        <v>210</v>
      </c>
      <c r="K125" s="325">
        <v>430</v>
      </c>
      <c r="L125" s="49">
        <f>40+3+3</f>
        <v>46</v>
      </c>
      <c r="M125" s="48"/>
      <c r="N125" s="44">
        <v>15</v>
      </c>
      <c r="O125" s="202">
        <v>1</v>
      </c>
      <c r="P125" s="31">
        <f t="shared" si="167"/>
        <v>1</v>
      </c>
      <c r="Q125" s="36"/>
      <c r="R125" s="203">
        <v>2</v>
      </c>
      <c r="S125" s="36"/>
      <c r="T125" s="34">
        <f t="shared" si="168"/>
        <v>45800</v>
      </c>
      <c r="U125" s="31">
        <f t="shared" si="169"/>
        <v>0</v>
      </c>
      <c r="V125" s="34">
        <f t="shared" si="170"/>
        <v>45800</v>
      </c>
      <c r="W125" s="43">
        <v>45800</v>
      </c>
      <c r="X125" s="34">
        <f>SUMIF(헤몬팜마진!$B$7:$B$32,$C125,헤몬팜마진!$R$7:$R$32)</f>
        <v>9990.4082249999992</v>
      </c>
      <c r="Y125" s="34" t="e">
        <f t="shared" si="171"/>
        <v>#REF!</v>
      </c>
      <c r="Z125" s="34">
        <f t="shared" si="172"/>
        <v>62199.500000000007</v>
      </c>
      <c r="AA125" s="49">
        <v>56545</v>
      </c>
      <c r="AB125" s="36"/>
      <c r="AC125" s="204">
        <f t="shared" ref="AC125:AC139" si="179">(1210+1100)*Q125</f>
        <v>0</v>
      </c>
      <c r="AD125" s="152">
        <v>0.11</v>
      </c>
      <c r="AE125" s="31">
        <f t="shared" ref="AE125:AE126" si="180">4150*(P125)</f>
        <v>4150</v>
      </c>
      <c r="AF125" s="28">
        <f t="shared" si="174"/>
        <v>0.2006113537117904</v>
      </c>
      <c r="AG125" s="34">
        <f t="shared" si="175"/>
        <v>9188.0300000000007</v>
      </c>
      <c r="AH125" s="34" t="e">
        <f t="shared" si="176"/>
        <v>#REF!</v>
      </c>
      <c r="AI125" s="34" t="e">
        <f>SUMIF(헤몬팜마진!$B$7:$B$32,$C125,헤몬팜마진!$V$7:$V$32)</f>
        <v>#REF!</v>
      </c>
      <c r="AJ125" s="34" t="e">
        <f t="shared" si="177"/>
        <v>#REF!</v>
      </c>
      <c r="AK125" s="46" t="e">
        <f t="shared" si="178"/>
        <v>#REF!</v>
      </c>
      <c r="AL125" s="40">
        <f>SUMIF(헤몬팜마진!$B$7:$B$32,$C125,헤몬팜마진!$T$7:$T$32)</f>
        <v>162</v>
      </c>
      <c r="AM125" s="41">
        <f>SUMIF(헤몬팜마진!$B$7:$B$32,$C125,헤몬팜마진!$U$7:$U$32)</f>
        <v>826.80000000000007</v>
      </c>
      <c r="AN125" s="36"/>
      <c r="AO125" s="202">
        <v>69204</v>
      </c>
      <c r="AP125" s="205">
        <v>100</v>
      </c>
      <c r="AQ125" s="126"/>
      <c r="AR125" s="126"/>
      <c r="AS125" s="126"/>
      <c r="AT125" s="118"/>
      <c r="AU125" s="118"/>
      <c r="AV125" s="118"/>
      <c r="AW125" s="118"/>
      <c r="AX125" s="118"/>
      <c r="AY125" s="118"/>
      <c r="AZ125" s="118"/>
      <c r="BA125" s="118"/>
      <c r="BB125" s="118"/>
      <c r="BC125" s="118"/>
      <c r="BD125" s="118"/>
      <c r="BE125" s="118"/>
      <c r="BF125" s="118"/>
      <c r="BG125" s="47"/>
      <c r="BH125" s="47"/>
      <c r="BI125" s="47"/>
      <c r="BJ125" s="47"/>
      <c r="BK125" s="47"/>
    </row>
    <row r="126" spans="1:63" ht="28.5" customHeight="1">
      <c r="A126" s="318"/>
      <c r="B126" s="324"/>
      <c r="C126" s="42" t="s">
        <v>110</v>
      </c>
      <c r="D126" s="28" t="e">
        <f t="shared" si="161"/>
        <v>#REF!</v>
      </c>
      <c r="E126" s="201" t="e">
        <f t="shared" si="162"/>
        <v>#REF!</v>
      </c>
      <c r="F126" s="30">
        <f t="shared" si="163"/>
        <v>-0.17501282051282052</v>
      </c>
      <c r="G126" s="30">
        <f t="shared" si="164"/>
        <v>0</v>
      </c>
      <c r="H126" s="35">
        <v>0</v>
      </c>
      <c r="I126" s="35">
        <f t="shared" si="165"/>
        <v>105</v>
      </c>
      <c r="J126" s="35">
        <f t="shared" si="166"/>
        <v>210</v>
      </c>
      <c r="K126" s="310"/>
      <c r="L126" s="49">
        <f>13+2</f>
        <v>15</v>
      </c>
      <c r="M126" s="48"/>
      <c r="N126" s="44">
        <v>15</v>
      </c>
      <c r="O126" s="202">
        <v>-2</v>
      </c>
      <c r="P126" s="31">
        <f t="shared" si="167"/>
        <v>-2</v>
      </c>
      <c r="Q126" s="202">
        <v>2</v>
      </c>
      <c r="R126" s="203"/>
      <c r="S126" s="36"/>
      <c r="T126" s="34">
        <f t="shared" si="168"/>
        <v>-93600</v>
      </c>
      <c r="U126" s="31">
        <f t="shared" si="169"/>
        <v>0</v>
      </c>
      <c r="V126" s="34">
        <f t="shared" si="170"/>
        <v>-93600</v>
      </c>
      <c r="W126" s="43">
        <v>46800</v>
      </c>
      <c r="X126" s="34">
        <f>SUMIF(헤몬팜마진!$B$7:$B$32,$C126,헤몬팜마진!$R$7:$R$32)</f>
        <v>9990.4082249999992</v>
      </c>
      <c r="Y126" s="34" t="e">
        <f t="shared" si="171"/>
        <v>#REF!</v>
      </c>
      <c r="Z126" s="34">
        <f t="shared" si="172"/>
        <v>16381.2</v>
      </c>
      <c r="AA126" s="49">
        <v>14892</v>
      </c>
      <c r="AB126" s="36"/>
      <c r="AC126" s="204">
        <f t="shared" si="179"/>
        <v>4620</v>
      </c>
      <c r="AD126" s="152">
        <v>0.11</v>
      </c>
      <c r="AE126" s="31">
        <f t="shared" si="180"/>
        <v>-8300</v>
      </c>
      <c r="AF126" s="28">
        <f t="shared" si="174"/>
        <v>0.19867521367521368</v>
      </c>
      <c r="AG126" s="34">
        <f t="shared" si="175"/>
        <v>-18595.97</v>
      </c>
      <c r="AH126" s="34" t="e">
        <f t="shared" si="176"/>
        <v>#REF!</v>
      </c>
      <c r="AI126" s="34" t="e">
        <f>SUMIF(헤몬팜마진!$B$7:$B$32,$C126,헤몬팜마진!$V$7:$V$32)</f>
        <v>#REF!</v>
      </c>
      <c r="AJ126" s="34" t="e">
        <f t="shared" si="177"/>
        <v>#REF!</v>
      </c>
      <c r="AK126" s="206" t="e">
        <f t="shared" si="178"/>
        <v>#REF!</v>
      </c>
      <c r="AL126" s="40">
        <f>SUMIF(헤몬팜마진!$B$7:$B$32,$C126,헤몬팜마진!$T$7:$T$32)</f>
        <v>162</v>
      </c>
      <c r="AM126" s="41">
        <f>SUMIF(헤몬팜마진!$B$7:$B$32,$C126,헤몬팜마진!$U$7:$U$32)</f>
        <v>826.80000000000007</v>
      </c>
      <c r="AN126" s="36"/>
      <c r="AO126" s="202">
        <v>30348</v>
      </c>
      <c r="AP126" s="205">
        <v>74</v>
      </c>
      <c r="AQ126" s="126"/>
      <c r="AR126" s="126"/>
      <c r="AS126" s="126"/>
      <c r="AT126" s="118"/>
      <c r="AU126" s="118"/>
      <c r="AV126" s="118"/>
      <c r="AW126" s="118"/>
      <c r="AX126" s="118"/>
      <c r="AY126" s="118"/>
      <c r="AZ126" s="118"/>
      <c r="BA126" s="118"/>
      <c r="BB126" s="118"/>
      <c r="BC126" s="118"/>
      <c r="BD126" s="118"/>
      <c r="BE126" s="118"/>
      <c r="BF126" s="118"/>
      <c r="BG126" s="47"/>
      <c r="BH126" s="47"/>
      <c r="BI126" s="47"/>
      <c r="BJ126" s="47"/>
      <c r="BK126" s="47"/>
    </row>
    <row r="127" spans="1:63" ht="28.5" customHeight="1">
      <c r="A127" s="12" t="s">
        <v>132</v>
      </c>
      <c r="B127" s="323"/>
      <c r="C127" s="42" t="s">
        <v>32</v>
      </c>
      <c r="D127" s="28" t="e">
        <f t="shared" si="161"/>
        <v>#REF!</v>
      </c>
      <c r="E127" s="201" t="e">
        <f t="shared" si="162"/>
        <v>#REF!</v>
      </c>
      <c r="F127" s="30" t="e">
        <f t="shared" si="163"/>
        <v>#DIV/0!</v>
      </c>
      <c r="G127" s="30">
        <f t="shared" si="164"/>
        <v>0</v>
      </c>
      <c r="H127" s="37">
        <v>3504</v>
      </c>
      <c r="I127" s="35">
        <f t="shared" si="165"/>
        <v>210</v>
      </c>
      <c r="J127" s="35">
        <f t="shared" si="166"/>
        <v>420</v>
      </c>
      <c r="K127" s="325">
        <v>626</v>
      </c>
      <c r="L127" s="39">
        <f>30+13+6</f>
        <v>49</v>
      </c>
      <c r="M127" s="210"/>
      <c r="N127" s="208">
        <v>30</v>
      </c>
      <c r="O127" s="202">
        <v>0</v>
      </c>
      <c r="P127" s="31">
        <f t="shared" si="167"/>
        <v>0</v>
      </c>
      <c r="Q127" s="36"/>
      <c r="R127" s="203"/>
      <c r="S127" s="36"/>
      <c r="T127" s="34">
        <f t="shared" si="168"/>
        <v>0</v>
      </c>
      <c r="U127" s="31">
        <f t="shared" si="169"/>
        <v>0</v>
      </c>
      <c r="V127" s="34">
        <f t="shared" si="170"/>
        <v>0</v>
      </c>
      <c r="W127" s="43">
        <v>59800</v>
      </c>
      <c r="X127" s="34">
        <f>SUMIF(헤몬팜마진!$B$7:$B$32,$C127,헤몬팜마진!$R$7:$R$32)</f>
        <v>13276.289999999999</v>
      </c>
      <c r="Y127" s="34" t="e">
        <f t="shared" si="171"/>
        <v>#REF!</v>
      </c>
      <c r="Z127" s="34">
        <f t="shared" si="172"/>
        <v>24378.2</v>
      </c>
      <c r="AA127" s="49">
        <v>22162</v>
      </c>
      <c r="AB127" s="209"/>
      <c r="AC127" s="204">
        <f t="shared" si="179"/>
        <v>0</v>
      </c>
      <c r="AD127" s="152">
        <v>0.108</v>
      </c>
      <c r="AE127" s="31">
        <f t="shared" ref="AE127:AE128" si="181">4825*(P127)</f>
        <v>0</v>
      </c>
      <c r="AF127" s="28" t="e">
        <f t="shared" si="174"/>
        <v>#DIV/0!</v>
      </c>
      <c r="AG127" s="34">
        <f t="shared" si="175"/>
        <v>0</v>
      </c>
      <c r="AH127" s="34" t="e">
        <f t="shared" si="176"/>
        <v>#REF!</v>
      </c>
      <c r="AI127" s="34" t="e">
        <f>SUMIF(헤몬팜마진!$B$7:$B$32,$C127,헤몬팜마진!$V$7:$V$32)</f>
        <v>#REF!</v>
      </c>
      <c r="AJ127" s="34" t="e">
        <f t="shared" si="177"/>
        <v>#REF!</v>
      </c>
      <c r="AK127" s="46" t="e">
        <f t="shared" si="178"/>
        <v>#REF!</v>
      </c>
      <c r="AL127" s="40">
        <f>SUMIF(헤몬팜마진!$B$7:$B$32,$C127,헤몬팜마진!$T$7:$T$32)</f>
        <v>371.52</v>
      </c>
      <c r="AM127" s="41">
        <f>SUMIF(헤몬팜마진!$B$7:$B$32,$C127,헤몬팜마진!$U$7:$U$32)</f>
        <v>1896.1279999999999</v>
      </c>
      <c r="AN127" s="36"/>
      <c r="AO127" s="202">
        <v>13263</v>
      </c>
      <c r="AP127" s="205">
        <v>27</v>
      </c>
      <c r="AQ127" s="126"/>
      <c r="AR127" s="126"/>
      <c r="AS127" s="126"/>
      <c r="AT127" s="118"/>
      <c r="AU127" s="118"/>
      <c r="AV127" s="118"/>
      <c r="AW127" s="118"/>
      <c r="AX127" s="118"/>
      <c r="AY127" s="118"/>
      <c r="AZ127" s="118"/>
      <c r="BA127" s="118"/>
      <c r="BB127" s="118"/>
      <c r="BC127" s="118"/>
      <c r="BD127" s="118"/>
      <c r="BE127" s="118"/>
      <c r="BF127" s="118"/>
      <c r="BG127" s="47"/>
      <c r="BH127" s="47"/>
      <c r="BI127" s="47"/>
      <c r="BJ127" s="47"/>
      <c r="BK127" s="47"/>
    </row>
    <row r="128" spans="1:63" ht="28.5" customHeight="1">
      <c r="A128" s="12" t="s">
        <v>132</v>
      </c>
      <c r="B128" s="324"/>
      <c r="C128" s="42" t="s">
        <v>33</v>
      </c>
      <c r="D128" s="28" t="e">
        <f t="shared" si="161"/>
        <v>#REF!</v>
      </c>
      <c r="E128" s="201" t="e">
        <f t="shared" si="162"/>
        <v>#REF!</v>
      </c>
      <c r="F128" s="30">
        <f t="shared" si="163"/>
        <v>0.89106620808254522</v>
      </c>
      <c r="G128" s="30">
        <f t="shared" si="164"/>
        <v>2.0408163265306121E-2</v>
      </c>
      <c r="H128" s="35">
        <v>0</v>
      </c>
      <c r="I128" s="35">
        <f t="shared" si="165"/>
        <v>210</v>
      </c>
      <c r="J128" s="35">
        <f t="shared" si="166"/>
        <v>420</v>
      </c>
      <c r="K128" s="310"/>
      <c r="L128" s="39">
        <f>4+11+18+38+129</f>
        <v>200</v>
      </c>
      <c r="M128" s="210"/>
      <c r="N128" s="44">
        <v>30</v>
      </c>
      <c r="O128" s="202">
        <v>1</v>
      </c>
      <c r="P128" s="31">
        <f t="shared" si="167"/>
        <v>1</v>
      </c>
      <c r="Q128" s="36">
        <v>1</v>
      </c>
      <c r="R128" s="203">
        <v>2</v>
      </c>
      <c r="S128" s="36"/>
      <c r="T128" s="34">
        <f t="shared" si="168"/>
        <v>69780</v>
      </c>
      <c r="U128" s="31">
        <f t="shared" si="169"/>
        <v>0</v>
      </c>
      <c r="V128" s="34">
        <f t="shared" si="170"/>
        <v>69780</v>
      </c>
      <c r="W128" s="43">
        <v>69780</v>
      </c>
      <c r="X128" s="34">
        <f>SUMIF(헤몬팜마진!$B$7:$B$32,$C128,헤몬팜마진!$R$7:$R$32)</f>
        <v>13276.289999999999</v>
      </c>
      <c r="Y128" s="34" t="e">
        <f t="shared" si="171"/>
        <v>#REF!</v>
      </c>
      <c r="Z128" s="34">
        <f t="shared" si="172"/>
        <v>62178.600000000006</v>
      </c>
      <c r="AA128" s="49">
        <v>56526</v>
      </c>
      <c r="AB128" s="36"/>
      <c r="AC128" s="204">
        <f t="shared" si="179"/>
        <v>2310</v>
      </c>
      <c r="AD128" s="152">
        <v>0.108</v>
      </c>
      <c r="AE128" s="31">
        <f t="shared" si="181"/>
        <v>4825</v>
      </c>
      <c r="AF128" s="28">
        <f t="shared" si="174"/>
        <v>0.17714588707366008</v>
      </c>
      <c r="AG128" s="34">
        <f t="shared" si="175"/>
        <v>12361.27</v>
      </c>
      <c r="AH128" s="34" t="e">
        <f t="shared" si="176"/>
        <v>#REF!</v>
      </c>
      <c r="AI128" s="34" t="e">
        <f>SUMIF(헤몬팜마진!$B$7:$B$32,$C128,헤몬팜마진!$V$7:$V$32)</f>
        <v>#REF!</v>
      </c>
      <c r="AJ128" s="34" t="e">
        <f t="shared" si="177"/>
        <v>#REF!</v>
      </c>
      <c r="AK128" s="46" t="e">
        <f t="shared" si="178"/>
        <v>#REF!</v>
      </c>
      <c r="AL128" s="40">
        <f>SUMIF(헤몬팜마진!$B$7:$B$32,$C128,헤몬팜마진!$T$7:$T$32)</f>
        <v>371.52</v>
      </c>
      <c r="AM128" s="41">
        <f>SUMIF(헤몬팜마진!$B$7:$B$32,$C128,헤몬팜마진!$U$7:$U$32)</f>
        <v>1896.1279999999999</v>
      </c>
      <c r="AN128" s="36"/>
      <c r="AO128" s="202">
        <v>46357</v>
      </c>
      <c r="AP128" s="205">
        <v>98</v>
      </c>
      <c r="AQ128" s="126"/>
      <c r="AR128" s="126"/>
      <c r="AS128" s="126"/>
      <c r="AT128" s="118"/>
      <c r="AU128" s="118"/>
      <c r="AV128" s="118"/>
      <c r="AW128" s="118"/>
      <c r="AX128" s="118"/>
      <c r="AY128" s="118"/>
      <c r="AZ128" s="118"/>
      <c r="BA128" s="118"/>
      <c r="BB128" s="118"/>
      <c r="BC128" s="118"/>
      <c r="BD128" s="118"/>
      <c r="BE128" s="118"/>
      <c r="BF128" s="118"/>
      <c r="BG128" s="47"/>
      <c r="BH128" s="47"/>
      <c r="BI128" s="47"/>
      <c r="BJ128" s="47"/>
      <c r="BK128" s="47"/>
    </row>
    <row r="129" spans="1:63" ht="28.5" customHeight="1">
      <c r="A129" s="228" t="s">
        <v>133</v>
      </c>
      <c r="B129" s="200"/>
      <c r="C129" s="42" t="s">
        <v>111</v>
      </c>
      <c r="D129" s="28">
        <f t="shared" si="161"/>
        <v>-2.3160329773855182</v>
      </c>
      <c r="E129" s="201">
        <f t="shared" si="162"/>
        <v>0.39080790350778261</v>
      </c>
      <c r="F129" s="30">
        <f t="shared" si="163"/>
        <v>2.7068408808933002</v>
      </c>
      <c r="G129" s="30">
        <f t="shared" si="164"/>
        <v>4.9019607843137254E-2</v>
      </c>
      <c r="H129" s="35">
        <v>500</v>
      </c>
      <c r="I129" s="35">
        <f t="shared" si="165"/>
        <v>105</v>
      </c>
      <c r="J129" s="35">
        <f t="shared" si="166"/>
        <v>210</v>
      </c>
      <c r="K129" s="39">
        <v>577</v>
      </c>
      <c r="L129" s="39">
        <v>211</v>
      </c>
      <c r="M129" s="210"/>
      <c r="N129" s="44">
        <v>15</v>
      </c>
      <c r="O129" s="202">
        <v>7</v>
      </c>
      <c r="P129" s="31">
        <f t="shared" si="167"/>
        <v>2</v>
      </c>
      <c r="Q129" s="202">
        <v>1</v>
      </c>
      <c r="R129" s="203">
        <v>5</v>
      </c>
      <c r="S129" s="202">
        <v>5</v>
      </c>
      <c r="T129" s="34">
        <f t="shared" si="168"/>
        <v>112840</v>
      </c>
      <c r="U129" s="31">
        <f t="shared" si="169"/>
        <v>80600</v>
      </c>
      <c r="V129" s="34">
        <f t="shared" si="170"/>
        <v>32240</v>
      </c>
      <c r="W129" s="43">
        <v>16120</v>
      </c>
      <c r="X129" s="34">
        <f>SUMIF(헤몬팜마진!$B$7:$B$32,$C129,헤몬팜마진!$R$7:$R$32)</f>
        <v>5089.2444999999998</v>
      </c>
      <c r="Y129" s="34">
        <f t="shared" si="171"/>
        <v>10252.648999999999</v>
      </c>
      <c r="Z129" s="34">
        <f t="shared" si="172"/>
        <v>37931.300000000003</v>
      </c>
      <c r="AA129" s="49">
        <v>34483</v>
      </c>
      <c r="AB129" s="211">
        <f>((17890*0.015)+(17890*0.19)+2100+2200+1900)*5</f>
        <v>49337.25</v>
      </c>
      <c r="AC129" s="204">
        <f t="shared" si="179"/>
        <v>2310</v>
      </c>
      <c r="AD129" s="152">
        <v>7.8E-2</v>
      </c>
      <c r="AE129" s="31">
        <f>2900*(P129)</f>
        <v>5800</v>
      </c>
      <c r="AF129" s="28">
        <f t="shared" si="174"/>
        <v>0.25790074441687344</v>
      </c>
      <c r="AG129" s="34">
        <f t="shared" si="175"/>
        <v>8314.75</v>
      </c>
      <c r="AH129" s="34">
        <f t="shared" si="176"/>
        <v>1072.954190909091</v>
      </c>
      <c r="AI129" s="34">
        <f>SUMIF(헤몬팜마진!$B$7:$B$32,$C129,헤몬팜마진!$V$7:$V$32)</f>
        <v>5126.3244999999997</v>
      </c>
      <c r="AJ129" s="34">
        <f t="shared" si="177"/>
        <v>12599.646809090911</v>
      </c>
      <c r="AK129" s="206">
        <f t="shared" si="178"/>
        <v>-74668.903190909099</v>
      </c>
      <c r="AL129" s="40">
        <f>SUMIF(헤몬팜마진!$B$7:$B$32,$C129,헤몬팜마진!$T$7:$T$32)</f>
        <v>6.0750000000000002</v>
      </c>
      <c r="AM129" s="41">
        <f>SUMIF(헤몬팜마진!$B$7:$B$32,$C129,헤몬팜마진!$U$7:$U$32)</f>
        <v>31.005000000000003</v>
      </c>
      <c r="AN129" s="36"/>
      <c r="AO129" s="202">
        <v>42386</v>
      </c>
      <c r="AP129" s="205">
        <v>102</v>
      </c>
      <c r="AQ129" s="126"/>
      <c r="AR129" s="126"/>
      <c r="AS129" s="126"/>
      <c r="AT129" s="118"/>
      <c r="AU129" s="118"/>
      <c r="AV129" s="118"/>
      <c r="AW129" s="118"/>
      <c r="AX129" s="118"/>
      <c r="AY129" s="118"/>
      <c r="AZ129" s="118"/>
      <c r="BA129" s="118"/>
      <c r="BB129" s="118"/>
      <c r="BC129" s="118"/>
      <c r="BD129" s="118"/>
      <c r="BE129" s="118"/>
      <c r="BF129" s="118"/>
      <c r="BG129" s="47"/>
      <c r="BH129" s="47"/>
      <c r="BI129" s="47"/>
      <c r="BJ129" s="47"/>
      <c r="BK129" s="47"/>
    </row>
    <row r="130" spans="1:63" ht="28.5" customHeight="1">
      <c r="A130" s="327" t="s">
        <v>134</v>
      </c>
      <c r="B130" s="323"/>
      <c r="C130" s="42" t="s">
        <v>112</v>
      </c>
      <c r="D130" s="29" t="e">
        <f t="shared" si="161"/>
        <v>#REF!</v>
      </c>
      <c r="E130" s="201" t="e">
        <f t="shared" si="162"/>
        <v>#REF!</v>
      </c>
      <c r="F130" s="30">
        <f t="shared" si="163"/>
        <v>3.328467336683417</v>
      </c>
      <c r="G130" s="30">
        <f t="shared" si="164"/>
        <v>1.2903225806451613E-2</v>
      </c>
      <c r="H130" s="312">
        <v>0</v>
      </c>
      <c r="I130" s="35">
        <f t="shared" si="165"/>
        <v>140</v>
      </c>
      <c r="J130" s="35">
        <f t="shared" si="166"/>
        <v>280</v>
      </c>
      <c r="K130" s="325">
        <v>343</v>
      </c>
      <c r="L130" s="39">
        <f>97+42+48+31+19+10</f>
        <v>247</v>
      </c>
      <c r="M130" s="210"/>
      <c r="N130" s="44">
        <v>20</v>
      </c>
      <c r="O130" s="202">
        <v>1</v>
      </c>
      <c r="P130" s="31">
        <f t="shared" si="167"/>
        <v>1</v>
      </c>
      <c r="Q130" s="202">
        <v>2</v>
      </c>
      <c r="R130" s="167">
        <v>2</v>
      </c>
      <c r="S130" s="36"/>
      <c r="T130" s="34">
        <f t="shared" si="168"/>
        <v>39800</v>
      </c>
      <c r="U130" s="31">
        <f t="shared" si="169"/>
        <v>0</v>
      </c>
      <c r="V130" s="34">
        <f t="shared" si="170"/>
        <v>39800</v>
      </c>
      <c r="W130" s="43">
        <v>39800</v>
      </c>
      <c r="X130" s="34">
        <f>SUMIF(헤몬팜마진!$B$7:$B$32,$C130,헤몬팜마진!$R$7:$R$32)</f>
        <v>7855.1382499999991</v>
      </c>
      <c r="Y130" s="34" t="e">
        <f t="shared" si="171"/>
        <v>#REF!</v>
      </c>
      <c r="Z130" s="34">
        <f t="shared" si="172"/>
        <v>132473</v>
      </c>
      <c r="AA130" s="49">
        <v>120430</v>
      </c>
      <c r="AB130" s="209"/>
      <c r="AC130" s="204">
        <f t="shared" si="179"/>
        <v>4620</v>
      </c>
      <c r="AD130" s="152">
        <v>0.08</v>
      </c>
      <c r="AE130" s="31">
        <f>4150*(P130)</f>
        <v>4150</v>
      </c>
      <c r="AF130" s="28">
        <f t="shared" si="174"/>
        <v>0.18427135678391959</v>
      </c>
      <c r="AG130" s="34">
        <f t="shared" si="175"/>
        <v>7334.03</v>
      </c>
      <c r="AH130" s="34" t="e">
        <f t="shared" si="176"/>
        <v>#REF!</v>
      </c>
      <c r="AI130" s="34" t="e">
        <f>SUMIF(헤몬팜마진!$B$7:$B$32,$C130,헤몬팜마진!$V$7:$V$32)</f>
        <v>#REF!</v>
      </c>
      <c r="AJ130" s="34" t="e">
        <f t="shared" si="177"/>
        <v>#REF!</v>
      </c>
      <c r="AK130" s="46" t="e">
        <f t="shared" si="178"/>
        <v>#REF!</v>
      </c>
      <c r="AL130" s="40">
        <f>SUMIF(헤몬팜마진!$B$7:$B$32,$C130,헤몬팜마진!$T$7:$T$32)</f>
        <v>176.41799999999998</v>
      </c>
      <c r="AM130" s="41">
        <f>SUMIF(헤몬팜마진!$B$7:$B$32,$C130,헤몬팜마진!$U$7:$U$32)</f>
        <v>900.38519999999994</v>
      </c>
      <c r="AN130" s="36"/>
      <c r="AO130" s="202">
        <v>70015</v>
      </c>
      <c r="AP130" s="205">
        <v>155</v>
      </c>
      <c r="AQ130" s="126"/>
      <c r="AR130" s="126"/>
      <c r="AS130" s="126"/>
      <c r="AT130" s="118"/>
      <c r="AU130" s="118"/>
      <c r="AV130" s="118"/>
      <c r="AW130" s="118"/>
      <c r="AX130" s="118"/>
      <c r="AY130" s="118"/>
      <c r="AZ130" s="118"/>
      <c r="BA130" s="118"/>
      <c r="BB130" s="118"/>
      <c r="BC130" s="118"/>
      <c r="BD130" s="118"/>
      <c r="BE130" s="118"/>
      <c r="BF130" s="118"/>
      <c r="BG130" s="47"/>
      <c r="BH130" s="47"/>
      <c r="BI130" s="47"/>
      <c r="BJ130" s="47"/>
      <c r="BK130" s="47"/>
    </row>
    <row r="131" spans="1:63" ht="28.5" customHeight="1">
      <c r="A131" s="318"/>
      <c r="B131" s="324"/>
      <c r="C131" s="42" t="s">
        <v>113</v>
      </c>
      <c r="D131" s="28" t="e">
        <f t="shared" si="161"/>
        <v>#REF!</v>
      </c>
      <c r="E131" s="201" t="e">
        <f t="shared" si="162"/>
        <v>#REF!</v>
      </c>
      <c r="F131" s="30">
        <f t="shared" si="163"/>
        <v>0.476423076923077</v>
      </c>
      <c r="G131" s="30">
        <f t="shared" si="164"/>
        <v>1.2500000000000001E-2</v>
      </c>
      <c r="H131" s="310"/>
      <c r="I131" s="35">
        <f t="shared" si="165"/>
        <v>105</v>
      </c>
      <c r="J131" s="35">
        <f t="shared" si="166"/>
        <v>210</v>
      </c>
      <c r="K131" s="310"/>
      <c r="L131" s="39">
        <f>74+42+48+18+8+2</f>
        <v>192</v>
      </c>
      <c r="M131" s="210"/>
      <c r="N131" s="44">
        <v>15</v>
      </c>
      <c r="O131" s="36">
        <v>2</v>
      </c>
      <c r="P131" s="31">
        <f t="shared" si="167"/>
        <v>2</v>
      </c>
      <c r="Q131" s="36"/>
      <c r="R131" s="167">
        <v>1</v>
      </c>
      <c r="S131" s="36"/>
      <c r="T131" s="34">
        <f t="shared" si="168"/>
        <v>85800</v>
      </c>
      <c r="U131" s="31">
        <f t="shared" si="169"/>
        <v>0</v>
      </c>
      <c r="V131" s="34">
        <f t="shared" si="170"/>
        <v>85800</v>
      </c>
      <c r="W131" s="43">
        <v>42900</v>
      </c>
      <c r="X131" s="34">
        <f>SUMIF(헤몬팜마진!$B$7:$B$32,$C131,헤몬팜마진!$R$7:$R$32)</f>
        <v>7855.1382499999991</v>
      </c>
      <c r="Y131" s="34" t="e">
        <f t="shared" si="171"/>
        <v>#REF!</v>
      </c>
      <c r="Z131" s="34">
        <f t="shared" si="172"/>
        <v>40877.100000000006</v>
      </c>
      <c r="AA131" s="49">
        <v>37161</v>
      </c>
      <c r="AB131" s="36"/>
      <c r="AC131" s="204">
        <f t="shared" si="179"/>
        <v>0</v>
      </c>
      <c r="AD131" s="152">
        <v>7.8E-2</v>
      </c>
      <c r="AE131" s="31">
        <f>1900*(P131)</f>
        <v>3800</v>
      </c>
      <c r="AF131" s="28">
        <f t="shared" si="174"/>
        <v>0.12228904428904429</v>
      </c>
      <c r="AG131" s="34">
        <f t="shared" si="175"/>
        <v>10492.43</v>
      </c>
      <c r="AH131" s="34" t="e">
        <f t="shared" si="176"/>
        <v>#REF!</v>
      </c>
      <c r="AI131" s="34" t="e">
        <f>SUMIF(헤몬팜마진!$B$7:$B$32,$C131,헤몬팜마진!$V$7:$V$32)</f>
        <v>#REF!</v>
      </c>
      <c r="AJ131" s="34" t="e">
        <f t="shared" si="177"/>
        <v>#REF!</v>
      </c>
      <c r="AK131" s="206" t="e">
        <f t="shared" si="178"/>
        <v>#REF!</v>
      </c>
      <c r="AL131" s="40">
        <f>SUMIF(헤몬팜마진!$B$7:$B$32,$C131,헤몬팜마진!$T$7:$T$32)</f>
        <v>176.41799999999998</v>
      </c>
      <c r="AM131" s="41">
        <f>SUMIF(헤몬팜마진!$B$7:$B$32,$C131,헤몬팜마진!$U$7:$U$32)</f>
        <v>900.38519999999994</v>
      </c>
      <c r="AN131" s="36"/>
      <c r="AO131" s="202">
        <v>25095</v>
      </c>
      <c r="AP131" s="205">
        <v>80</v>
      </c>
      <c r="AQ131" s="126"/>
      <c r="AR131" s="126"/>
      <c r="AS131" s="126"/>
      <c r="AT131" s="118"/>
      <c r="AU131" s="118"/>
      <c r="AV131" s="118"/>
      <c r="AW131" s="118"/>
      <c r="AX131" s="118"/>
      <c r="AY131" s="118"/>
      <c r="AZ131" s="118"/>
      <c r="BA131" s="118"/>
      <c r="BB131" s="118"/>
      <c r="BC131" s="118"/>
      <c r="BD131" s="118"/>
      <c r="BE131" s="118"/>
      <c r="BF131" s="118"/>
      <c r="BG131" s="47"/>
      <c r="BH131" s="47"/>
      <c r="BI131" s="47"/>
      <c r="BJ131" s="47"/>
      <c r="BK131" s="47"/>
    </row>
    <row r="132" spans="1:63" ht="28.5" customHeight="1">
      <c r="A132" s="228" t="s">
        <v>135</v>
      </c>
      <c r="B132" s="200"/>
      <c r="C132" s="42" t="s">
        <v>114</v>
      </c>
      <c r="D132" s="28">
        <f t="shared" si="161"/>
        <v>0.2787045195075758</v>
      </c>
      <c r="E132" s="201">
        <f t="shared" si="162"/>
        <v>0.36298874569805201</v>
      </c>
      <c r="F132" s="30">
        <f t="shared" si="163"/>
        <v>8.4284226190476194E-2</v>
      </c>
      <c r="G132" s="30">
        <f t="shared" si="164"/>
        <v>2.5316455696202531E-2</v>
      </c>
      <c r="H132" s="35">
        <v>1750</v>
      </c>
      <c r="I132" s="35">
        <f t="shared" si="165"/>
        <v>350</v>
      </c>
      <c r="J132" s="35">
        <f t="shared" si="166"/>
        <v>700</v>
      </c>
      <c r="K132" s="39">
        <v>1449</v>
      </c>
      <c r="L132" s="39">
        <v>1217</v>
      </c>
      <c r="M132" s="210"/>
      <c r="N132" s="44">
        <v>50</v>
      </c>
      <c r="O132" s="202">
        <v>7</v>
      </c>
      <c r="P132" s="31">
        <f t="shared" si="167"/>
        <v>7</v>
      </c>
      <c r="Q132" s="36"/>
      <c r="R132" s="203">
        <v>2</v>
      </c>
      <c r="S132" s="36"/>
      <c r="T132" s="34">
        <f t="shared" si="168"/>
        <v>134400</v>
      </c>
      <c r="U132" s="31">
        <f t="shared" si="169"/>
        <v>0</v>
      </c>
      <c r="V132" s="34">
        <f t="shared" si="170"/>
        <v>134400</v>
      </c>
      <c r="W132" s="43">
        <v>19200</v>
      </c>
      <c r="X132" s="34">
        <f>SUMIF(헤몬팜마진!$B$7:$B$32,$C132,헤몬팜마진!$R$7:$R$32)</f>
        <v>6372.6191999999992</v>
      </c>
      <c r="Y132" s="34">
        <f t="shared" si="171"/>
        <v>47400.046399999992</v>
      </c>
      <c r="Z132" s="34">
        <f t="shared" si="172"/>
        <v>11327.800000000001</v>
      </c>
      <c r="AA132" s="49">
        <v>10298</v>
      </c>
      <c r="AB132" s="36"/>
      <c r="AC132" s="204">
        <f t="shared" si="179"/>
        <v>0</v>
      </c>
      <c r="AD132" s="152">
        <v>0.08</v>
      </c>
      <c r="AE132" s="31">
        <f>3350*(P132)</f>
        <v>23450</v>
      </c>
      <c r="AF132" s="28">
        <f t="shared" si="174"/>
        <v>0.25447916666666665</v>
      </c>
      <c r="AG132" s="34">
        <f t="shared" si="175"/>
        <v>34202.03</v>
      </c>
      <c r="AH132" s="34">
        <f t="shared" si="176"/>
        <v>4012.2361781818181</v>
      </c>
      <c r="AI132" s="34">
        <f>SUMIF(헤몬팜마진!$B$7:$B$32,$C132,헤몬팜마진!$V$7:$V$32)</f>
        <v>6771.435199999999</v>
      </c>
      <c r="AJ132" s="34">
        <f t="shared" si="177"/>
        <v>48785.687421818191</v>
      </c>
      <c r="AK132" s="46">
        <f t="shared" si="178"/>
        <v>37457.887421818188</v>
      </c>
      <c r="AL132" s="40">
        <f>SUMIF(헤몬팜마진!$B$7:$B$32,$C132,헤몬팜마진!$T$7:$T$32)</f>
        <v>65.34</v>
      </c>
      <c r="AM132" s="41">
        <f>SUMIF(헤몬팜마진!$B$7:$B$32,$C132,헤몬팜마진!$U$7:$U$32)</f>
        <v>333.476</v>
      </c>
      <c r="AN132" s="36"/>
      <c r="AO132" s="202">
        <v>20679</v>
      </c>
      <c r="AP132" s="205">
        <v>79</v>
      </c>
      <c r="AQ132" s="126"/>
      <c r="AR132" s="126"/>
      <c r="AS132" s="126"/>
      <c r="AT132" s="118"/>
      <c r="AU132" s="118"/>
      <c r="AV132" s="118"/>
      <c r="AW132" s="118"/>
      <c r="AX132" s="118"/>
      <c r="AY132" s="118"/>
      <c r="AZ132" s="118"/>
      <c r="BA132" s="118"/>
      <c r="BB132" s="118"/>
      <c r="BC132" s="118"/>
      <c r="BD132" s="118"/>
      <c r="BE132" s="118"/>
      <c r="BF132" s="118"/>
      <c r="BG132" s="47"/>
      <c r="BH132" s="47"/>
      <c r="BI132" s="47"/>
      <c r="BJ132" s="47"/>
      <c r="BK132" s="47"/>
    </row>
    <row r="133" spans="1:63" ht="28.5" customHeight="1">
      <c r="A133" s="327" t="s">
        <v>136</v>
      </c>
      <c r="B133" s="326"/>
      <c r="C133" s="42" t="s">
        <v>115</v>
      </c>
      <c r="D133" s="28" t="e">
        <f t="shared" si="161"/>
        <v>#REF!</v>
      </c>
      <c r="E133" s="201" t="e">
        <f t="shared" si="162"/>
        <v>#REF!</v>
      </c>
      <c r="F133" s="30">
        <f t="shared" si="163"/>
        <v>0.77483759124087603</v>
      </c>
      <c r="G133" s="30">
        <f t="shared" si="164"/>
        <v>9.433962264150943E-3</v>
      </c>
      <c r="H133" s="35">
        <v>0</v>
      </c>
      <c r="I133" s="35">
        <f t="shared" si="165"/>
        <v>70</v>
      </c>
      <c r="J133" s="35">
        <f t="shared" si="166"/>
        <v>140</v>
      </c>
      <c r="K133" s="328">
        <v>494</v>
      </c>
      <c r="L133" s="39">
        <v>0</v>
      </c>
      <c r="M133" s="210"/>
      <c r="N133" s="44">
        <v>10</v>
      </c>
      <c r="O133" s="36">
        <v>2</v>
      </c>
      <c r="P133" s="31">
        <f t="shared" si="167"/>
        <v>2</v>
      </c>
      <c r="Q133" s="36">
        <v>1</v>
      </c>
      <c r="R133" s="167">
        <v>1</v>
      </c>
      <c r="S133" s="36"/>
      <c r="T133" s="34">
        <f t="shared" si="168"/>
        <v>109600</v>
      </c>
      <c r="U133" s="31">
        <f t="shared" si="169"/>
        <v>0</v>
      </c>
      <c r="V133" s="34">
        <f t="shared" si="170"/>
        <v>109600</v>
      </c>
      <c r="W133" s="43">
        <v>54800</v>
      </c>
      <c r="X133" s="34">
        <f>SUMIF(헤몬팜마진!$B$7:$B$32,$C133,헤몬팜마진!$R$7:$R$32)</f>
        <v>12169.932499999999</v>
      </c>
      <c r="Y133" s="34" t="e">
        <f t="shared" si="171"/>
        <v>#REF!</v>
      </c>
      <c r="Z133" s="34">
        <f t="shared" si="172"/>
        <v>84922.200000000012</v>
      </c>
      <c r="AA133" s="49">
        <v>77202</v>
      </c>
      <c r="AB133" s="36"/>
      <c r="AC133" s="204">
        <f t="shared" si="179"/>
        <v>2310</v>
      </c>
      <c r="AD133" s="152">
        <v>7.8E-2</v>
      </c>
      <c r="AE133" s="31">
        <f t="shared" ref="AE133:AE134" si="182">4825*(P133)</f>
        <v>9650</v>
      </c>
      <c r="AF133" s="28">
        <f t="shared" si="174"/>
        <v>0.16604744525547444</v>
      </c>
      <c r="AG133" s="34">
        <f t="shared" si="175"/>
        <v>18198.829999999998</v>
      </c>
      <c r="AH133" s="34" t="e">
        <f t="shared" si="176"/>
        <v>#REF!</v>
      </c>
      <c r="AI133" s="34" t="e">
        <f>SUMIF(헤몬팜마진!$B$7:$B$32,$C133,헤몬팜마진!$V$7:$V$32)</f>
        <v>#REF!</v>
      </c>
      <c r="AJ133" s="34" t="e">
        <f t="shared" si="177"/>
        <v>#REF!</v>
      </c>
      <c r="AK133" s="206" t="e">
        <f t="shared" si="178"/>
        <v>#REF!</v>
      </c>
      <c r="AL133" s="40">
        <f>SUMIF(헤몬팜마진!$B$7:$B$32,$C133,헤몬팜마진!$T$7:$T$32)</f>
        <v>181.44000000000003</v>
      </c>
      <c r="AM133" s="41">
        <f>SUMIF(헤몬팜마진!$B$7:$B$32,$C133,헤몬팜마진!$U$7:$U$32)</f>
        <v>926.01600000000019</v>
      </c>
      <c r="AN133" s="36"/>
      <c r="AO133" s="202">
        <v>39800</v>
      </c>
      <c r="AP133" s="205">
        <v>106</v>
      </c>
      <c r="AQ133" s="126"/>
      <c r="AR133" s="126"/>
      <c r="AS133" s="126"/>
      <c r="AT133" s="118"/>
      <c r="AU133" s="118"/>
      <c r="AV133" s="118"/>
      <c r="AW133" s="118"/>
      <c r="AX133" s="118"/>
      <c r="AY133" s="118"/>
      <c r="AZ133" s="118"/>
      <c r="BA133" s="118"/>
      <c r="BB133" s="118"/>
      <c r="BC133" s="118"/>
      <c r="BD133" s="118"/>
      <c r="BE133" s="118"/>
      <c r="BF133" s="118"/>
      <c r="BG133" s="47"/>
      <c r="BH133" s="47"/>
      <c r="BI133" s="47"/>
      <c r="BJ133" s="47"/>
      <c r="BK133" s="47"/>
    </row>
    <row r="134" spans="1:63" ht="28.5" customHeight="1">
      <c r="A134" s="318"/>
      <c r="B134" s="324"/>
      <c r="C134" s="42" t="s">
        <v>116</v>
      </c>
      <c r="D134" s="28" t="e">
        <f t="shared" si="161"/>
        <v>#REF!</v>
      </c>
      <c r="E134" s="201" t="e">
        <f t="shared" si="162"/>
        <v>#REF!</v>
      </c>
      <c r="F134" s="30" t="e">
        <f t="shared" si="163"/>
        <v>#DIV/0!</v>
      </c>
      <c r="G134" s="30">
        <f t="shared" si="164"/>
        <v>4.8780487804878049E-3</v>
      </c>
      <c r="H134" s="35">
        <v>0</v>
      </c>
      <c r="I134" s="35">
        <f t="shared" si="165"/>
        <v>70</v>
      </c>
      <c r="J134" s="35">
        <f t="shared" si="166"/>
        <v>140</v>
      </c>
      <c r="K134" s="310"/>
      <c r="L134" s="39">
        <v>1</v>
      </c>
      <c r="M134" s="210"/>
      <c r="N134" s="44">
        <v>10</v>
      </c>
      <c r="O134" s="202">
        <v>0</v>
      </c>
      <c r="P134" s="31">
        <f t="shared" si="167"/>
        <v>0</v>
      </c>
      <c r="Q134" s="202">
        <v>1</v>
      </c>
      <c r="R134" s="203">
        <v>1</v>
      </c>
      <c r="S134" s="36"/>
      <c r="T134" s="34">
        <f t="shared" si="168"/>
        <v>0</v>
      </c>
      <c r="U134" s="31">
        <f t="shared" si="169"/>
        <v>0</v>
      </c>
      <c r="V134" s="34">
        <f t="shared" si="170"/>
        <v>0</v>
      </c>
      <c r="W134" s="43">
        <v>61540</v>
      </c>
      <c r="X134" s="34">
        <f>SUMIF(헤몬팜마진!$B$7:$B$32,$C134,헤몬팜마진!$R$7:$R$32)</f>
        <v>12169.932499999999</v>
      </c>
      <c r="Y134" s="34" t="e">
        <f t="shared" si="171"/>
        <v>#REF!</v>
      </c>
      <c r="Z134" s="34">
        <f t="shared" si="172"/>
        <v>104394.40000000001</v>
      </c>
      <c r="AA134" s="49">
        <v>94904</v>
      </c>
      <c r="AB134" s="36"/>
      <c r="AC134" s="204">
        <f t="shared" si="179"/>
        <v>2310</v>
      </c>
      <c r="AD134" s="152">
        <v>7.8E-2</v>
      </c>
      <c r="AE134" s="31">
        <f t="shared" si="182"/>
        <v>0</v>
      </c>
      <c r="AF134" s="28" t="e">
        <f t="shared" si="174"/>
        <v>#DIV/0!</v>
      </c>
      <c r="AG134" s="34">
        <f t="shared" si="175"/>
        <v>0</v>
      </c>
      <c r="AH134" s="34" t="e">
        <f t="shared" si="176"/>
        <v>#REF!</v>
      </c>
      <c r="AI134" s="34" t="e">
        <f>SUMIF(헤몬팜마진!$B$7:$B$32,$C134,헤몬팜마진!$V$7:$V$32)</f>
        <v>#REF!</v>
      </c>
      <c r="AJ134" s="34" t="e">
        <f t="shared" si="177"/>
        <v>#REF!</v>
      </c>
      <c r="AK134" s="46" t="e">
        <f t="shared" si="178"/>
        <v>#REF!</v>
      </c>
      <c r="AL134" s="40">
        <f>SUMIF(헤몬팜마진!$B$7:$B$32,$C134,헤몬팜마진!$T$7:$T$32)</f>
        <v>181.44000000000003</v>
      </c>
      <c r="AM134" s="41">
        <f>SUMIF(헤몬팜마진!$B$7:$B$32,$C134,헤몬팜마진!$U$7:$U$32)</f>
        <v>926.01600000000019</v>
      </c>
      <c r="AN134" s="36"/>
      <c r="AO134" s="202">
        <v>91686</v>
      </c>
      <c r="AP134" s="205">
        <v>205</v>
      </c>
      <c r="AQ134" s="126"/>
      <c r="AR134" s="126"/>
      <c r="AS134" s="126"/>
      <c r="AT134" s="118"/>
      <c r="AU134" s="118"/>
      <c r="AV134" s="118"/>
      <c r="AW134" s="118"/>
      <c r="AX134" s="118"/>
      <c r="AY134" s="118"/>
      <c r="AZ134" s="118"/>
      <c r="BA134" s="118"/>
      <c r="BB134" s="118"/>
      <c r="BC134" s="118"/>
      <c r="BD134" s="118"/>
      <c r="BE134" s="118"/>
      <c r="BF134" s="118"/>
      <c r="BG134" s="47"/>
      <c r="BH134" s="47"/>
      <c r="BI134" s="47"/>
      <c r="BJ134" s="47"/>
      <c r="BK134" s="47"/>
    </row>
    <row r="135" spans="1:63" ht="28.5" customHeight="1">
      <c r="A135" s="228" t="s">
        <v>137</v>
      </c>
      <c r="B135" s="200"/>
      <c r="C135" s="42" t="s">
        <v>117</v>
      </c>
      <c r="D135" s="28">
        <f t="shared" si="161"/>
        <v>-0.11925398843161343</v>
      </c>
      <c r="E135" s="201">
        <f t="shared" si="162"/>
        <v>0.49826612096349604</v>
      </c>
      <c r="F135" s="30">
        <f t="shared" si="163"/>
        <v>0.61752010939510948</v>
      </c>
      <c r="G135" s="30">
        <f t="shared" si="164"/>
        <v>2.3489932885906041E-2</v>
      </c>
      <c r="H135" s="35">
        <v>2000</v>
      </c>
      <c r="I135" s="35">
        <f t="shared" si="165"/>
        <v>700</v>
      </c>
      <c r="J135" s="35">
        <f t="shared" si="166"/>
        <v>1400</v>
      </c>
      <c r="K135" s="39">
        <v>2373</v>
      </c>
      <c r="L135" s="39">
        <v>3</v>
      </c>
      <c r="M135" s="210"/>
      <c r="N135" s="44">
        <v>100</v>
      </c>
      <c r="O135" s="202">
        <v>7</v>
      </c>
      <c r="P135" s="31">
        <f t="shared" si="167"/>
        <v>7</v>
      </c>
      <c r="Q135" s="202">
        <v>3</v>
      </c>
      <c r="R135" s="203">
        <v>7</v>
      </c>
      <c r="S135" s="36"/>
      <c r="T135" s="34">
        <f t="shared" si="168"/>
        <v>124320</v>
      </c>
      <c r="U135" s="31">
        <f t="shared" si="169"/>
        <v>0</v>
      </c>
      <c r="V135" s="34">
        <f t="shared" si="170"/>
        <v>124320</v>
      </c>
      <c r="W135" s="43">
        <v>17760</v>
      </c>
      <c r="X135" s="34">
        <f>SUMIF(헤몬팜마진!$B$7:$B$32,$C135,헤몬팜마진!$R$7:$R$32)</f>
        <v>3982.8869999999997</v>
      </c>
      <c r="Y135" s="34">
        <f t="shared" si="171"/>
        <v>33860.471399999995</v>
      </c>
      <c r="Z135" s="34">
        <f t="shared" si="172"/>
        <v>76770.100000000006</v>
      </c>
      <c r="AA135" s="49">
        <f>40214+29577</f>
        <v>69791</v>
      </c>
      <c r="AB135" s="36"/>
      <c r="AC135" s="204">
        <f t="shared" si="179"/>
        <v>6930</v>
      </c>
      <c r="AD135" s="152">
        <v>7.8E-2</v>
      </c>
      <c r="AE135" s="31">
        <f t="shared" ref="AE135:AE136" si="183">1900*(P135)</f>
        <v>13300</v>
      </c>
      <c r="AF135" s="28">
        <f t="shared" si="174"/>
        <v>0.18498198198198199</v>
      </c>
      <c r="AG135" s="34">
        <f t="shared" si="175"/>
        <v>22996.989999999998</v>
      </c>
      <c r="AH135" s="34">
        <f t="shared" si="176"/>
        <v>5518.0944418181825</v>
      </c>
      <c r="AI135" s="34">
        <f>SUMIF(헤몬팜마진!$B$7:$B$32,$C135,헤몬팜마진!$V$7:$V$32)</f>
        <v>4837.2101999999995</v>
      </c>
      <c r="AJ135" s="34">
        <f t="shared" si="177"/>
        <v>61944.444158181825</v>
      </c>
      <c r="AK135" s="46">
        <f t="shared" si="178"/>
        <v>-14825.655841818181</v>
      </c>
      <c r="AL135" s="40">
        <f>SUMIF(헤몬팜마진!$B$7:$B$32,$C135,헤몬팜마진!$T$7:$T$32)</f>
        <v>139.96800000000002</v>
      </c>
      <c r="AM135" s="41">
        <f>SUMIF(헤몬팜마진!$B$7:$B$32,$C135,헤몬팜마진!$U$7:$U$32)</f>
        <v>714.35519999999997</v>
      </c>
      <c r="AN135" s="36"/>
      <c r="AO135" s="202">
        <v>73647</v>
      </c>
      <c r="AP135" s="205">
        <v>298</v>
      </c>
      <c r="AQ135" s="126"/>
      <c r="AR135" s="126"/>
      <c r="AS135" s="126"/>
      <c r="AT135" s="118"/>
      <c r="AU135" s="118"/>
      <c r="AV135" s="118"/>
      <c r="AW135" s="118"/>
      <c r="AX135" s="118"/>
      <c r="AY135" s="118"/>
      <c r="AZ135" s="118"/>
      <c r="BA135" s="118"/>
      <c r="BB135" s="118"/>
      <c r="BC135" s="118"/>
      <c r="BD135" s="118"/>
      <c r="BE135" s="118"/>
      <c r="BF135" s="118"/>
      <c r="BG135" s="47"/>
      <c r="BH135" s="47"/>
      <c r="BI135" s="47"/>
      <c r="BJ135" s="47"/>
      <c r="BK135" s="47"/>
    </row>
    <row r="136" spans="1:63" ht="28.5" customHeight="1">
      <c r="A136" s="228" t="s">
        <v>138</v>
      </c>
      <c r="B136" s="200"/>
      <c r="C136" s="42" t="s">
        <v>118</v>
      </c>
      <c r="D136" s="28">
        <f t="shared" si="161"/>
        <v>0.20128297159090908</v>
      </c>
      <c r="E136" s="201">
        <f t="shared" si="162"/>
        <v>0.43889184255865105</v>
      </c>
      <c r="F136" s="30">
        <f t="shared" si="163"/>
        <v>0.23760887096774197</v>
      </c>
      <c r="G136" s="30">
        <f t="shared" si="164"/>
        <v>3.2258064516129031E-2</v>
      </c>
      <c r="H136" s="35">
        <v>0</v>
      </c>
      <c r="I136" s="35">
        <f t="shared" si="165"/>
        <v>350</v>
      </c>
      <c r="J136" s="35">
        <f t="shared" si="166"/>
        <v>700</v>
      </c>
      <c r="K136" s="39">
        <v>87</v>
      </c>
      <c r="L136" s="39">
        <v>0</v>
      </c>
      <c r="M136" s="210"/>
      <c r="N136" s="44">
        <v>50</v>
      </c>
      <c r="O136" s="202">
        <v>4</v>
      </c>
      <c r="P136" s="31">
        <f t="shared" si="167"/>
        <v>4</v>
      </c>
      <c r="Q136" s="36"/>
      <c r="R136" s="203">
        <v>3</v>
      </c>
      <c r="S136" s="36"/>
      <c r="T136" s="34">
        <f t="shared" si="168"/>
        <v>99200</v>
      </c>
      <c r="U136" s="31">
        <f t="shared" si="169"/>
        <v>0</v>
      </c>
      <c r="V136" s="34">
        <f t="shared" si="170"/>
        <v>99200</v>
      </c>
      <c r="W136" s="43">
        <v>24800</v>
      </c>
      <c r="X136" s="34">
        <f>SUMIF(헤몬팜마진!$B$7:$B$32,$C136,헤몬팜마진!$R$7:$R$32)</f>
        <v>8408.3169999999991</v>
      </c>
      <c r="Y136" s="34">
        <f t="shared" si="171"/>
        <v>34318.835999999996</v>
      </c>
      <c r="Z136" s="34">
        <f t="shared" si="172"/>
        <v>23570.800000000003</v>
      </c>
      <c r="AA136" s="49">
        <v>21428</v>
      </c>
      <c r="AB136" s="209"/>
      <c r="AC136" s="204">
        <f t="shared" si="179"/>
        <v>0</v>
      </c>
      <c r="AD136" s="152">
        <v>0.1</v>
      </c>
      <c r="AE136" s="31">
        <f t="shared" si="183"/>
        <v>7600</v>
      </c>
      <c r="AF136" s="28">
        <f t="shared" si="174"/>
        <v>0.17661290322580647</v>
      </c>
      <c r="AG136" s="34">
        <f t="shared" si="175"/>
        <v>17520.030000000002</v>
      </c>
      <c r="AH136" s="34">
        <f t="shared" si="176"/>
        <v>3823.0632181818182</v>
      </c>
      <c r="AI136" s="34">
        <f>SUMIF(헤몬팜마진!$B$7:$B$32,$C136,헤몬팜마진!$V$7:$V$32)</f>
        <v>8579.7089999999989</v>
      </c>
      <c r="AJ136" s="34">
        <f t="shared" si="177"/>
        <v>43538.070781818184</v>
      </c>
      <c r="AK136" s="206">
        <f t="shared" si="178"/>
        <v>19967.270781818181</v>
      </c>
      <c r="AL136" s="40">
        <f>SUMIF(헤몬팜마진!$B$7:$B$32,$C136,헤몬팜마진!$T$7:$T$32)</f>
        <v>28.079999999999995</v>
      </c>
      <c r="AM136" s="41">
        <f>SUMIF(헤몬팜마진!$B$7:$B$32,$C136,헤몬팜마진!$U$7:$U$32)</f>
        <v>143.31199999999998</v>
      </c>
      <c r="AN136" s="36"/>
      <c r="AO136" s="202">
        <v>47548</v>
      </c>
      <c r="AP136" s="205">
        <v>93</v>
      </c>
      <c r="AQ136" s="126"/>
      <c r="AR136" s="126"/>
      <c r="AS136" s="126"/>
      <c r="AT136" s="118"/>
      <c r="AU136" s="118"/>
      <c r="AV136" s="118"/>
      <c r="AW136" s="118"/>
      <c r="AX136" s="118"/>
      <c r="AY136" s="118"/>
      <c r="AZ136" s="118"/>
      <c r="BA136" s="118"/>
      <c r="BB136" s="118"/>
      <c r="BC136" s="118"/>
      <c r="BD136" s="118"/>
      <c r="BE136" s="118"/>
      <c r="BF136" s="118"/>
      <c r="BG136" s="47"/>
      <c r="BH136" s="47"/>
      <c r="BI136" s="47"/>
      <c r="BJ136" s="47"/>
      <c r="BK136" s="47"/>
    </row>
    <row r="137" spans="1:63" ht="28.5" customHeight="1">
      <c r="A137" s="12"/>
      <c r="B137" s="214" t="s">
        <v>126</v>
      </c>
      <c r="C137" s="42" t="s">
        <v>31</v>
      </c>
      <c r="D137" s="28">
        <f t="shared" si="161"/>
        <v>0.10742372048716838</v>
      </c>
      <c r="E137" s="201">
        <f t="shared" si="162"/>
        <v>0.40281954475859078</v>
      </c>
      <c r="F137" s="30">
        <f t="shared" si="163"/>
        <v>0.29539582427142236</v>
      </c>
      <c r="G137" s="30">
        <f t="shared" si="164"/>
        <v>2.0408163265306121E-2</v>
      </c>
      <c r="H137" s="35">
        <v>700</v>
      </c>
      <c r="I137" s="35">
        <f t="shared" si="165"/>
        <v>210</v>
      </c>
      <c r="J137" s="35">
        <f t="shared" si="166"/>
        <v>420</v>
      </c>
      <c r="K137" s="39">
        <v>954</v>
      </c>
      <c r="L137" s="39">
        <v>2</v>
      </c>
      <c r="M137" s="210"/>
      <c r="N137" s="44">
        <v>30</v>
      </c>
      <c r="O137" s="36">
        <v>11</v>
      </c>
      <c r="P137" s="31">
        <f t="shared" si="167"/>
        <v>11</v>
      </c>
      <c r="Q137" s="36">
        <v>2</v>
      </c>
      <c r="R137" s="167">
        <v>3</v>
      </c>
      <c r="S137" s="36"/>
      <c r="T137" s="34">
        <f t="shared" si="168"/>
        <v>229900</v>
      </c>
      <c r="U137" s="31">
        <f t="shared" si="169"/>
        <v>0</v>
      </c>
      <c r="V137" s="34">
        <f t="shared" si="170"/>
        <v>229900</v>
      </c>
      <c r="W137" s="43">
        <v>20900</v>
      </c>
      <c r="X137" s="34">
        <f>SUMIF(헤몬팜마진!$B$7:$B$32,$C137,헤몬팜마진!$R$7:$R$32)</f>
        <v>6638.1449999999995</v>
      </c>
      <c r="Y137" s="34">
        <f t="shared" si="171"/>
        <v>73541.681399999987</v>
      </c>
      <c r="Z137" s="34">
        <f t="shared" si="172"/>
        <v>46942.500000000007</v>
      </c>
      <c r="AA137" s="48">
        <v>42675</v>
      </c>
      <c r="AB137" s="211">
        <f>((20900*0.015)+(20900*0.19)+2100+2200+1900)*2</f>
        <v>20969</v>
      </c>
      <c r="AC137" s="204">
        <f t="shared" si="179"/>
        <v>4620</v>
      </c>
      <c r="AD137" s="152">
        <v>0.08</v>
      </c>
      <c r="AE137" s="31">
        <f>3400*(P137)</f>
        <v>37400</v>
      </c>
      <c r="AF137" s="28">
        <f t="shared" si="174"/>
        <v>0.24267942583732055</v>
      </c>
      <c r="AG137" s="34">
        <f t="shared" si="175"/>
        <v>55792.029999999992</v>
      </c>
      <c r="AH137" s="34">
        <f t="shared" si="176"/>
        <v>7958.0752600000033</v>
      </c>
      <c r="AI137" s="34">
        <f>SUMIF(헤몬팜마진!$B$7:$B$32,$C137,헤몬팜마진!$V$7:$V$32)</f>
        <v>6685.607399999999</v>
      </c>
      <c r="AJ137" s="34">
        <f t="shared" si="177"/>
        <v>92608.213340000017</v>
      </c>
      <c r="AK137" s="206">
        <f t="shared" si="178"/>
        <v>24696.713340000009</v>
      </c>
      <c r="AL137" s="40">
        <f>SUMIF(헤몬팜마진!$B$7:$B$32,$C137,헤몬팜마진!$T$7:$T$32)</f>
        <v>7.7759999999999998</v>
      </c>
      <c r="AM137" s="41">
        <f>SUMIF(헤몬팜마진!$B$7:$B$32,$C137,헤몬팜마진!$U$7:$U$32)</f>
        <v>39.686400000000006</v>
      </c>
      <c r="AN137" s="36"/>
      <c r="AO137" s="202">
        <v>133590</v>
      </c>
      <c r="AP137" s="205">
        <v>147</v>
      </c>
      <c r="AQ137" s="126"/>
      <c r="AR137" s="126"/>
      <c r="AS137" s="126"/>
      <c r="AT137" s="118"/>
      <c r="AU137" s="118"/>
      <c r="AV137" s="118"/>
      <c r="AW137" s="118"/>
      <c r="AX137" s="118"/>
      <c r="AY137" s="118"/>
      <c r="AZ137" s="118"/>
      <c r="BA137" s="118"/>
      <c r="BB137" s="118"/>
      <c r="BC137" s="118"/>
      <c r="BD137" s="118"/>
      <c r="BE137" s="118"/>
      <c r="BF137" s="118"/>
      <c r="BG137" s="47"/>
      <c r="BH137" s="47"/>
      <c r="BI137" s="47"/>
      <c r="BJ137" s="47"/>
      <c r="BK137" s="47"/>
    </row>
    <row r="138" spans="1:63" ht="28.5" customHeight="1">
      <c r="A138" s="327" t="s">
        <v>139</v>
      </c>
      <c r="B138" s="127" t="s">
        <v>127</v>
      </c>
      <c r="C138" s="42" t="s">
        <v>119</v>
      </c>
      <c r="D138" s="28">
        <f t="shared" si="161"/>
        <v>0.1119664076790495</v>
      </c>
      <c r="E138" s="201">
        <f t="shared" si="162"/>
        <v>0.4344483992655187</v>
      </c>
      <c r="F138" s="30">
        <f t="shared" si="163"/>
        <v>0.32248199158646923</v>
      </c>
      <c r="G138" s="30">
        <f t="shared" si="164"/>
        <v>0.12280701754385964</v>
      </c>
      <c r="H138" s="35">
        <v>2000</v>
      </c>
      <c r="I138" s="35">
        <f t="shared" si="165"/>
        <v>280</v>
      </c>
      <c r="J138" s="35">
        <f t="shared" si="166"/>
        <v>560</v>
      </c>
      <c r="K138" s="328">
        <v>1048</v>
      </c>
      <c r="L138" s="39">
        <f>311+240+1</f>
        <v>552</v>
      </c>
      <c r="M138" s="210"/>
      <c r="N138" s="44">
        <v>40</v>
      </c>
      <c r="O138" s="202">
        <v>14</v>
      </c>
      <c r="P138" s="31">
        <f t="shared" si="167"/>
        <v>14</v>
      </c>
      <c r="Q138" s="202">
        <v>4</v>
      </c>
      <c r="R138" s="203">
        <v>14</v>
      </c>
      <c r="S138" s="36"/>
      <c r="T138" s="34">
        <f t="shared" si="168"/>
        <v>347060</v>
      </c>
      <c r="U138" s="31">
        <f t="shared" si="169"/>
        <v>0</v>
      </c>
      <c r="V138" s="34">
        <f t="shared" si="170"/>
        <v>347060</v>
      </c>
      <c r="W138" s="43">
        <v>24790</v>
      </c>
      <c r="X138" s="34">
        <f>SUMIF(헤몬팜마진!$B$7:$B$32,$C138,헤몬팜마진!$R$7:$R$32)</f>
        <v>6859.4164999999994</v>
      </c>
      <c r="Y138" s="34">
        <f t="shared" si="171"/>
        <v>101550.65339999998</v>
      </c>
      <c r="Z138" s="34">
        <f t="shared" si="172"/>
        <v>111920.6</v>
      </c>
      <c r="AA138" s="49">
        <v>101746</v>
      </c>
      <c r="AB138" s="209"/>
      <c r="AC138" s="204">
        <f t="shared" si="179"/>
        <v>9240</v>
      </c>
      <c r="AD138" s="152">
        <v>0.108</v>
      </c>
      <c r="AE138" s="31">
        <f>3150*(P138)</f>
        <v>44100</v>
      </c>
      <c r="AF138" s="28">
        <f t="shared" si="174"/>
        <v>0.23506736587333604</v>
      </c>
      <c r="AG138" s="34">
        <f t="shared" si="175"/>
        <v>81582.510000000009</v>
      </c>
      <c r="AH138" s="34">
        <f t="shared" si="176"/>
        <v>13147.175150909086</v>
      </c>
      <c r="AI138" s="34">
        <f>SUMIF(헤몬팜마진!$B$7:$B$32,$C138,헤몬팜마진!$V$7:$V$32)</f>
        <v>7253.6180999999988</v>
      </c>
      <c r="AJ138" s="34">
        <f t="shared" si="177"/>
        <v>150779.66144909093</v>
      </c>
      <c r="AK138" s="206">
        <f t="shared" si="178"/>
        <v>38859.061449090921</v>
      </c>
      <c r="AL138" s="40">
        <f>SUMIF(헤몬팜마진!$B$7:$B$32,$C138,헤몬팜마진!$T$7:$T$32)</f>
        <v>64.584000000000003</v>
      </c>
      <c r="AM138" s="41">
        <f>SUMIF(헤몬팜마진!$B$7:$B$32,$C138,헤몬팜마진!$U$7:$U$32)</f>
        <v>329.61759999999998</v>
      </c>
      <c r="AN138" s="36"/>
      <c r="AO138" s="202">
        <v>21641</v>
      </c>
      <c r="AP138" s="205">
        <v>114</v>
      </c>
      <c r="AQ138" s="126"/>
      <c r="AR138" s="126"/>
      <c r="AS138" s="126"/>
      <c r="AT138" s="118"/>
      <c r="AU138" s="118"/>
      <c r="AV138" s="118"/>
      <c r="AW138" s="118"/>
      <c r="AX138" s="118"/>
      <c r="AY138" s="118"/>
      <c r="AZ138" s="118"/>
      <c r="BA138" s="118"/>
      <c r="BB138" s="118"/>
      <c r="BC138" s="118"/>
      <c r="BD138" s="118"/>
      <c r="BE138" s="118"/>
      <c r="BF138" s="118"/>
      <c r="BG138" s="47"/>
      <c r="BH138" s="47"/>
      <c r="BI138" s="47"/>
      <c r="BJ138" s="47"/>
      <c r="BK138" s="47"/>
    </row>
    <row r="139" spans="1:63" ht="28.5" customHeight="1">
      <c r="A139" s="318"/>
      <c r="B139" s="214" t="s">
        <v>128</v>
      </c>
      <c r="C139" s="42" t="s">
        <v>120</v>
      </c>
      <c r="D139" s="28" t="e">
        <f t="shared" si="161"/>
        <v>#DIV/0!</v>
      </c>
      <c r="E139" s="201" t="e">
        <f t="shared" si="162"/>
        <v>#DIV/0!</v>
      </c>
      <c r="F139" s="30" t="e">
        <f t="shared" si="163"/>
        <v>#DIV/0!</v>
      </c>
      <c r="G139" s="30">
        <f t="shared" si="164"/>
        <v>0</v>
      </c>
      <c r="H139" s="35">
        <v>0</v>
      </c>
      <c r="I139" s="35">
        <f t="shared" si="165"/>
        <v>105</v>
      </c>
      <c r="J139" s="35">
        <f t="shared" si="166"/>
        <v>210</v>
      </c>
      <c r="K139" s="310"/>
      <c r="L139" s="39">
        <f>22+3</f>
        <v>25</v>
      </c>
      <c r="M139" s="210"/>
      <c r="N139" s="44">
        <v>15</v>
      </c>
      <c r="O139" s="36">
        <v>0</v>
      </c>
      <c r="P139" s="31">
        <f t="shared" si="167"/>
        <v>0</v>
      </c>
      <c r="Q139" s="36"/>
      <c r="R139" s="167"/>
      <c r="S139" s="36"/>
      <c r="T139" s="34">
        <f t="shared" si="168"/>
        <v>0</v>
      </c>
      <c r="U139" s="31">
        <f t="shared" si="169"/>
        <v>0</v>
      </c>
      <c r="V139" s="34">
        <f t="shared" si="170"/>
        <v>0</v>
      </c>
      <c r="W139" s="43">
        <v>39800</v>
      </c>
      <c r="X139" s="34">
        <f>SUMIF(헤몬팜마진!$B$7:$B$32,$C139,헤몬팜마진!$R$7:$R$32)</f>
        <v>13718.832999999999</v>
      </c>
      <c r="Y139" s="34">
        <f t="shared" si="171"/>
        <v>0</v>
      </c>
      <c r="Z139" s="34">
        <f t="shared" si="172"/>
        <v>30662.500000000004</v>
      </c>
      <c r="AA139" s="49">
        <v>27875</v>
      </c>
      <c r="AB139" s="209"/>
      <c r="AC139" s="204">
        <f t="shared" si="179"/>
        <v>0</v>
      </c>
      <c r="AD139" s="152">
        <v>0.108</v>
      </c>
      <c r="AE139" s="31">
        <f>3550*(P139)</f>
        <v>0</v>
      </c>
      <c r="AF139" s="28" t="e">
        <f t="shared" si="174"/>
        <v>#DIV/0!</v>
      </c>
      <c r="AG139" s="34">
        <f t="shared" si="175"/>
        <v>0</v>
      </c>
      <c r="AH139" s="34">
        <f t="shared" si="176"/>
        <v>0</v>
      </c>
      <c r="AI139" s="34">
        <f>SUMIF(헤몬팜마진!$B$7:$B$32,$C139,헤몬팜마진!$V$7:$V$32)</f>
        <v>14113.034599999999</v>
      </c>
      <c r="AJ139" s="34">
        <f t="shared" si="177"/>
        <v>0</v>
      </c>
      <c r="AK139" s="206">
        <f t="shared" si="178"/>
        <v>-30662.500000000004</v>
      </c>
      <c r="AL139" s="40">
        <f>SUMIF(헤몬팜마진!$B$7:$B$32,$C139,헤몬팜마진!$T$7:$T$32)</f>
        <v>64.584000000000003</v>
      </c>
      <c r="AM139" s="41">
        <f>SUMIF(헤몬팜마진!$B$7:$B$32,$C139,헤몬팜마진!$U$7:$U$32)</f>
        <v>329.61759999999998</v>
      </c>
      <c r="AN139" s="36"/>
      <c r="AO139" s="202">
        <v>32880</v>
      </c>
      <c r="AP139" s="205">
        <v>55</v>
      </c>
      <c r="AQ139" s="126"/>
      <c r="AR139" s="126"/>
      <c r="AS139" s="126"/>
      <c r="AT139" s="118"/>
      <c r="AU139" s="118"/>
      <c r="AV139" s="118"/>
      <c r="AW139" s="118"/>
      <c r="AX139" s="118"/>
      <c r="AY139" s="118"/>
      <c r="AZ139" s="118"/>
      <c r="BA139" s="118"/>
      <c r="BB139" s="118"/>
      <c r="BC139" s="118"/>
      <c r="BD139" s="118"/>
      <c r="BE139" s="118"/>
      <c r="BF139" s="118"/>
      <c r="BG139" s="47"/>
      <c r="BH139" s="47"/>
      <c r="BI139" s="47"/>
      <c r="BJ139" s="47"/>
      <c r="BK139" s="47"/>
    </row>
    <row r="140" spans="1:63" ht="28.5" customHeight="1">
      <c r="A140" s="12"/>
      <c r="B140" s="216"/>
      <c r="C140" s="217"/>
      <c r="D140" s="51" t="e">
        <f t="shared" si="161"/>
        <v>#REF!</v>
      </c>
      <c r="E140" s="218" t="e">
        <f t="shared" si="162"/>
        <v>#REF!</v>
      </c>
      <c r="F140" s="53">
        <f t="shared" si="163"/>
        <v>0.36168934817450121</v>
      </c>
      <c r="G140" s="219"/>
      <c r="H140" s="55"/>
      <c r="I140" s="55"/>
      <c r="J140" s="55"/>
      <c r="K140" s="55"/>
      <c r="L140" s="55"/>
      <c r="M140" s="55"/>
      <c r="N140" s="55"/>
      <c r="O140" s="130">
        <f t="shared" ref="O140:V140" si="184">SUM(O123:O139)</f>
        <v>215</v>
      </c>
      <c r="P140" s="220">
        <f t="shared" si="184"/>
        <v>210</v>
      </c>
      <c r="Q140" s="130">
        <f t="shared" si="184"/>
        <v>29</v>
      </c>
      <c r="R140" s="130">
        <f t="shared" si="184"/>
        <v>162</v>
      </c>
      <c r="S140" s="130">
        <f t="shared" si="184"/>
        <v>5</v>
      </c>
      <c r="T140" s="130">
        <f t="shared" si="184"/>
        <v>5758500</v>
      </c>
      <c r="U140" s="130">
        <f t="shared" si="184"/>
        <v>80600</v>
      </c>
      <c r="V140" s="220">
        <f t="shared" si="184"/>
        <v>5677900</v>
      </c>
      <c r="W140" s="55"/>
      <c r="X140" s="130">
        <f t="shared" ref="X140:AC140" si="185">SUM(X123:X139)</f>
        <v>153584.54814999999</v>
      </c>
      <c r="Y140" s="220" t="e">
        <f t="shared" si="185"/>
        <v>#REF!</v>
      </c>
      <c r="Z140" s="130">
        <f t="shared" si="185"/>
        <v>1983329.7000000004</v>
      </c>
      <c r="AA140" s="130">
        <f t="shared" si="185"/>
        <v>1803027</v>
      </c>
      <c r="AB140" s="130">
        <f t="shared" si="185"/>
        <v>70306.25</v>
      </c>
      <c r="AC140" s="130">
        <f t="shared" si="185"/>
        <v>65334</v>
      </c>
      <c r="AD140" s="154">
        <v>0.09</v>
      </c>
      <c r="AE140" s="220">
        <f>SUM(AE123:AE139)</f>
        <v>637725</v>
      </c>
      <c r="AF140" s="53">
        <f t="shared" si="174"/>
        <v>0.20231705384032828</v>
      </c>
      <c r="AG140" s="56">
        <f t="shared" ref="AG140:AI140" si="186">SUM(AG123:AG139)</f>
        <v>1192547.0200000003</v>
      </c>
      <c r="AH140" s="56" t="e">
        <f t="shared" si="186"/>
        <v>#REF!</v>
      </c>
      <c r="AI140" s="56" t="e">
        <f t="shared" si="186"/>
        <v>#REF!</v>
      </c>
      <c r="AJ140" s="56" t="e">
        <f t="shared" si="177"/>
        <v>#REF!</v>
      </c>
      <c r="AK140" s="221" t="e">
        <f t="shared" si="178"/>
        <v>#REF!</v>
      </c>
      <c r="AL140" s="54"/>
      <c r="AM140" s="222"/>
      <c r="AN140" s="57"/>
      <c r="AO140" s="131">
        <f t="shared" ref="AO140:AP140" si="187">SUM(AO123:AO124)</f>
        <v>540961</v>
      </c>
      <c r="AP140" s="132">
        <f t="shared" si="187"/>
        <v>1981</v>
      </c>
      <c r="AQ140" s="126"/>
      <c r="AR140" s="126"/>
      <c r="AS140" s="126"/>
      <c r="AT140" s="118"/>
      <c r="AU140" s="118"/>
      <c r="AV140" s="118"/>
      <c r="AW140" s="118"/>
      <c r="AX140" s="118"/>
      <c r="AY140" s="118"/>
      <c r="AZ140" s="118"/>
      <c r="BA140" s="118"/>
      <c r="BB140" s="118"/>
      <c r="BC140" s="118"/>
      <c r="BD140" s="118"/>
      <c r="BE140" s="118"/>
      <c r="BF140" s="118"/>
      <c r="BG140" s="47"/>
      <c r="BH140" s="47"/>
      <c r="BI140" s="47"/>
      <c r="BJ140" s="47"/>
      <c r="BK140" s="47"/>
    </row>
    <row r="141" spans="1:63" ht="28.5" customHeight="1">
      <c r="A141" s="3"/>
      <c r="B141" s="120"/>
      <c r="C141" s="229"/>
      <c r="D141" s="230"/>
      <c r="E141" s="230"/>
      <c r="F141" s="230"/>
      <c r="G141" s="230"/>
      <c r="H141" s="231"/>
      <c r="I141" s="231"/>
      <c r="J141" s="231"/>
      <c r="K141" s="231"/>
      <c r="L141" s="231"/>
      <c r="M141" s="231"/>
      <c r="N141" s="231"/>
      <c r="O141" s="231"/>
      <c r="P141" s="232"/>
      <c r="Q141" s="231"/>
      <c r="R141" s="231"/>
      <c r="S141" s="231"/>
      <c r="T141" s="231"/>
      <c r="U141" s="231"/>
      <c r="V141" s="231"/>
      <c r="W141" s="231"/>
      <c r="X141" s="231"/>
      <c r="Y141" s="231"/>
      <c r="Z141" s="231"/>
      <c r="AA141" s="133"/>
      <c r="AB141" s="61"/>
      <c r="AC141" s="148"/>
      <c r="AD141" s="148"/>
      <c r="AE141" s="148"/>
      <c r="AF141" s="148"/>
      <c r="AG141" s="61"/>
      <c r="AH141" s="61"/>
      <c r="AI141" s="187"/>
      <c r="AJ141" s="118"/>
      <c r="AK141" s="126"/>
      <c r="AL141" s="126"/>
      <c r="AM141" s="126"/>
      <c r="AN141" s="118"/>
      <c r="AO141" s="118"/>
      <c r="AP141" s="118"/>
      <c r="AQ141" s="126"/>
      <c r="AR141" s="126"/>
      <c r="AS141" s="126"/>
      <c r="AT141" s="118"/>
      <c r="AU141" s="118"/>
      <c r="AV141" s="118"/>
      <c r="AW141" s="118"/>
      <c r="AX141" s="118"/>
      <c r="AY141" s="118"/>
      <c r="AZ141" s="118"/>
      <c r="BA141" s="118"/>
      <c r="BB141" s="118"/>
      <c r="BC141" s="118"/>
      <c r="BD141" s="118"/>
      <c r="BE141" s="118"/>
      <c r="BF141" s="118"/>
      <c r="BG141" s="47"/>
      <c r="BH141" s="47"/>
      <c r="BI141" s="47"/>
      <c r="BJ141" s="47"/>
      <c r="BK141" s="47"/>
    </row>
    <row r="142" spans="1:63" ht="28.5" customHeight="1">
      <c r="A142" s="12"/>
      <c r="B142" s="189"/>
      <c r="C142" s="134">
        <v>45936</v>
      </c>
      <c r="D142" s="122" t="s">
        <v>0</v>
      </c>
      <c r="E142" s="122" t="s">
        <v>1</v>
      </c>
      <c r="F142" s="122" t="s">
        <v>2</v>
      </c>
      <c r="G142" s="190" t="s">
        <v>3</v>
      </c>
      <c r="H142" s="191" t="s">
        <v>4</v>
      </c>
      <c r="I142" s="192" t="s">
        <v>5</v>
      </c>
      <c r="J142" s="192" t="s">
        <v>90</v>
      </c>
      <c r="K142" s="193" t="s">
        <v>6</v>
      </c>
      <c r="L142" s="194" t="s">
        <v>7</v>
      </c>
      <c r="M142" s="15" t="s">
        <v>91</v>
      </c>
      <c r="N142" s="123" t="s">
        <v>125</v>
      </c>
      <c r="O142" s="123" t="s">
        <v>8</v>
      </c>
      <c r="P142" s="123" t="s">
        <v>9</v>
      </c>
      <c r="Q142" s="195" t="s">
        <v>10</v>
      </c>
      <c r="R142" s="123" t="s">
        <v>92</v>
      </c>
      <c r="S142" s="196" t="s">
        <v>11</v>
      </c>
      <c r="T142" s="17" t="s">
        <v>12</v>
      </c>
      <c r="U142" s="17" t="s">
        <v>13</v>
      </c>
      <c r="V142" s="17" t="s">
        <v>14</v>
      </c>
      <c r="W142" s="17" t="s">
        <v>15</v>
      </c>
      <c r="X142" s="15" t="s">
        <v>16</v>
      </c>
      <c r="Y142" s="15" t="s">
        <v>17</v>
      </c>
      <c r="Z142" s="19" t="s">
        <v>18</v>
      </c>
      <c r="AA142" s="19" t="s">
        <v>19</v>
      </c>
      <c r="AB142" s="20" t="s">
        <v>20</v>
      </c>
      <c r="AC142" s="22" t="s">
        <v>93</v>
      </c>
      <c r="AD142" s="197" t="s">
        <v>21</v>
      </c>
      <c r="AE142" s="122" t="s">
        <v>22</v>
      </c>
      <c r="AF142" s="21" t="s">
        <v>23</v>
      </c>
      <c r="AG142" s="21" t="s">
        <v>21</v>
      </c>
      <c r="AH142" s="122" t="s">
        <v>24</v>
      </c>
      <c r="AI142" s="15" t="s">
        <v>25</v>
      </c>
      <c r="AJ142" s="15" t="s">
        <v>26</v>
      </c>
      <c r="AK142" s="122" t="s">
        <v>27</v>
      </c>
      <c r="AL142" s="198" t="s">
        <v>28</v>
      </c>
      <c r="AM142" s="199" t="s">
        <v>29</v>
      </c>
      <c r="AN142" s="124" t="s">
        <v>30</v>
      </c>
      <c r="AO142" s="124" t="s">
        <v>94</v>
      </c>
      <c r="AP142" s="125" t="s">
        <v>95</v>
      </c>
      <c r="AQ142" s="126"/>
      <c r="AR142" s="126"/>
      <c r="AS142" s="126"/>
      <c r="AT142" s="118"/>
      <c r="AU142" s="118"/>
      <c r="AV142" s="118"/>
      <c r="AW142" s="118"/>
      <c r="AX142" s="118"/>
      <c r="AY142" s="118"/>
      <c r="AZ142" s="118"/>
      <c r="BA142" s="118"/>
      <c r="BB142" s="118"/>
      <c r="BC142" s="118"/>
      <c r="BD142" s="118"/>
      <c r="BE142" s="118"/>
      <c r="BF142" s="118"/>
      <c r="BG142" s="47"/>
      <c r="BH142" s="47"/>
      <c r="BI142" s="47"/>
      <c r="BJ142" s="47"/>
      <c r="BK142" s="47"/>
    </row>
    <row r="143" spans="1:63" ht="28.5" customHeight="1">
      <c r="A143" s="12" t="s">
        <v>129</v>
      </c>
      <c r="B143" s="200"/>
      <c r="C143" s="42" t="s">
        <v>107</v>
      </c>
      <c r="D143" s="28">
        <f t="shared" ref="D143:D160" si="188">AK143/V143</f>
        <v>0.20804153139322579</v>
      </c>
      <c r="E143" s="201">
        <f t="shared" ref="E143:E160" si="189">AJ143/V143</f>
        <v>0.42270749723291662</v>
      </c>
      <c r="F143" s="30">
        <f t="shared" ref="F143:F160" si="190">(Z143+AB143)/V143</f>
        <v>0.21466596583969083</v>
      </c>
      <c r="G143" s="30">
        <f t="shared" ref="G143:G159" si="191">R143/AP143</f>
        <v>7.7297626293365798E-2</v>
      </c>
      <c r="H143" s="35">
        <v>7410</v>
      </c>
      <c r="I143" s="35">
        <f t="shared" ref="I143:I159" si="192">N143*7</f>
        <v>1400</v>
      </c>
      <c r="J143" s="35">
        <f t="shared" ref="J143:J159" si="193">N143*14</f>
        <v>2800</v>
      </c>
      <c r="K143" s="49">
        <v>76</v>
      </c>
      <c r="L143" s="49">
        <f>1906+1320</f>
        <v>3226</v>
      </c>
      <c r="M143" s="48"/>
      <c r="N143" s="44">
        <v>200</v>
      </c>
      <c r="O143" s="227">
        <v>179</v>
      </c>
      <c r="P143" s="31">
        <f t="shared" ref="P143:P159" si="194">O143-S143</f>
        <v>179</v>
      </c>
      <c r="Q143" s="227">
        <v>12</v>
      </c>
      <c r="R143" s="233">
        <v>127</v>
      </c>
      <c r="S143" s="36"/>
      <c r="T143" s="34">
        <f t="shared" ref="T143:T159" si="195">W143*O143</f>
        <v>4994100</v>
      </c>
      <c r="U143" s="31">
        <f t="shared" ref="U143:U159" si="196">W143*S143</f>
        <v>0</v>
      </c>
      <c r="V143" s="34">
        <f t="shared" ref="V143:V159" si="197">T143-U143</f>
        <v>4994100</v>
      </c>
      <c r="W143" s="34">
        <v>27900</v>
      </c>
      <c r="X143" s="34">
        <f>SUMIF(헤몬팜마진!$B$7:$B$32,$C143,헤몬팜마진!$R$7:$R$32)</f>
        <v>8850.86</v>
      </c>
      <c r="Y143" s="34">
        <f t="shared" ref="Y143:Y159" si="198">AI143*P143</f>
        <v>1654866.0264000001</v>
      </c>
      <c r="Z143" s="34">
        <f t="shared" ref="Z143:Z159" si="199">AA143*1.1</f>
        <v>1072063.3</v>
      </c>
      <c r="AA143" s="49">
        <v>974603</v>
      </c>
      <c r="AB143" s="36"/>
      <c r="AC143" s="204">
        <f t="shared" ref="AC143:AC144" si="200">(1072+1100)*Q143</f>
        <v>26064</v>
      </c>
      <c r="AD143" s="152">
        <v>0.1</v>
      </c>
      <c r="AE143" s="31">
        <f>3050*(P143)</f>
        <v>545950</v>
      </c>
      <c r="AF143" s="28">
        <f t="shared" ref="AF143:AF160" si="201">AD143+(AE143/V143)</f>
        <v>0.20931899641577062</v>
      </c>
      <c r="AG143" s="34">
        <f t="shared" ref="AG143:AG159" si="202">IFERROR(V143*AF143+3%,0)</f>
        <v>1045360.03</v>
      </c>
      <c r="AH143" s="34">
        <f t="shared" ref="AH143:AH159" si="203">V143/1.1*10%-((AI143*P143)+AG143+(AN143*P143)+(AL143*P143))*10%</f>
        <v>182830.43166909093</v>
      </c>
      <c r="AI143" s="34">
        <f>SUMIF(헤몬팜마진!$B$7:$B$32,$C143,헤몬팜마진!$V$7:$V$32)</f>
        <v>9245.0616000000009</v>
      </c>
      <c r="AJ143" s="34">
        <f t="shared" ref="AJ143:AJ160" si="204">V143-(Y143+AG143+AH143+(AN143*P143))</f>
        <v>2111043.511930909</v>
      </c>
      <c r="AK143" s="46">
        <f t="shared" ref="AK143:AK160" si="205">AJ143-Z143-AB143</f>
        <v>1038980.211930909</v>
      </c>
      <c r="AL143" s="40">
        <f>SUMIF(헤몬팜마진!$B$7:$B$32,$C143,헤몬팜마진!$T$7:$T$32)</f>
        <v>64.584000000000003</v>
      </c>
      <c r="AM143" s="41">
        <f>SUMIF(헤몬팜마진!$B$7:$B$32,$C143,헤몬팜마진!$U$7:$U$32)</f>
        <v>329.61759999999998</v>
      </c>
      <c r="AN143" s="36"/>
      <c r="AO143" s="202">
        <v>228647</v>
      </c>
      <c r="AP143" s="205">
        <v>1643</v>
      </c>
      <c r="AQ143" s="126"/>
      <c r="AR143" s="126"/>
      <c r="AS143" s="126"/>
      <c r="AT143" s="118"/>
      <c r="AU143" s="118"/>
      <c r="AV143" s="118"/>
      <c r="AW143" s="118"/>
      <c r="AX143" s="118"/>
      <c r="AY143" s="118"/>
      <c r="AZ143" s="118"/>
      <c r="BA143" s="118"/>
      <c r="BB143" s="118"/>
      <c r="BC143" s="118"/>
      <c r="BD143" s="118"/>
      <c r="BE143" s="118"/>
      <c r="BF143" s="118"/>
      <c r="BG143" s="47"/>
      <c r="BH143" s="47"/>
      <c r="BI143" s="47"/>
      <c r="BJ143" s="47"/>
      <c r="BK143" s="47"/>
    </row>
    <row r="144" spans="1:63" ht="28.5" customHeight="1">
      <c r="A144" s="228" t="s">
        <v>130</v>
      </c>
      <c r="B144" s="200"/>
      <c r="C144" s="42" t="s">
        <v>108</v>
      </c>
      <c r="D144" s="28">
        <f t="shared" si="188"/>
        <v>0.21669609851822186</v>
      </c>
      <c r="E144" s="201">
        <f t="shared" si="189"/>
        <v>0.40985028354024833</v>
      </c>
      <c r="F144" s="30">
        <f t="shared" si="190"/>
        <v>0.19315418502202644</v>
      </c>
      <c r="G144" s="30">
        <f t="shared" si="191"/>
        <v>8.3333333333333329E-2</v>
      </c>
      <c r="H144" s="35">
        <v>1460</v>
      </c>
      <c r="I144" s="35">
        <f t="shared" si="192"/>
        <v>140</v>
      </c>
      <c r="J144" s="35">
        <f t="shared" si="193"/>
        <v>280</v>
      </c>
      <c r="K144" s="39">
        <v>325</v>
      </c>
      <c r="L144" s="39">
        <v>0</v>
      </c>
      <c r="M144" s="210"/>
      <c r="N144" s="44">
        <v>20</v>
      </c>
      <c r="O144" s="202">
        <v>1</v>
      </c>
      <c r="P144" s="31">
        <f t="shared" si="194"/>
        <v>1</v>
      </c>
      <c r="Q144" s="36"/>
      <c r="R144" s="167">
        <v>1</v>
      </c>
      <c r="S144" s="36"/>
      <c r="T144" s="34">
        <f t="shared" si="195"/>
        <v>22700</v>
      </c>
      <c r="U144" s="31">
        <f t="shared" si="196"/>
        <v>0</v>
      </c>
      <c r="V144" s="34">
        <f t="shared" si="197"/>
        <v>22700</v>
      </c>
      <c r="W144" s="43">
        <v>22700</v>
      </c>
      <c r="X144" s="34">
        <f>SUMIF(헤몬팜마진!$B$7:$B$32,$C144,헤몬팜마진!$R$7:$R$32)</f>
        <v>7080.6879999999992</v>
      </c>
      <c r="Y144" s="34">
        <f t="shared" si="198"/>
        <v>7377.3279999999995</v>
      </c>
      <c r="Z144" s="34">
        <f t="shared" si="199"/>
        <v>4384.6000000000004</v>
      </c>
      <c r="AA144" s="49">
        <v>3986</v>
      </c>
      <c r="AB144" s="36"/>
      <c r="AC144" s="204">
        <f t="shared" si="200"/>
        <v>0</v>
      </c>
      <c r="AD144" s="152">
        <v>0.1</v>
      </c>
      <c r="AE144" s="31">
        <f>2950*(P144)</f>
        <v>2950</v>
      </c>
      <c r="AF144" s="28">
        <f t="shared" si="201"/>
        <v>0.22995594713656389</v>
      </c>
      <c r="AG144" s="34">
        <f t="shared" si="202"/>
        <v>5220.03</v>
      </c>
      <c r="AH144" s="34">
        <f t="shared" si="203"/>
        <v>799.04056363636346</v>
      </c>
      <c r="AI144" s="34">
        <f>SUMIF(헤몬팜마진!$B$7:$B$32,$C144,헤몬팜마진!$V$7:$V$32)</f>
        <v>7377.3279999999995</v>
      </c>
      <c r="AJ144" s="34">
        <f t="shared" si="204"/>
        <v>9303.6014363636368</v>
      </c>
      <c r="AK144" s="46">
        <f t="shared" si="205"/>
        <v>4919.0014363636365</v>
      </c>
      <c r="AL144" s="40">
        <f>SUMIF(헤몬팜마진!$B$7:$B$32,$C144,헤몬팜마진!$T$7:$T$32)</f>
        <v>48.6</v>
      </c>
      <c r="AM144" s="41">
        <f>SUMIF(헤몬팜마진!$B$7:$B$32,$C144,헤몬팜마진!$U$7:$U$32)</f>
        <v>248.04000000000002</v>
      </c>
      <c r="AN144" s="36"/>
      <c r="AO144" s="202">
        <v>47531</v>
      </c>
      <c r="AP144" s="205">
        <v>12</v>
      </c>
      <c r="AQ144" s="126"/>
      <c r="AR144" s="126"/>
      <c r="AS144" s="126"/>
      <c r="AT144" s="118"/>
      <c r="AU144" s="118"/>
      <c r="AV144" s="118"/>
      <c r="AW144" s="118"/>
      <c r="AX144" s="118"/>
      <c r="AY144" s="118"/>
      <c r="AZ144" s="118"/>
      <c r="BA144" s="118"/>
      <c r="BB144" s="118"/>
      <c r="BC144" s="118"/>
      <c r="BD144" s="118"/>
      <c r="BE144" s="118"/>
      <c r="BF144" s="118"/>
      <c r="BG144" s="47"/>
      <c r="BH144" s="47"/>
      <c r="BI144" s="47"/>
      <c r="BJ144" s="47"/>
      <c r="BK144" s="47"/>
    </row>
    <row r="145" spans="1:63" ht="28.5" customHeight="1">
      <c r="A145" s="327" t="s">
        <v>131</v>
      </c>
      <c r="B145" s="323"/>
      <c r="C145" s="42" t="s">
        <v>109</v>
      </c>
      <c r="D145" s="28" t="e">
        <f t="shared" si="188"/>
        <v>#REF!</v>
      </c>
      <c r="E145" s="201" t="e">
        <f t="shared" si="189"/>
        <v>#REF!</v>
      </c>
      <c r="F145" s="30">
        <f t="shared" si="190"/>
        <v>0.22522980349344981</v>
      </c>
      <c r="G145" s="30">
        <f t="shared" si="191"/>
        <v>1.4925373134328358E-2</v>
      </c>
      <c r="H145" s="35">
        <v>0</v>
      </c>
      <c r="I145" s="35">
        <f t="shared" si="192"/>
        <v>105</v>
      </c>
      <c r="J145" s="35">
        <f t="shared" si="193"/>
        <v>210</v>
      </c>
      <c r="K145" s="325">
        <v>430</v>
      </c>
      <c r="L145" s="49">
        <f>40+3+3</f>
        <v>46</v>
      </c>
      <c r="M145" s="48"/>
      <c r="N145" s="44">
        <v>15</v>
      </c>
      <c r="O145" s="202">
        <v>4</v>
      </c>
      <c r="P145" s="31">
        <f t="shared" si="194"/>
        <v>4</v>
      </c>
      <c r="Q145" s="36">
        <v>1</v>
      </c>
      <c r="R145" s="203">
        <v>1</v>
      </c>
      <c r="S145" s="36"/>
      <c r="T145" s="34">
        <f t="shared" si="195"/>
        <v>183200</v>
      </c>
      <c r="U145" s="31">
        <f t="shared" si="196"/>
        <v>0</v>
      </c>
      <c r="V145" s="34">
        <f t="shared" si="197"/>
        <v>183200</v>
      </c>
      <c r="W145" s="43">
        <v>45800</v>
      </c>
      <c r="X145" s="34">
        <f>SUMIF(헤몬팜마진!$B$7:$B$32,$C145,헤몬팜마진!$R$7:$R$32)</f>
        <v>9990.4082249999992</v>
      </c>
      <c r="Y145" s="34" t="e">
        <f t="shared" si="198"/>
        <v>#REF!</v>
      </c>
      <c r="Z145" s="34">
        <f t="shared" si="199"/>
        <v>41262.100000000006</v>
      </c>
      <c r="AA145" s="49">
        <v>37511</v>
      </c>
      <c r="AB145" s="36"/>
      <c r="AC145" s="204">
        <f t="shared" ref="AC145:AC159" si="206">(1210+1100)*Q145</f>
        <v>2310</v>
      </c>
      <c r="AD145" s="152">
        <v>0.11</v>
      </c>
      <c r="AE145" s="31">
        <f t="shared" ref="AE145:AE146" si="207">4150*(P145)</f>
        <v>16600</v>
      </c>
      <c r="AF145" s="28">
        <f t="shared" si="201"/>
        <v>0.2006113537117904</v>
      </c>
      <c r="AG145" s="34">
        <f t="shared" si="202"/>
        <v>36752.03</v>
      </c>
      <c r="AH145" s="34" t="e">
        <f t="shared" si="203"/>
        <v>#REF!</v>
      </c>
      <c r="AI145" s="34" t="e">
        <f>SUMIF(헤몬팜마진!$B$7:$B$32,$C145,헤몬팜마진!$V$7:$V$32)</f>
        <v>#REF!</v>
      </c>
      <c r="AJ145" s="34" t="e">
        <f t="shared" si="204"/>
        <v>#REF!</v>
      </c>
      <c r="AK145" s="46" t="e">
        <f t="shared" si="205"/>
        <v>#REF!</v>
      </c>
      <c r="AL145" s="40">
        <f>SUMIF(헤몬팜마진!$B$7:$B$32,$C145,헤몬팜마진!$T$7:$T$32)</f>
        <v>162</v>
      </c>
      <c r="AM145" s="41">
        <f>SUMIF(헤몬팜마진!$B$7:$B$32,$C145,헤몬팜마진!$U$7:$U$32)</f>
        <v>826.80000000000007</v>
      </c>
      <c r="AN145" s="36"/>
      <c r="AO145" s="202">
        <v>49899</v>
      </c>
      <c r="AP145" s="205">
        <v>67</v>
      </c>
      <c r="AQ145" s="126"/>
      <c r="AR145" s="126"/>
      <c r="AS145" s="126"/>
      <c r="AT145" s="118"/>
      <c r="AU145" s="118"/>
      <c r="AV145" s="118"/>
      <c r="AW145" s="118"/>
      <c r="AX145" s="118"/>
      <c r="AY145" s="118"/>
      <c r="AZ145" s="118"/>
      <c r="BA145" s="118"/>
      <c r="BB145" s="118"/>
      <c r="BC145" s="118"/>
      <c r="BD145" s="118"/>
      <c r="BE145" s="118"/>
      <c r="BF145" s="118"/>
      <c r="BG145" s="47"/>
      <c r="BH145" s="47"/>
      <c r="BI145" s="47"/>
      <c r="BJ145" s="47"/>
      <c r="BK145" s="47"/>
    </row>
    <row r="146" spans="1:63" ht="28.5" customHeight="1">
      <c r="A146" s="318"/>
      <c r="B146" s="324"/>
      <c r="C146" s="42" t="s">
        <v>110</v>
      </c>
      <c r="D146" s="28" t="e">
        <f t="shared" si="188"/>
        <v>#REF!</v>
      </c>
      <c r="E146" s="201" t="e">
        <f t="shared" si="189"/>
        <v>#REF!</v>
      </c>
      <c r="F146" s="30">
        <f t="shared" si="190"/>
        <v>-8.3933760683760697E-2</v>
      </c>
      <c r="G146" s="30">
        <f t="shared" si="191"/>
        <v>1.5151515151515152E-2</v>
      </c>
      <c r="H146" s="35">
        <v>0</v>
      </c>
      <c r="I146" s="35">
        <f t="shared" si="192"/>
        <v>105</v>
      </c>
      <c r="J146" s="35">
        <f t="shared" si="193"/>
        <v>210</v>
      </c>
      <c r="K146" s="310"/>
      <c r="L146" s="49">
        <f>13+2</f>
        <v>15</v>
      </c>
      <c r="M146" s="48"/>
      <c r="N146" s="44">
        <v>15</v>
      </c>
      <c r="O146" s="202">
        <v>-2</v>
      </c>
      <c r="P146" s="31">
        <f t="shared" si="194"/>
        <v>-2</v>
      </c>
      <c r="Q146" s="202">
        <v>2</v>
      </c>
      <c r="R146" s="203">
        <v>1</v>
      </c>
      <c r="S146" s="36"/>
      <c r="T146" s="34">
        <f t="shared" si="195"/>
        <v>-93600</v>
      </c>
      <c r="U146" s="31">
        <f t="shared" si="196"/>
        <v>0</v>
      </c>
      <c r="V146" s="34">
        <f t="shared" si="197"/>
        <v>-93600</v>
      </c>
      <c r="W146" s="43">
        <v>46800</v>
      </c>
      <c r="X146" s="34">
        <f>SUMIF(헤몬팜마진!$B$7:$B$32,$C146,헤몬팜마진!$R$7:$R$32)</f>
        <v>9990.4082249999992</v>
      </c>
      <c r="Y146" s="34" t="e">
        <f t="shared" si="198"/>
        <v>#REF!</v>
      </c>
      <c r="Z146" s="34">
        <f t="shared" si="199"/>
        <v>7856.2000000000007</v>
      </c>
      <c r="AA146" s="49">
        <v>7142</v>
      </c>
      <c r="AB146" s="36"/>
      <c r="AC146" s="204">
        <f t="shared" si="206"/>
        <v>4620</v>
      </c>
      <c r="AD146" s="152">
        <v>0.11</v>
      </c>
      <c r="AE146" s="31">
        <f t="shared" si="207"/>
        <v>-8300</v>
      </c>
      <c r="AF146" s="28">
        <f t="shared" si="201"/>
        <v>0.19867521367521368</v>
      </c>
      <c r="AG146" s="34">
        <f t="shared" si="202"/>
        <v>-18595.97</v>
      </c>
      <c r="AH146" s="34" t="e">
        <f t="shared" si="203"/>
        <v>#REF!</v>
      </c>
      <c r="AI146" s="34" t="e">
        <f>SUMIF(헤몬팜마진!$B$7:$B$32,$C146,헤몬팜마진!$V$7:$V$32)</f>
        <v>#REF!</v>
      </c>
      <c r="AJ146" s="34" t="e">
        <f t="shared" si="204"/>
        <v>#REF!</v>
      </c>
      <c r="AK146" s="206" t="e">
        <f t="shared" si="205"/>
        <v>#REF!</v>
      </c>
      <c r="AL146" s="40">
        <f>SUMIF(헤몬팜마진!$B$7:$B$32,$C146,헤몬팜마진!$T$7:$T$32)</f>
        <v>162</v>
      </c>
      <c r="AM146" s="41">
        <f>SUMIF(헤몬팜마진!$B$7:$B$32,$C146,헤몬팜마진!$U$7:$U$32)</f>
        <v>826.80000000000007</v>
      </c>
      <c r="AN146" s="36"/>
      <c r="AO146" s="202">
        <v>24754</v>
      </c>
      <c r="AP146" s="205">
        <v>66</v>
      </c>
      <c r="AQ146" s="126"/>
      <c r="AR146" s="126"/>
      <c r="AS146" s="126"/>
      <c r="AT146" s="118"/>
      <c r="AU146" s="118"/>
      <c r="AV146" s="118"/>
      <c r="AW146" s="118"/>
      <c r="AX146" s="118"/>
      <c r="AY146" s="118"/>
      <c r="AZ146" s="118"/>
      <c r="BA146" s="118"/>
      <c r="BB146" s="118"/>
      <c r="BC146" s="118"/>
      <c r="BD146" s="118"/>
      <c r="BE146" s="118"/>
      <c r="BF146" s="118"/>
      <c r="BG146" s="47"/>
      <c r="BH146" s="47"/>
      <c r="BI146" s="47"/>
      <c r="BJ146" s="47"/>
      <c r="BK146" s="47"/>
    </row>
    <row r="147" spans="1:63" ht="28.5" customHeight="1">
      <c r="A147" s="12" t="s">
        <v>132</v>
      </c>
      <c r="B147" s="323"/>
      <c r="C147" s="42" t="s">
        <v>32</v>
      </c>
      <c r="D147" s="28" t="e">
        <f t="shared" si="188"/>
        <v>#REF!</v>
      </c>
      <c r="E147" s="201" t="e">
        <f t="shared" si="189"/>
        <v>#REF!</v>
      </c>
      <c r="F147" s="30">
        <f t="shared" si="190"/>
        <v>0.24792307692307694</v>
      </c>
      <c r="G147" s="30">
        <f t="shared" si="191"/>
        <v>0</v>
      </c>
      <c r="H147" s="37">
        <v>3504</v>
      </c>
      <c r="I147" s="35">
        <f t="shared" si="192"/>
        <v>210</v>
      </c>
      <c r="J147" s="35">
        <f t="shared" si="193"/>
        <v>420</v>
      </c>
      <c r="K147" s="325">
        <v>626</v>
      </c>
      <c r="L147" s="39">
        <f>30+13+6</f>
        <v>49</v>
      </c>
      <c r="M147" s="210"/>
      <c r="N147" s="208">
        <v>30</v>
      </c>
      <c r="O147" s="202">
        <v>1</v>
      </c>
      <c r="P147" s="31">
        <f t="shared" si="194"/>
        <v>1</v>
      </c>
      <c r="Q147" s="36"/>
      <c r="R147" s="203"/>
      <c r="S147" s="36"/>
      <c r="T147" s="34">
        <f t="shared" si="195"/>
        <v>59800</v>
      </c>
      <c r="U147" s="31">
        <f t="shared" si="196"/>
        <v>0</v>
      </c>
      <c r="V147" s="34">
        <f t="shared" si="197"/>
        <v>59800</v>
      </c>
      <c r="W147" s="43">
        <v>59800</v>
      </c>
      <c r="X147" s="34">
        <f>SUMIF(헤몬팜마진!$B$7:$B$32,$C147,헤몬팜마진!$R$7:$R$32)</f>
        <v>13276.289999999999</v>
      </c>
      <c r="Y147" s="34" t="e">
        <f t="shared" si="198"/>
        <v>#REF!</v>
      </c>
      <c r="Z147" s="34">
        <f t="shared" si="199"/>
        <v>14825.800000000001</v>
      </c>
      <c r="AA147" s="49">
        <v>13478</v>
      </c>
      <c r="AB147" s="209"/>
      <c r="AC147" s="204">
        <f t="shared" si="206"/>
        <v>0</v>
      </c>
      <c r="AD147" s="152">
        <v>0.108</v>
      </c>
      <c r="AE147" s="31">
        <f t="shared" ref="AE147:AE148" si="208">4825*(P147)</f>
        <v>4825</v>
      </c>
      <c r="AF147" s="28">
        <f t="shared" si="201"/>
        <v>0.188685618729097</v>
      </c>
      <c r="AG147" s="34">
        <f t="shared" si="202"/>
        <v>11283.430000000002</v>
      </c>
      <c r="AH147" s="34" t="e">
        <f t="shared" si="203"/>
        <v>#REF!</v>
      </c>
      <c r="AI147" s="34" t="e">
        <f>SUMIF(헤몬팜마진!$B$7:$B$32,$C147,헤몬팜마진!$V$7:$V$32)</f>
        <v>#REF!</v>
      </c>
      <c r="AJ147" s="34" t="e">
        <f t="shared" si="204"/>
        <v>#REF!</v>
      </c>
      <c r="AK147" s="46" t="e">
        <f t="shared" si="205"/>
        <v>#REF!</v>
      </c>
      <c r="AL147" s="40">
        <f>SUMIF(헤몬팜마진!$B$7:$B$32,$C147,헤몬팜마진!$T$7:$T$32)</f>
        <v>371.52</v>
      </c>
      <c r="AM147" s="41">
        <f>SUMIF(헤몬팜마진!$B$7:$B$32,$C147,헤몬팜마진!$U$7:$U$32)</f>
        <v>1896.1279999999999</v>
      </c>
      <c r="AN147" s="36"/>
      <c r="AO147" s="202">
        <v>11134</v>
      </c>
      <c r="AP147" s="205">
        <v>27</v>
      </c>
      <c r="AQ147" s="126"/>
      <c r="AR147" s="126"/>
      <c r="AS147" s="126"/>
      <c r="AT147" s="118"/>
      <c r="AU147" s="118"/>
      <c r="AV147" s="118"/>
      <c r="AW147" s="118"/>
      <c r="AX147" s="118"/>
      <c r="AY147" s="118"/>
      <c r="AZ147" s="118"/>
      <c r="BA147" s="118"/>
      <c r="BB147" s="118"/>
      <c r="BC147" s="118"/>
      <c r="BD147" s="118"/>
      <c r="BE147" s="118"/>
      <c r="BF147" s="118"/>
      <c r="BG147" s="47"/>
      <c r="BH147" s="47"/>
      <c r="BI147" s="47"/>
      <c r="BJ147" s="47"/>
      <c r="BK147" s="47"/>
    </row>
    <row r="148" spans="1:63" ht="28.5" customHeight="1">
      <c r="A148" s="12" t="s">
        <v>132</v>
      </c>
      <c r="B148" s="324"/>
      <c r="C148" s="42" t="s">
        <v>33</v>
      </c>
      <c r="D148" s="28" t="e">
        <f t="shared" si="188"/>
        <v>#REF!</v>
      </c>
      <c r="E148" s="201" t="e">
        <f t="shared" si="189"/>
        <v>#REF!</v>
      </c>
      <c r="F148" s="30" t="e">
        <f t="shared" si="190"/>
        <v>#DIV/0!</v>
      </c>
      <c r="G148" s="30">
        <f t="shared" si="191"/>
        <v>9.0909090909090905E-3</v>
      </c>
      <c r="H148" s="35">
        <v>0</v>
      </c>
      <c r="I148" s="35">
        <f t="shared" si="192"/>
        <v>210</v>
      </c>
      <c r="J148" s="35">
        <f t="shared" si="193"/>
        <v>420</v>
      </c>
      <c r="K148" s="310"/>
      <c r="L148" s="39">
        <f>4+11+18+38+129</f>
        <v>200</v>
      </c>
      <c r="M148" s="210"/>
      <c r="N148" s="44">
        <v>30</v>
      </c>
      <c r="O148" s="202">
        <v>0</v>
      </c>
      <c r="P148" s="31">
        <f t="shared" si="194"/>
        <v>0</v>
      </c>
      <c r="Q148" s="36">
        <v>1</v>
      </c>
      <c r="R148" s="203">
        <v>1</v>
      </c>
      <c r="S148" s="36"/>
      <c r="T148" s="34">
        <f t="shared" si="195"/>
        <v>0</v>
      </c>
      <c r="U148" s="31">
        <f t="shared" si="196"/>
        <v>0</v>
      </c>
      <c r="V148" s="34">
        <f t="shared" si="197"/>
        <v>0</v>
      </c>
      <c r="W148" s="43">
        <v>69780</v>
      </c>
      <c r="X148" s="34">
        <f>SUMIF(헤몬팜마진!$B$7:$B$32,$C148,헤몬팜마진!$R$7:$R$32)</f>
        <v>13276.289999999999</v>
      </c>
      <c r="Y148" s="34" t="e">
        <f t="shared" si="198"/>
        <v>#REF!</v>
      </c>
      <c r="Z148" s="34">
        <f t="shared" si="199"/>
        <v>69218.600000000006</v>
      </c>
      <c r="AA148" s="49">
        <v>62926</v>
      </c>
      <c r="AB148" s="36"/>
      <c r="AC148" s="204">
        <f t="shared" si="206"/>
        <v>2310</v>
      </c>
      <c r="AD148" s="152">
        <v>0.108</v>
      </c>
      <c r="AE148" s="31">
        <f t="shared" si="208"/>
        <v>0</v>
      </c>
      <c r="AF148" s="28" t="e">
        <f t="shared" si="201"/>
        <v>#DIV/0!</v>
      </c>
      <c r="AG148" s="34">
        <f t="shared" si="202"/>
        <v>0</v>
      </c>
      <c r="AH148" s="34" t="e">
        <f t="shared" si="203"/>
        <v>#REF!</v>
      </c>
      <c r="AI148" s="34" t="e">
        <f>SUMIF(헤몬팜마진!$B$7:$B$32,$C148,헤몬팜마진!$V$7:$V$32)</f>
        <v>#REF!</v>
      </c>
      <c r="AJ148" s="34" t="e">
        <f t="shared" si="204"/>
        <v>#REF!</v>
      </c>
      <c r="AK148" s="46" t="e">
        <f t="shared" si="205"/>
        <v>#REF!</v>
      </c>
      <c r="AL148" s="40">
        <f>SUMIF(헤몬팜마진!$B$7:$B$32,$C148,헤몬팜마진!$T$7:$T$32)</f>
        <v>371.52</v>
      </c>
      <c r="AM148" s="41">
        <f>SUMIF(헤몬팜마진!$B$7:$B$32,$C148,헤몬팜마진!$U$7:$U$32)</f>
        <v>1896.1279999999999</v>
      </c>
      <c r="AN148" s="36"/>
      <c r="AO148" s="202">
        <v>57235</v>
      </c>
      <c r="AP148" s="205">
        <v>110</v>
      </c>
      <c r="AQ148" s="126"/>
      <c r="AR148" s="126"/>
      <c r="AS148" s="126"/>
      <c r="AT148" s="118"/>
      <c r="AU148" s="118"/>
      <c r="AV148" s="118"/>
      <c r="AW148" s="118"/>
      <c r="AX148" s="118"/>
      <c r="AY148" s="118"/>
      <c r="AZ148" s="118"/>
      <c r="BA148" s="118"/>
      <c r="BB148" s="118"/>
      <c r="BC148" s="118"/>
      <c r="BD148" s="118"/>
      <c r="BE148" s="118"/>
      <c r="BF148" s="118"/>
      <c r="BG148" s="47"/>
      <c r="BH148" s="47"/>
      <c r="BI148" s="47"/>
      <c r="BJ148" s="47"/>
      <c r="BK148" s="47"/>
    </row>
    <row r="149" spans="1:63" ht="28.5" customHeight="1">
      <c r="A149" s="228" t="s">
        <v>133</v>
      </c>
      <c r="B149" s="200"/>
      <c r="C149" s="42" t="s">
        <v>111</v>
      </c>
      <c r="D149" s="28">
        <f t="shared" si="188"/>
        <v>-2.4956700741597113</v>
      </c>
      <c r="E149" s="201">
        <f t="shared" si="189"/>
        <v>0.39080790350778261</v>
      </c>
      <c r="F149" s="30">
        <f t="shared" si="190"/>
        <v>2.8864779776674938</v>
      </c>
      <c r="G149" s="30">
        <f t="shared" si="191"/>
        <v>2.2058823529411766E-2</v>
      </c>
      <c r="H149" s="35">
        <v>500</v>
      </c>
      <c r="I149" s="35">
        <f t="shared" si="192"/>
        <v>105</v>
      </c>
      <c r="J149" s="35">
        <f t="shared" si="193"/>
        <v>210</v>
      </c>
      <c r="K149" s="39">
        <v>577</v>
      </c>
      <c r="L149" s="39">
        <v>211</v>
      </c>
      <c r="M149" s="210"/>
      <c r="N149" s="44">
        <v>15</v>
      </c>
      <c r="O149" s="202">
        <v>7</v>
      </c>
      <c r="P149" s="31">
        <f t="shared" si="194"/>
        <v>2</v>
      </c>
      <c r="Q149" s="202">
        <v>1</v>
      </c>
      <c r="R149" s="203">
        <v>3</v>
      </c>
      <c r="S149" s="202">
        <v>5</v>
      </c>
      <c r="T149" s="34">
        <f t="shared" si="195"/>
        <v>112840</v>
      </c>
      <c r="U149" s="31">
        <f t="shared" si="196"/>
        <v>80600</v>
      </c>
      <c r="V149" s="34">
        <f t="shared" si="197"/>
        <v>32240</v>
      </c>
      <c r="W149" s="43">
        <v>16120</v>
      </c>
      <c r="X149" s="34">
        <f>SUMIF(헤몬팜마진!$B$7:$B$32,$C149,헤몬팜마진!$R$7:$R$32)</f>
        <v>5089.2444999999998</v>
      </c>
      <c r="Y149" s="34">
        <f t="shared" si="198"/>
        <v>10252.648999999999</v>
      </c>
      <c r="Z149" s="34">
        <f t="shared" si="199"/>
        <v>43722.8</v>
      </c>
      <c r="AA149" s="49">
        <v>39748</v>
      </c>
      <c r="AB149" s="211">
        <f>((17890*0.015)+(17890*0.19)+2100+2200+1900)*5</f>
        <v>49337.25</v>
      </c>
      <c r="AC149" s="204">
        <f t="shared" si="206"/>
        <v>2310</v>
      </c>
      <c r="AD149" s="152">
        <v>7.8E-2</v>
      </c>
      <c r="AE149" s="31">
        <f>2900*(P149)</f>
        <v>5800</v>
      </c>
      <c r="AF149" s="28">
        <f t="shared" si="201"/>
        <v>0.25790074441687344</v>
      </c>
      <c r="AG149" s="34">
        <f t="shared" si="202"/>
        <v>8314.75</v>
      </c>
      <c r="AH149" s="34">
        <f t="shared" si="203"/>
        <v>1072.954190909091</v>
      </c>
      <c r="AI149" s="34">
        <f>SUMIF(헤몬팜마진!$B$7:$B$32,$C149,헤몬팜마진!$V$7:$V$32)</f>
        <v>5126.3244999999997</v>
      </c>
      <c r="AJ149" s="34">
        <f t="shared" si="204"/>
        <v>12599.646809090911</v>
      </c>
      <c r="AK149" s="206">
        <f t="shared" si="205"/>
        <v>-80460.403190909099</v>
      </c>
      <c r="AL149" s="40">
        <f>SUMIF(헤몬팜마진!$B$7:$B$32,$C149,헤몬팜마진!$T$7:$T$32)</f>
        <v>6.0750000000000002</v>
      </c>
      <c r="AM149" s="41">
        <f>SUMIF(헤몬팜마진!$B$7:$B$32,$C149,헤몬팜마진!$U$7:$U$32)</f>
        <v>31.005000000000003</v>
      </c>
      <c r="AN149" s="36"/>
      <c r="AO149" s="202">
        <v>67555</v>
      </c>
      <c r="AP149" s="205">
        <v>136</v>
      </c>
      <c r="AQ149" s="126"/>
      <c r="AR149" s="126"/>
      <c r="AS149" s="126"/>
      <c r="AT149" s="118"/>
      <c r="AU149" s="118"/>
      <c r="AV149" s="118"/>
      <c r="AW149" s="118"/>
      <c r="AX149" s="118"/>
      <c r="AY149" s="118"/>
      <c r="AZ149" s="118"/>
      <c r="BA149" s="118"/>
      <c r="BB149" s="118"/>
      <c r="BC149" s="118"/>
      <c r="BD149" s="118"/>
      <c r="BE149" s="118"/>
      <c r="BF149" s="118"/>
      <c r="BG149" s="47"/>
      <c r="BH149" s="47"/>
      <c r="BI149" s="47"/>
      <c r="BJ149" s="47"/>
      <c r="BK149" s="47"/>
    </row>
    <row r="150" spans="1:63" ht="28.5" customHeight="1">
      <c r="A150" s="327" t="s">
        <v>134</v>
      </c>
      <c r="B150" s="323"/>
      <c r="C150" s="42" t="s">
        <v>112</v>
      </c>
      <c r="D150" s="29" t="e">
        <f t="shared" si="188"/>
        <v>#REF!</v>
      </c>
      <c r="E150" s="201" t="e">
        <f t="shared" si="189"/>
        <v>#REF!</v>
      </c>
      <c r="F150" s="30">
        <f t="shared" si="190"/>
        <v>0.62942110552763819</v>
      </c>
      <c r="G150" s="30">
        <f t="shared" si="191"/>
        <v>3.9024390243902439E-2</v>
      </c>
      <c r="H150" s="312">
        <v>0</v>
      </c>
      <c r="I150" s="35">
        <f t="shared" si="192"/>
        <v>140</v>
      </c>
      <c r="J150" s="35">
        <f t="shared" si="193"/>
        <v>280</v>
      </c>
      <c r="K150" s="325">
        <v>343</v>
      </c>
      <c r="L150" s="39">
        <f>97+42+48+31+19+10</f>
        <v>247</v>
      </c>
      <c r="M150" s="210"/>
      <c r="N150" s="44">
        <v>20</v>
      </c>
      <c r="O150" s="202">
        <v>5</v>
      </c>
      <c r="P150" s="31">
        <f t="shared" si="194"/>
        <v>5</v>
      </c>
      <c r="Q150" s="202">
        <v>3</v>
      </c>
      <c r="R150" s="167">
        <v>8</v>
      </c>
      <c r="S150" s="36"/>
      <c r="T150" s="34">
        <f t="shared" si="195"/>
        <v>199000</v>
      </c>
      <c r="U150" s="31">
        <f t="shared" si="196"/>
        <v>0</v>
      </c>
      <c r="V150" s="34">
        <f t="shared" si="197"/>
        <v>199000</v>
      </c>
      <c r="W150" s="43">
        <v>39800</v>
      </c>
      <c r="X150" s="34">
        <f>SUMIF(헤몬팜마진!$B$7:$B$32,$C150,헤몬팜마진!$R$7:$R$32)</f>
        <v>7855.1382499999991</v>
      </c>
      <c r="Y150" s="34" t="e">
        <f t="shared" si="198"/>
        <v>#REF!</v>
      </c>
      <c r="Z150" s="34">
        <f t="shared" si="199"/>
        <v>125254.8</v>
      </c>
      <c r="AA150" s="49">
        <v>113868</v>
      </c>
      <c r="AB150" s="209"/>
      <c r="AC150" s="204">
        <f t="shared" si="206"/>
        <v>6930</v>
      </c>
      <c r="AD150" s="152">
        <v>0.08</v>
      </c>
      <c r="AE150" s="31">
        <f>4150*(P150)</f>
        <v>20750</v>
      </c>
      <c r="AF150" s="28">
        <f t="shared" si="201"/>
        <v>0.18427135678391959</v>
      </c>
      <c r="AG150" s="34">
        <f t="shared" si="202"/>
        <v>36670.03</v>
      </c>
      <c r="AH150" s="34" t="e">
        <f t="shared" si="203"/>
        <v>#REF!</v>
      </c>
      <c r="AI150" s="34" t="e">
        <f>SUMIF(헤몬팜마진!$B$7:$B$32,$C150,헤몬팜마진!$V$7:$V$32)</f>
        <v>#REF!</v>
      </c>
      <c r="AJ150" s="34" t="e">
        <f t="shared" si="204"/>
        <v>#REF!</v>
      </c>
      <c r="AK150" s="46" t="e">
        <f t="shared" si="205"/>
        <v>#REF!</v>
      </c>
      <c r="AL150" s="40">
        <f>SUMIF(헤몬팜마진!$B$7:$B$32,$C150,헤몬팜마진!$T$7:$T$32)</f>
        <v>176.41799999999998</v>
      </c>
      <c r="AM150" s="41">
        <f>SUMIF(헤몬팜마진!$B$7:$B$32,$C150,헤몬팜마진!$U$7:$U$32)</f>
        <v>900.38519999999994</v>
      </c>
      <c r="AN150" s="36"/>
      <c r="AO150" s="202">
        <v>82920</v>
      </c>
      <c r="AP150" s="205">
        <v>205</v>
      </c>
      <c r="AQ150" s="126"/>
      <c r="AR150" s="126"/>
      <c r="AS150" s="126"/>
      <c r="AT150" s="118"/>
      <c r="AU150" s="118"/>
      <c r="AV150" s="118"/>
      <c r="AW150" s="118"/>
      <c r="AX150" s="118"/>
      <c r="AY150" s="118"/>
      <c r="AZ150" s="118"/>
      <c r="BA150" s="118"/>
      <c r="BB150" s="118"/>
      <c r="BC150" s="118"/>
      <c r="BD150" s="118"/>
      <c r="BE150" s="118"/>
      <c r="BF150" s="118"/>
      <c r="BG150" s="47"/>
      <c r="BH150" s="47"/>
      <c r="BI150" s="47"/>
      <c r="BJ150" s="47"/>
      <c r="BK150" s="47"/>
    </row>
    <row r="151" spans="1:63" ht="28.5" customHeight="1">
      <c r="A151" s="318"/>
      <c r="B151" s="324"/>
      <c r="C151" s="42" t="s">
        <v>113</v>
      </c>
      <c r="D151" s="28" t="e">
        <f t="shared" si="188"/>
        <v>#REF!</v>
      </c>
      <c r="E151" s="201" t="e">
        <f t="shared" si="189"/>
        <v>#REF!</v>
      </c>
      <c r="F151" s="30">
        <f t="shared" si="190"/>
        <v>0.41103846153846163</v>
      </c>
      <c r="G151" s="30">
        <f t="shared" si="191"/>
        <v>1.1363636363636364E-2</v>
      </c>
      <c r="H151" s="310"/>
      <c r="I151" s="35">
        <f t="shared" si="192"/>
        <v>105</v>
      </c>
      <c r="J151" s="35">
        <f t="shared" si="193"/>
        <v>210</v>
      </c>
      <c r="K151" s="310"/>
      <c r="L151" s="39">
        <f>74+42+48+18+8+2</f>
        <v>192</v>
      </c>
      <c r="M151" s="210"/>
      <c r="N151" s="44">
        <v>15</v>
      </c>
      <c r="O151" s="36">
        <v>2</v>
      </c>
      <c r="P151" s="31">
        <f t="shared" si="194"/>
        <v>2</v>
      </c>
      <c r="Q151" s="36"/>
      <c r="R151" s="167">
        <v>1</v>
      </c>
      <c r="S151" s="36"/>
      <c r="T151" s="34">
        <f t="shared" si="195"/>
        <v>85800</v>
      </c>
      <c r="U151" s="31">
        <f t="shared" si="196"/>
        <v>0</v>
      </c>
      <c r="V151" s="34">
        <f t="shared" si="197"/>
        <v>85800</v>
      </c>
      <c r="W151" s="43">
        <v>42900</v>
      </c>
      <c r="X151" s="34">
        <f>SUMIF(헤몬팜마진!$B$7:$B$32,$C151,헤몬팜마진!$R$7:$R$32)</f>
        <v>7855.1382499999991</v>
      </c>
      <c r="Y151" s="34" t="e">
        <f t="shared" si="198"/>
        <v>#REF!</v>
      </c>
      <c r="Z151" s="34">
        <f t="shared" si="199"/>
        <v>35267.100000000006</v>
      </c>
      <c r="AA151" s="49">
        <v>32061</v>
      </c>
      <c r="AB151" s="36"/>
      <c r="AC151" s="204">
        <f t="shared" si="206"/>
        <v>0</v>
      </c>
      <c r="AD151" s="152">
        <v>7.8E-2</v>
      </c>
      <c r="AE151" s="31">
        <f>1900*(P151)</f>
        <v>3800</v>
      </c>
      <c r="AF151" s="28">
        <f t="shared" si="201"/>
        <v>0.12228904428904429</v>
      </c>
      <c r="AG151" s="34">
        <f t="shared" si="202"/>
        <v>10492.43</v>
      </c>
      <c r="AH151" s="34" t="e">
        <f t="shared" si="203"/>
        <v>#REF!</v>
      </c>
      <c r="AI151" s="34" t="e">
        <f>SUMIF(헤몬팜마진!$B$7:$B$32,$C151,헤몬팜마진!$V$7:$V$32)</f>
        <v>#REF!</v>
      </c>
      <c r="AJ151" s="34" t="e">
        <f t="shared" si="204"/>
        <v>#REF!</v>
      </c>
      <c r="AK151" s="206" t="e">
        <f t="shared" si="205"/>
        <v>#REF!</v>
      </c>
      <c r="AL151" s="40">
        <f>SUMIF(헤몬팜마진!$B$7:$B$32,$C151,헤몬팜마진!$T$7:$T$32)</f>
        <v>176.41799999999998</v>
      </c>
      <c r="AM151" s="41">
        <f>SUMIF(헤몬팜마진!$B$7:$B$32,$C151,헤몬팜마진!$U$7:$U$32)</f>
        <v>900.38519999999994</v>
      </c>
      <c r="AN151" s="36"/>
      <c r="AO151" s="202">
        <v>47297</v>
      </c>
      <c r="AP151" s="205">
        <v>88</v>
      </c>
      <c r="AQ151" s="126"/>
      <c r="AR151" s="126"/>
      <c r="AS151" s="126"/>
      <c r="AT151" s="118"/>
      <c r="AU151" s="118"/>
      <c r="AV151" s="118"/>
      <c r="AW151" s="118"/>
      <c r="AX151" s="118"/>
      <c r="AY151" s="118"/>
      <c r="AZ151" s="118"/>
      <c r="BA151" s="118"/>
      <c r="BB151" s="118"/>
      <c r="BC151" s="118"/>
      <c r="BD151" s="118"/>
      <c r="BE151" s="118"/>
      <c r="BF151" s="118"/>
      <c r="BG151" s="47"/>
      <c r="BH151" s="47"/>
      <c r="BI151" s="47"/>
      <c r="BJ151" s="47"/>
      <c r="BK151" s="47"/>
    </row>
    <row r="152" spans="1:63" ht="28.5" customHeight="1">
      <c r="A152" s="228" t="s">
        <v>135</v>
      </c>
      <c r="B152" s="200"/>
      <c r="C152" s="42" t="s">
        <v>114</v>
      </c>
      <c r="D152" s="28">
        <f t="shared" si="188"/>
        <v>0.30277532679924246</v>
      </c>
      <c r="E152" s="201">
        <f t="shared" si="189"/>
        <v>0.36298886846590911</v>
      </c>
      <c r="F152" s="30">
        <f t="shared" si="190"/>
        <v>6.0213541666666676E-2</v>
      </c>
      <c r="G152" s="30">
        <f t="shared" si="191"/>
        <v>9.3333333333333338E-2</v>
      </c>
      <c r="H152" s="35">
        <v>1750</v>
      </c>
      <c r="I152" s="35">
        <f t="shared" si="192"/>
        <v>350</v>
      </c>
      <c r="J152" s="35">
        <f t="shared" si="193"/>
        <v>700</v>
      </c>
      <c r="K152" s="39">
        <v>1449</v>
      </c>
      <c r="L152" s="39">
        <v>1217</v>
      </c>
      <c r="M152" s="210"/>
      <c r="N152" s="44">
        <v>50</v>
      </c>
      <c r="O152" s="202">
        <v>18</v>
      </c>
      <c r="P152" s="31">
        <f t="shared" si="194"/>
        <v>18</v>
      </c>
      <c r="Q152" s="36"/>
      <c r="R152" s="203">
        <v>7</v>
      </c>
      <c r="S152" s="36"/>
      <c r="T152" s="34">
        <f t="shared" si="195"/>
        <v>345600</v>
      </c>
      <c r="U152" s="31">
        <f t="shared" si="196"/>
        <v>0</v>
      </c>
      <c r="V152" s="34">
        <f t="shared" si="197"/>
        <v>345600</v>
      </c>
      <c r="W152" s="43">
        <v>19200</v>
      </c>
      <c r="X152" s="34">
        <f>SUMIF(헤몬팜마진!$B$7:$B$32,$C152,헤몬팜마진!$R$7:$R$32)</f>
        <v>6372.6191999999992</v>
      </c>
      <c r="Y152" s="34">
        <f t="shared" si="198"/>
        <v>121885.83359999998</v>
      </c>
      <c r="Z152" s="34">
        <f t="shared" si="199"/>
        <v>20809.800000000003</v>
      </c>
      <c r="AA152" s="49">
        <v>18918</v>
      </c>
      <c r="AB152" s="36"/>
      <c r="AC152" s="204">
        <f t="shared" si="206"/>
        <v>0</v>
      </c>
      <c r="AD152" s="152">
        <v>0.08</v>
      </c>
      <c r="AE152" s="31">
        <f>3350*(P152)</f>
        <v>60300</v>
      </c>
      <c r="AF152" s="28">
        <f t="shared" si="201"/>
        <v>0.25447916666666665</v>
      </c>
      <c r="AG152" s="34">
        <f t="shared" si="202"/>
        <v>87948.029999999984</v>
      </c>
      <c r="AH152" s="34">
        <f t="shared" si="203"/>
        <v>10317.183458181822</v>
      </c>
      <c r="AI152" s="34">
        <f>SUMIF(헤몬팜마진!$B$7:$B$32,$C152,헤몬팜마진!$V$7:$V$32)</f>
        <v>6771.435199999999</v>
      </c>
      <c r="AJ152" s="34">
        <f t="shared" si="204"/>
        <v>125448.95294181819</v>
      </c>
      <c r="AK152" s="46">
        <f t="shared" si="205"/>
        <v>104639.15294181819</v>
      </c>
      <c r="AL152" s="40">
        <f>SUMIF(헤몬팜마진!$B$7:$B$32,$C152,헤몬팜마진!$T$7:$T$32)</f>
        <v>65.34</v>
      </c>
      <c r="AM152" s="41">
        <f>SUMIF(헤몬팜마진!$B$7:$B$32,$C152,헤몬팜마진!$U$7:$U$32)</f>
        <v>333.476</v>
      </c>
      <c r="AN152" s="36"/>
      <c r="AO152" s="202">
        <v>31510</v>
      </c>
      <c r="AP152" s="205">
        <v>75</v>
      </c>
      <c r="AQ152" s="126"/>
      <c r="AR152" s="126"/>
      <c r="AS152" s="126"/>
      <c r="AT152" s="118"/>
      <c r="AU152" s="118"/>
      <c r="AV152" s="118"/>
      <c r="AW152" s="118"/>
      <c r="AX152" s="118"/>
      <c r="AY152" s="118"/>
      <c r="AZ152" s="118"/>
      <c r="BA152" s="118"/>
      <c r="BB152" s="118"/>
      <c r="BC152" s="118"/>
      <c r="BD152" s="118"/>
      <c r="BE152" s="118"/>
      <c r="BF152" s="118"/>
      <c r="BG152" s="47"/>
      <c r="BH152" s="47"/>
      <c r="BI152" s="47"/>
      <c r="BJ152" s="47"/>
      <c r="BK152" s="47"/>
    </row>
    <row r="153" spans="1:63" ht="28.5" customHeight="1">
      <c r="A153" s="327" t="s">
        <v>136</v>
      </c>
      <c r="B153" s="326"/>
      <c r="C153" s="42" t="s">
        <v>115</v>
      </c>
      <c r="D153" s="28" t="e">
        <f t="shared" si="188"/>
        <v>#REF!</v>
      </c>
      <c r="E153" s="201" t="e">
        <f t="shared" si="189"/>
        <v>#REF!</v>
      </c>
      <c r="F153" s="30">
        <f t="shared" si="190"/>
        <v>0.66091332116788326</v>
      </c>
      <c r="G153" s="30">
        <f t="shared" si="191"/>
        <v>2.6315789473684209E-2</v>
      </c>
      <c r="H153" s="35">
        <v>0</v>
      </c>
      <c r="I153" s="35">
        <f t="shared" si="192"/>
        <v>70</v>
      </c>
      <c r="J153" s="35">
        <f t="shared" si="193"/>
        <v>140</v>
      </c>
      <c r="K153" s="328">
        <v>494</v>
      </c>
      <c r="L153" s="39">
        <v>0</v>
      </c>
      <c r="M153" s="210"/>
      <c r="N153" s="44">
        <v>10</v>
      </c>
      <c r="O153" s="36">
        <v>2</v>
      </c>
      <c r="P153" s="31">
        <f t="shared" si="194"/>
        <v>2</v>
      </c>
      <c r="Q153" s="36"/>
      <c r="R153" s="167">
        <v>2</v>
      </c>
      <c r="S153" s="36"/>
      <c r="T153" s="34">
        <f t="shared" si="195"/>
        <v>109600</v>
      </c>
      <c r="U153" s="31">
        <f t="shared" si="196"/>
        <v>0</v>
      </c>
      <c r="V153" s="34">
        <f t="shared" si="197"/>
        <v>109600</v>
      </c>
      <c r="W153" s="43">
        <v>54800</v>
      </c>
      <c r="X153" s="34">
        <f>SUMIF(헤몬팜마진!$B$7:$B$32,$C153,헤몬팜마진!$R$7:$R$32)</f>
        <v>12169.932499999999</v>
      </c>
      <c r="Y153" s="34" t="e">
        <f t="shared" si="198"/>
        <v>#REF!</v>
      </c>
      <c r="Z153" s="34">
        <f t="shared" si="199"/>
        <v>72436.100000000006</v>
      </c>
      <c r="AA153" s="49">
        <v>65851</v>
      </c>
      <c r="AB153" s="36"/>
      <c r="AC153" s="204">
        <f t="shared" si="206"/>
        <v>0</v>
      </c>
      <c r="AD153" s="152">
        <v>7.8E-2</v>
      </c>
      <c r="AE153" s="31">
        <f t="shared" ref="AE153:AE154" si="209">4825*(P153)</f>
        <v>9650</v>
      </c>
      <c r="AF153" s="28">
        <f t="shared" si="201"/>
        <v>0.16604744525547444</v>
      </c>
      <c r="AG153" s="34">
        <f t="shared" si="202"/>
        <v>18198.829999999998</v>
      </c>
      <c r="AH153" s="34" t="e">
        <f t="shared" si="203"/>
        <v>#REF!</v>
      </c>
      <c r="AI153" s="34" t="e">
        <f>SUMIF(헤몬팜마진!$B$7:$B$32,$C153,헤몬팜마진!$V$7:$V$32)</f>
        <v>#REF!</v>
      </c>
      <c r="AJ153" s="34" t="e">
        <f t="shared" si="204"/>
        <v>#REF!</v>
      </c>
      <c r="AK153" s="206" t="e">
        <f t="shared" si="205"/>
        <v>#REF!</v>
      </c>
      <c r="AL153" s="40">
        <f>SUMIF(헤몬팜마진!$B$7:$B$32,$C153,헤몬팜마진!$T$7:$T$32)</f>
        <v>181.44000000000003</v>
      </c>
      <c r="AM153" s="41">
        <f>SUMIF(헤몬팜마진!$B$7:$B$32,$C153,헤몬팜마진!$U$7:$U$32)</f>
        <v>926.01600000000019</v>
      </c>
      <c r="AN153" s="36"/>
      <c r="AO153" s="202">
        <v>21556</v>
      </c>
      <c r="AP153" s="205">
        <v>76</v>
      </c>
      <c r="AQ153" s="126"/>
      <c r="AR153" s="126"/>
      <c r="AS153" s="126"/>
      <c r="AT153" s="118"/>
      <c r="AU153" s="118"/>
      <c r="AV153" s="118"/>
      <c r="AW153" s="118"/>
      <c r="AX153" s="118"/>
      <c r="AY153" s="118"/>
      <c r="AZ153" s="118"/>
      <c r="BA153" s="118"/>
      <c r="BB153" s="118"/>
      <c r="BC153" s="118"/>
      <c r="BD153" s="118"/>
      <c r="BE153" s="118"/>
      <c r="BF153" s="118"/>
      <c r="BG153" s="47"/>
      <c r="BH153" s="47"/>
      <c r="BI153" s="47"/>
      <c r="BJ153" s="47"/>
      <c r="BK153" s="47"/>
    </row>
    <row r="154" spans="1:63" ht="28.5" customHeight="1">
      <c r="A154" s="318"/>
      <c r="B154" s="324"/>
      <c r="C154" s="42" t="s">
        <v>116</v>
      </c>
      <c r="D154" s="28" t="e">
        <f t="shared" si="188"/>
        <v>#REF!</v>
      </c>
      <c r="E154" s="201" t="e">
        <f t="shared" si="189"/>
        <v>#REF!</v>
      </c>
      <c r="F154" s="30">
        <f t="shared" si="190"/>
        <v>0.68012674683132934</v>
      </c>
      <c r="G154" s="30">
        <f t="shared" si="191"/>
        <v>2.3809523809523808E-2</v>
      </c>
      <c r="H154" s="35">
        <v>0</v>
      </c>
      <c r="I154" s="35">
        <f t="shared" si="192"/>
        <v>70</v>
      </c>
      <c r="J154" s="35">
        <f t="shared" si="193"/>
        <v>140</v>
      </c>
      <c r="K154" s="310"/>
      <c r="L154" s="39">
        <v>1</v>
      </c>
      <c r="M154" s="210"/>
      <c r="N154" s="44">
        <v>10</v>
      </c>
      <c r="O154" s="202">
        <v>3</v>
      </c>
      <c r="P154" s="31">
        <f t="shared" si="194"/>
        <v>3</v>
      </c>
      <c r="Q154" s="202">
        <v>1</v>
      </c>
      <c r="R154" s="203">
        <v>4</v>
      </c>
      <c r="S154" s="36"/>
      <c r="T154" s="34">
        <f t="shared" si="195"/>
        <v>184620</v>
      </c>
      <c r="U154" s="31">
        <f t="shared" si="196"/>
        <v>0</v>
      </c>
      <c r="V154" s="34">
        <f t="shared" si="197"/>
        <v>184620</v>
      </c>
      <c r="W154" s="43">
        <v>61540</v>
      </c>
      <c r="X154" s="34">
        <f>SUMIF(헤몬팜마진!$B$7:$B$32,$C154,헤몬팜마진!$R$7:$R$32)</f>
        <v>12169.932499999999</v>
      </c>
      <c r="Y154" s="34" t="e">
        <f t="shared" si="198"/>
        <v>#REF!</v>
      </c>
      <c r="Z154" s="34">
        <f t="shared" si="199"/>
        <v>125565.00000000001</v>
      </c>
      <c r="AA154" s="49">
        <v>114150</v>
      </c>
      <c r="AB154" s="36"/>
      <c r="AC154" s="204">
        <f t="shared" si="206"/>
        <v>2310</v>
      </c>
      <c r="AD154" s="152">
        <v>7.8E-2</v>
      </c>
      <c r="AE154" s="31">
        <f t="shared" si="209"/>
        <v>14475</v>
      </c>
      <c r="AF154" s="28">
        <f t="shared" si="201"/>
        <v>0.15640428989275268</v>
      </c>
      <c r="AG154" s="34">
        <f t="shared" si="202"/>
        <v>28875.39</v>
      </c>
      <c r="AH154" s="34" t="e">
        <f t="shared" si="203"/>
        <v>#REF!</v>
      </c>
      <c r="AI154" s="34" t="e">
        <f>SUMIF(헤몬팜마진!$B$7:$B$32,$C154,헤몬팜마진!$V$7:$V$32)</f>
        <v>#REF!</v>
      </c>
      <c r="AJ154" s="34" t="e">
        <f t="shared" si="204"/>
        <v>#REF!</v>
      </c>
      <c r="AK154" s="46" t="e">
        <f t="shared" si="205"/>
        <v>#REF!</v>
      </c>
      <c r="AL154" s="40">
        <f>SUMIF(헤몬팜마진!$B$7:$B$32,$C154,헤몬팜마진!$T$7:$T$32)</f>
        <v>181.44000000000003</v>
      </c>
      <c r="AM154" s="41">
        <f>SUMIF(헤몬팜마진!$B$7:$B$32,$C154,헤몬팜마진!$U$7:$U$32)</f>
        <v>926.01600000000019</v>
      </c>
      <c r="AN154" s="36"/>
      <c r="AO154" s="202">
        <v>64160</v>
      </c>
      <c r="AP154" s="205">
        <v>168</v>
      </c>
      <c r="AQ154" s="126"/>
      <c r="AR154" s="126"/>
      <c r="AS154" s="126"/>
      <c r="AT154" s="118"/>
      <c r="AU154" s="118"/>
      <c r="AV154" s="118"/>
      <c r="AW154" s="118"/>
      <c r="AX154" s="118"/>
      <c r="AY154" s="118"/>
      <c r="AZ154" s="118"/>
      <c r="BA154" s="118"/>
      <c r="BB154" s="118"/>
      <c r="BC154" s="118"/>
      <c r="BD154" s="118"/>
      <c r="BE154" s="118"/>
      <c r="BF154" s="118"/>
      <c r="BG154" s="47"/>
      <c r="BH154" s="47"/>
      <c r="BI154" s="47"/>
      <c r="BJ154" s="47"/>
      <c r="BK154" s="47"/>
    </row>
    <row r="155" spans="1:63" ht="28.5" customHeight="1">
      <c r="A155" s="228" t="s">
        <v>137</v>
      </c>
      <c r="B155" s="200"/>
      <c r="C155" s="42" t="s">
        <v>117</v>
      </c>
      <c r="D155" s="28">
        <f t="shared" si="188"/>
        <v>0.29287099186117937</v>
      </c>
      <c r="E155" s="201">
        <f t="shared" si="189"/>
        <v>0.49826626213144964</v>
      </c>
      <c r="F155" s="30">
        <f t="shared" si="190"/>
        <v>0.2053952702702703</v>
      </c>
      <c r="G155" s="30">
        <f t="shared" si="191"/>
        <v>1.5290519877675841E-2</v>
      </c>
      <c r="H155" s="35">
        <v>2000</v>
      </c>
      <c r="I155" s="35">
        <f t="shared" si="192"/>
        <v>700</v>
      </c>
      <c r="J155" s="35">
        <f t="shared" si="193"/>
        <v>1400</v>
      </c>
      <c r="K155" s="39">
        <v>2373</v>
      </c>
      <c r="L155" s="39">
        <v>3</v>
      </c>
      <c r="M155" s="210"/>
      <c r="N155" s="44">
        <v>100</v>
      </c>
      <c r="O155" s="202">
        <v>20</v>
      </c>
      <c r="P155" s="31">
        <f t="shared" si="194"/>
        <v>20</v>
      </c>
      <c r="Q155" s="202">
        <v>3</v>
      </c>
      <c r="R155" s="203">
        <v>5</v>
      </c>
      <c r="S155" s="36"/>
      <c r="T155" s="34">
        <f t="shared" si="195"/>
        <v>355200</v>
      </c>
      <c r="U155" s="31">
        <f t="shared" si="196"/>
        <v>0</v>
      </c>
      <c r="V155" s="34">
        <f t="shared" si="197"/>
        <v>355200</v>
      </c>
      <c r="W155" s="43">
        <v>17760</v>
      </c>
      <c r="X155" s="34">
        <f>SUMIF(헤몬팜마진!$B$7:$B$32,$C155,헤몬팜마진!$R$7:$R$32)</f>
        <v>3982.8869999999997</v>
      </c>
      <c r="Y155" s="34">
        <f t="shared" si="198"/>
        <v>96744.203999999998</v>
      </c>
      <c r="Z155" s="34">
        <f t="shared" si="199"/>
        <v>72956.400000000009</v>
      </c>
      <c r="AA155" s="49">
        <f>46381+19943</f>
        <v>66324</v>
      </c>
      <c r="AB155" s="36"/>
      <c r="AC155" s="204">
        <f t="shared" si="206"/>
        <v>6930</v>
      </c>
      <c r="AD155" s="152">
        <v>7.8E-2</v>
      </c>
      <c r="AE155" s="31">
        <f t="shared" ref="AE155:AE156" si="210">1900*(P155)</f>
        <v>38000</v>
      </c>
      <c r="AF155" s="28">
        <f t="shared" si="201"/>
        <v>0.18498198198198199</v>
      </c>
      <c r="AG155" s="34">
        <f t="shared" si="202"/>
        <v>65705.63</v>
      </c>
      <c r="AH155" s="34">
        <f t="shared" si="203"/>
        <v>15765.989690909086</v>
      </c>
      <c r="AI155" s="34">
        <f>SUMIF(헤몬팜마진!$B$7:$B$32,$C155,헤몬팜마진!$V$7:$V$32)</f>
        <v>4837.2101999999995</v>
      </c>
      <c r="AJ155" s="34">
        <f t="shared" si="204"/>
        <v>176984.17630909092</v>
      </c>
      <c r="AK155" s="46">
        <f t="shared" si="205"/>
        <v>104027.77630909091</v>
      </c>
      <c r="AL155" s="40">
        <f>SUMIF(헤몬팜마진!$B$7:$B$32,$C155,헤몬팜마진!$T$7:$T$32)</f>
        <v>139.96800000000002</v>
      </c>
      <c r="AM155" s="41">
        <f>SUMIF(헤몬팜마진!$B$7:$B$32,$C155,헤몬팜마진!$U$7:$U$32)</f>
        <v>714.35519999999997</v>
      </c>
      <c r="AN155" s="36"/>
      <c r="AO155" s="202">
        <v>75903</v>
      </c>
      <c r="AP155" s="205">
        <v>327</v>
      </c>
      <c r="AQ155" s="126"/>
      <c r="AR155" s="126"/>
      <c r="AS155" s="126"/>
      <c r="AT155" s="118"/>
      <c r="AU155" s="118"/>
      <c r="AV155" s="118"/>
      <c r="AW155" s="118"/>
      <c r="AX155" s="118"/>
      <c r="AY155" s="118"/>
      <c r="AZ155" s="118"/>
      <c r="BA155" s="118"/>
      <c r="BB155" s="118"/>
      <c r="BC155" s="118"/>
      <c r="BD155" s="118"/>
      <c r="BE155" s="118"/>
      <c r="BF155" s="118"/>
      <c r="BG155" s="47"/>
      <c r="BH155" s="47"/>
      <c r="BI155" s="47"/>
      <c r="BJ155" s="47"/>
      <c r="BK155" s="47"/>
    </row>
    <row r="156" spans="1:63" ht="28.5" customHeight="1">
      <c r="A156" s="228" t="s">
        <v>138</v>
      </c>
      <c r="B156" s="200"/>
      <c r="C156" s="42" t="s">
        <v>118</v>
      </c>
      <c r="D156" s="28">
        <f t="shared" si="188"/>
        <v>0.14392486339198435</v>
      </c>
      <c r="E156" s="201">
        <f t="shared" si="189"/>
        <v>0.43889193328445752</v>
      </c>
      <c r="F156" s="30">
        <f t="shared" si="190"/>
        <v>0.29496706989247318</v>
      </c>
      <c r="G156" s="30">
        <f t="shared" si="191"/>
        <v>4.5161290322580643E-2</v>
      </c>
      <c r="H156" s="35">
        <v>0</v>
      </c>
      <c r="I156" s="35">
        <f t="shared" si="192"/>
        <v>350</v>
      </c>
      <c r="J156" s="35">
        <f t="shared" si="193"/>
        <v>700</v>
      </c>
      <c r="K156" s="39">
        <v>87</v>
      </c>
      <c r="L156" s="39">
        <v>0</v>
      </c>
      <c r="M156" s="210"/>
      <c r="N156" s="44">
        <v>50</v>
      </c>
      <c r="O156" s="202">
        <v>6</v>
      </c>
      <c r="P156" s="31">
        <f t="shared" si="194"/>
        <v>6</v>
      </c>
      <c r="Q156" s="36">
        <v>1</v>
      </c>
      <c r="R156" s="203">
        <v>7</v>
      </c>
      <c r="S156" s="36"/>
      <c r="T156" s="34">
        <f t="shared" si="195"/>
        <v>148800</v>
      </c>
      <c r="U156" s="31">
        <f t="shared" si="196"/>
        <v>0</v>
      </c>
      <c r="V156" s="34">
        <f t="shared" si="197"/>
        <v>148800</v>
      </c>
      <c r="W156" s="43">
        <v>24800</v>
      </c>
      <c r="X156" s="34">
        <f>SUMIF(헤몬팜마진!$B$7:$B$32,$C156,헤몬팜마진!$R$7:$R$32)</f>
        <v>8408.3169999999991</v>
      </c>
      <c r="Y156" s="34">
        <f t="shared" si="198"/>
        <v>51478.253999999994</v>
      </c>
      <c r="Z156" s="34">
        <f t="shared" si="199"/>
        <v>43891.100000000006</v>
      </c>
      <c r="AA156" s="49">
        <v>39901</v>
      </c>
      <c r="AB156" s="209"/>
      <c r="AC156" s="204">
        <f t="shared" si="206"/>
        <v>2310</v>
      </c>
      <c r="AD156" s="152">
        <v>0.1</v>
      </c>
      <c r="AE156" s="31">
        <f t="shared" si="210"/>
        <v>11400</v>
      </c>
      <c r="AF156" s="28">
        <f t="shared" si="201"/>
        <v>0.17661290322580647</v>
      </c>
      <c r="AG156" s="34">
        <f t="shared" si="202"/>
        <v>26280.030000000002</v>
      </c>
      <c r="AH156" s="34">
        <f t="shared" si="203"/>
        <v>5734.5963272727276</v>
      </c>
      <c r="AI156" s="34">
        <f>SUMIF(헤몬팜마진!$B$7:$B$32,$C156,헤몬팜마진!$V$7:$V$32)</f>
        <v>8579.7089999999989</v>
      </c>
      <c r="AJ156" s="34">
        <f t="shared" si="204"/>
        <v>65307.119672727276</v>
      </c>
      <c r="AK156" s="206">
        <f t="shared" si="205"/>
        <v>21416.019672727271</v>
      </c>
      <c r="AL156" s="40">
        <f>SUMIF(헤몬팜마진!$B$7:$B$32,$C156,헤몬팜마진!$T$7:$T$32)</f>
        <v>28.079999999999995</v>
      </c>
      <c r="AM156" s="41">
        <f>SUMIF(헤몬팜마진!$B$7:$B$32,$C156,헤몬팜마진!$U$7:$U$32)</f>
        <v>143.31199999999998</v>
      </c>
      <c r="AN156" s="36"/>
      <c r="AO156" s="202">
        <v>55503</v>
      </c>
      <c r="AP156" s="205">
        <v>155</v>
      </c>
      <c r="AQ156" s="126"/>
      <c r="AR156" s="126"/>
      <c r="AS156" s="126"/>
      <c r="AT156" s="118"/>
      <c r="AU156" s="118"/>
      <c r="AV156" s="118"/>
      <c r="AW156" s="118"/>
      <c r="AX156" s="118"/>
      <c r="AY156" s="118"/>
      <c r="AZ156" s="118"/>
      <c r="BA156" s="118"/>
      <c r="BB156" s="118"/>
      <c r="BC156" s="118"/>
      <c r="BD156" s="118"/>
      <c r="BE156" s="118"/>
      <c r="BF156" s="118"/>
      <c r="BG156" s="47"/>
      <c r="BH156" s="47"/>
      <c r="BI156" s="47"/>
      <c r="BJ156" s="47"/>
      <c r="BK156" s="47"/>
    </row>
    <row r="157" spans="1:63" ht="28.5" customHeight="1">
      <c r="A157" s="12"/>
      <c r="B157" s="214" t="s">
        <v>126</v>
      </c>
      <c r="C157" s="42" t="s">
        <v>31</v>
      </c>
      <c r="D157" s="28">
        <f t="shared" si="188"/>
        <v>6.4567901435406791E-2</v>
      </c>
      <c r="E157" s="201">
        <f t="shared" si="189"/>
        <v>0.40281957607655516</v>
      </c>
      <c r="F157" s="30">
        <f t="shared" si="190"/>
        <v>0.33825167464114836</v>
      </c>
      <c r="G157" s="30">
        <f t="shared" si="191"/>
        <v>4.0358744394618833E-2</v>
      </c>
      <c r="H157" s="35">
        <v>700</v>
      </c>
      <c r="I157" s="35">
        <f t="shared" si="192"/>
        <v>210</v>
      </c>
      <c r="J157" s="35">
        <f t="shared" si="193"/>
        <v>420</v>
      </c>
      <c r="K157" s="39">
        <v>954</v>
      </c>
      <c r="L157" s="39">
        <v>2</v>
      </c>
      <c r="M157" s="210"/>
      <c r="N157" s="44">
        <v>30</v>
      </c>
      <c r="O157" s="36">
        <v>15</v>
      </c>
      <c r="P157" s="31">
        <f t="shared" si="194"/>
        <v>15</v>
      </c>
      <c r="Q157" s="36">
        <v>3</v>
      </c>
      <c r="R157" s="167">
        <v>9</v>
      </c>
      <c r="S157" s="36"/>
      <c r="T157" s="34">
        <f t="shared" si="195"/>
        <v>313500</v>
      </c>
      <c r="U157" s="31">
        <f t="shared" si="196"/>
        <v>0</v>
      </c>
      <c r="V157" s="34">
        <f t="shared" si="197"/>
        <v>313500</v>
      </c>
      <c r="W157" s="43">
        <v>20900</v>
      </c>
      <c r="X157" s="34">
        <f>SUMIF(헤몬팜마진!$B$7:$B$32,$C157,헤몬팜마진!$R$7:$R$32)</f>
        <v>6638.1449999999995</v>
      </c>
      <c r="Y157" s="34">
        <f t="shared" si="198"/>
        <v>100284.11099999999</v>
      </c>
      <c r="Z157" s="34">
        <f t="shared" si="199"/>
        <v>85072.900000000009</v>
      </c>
      <c r="AA157" s="48">
        <v>77339</v>
      </c>
      <c r="AB157" s="211">
        <f>((20900*0.015)+(20900*0.19)+2100+2200+1900)*2</f>
        <v>20969</v>
      </c>
      <c r="AC157" s="204">
        <f t="shared" si="206"/>
        <v>6930</v>
      </c>
      <c r="AD157" s="152">
        <v>0.08</v>
      </c>
      <c r="AE157" s="31">
        <f>3400*(P157)</f>
        <v>51000</v>
      </c>
      <c r="AF157" s="28">
        <f t="shared" si="201"/>
        <v>0.24267942583732055</v>
      </c>
      <c r="AG157" s="34">
        <f t="shared" si="202"/>
        <v>76080.029999999984</v>
      </c>
      <c r="AH157" s="34">
        <f t="shared" si="203"/>
        <v>10851.921900000001</v>
      </c>
      <c r="AI157" s="34">
        <f>SUMIF(헤몬팜마진!$B$7:$B$32,$C157,헤몬팜마진!$V$7:$V$32)</f>
        <v>6685.607399999999</v>
      </c>
      <c r="AJ157" s="34">
        <f t="shared" si="204"/>
        <v>126283.93710000004</v>
      </c>
      <c r="AK157" s="206">
        <f t="shared" si="205"/>
        <v>20242.03710000003</v>
      </c>
      <c r="AL157" s="40">
        <f>SUMIF(헤몬팜마진!$B$7:$B$32,$C157,헤몬팜마진!$T$7:$T$32)</f>
        <v>7.7759999999999998</v>
      </c>
      <c r="AM157" s="41">
        <f>SUMIF(헤몬팜마진!$B$7:$B$32,$C157,헤몬팜마진!$U$7:$U$32)</f>
        <v>39.686400000000006</v>
      </c>
      <c r="AN157" s="36"/>
      <c r="AO157" s="202">
        <v>151911</v>
      </c>
      <c r="AP157" s="205">
        <v>223</v>
      </c>
      <c r="AQ157" s="126"/>
      <c r="AR157" s="126"/>
      <c r="AS157" s="126"/>
      <c r="AT157" s="118"/>
      <c r="AU157" s="118"/>
      <c r="AV157" s="118"/>
      <c r="AW157" s="118"/>
      <c r="AX157" s="118"/>
      <c r="AY157" s="118"/>
      <c r="AZ157" s="118"/>
      <c r="BA157" s="118"/>
      <c r="BB157" s="118"/>
      <c r="BC157" s="118"/>
      <c r="BD157" s="118"/>
      <c r="BE157" s="118"/>
      <c r="BF157" s="118"/>
      <c r="BG157" s="47"/>
      <c r="BH157" s="47"/>
      <c r="BI157" s="47"/>
      <c r="BJ157" s="47"/>
      <c r="BK157" s="47"/>
    </row>
    <row r="158" spans="1:63" ht="28.5" customHeight="1">
      <c r="A158" s="327" t="s">
        <v>139</v>
      </c>
      <c r="B158" s="127" t="s">
        <v>127</v>
      </c>
      <c r="C158" s="42" t="s">
        <v>119</v>
      </c>
      <c r="D158" s="28">
        <f t="shared" si="188"/>
        <v>0.11528704312203371</v>
      </c>
      <c r="E158" s="201">
        <f t="shared" si="189"/>
        <v>0.43444841973824144</v>
      </c>
      <c r="F158" s="30">
        <f t="shared" si="190"/>
        <v>0.31916137661620775</v>
      </c>
      <c r="G158" s="30">
        <f t="shared" si="191"/>
        <v>0.1111111111111111</v>
      </c>
      <c r="H158" s="35">
        <v>2000</v>
      </c>
      <c r="I158" s="35">
        <f t="shared" si="192"/>
        <v>280</v>
      </c>
      <c r="J158" s="35">
        <f t="shared" si="193"/>
        <v>560</v>
      </c>
      <c r="K158" s="328">
        <v>1048</v>
      </c>
      <c r="L158" s="39">
        <f>311+240+1</f>
        <v>552</v>
      </c>
      <c r="M158" s="210"/>
      <c r="N158" s="44">
        <v>40</v>
      </c>
      <c r="O158" s="202">
        <v>19</v>
      </c>
      <c r="P158" s="31">
        <f t="shared" si="194"/>
        <v>19</v>
      </c>
      <c r="Q158" s="202">
        <v>4</v>
      </c>
      <c r="R158" s="203">
        <v>14</v>
      </c>
      <c r="S158" s="36"/>
      <c r="T158" s="34">
        <f t="shared" si="195"/>
        <v>471010</v>
      </c>
      <c r="U158" s="31">
        <f t="shared" si="196"/>
        <v>0</v>
      </c>
      <c r="V158" s="34">
        <f t="shared" si="197"/>
        <v>471010</v>
      </c>
      <c r="W158" s="43">
        <v>24790</v>
      </c>
      <c r="X158" s="34">
        <f>SUMIF(헤몬팜마진!$B$7:$B$32,$C158,헤몬팜마진!$R$7:$R$32)</f>
        <v>6859.4164999999994</v>
      </c>
      <c r="Y158" s="34">
        <f t="shared" si="198"/>
        <v>137818.74389999997</v>
      </c>
      <c r="Z158" s="34">
        <f t="shared" si="199"/>
        <v>150328.20000000001</v>
      </c>
      <c r="AA158" s="49">
        <v>136662</v>
      </c>
      <c r="AB158" s="209"/>
      <c r="AC158" s="204">
        <f t="shared" si="206"/>
        <v>9240</v>
      </c>
      <c r="AD158" s="152">
        <v>0.108</v>
      </c>
      <c r="AE158" s="31">
        <f>3150*(P158)</f>
        <v>59850</v>
      </c>
      <c r="AF158" s="28">
        <f t="shared" si="201"/>
        <v>0.23506736587333604</v>
      </c>
      <c r="AG158" s="34">
        <f t="shared" si="202"/>
        <v>110719.11000000002</v>
      </c>
      <c r="AH158" s="34">
        <f t="shared" si="203"/>
        <v>17842.595919090913</v>
      </c>
      <c r="AI158" s="34">
        <f>SUMIF(헤몬팜마진!$B$7:$B$32,$C158,헤몬팜마진!$V$7:$V$32)</f>
        <v>7253.6180999999988</v>
      </c>
      <c r="AJ158" s="34">
        <f t="shared" si="204"/>
        <v>204629.55018090911</v>
      </c>
      <c r="AK158" s="206">
        <f t="shared" si="205"/>
        <v>54301.350180909096</v>
      </c>
      <c r="AL158" s="40">
        <f>SUMIF(헤몬팜마진!$B$7:$B$32,$C158,헤몬팜마진!$T$7:$T$32)</f>
        <v>64.584000000000003</v>
      </c>
      <c r="AM158" s="41">
        <f>SUMIF(헤몬팜마진!$B$7:$B$32,$C158,헤몬팜마진!$U$7:$U$32)</f>
        <v>329.61759999999998</v>
      </c>
      <c r="AN158" s="36"/>
      <c r="AO158" s="202">
        <v>20439</v>
      </c>
      <c r="AP158" s="205">
        <v>126</v>
      </c>
      <c r="AQ158" s="126"/>
      <c r="AR158" s="126"/>
      <c r="AS158" s="126"/>
      <c r="AT158" s="118"/>
      <c r="AU158" s="118"/>
      <c r="AV158" s="118"/>
      <c r="AW158" s="118"/>
      <c r="AX158" s="118"/>
      <c r="AY158" s="118"/>
      <c r="AZ158" s="118"/>
      <c r="BA158" s="118"/>
      <c r="BB158" s="118"/>
      <c r="BC158" s="118"/>
      <c r="BD158" s="118"/>
      <c r="BE158" s="118"/>
      <c r="BF158" s="118"/>
      <c r="BG158" s="47"/>
      <c r="BH158" s="47"/>
      <c r="BI158" s="47"/>
      <c r="BJ158" s="47"/>
      <c r="BK158" s="47"/>
    </row>
    <row r="159" spans="1:63" ht="28.5" customHeight="1">
      <c r="A159" s="318"/>
      <c r="B159" s="214" t="s">
        <v>128</v>
      </c>
      <c r="C159" s="42" t="s">
        <v>120</v>
      </c>
      <c r="D159" s="28">
        <f t="shared" si="188"/>
        <v>-0.51918446126084961</v>
      </c>
      <c r="E159" s="201">
        <f t="shared" si="189"/>
        <v>0.41263714677935137</v>
      </c>
      <c r="F159" s="30">
        <f t="shared" si="190"/>
        <v>0.93182160804020098</v>
      </c>
      <c r="G159" s="30">
        <f t="shared" si="191"/>
        <v>1.8518518518518517E-2</v>
      </c>
      <c r="H159" s="35">
        <v>0</v>
      </c>
      <c r="I159" s="35">
        <f t="shared" si="192"/>
        <v>105</v>
      </c>
      <c r="J159" s="35">
        <f t="shared" si="193"/>
        <v>210</v>
      </c>
      <c r="K159" s="310"/>
      <c r="L159" s="39">
        <f>22+3</f>
        <v>25</v>
      </c>
      <c r="M159" s="210"/>
      <c r="N159" s="44">
        <v>15</v>
      </c>
      <c r="O159" s="36">
        <v>1</v>
      </c>
      <c r="P159" s="31">
        <f t="shared" si="194"/>
        <v>1</v>
      </c>
      <c r="Q159" s="36"/>
      <c r="R159" s="167">
        <v>1</v>
      </c>
      <c r="S159" s="36"/>
      <c r="T159" s="34">
        <f t="shared" si="195"/>
        <v>39800</v>
      </c>
      <c r="U159" s="31">
        <f t="shared" si="196"/>
        <v>0</v>
      </c>
      <c r="V159" s="34">
        <f t="shared" si="197"/>
        <v>39800</v>
      </c>
      <c r="W159" s="43">
        <v>39800</v>
      </c>
      <c r="X159" s="34">
        <f>SUMIF(헤몬팜마진!$B$7:$B$32,$C159,헤몬팜마진!$R$7:$R$32)</f>
        <v>13718.832999999999</v>
      </c>
      <c r="Y159" s="34">
        <f t="shared" si="198"/>
        <v>14113.034599999999</v>
      </c>
      <c r="Z159" s="34">
        <f t="shared" si="199"/>
        <v>37086.5</v>
      </c>
      <c r="AA159" s="49">
        <v>33715</v>
      </c>
      <c r="AB159" s="209"/>
      <c r="AC159" s="204">
        <f t="shared" si="206"/>
        <v>0</v>
      </c>
      <c r="AD159" s="152">
        <v>0.108</v>
      </c>
      <c r="AE159" s="31">
        <f>3550*(P159)</f>
        <v>3550</v>
      </c>
      <c r="AF159" s="28">
        <f t="shared" si="201"/>
        <v>0.1971959798994975</v>
      </c>
      <c r="AG159" s="34">
        <f t="shared" si="202"/>
        <v>7848.43</v>
      </c>
      <c r="AH159" s="34">
        <f t="shared" si="203"/>
        <v>1415.5769581818181</v>
      </c>
      <c r="AI159" s="34">
        <f>SUMIF(헤몬팜마진!$B$7:$B$32,$C159,헤몬팜마진!$V$7:$V$32)</f>
        <v>14113.034599999999</v>
      </c>
      <c r="AJ159" s="34">
        <f t="shared" si="204"/>
        <v>16422.958441818184</v>
      </c>
      <c r="AK159" s="206">
        <f t="shared" si="205"/>
        <v>-20663.541558181816</v>
      </c>
      <c r="AL159" s="40">
        <f>SUMIF(헤몬팜마진!$B$7:$B$32,$C159,헤몬팜마진!$T$7:$T$32)</f>
        <v>64.584000000000003</v>
      </c>
      <c r="AM159" s="41">
        <f>SUMIF(헤몬팜마진!$B$7:$B$32,$C159,헤몬팜마진!$U$7:$U$32)</f>
        <v>329.61759999999998</v>
      </c>
      <c r="AN159" s="36"/>
      <c r="AO159" s="202">
        <v>32641</v>
      </c>
      <c r="AP159" s="205">
        <v>54</v>
      </c>
      <c r="AQ159" s="126"/>
      <c r="AR159" s="126"/>
      <c r="AS159" s="126"/>
      <c r="AT159" s="118"/>
      <c r="AU159" s="118"/>
      <c r="AV159" s="118"/>
      <c r="AW159" s="118"/>
      <c r="AX159" s="118"/>
      <c r="AY159" s="118"/>
      <c r="AZ159" s="118"/>
      <c r="BA159" s="118"/>
      <c r="BB159" s="118"/>
      <c r="BC159" s="118"/>
      <c r="BD159" s="118"/>
      <c r="BE159" s="118"/>
      <c r="BF159" s="118"/>
      <c r="BG159" s="47"/>
      <c r="BH159" s="47"/>
      <c r="BI159" s="47"/>
      <c r="BJ159" s="47"/>
      <c r="BK159" s="47"/>
    </row>
    <row r="160" spans="1:63" ht="28.5" customHeight="1">
      <c r="A160" s="12"/>
      <c r="B160" s="216"/>
      <c r="C160" s="217"/>
      <c r="D160" s="51" t="e">
        <f t="shared" si="188"/>
        <v>#REF!</v>
      </c>
      <c r="E160" s="218" t="e">
        <f t="shared" si="189"/>
        <v>#REF!</v>
      </c>
      <c r="F160" s="53">
        <f t="shared" si="190"/>
        <v>0.28079501487645903</v>
      </c>
      <c r="G160" s="219"/>
      <c r="H160" s="55"/>
      <c r="I160" s="55"/>
      <c r="J160" s="55"/>
      <c r="K160" s="55"/>
      <c r="L160" s="55"/>
      <c r="M160" s="55"/>
      <c r="N160" s="55"/>
      <c r="O160" s="130">
        <f t="shared" ref="O160:V160" si="211">SUM(O143:O159)</f>
        <v>281</v>
      </c>
      <c r="P160" s="220">
        <f t="shared" si="211"/>
        <v>276</v>
      </c>
      <c r="Q160" s="130">
        <f t="shared" si="211"/>
        <v>32</v>
      </c>
      <c r="R160" s="130">
        <f t="shared" si="211"/>
        <v>192</v>
      </c>
      <c r="S160" s="130">
        <f t="shared" si="211"/>
        <v>5</v>
      </c>
      <c r="T160" s="130">
        <f t="shared" si="211"/>
        <v>7531970</v>
      </c>
      <c r="U160" s="130">
        <f t="shared" si="211"/>
        <v>80600</v>
      </c>
      <c r="V160" s="220">
        <f t="shared" si="211"/>
        <v>7451370</v>
      </c>
      <c r="W160" s="55"/>
      <c r="X160" s="130">
        <f t="shared" ref="X160:AC160" si="212">SUM(X143:X159)</f>
        <v>153584.54814999999</v>
      </c>
      <c r="Y160" s="220" t="e">
        <f t="shared" si="212"/>
        <v>#REF!</v>
      </c>
      <c r="Z160" s="130">
        <f t="shared" si="212"/>
        <v>2022001.3000000005</v>
      </c>
      <c r="AA160" s="130">
        <f t="shared" si="212"/>
        <v>1838183</v>
      </c>
      <c r="AB160" s="130">
        <f t="shared" si="212"/>
        <v>70306.25</v>
      </c>
      <c r="AC160" s="130">
        <f t="shared" si="212"/>
        <v>72264</v>
      </c>
      <c r="AD160" s="154">
        <v>0.09</v>
      </c>
      <c r="AE160" s="220">
        <f>SUM(AE143:AE159)</f>
        <v>840600</v>
      </c>
      <c r="AF160" s="53">
        <f t="shared" si="201"/>
        <v>0.20281146956868334</v>
      </c>
      <c r="AG160" s="56">
        <f t="shared" ref="AG160:AI160" si="213">SUM(AG143:AG159)</f>
        <v>1557152.2400000002</v>
      </c>
      <c r="AH160" s="56" t="e">
        <f t="shared" si="213"/>
        <v>#REF!</v>
      </c>
      <c r="AI160" s="56" t="e">
        <f t="shared" si="213"/>
        <v>#REF!</v>
      </c>
      <c r="AJ160" s="56" t="e">
        <f t="shared" si="204"/>
        <v>#REF!</v>
      </c>
      <c r="AK160" s="221" t="e">
        <f t="shared" si="205"/>
        <v>#REF!</v>
      </c>
      <c r="AL160" s="54"/>
      <c r="AM160" s="222"/>
      <c r="AN160" s="57"/>
      <c r="AO160" s="131">
        <f t="shared" ref="AO160:AP160" si="214">SUM(AO143:AO144)</f>
        <v>276178</v>
      </c>
      <c r="AP160" s="132">
        <f t="shared" si="214"/>
        <v>1655</v>
      </c>
      <c r="AQ160" s="126"/>
      <c r="AR160" s="126"/>
      <c r="AS160" s="126"/>
      <c r="AT160" s="118"/>
      <c r="AU160" s="118"/>
      <c r="AV160" s="118"/>
      <c r="AW160" s="118"/>
      <c r="AX160" s="118"/>
      <c r="AY160" s="118"/>
      <c r="AZ160" s="118"/>
      <c r="BA160" s="118"/>
      <c r="BB160" s="118"/>
      <c r="BC160" s="118"/>
      <c r="BD160" s="118"/>
      <c r="BE160" s="118"/>
      <c r="BF160" s="118"/>
      <c r="BG160" s="47"/>
      <c r="BH160" s="47"/>
      <c r="BI160" s="47"/>
      <c r="BJ160" s="47"/>
      <c r="BK160" s="47"/>
    </row>
    <row r="161" spans="1:63" ht="28.5" customHeight="1">
      <c r="A161" s="3"/>
      <c r="B161" s="120"/>
      <c r="C161" s="229"/>
      <c r="D161" s="230"/>
      <c r="E161" s="230"/>
      <c r="F161" s="230"/>
      <c r="G161" s="230"/>
      <c r="H161" s="231"/>
      <c r="I161" s="231"/>
      <c r="J161" s="231"/>
      <c r="K161" s="231"/>
      <c r="L161" s="231"/>
      <c r="M161" s="231"/>
      <c r="N161" s="231"/>
      <c r="O161" s="231"/>
      <c r="P161" s="232"/>
      <c r="Q161" s="231"/>
      <c r="R161" s="231"/>
      <c r="S161" s="231"/>
      <c r="T161" s="231"/>
      <c r="U161" s="231"/>
      <c r="V161" s="231"/>
      <c r="W161" s="231"/>
      <c r="X161" s="231"/>
      <c r="Y161" s="231"/>
      <c r="Z161" s="231"/>
      <c r="AA161" s="133"/>
      <c r="AB161" s="61"/>
      <c r="AC161" s="148"/>
      <c r="AD161" s="148"/>
      <c r="AE161" s="148"/>
      <c r="AF161" s="148"/>
      <c r="AG161" s="61"/>
      <c r="AH161" s="61"/>
      <c r="AI161" s="187"/>
      <c r="AJ161" s="118"/>
      <c r="AK161" s="126"/>
      <c r="AL161" s="126"/>
      <c r="AM161" s="126"/>
      <c r="AN161" s="118"/>
      <c r="AO161" s="118"/>
      <c r="AP161" s="118"/>
      <c r="AQ161" s="126"/>
      <c r="AR161" s="126"/>
      <c r="AS161" s="126"/>
      <c r="AT161" s="118"/>
      <c r="AU161" s="118"/>
      <c r="AV161" s="118"/>
      <c r="AW161" s="118"/>
      <c r="AX161" s="118"/>
      <c r="AY161" s="118"/>
      <c r="AZ161" s="118"/>
      <c r="BA161" s="118"/>
      <c r="BB161" s="118"/>
      <c r="BC161" s="118"/>
      <c r="BD161" s="118"/>
      <c r="BE161" s="118"/>
      <c r="BF161" s="118"/>
      <c r="BG161" s="47"/>
      <c r="BH161" s="47"/>
      <c r="BI161" s="47"/>
      <c r="BJ161" s="47"/>
      <c r="BK161" s="47"/>
    </row>
    <row r="162" spans="1:63" ht="28.5" customHeight="1">
      <c r="A162" s="12"/>
      <c r="B162" s="189"/>
      <c r="C162" s="134">
        <v>45937</v>
      </c>
      <c r="D162" s="122" t="s">
        <v>0</v>
      </c>
      <c r="E162" s="122" t="s">
        <v>1</v>
      </c>
      <c r="F162" s="122" t="s">
        <v>2</v>
      </c>
      <c r="G162" s="190" t="s">
        <v>3</v>
      </c>
      <c r="H162" s="191" t="s">
        <v>4</v>
      </c>
      <c r="I162" s="192" t="s">
        <v>5</v>
      </c>
      <c r="J162" s="192" t="s">
        <v>90</v>
      </c>
      <c r="K162" s="193" t="s">
        <v>6</v>
      </c>
      <c r="L162" s="194" t="s">
        <v>7</v>
      </c>
      <c r="M162" s="15" t="s">
        <v>91</v>
      </c>
      <c r="N162" s="123" t="s">
        <v>125</v>
      </c>
      <c r="O162" s="123" t="s">
        <v>8</v>
      </c>
      <c r="P162" s="123" t="s">
        <v>9</v>
      </c>
      <c r="Q162" s="195" t="s">
        <v>10</v>
      </c>
      <c r="R162" s="123" t="s">
        <v>92</v>
      </c>
      <c r="S162" s="196" t="s">
        <v>11</v>
      </c>
      <c r="T162" s="17" t="s">
        <v>12</v>
      </c>
      <c r="U162" s="17" t="s">
        <v>13</v>
      </c>
      <c r="V162" s="17" t="s">
        <v>14</v>
      </c>
      <c r="W162" s="17" t="s">
        <v>15</v>
      </c>
      <c r="X162" s="15" t="s">
        <v>16</v>
      </c>
      <c r="Y162" s="15" t="s">
        <v>17</v>
      </c>
      <c r="Z162" s="19" t="s">
        <v>18</v>
      </c>
      <c r="AA162" s="19" t="s">
        <v>19</v>
      </c>
      <c r="AB162" s="20" t="s">
        <v>20</v>
      </c>
      <c r="AC162" s="22" t="s">
        <v>93</v>
      </c>
      <c r="AD162" s="197" t="s">
        <v>21</v>
      </c>
      <c r="AE162" s="122" t="s">
        <v>22</v>
      </c>
      <c r="AF162" s="21" t="s">
        <v>23</v>
      </c>
      <c r="AG162" s="21" t="s">
        <v>21</v>
      </c>
      <c r="AH162" s="122" t="s">
        <v>24</v>
      </c>
      <c r="AI162" s="15" t="s">
        <v>25</v>
      </c>
      <c r="AJ162" s="15" t="s">
        <v>26</v>
      </c>
      <c r="AK162" s="122" t="s">
        <v>27</v>
      </c>
      <c r="AL162" s="198" t="s">
        <v>28</v>
      </c>
      <c r="AM162" s="199" t="s">
        <v>29</v>
      </c>
      <c r="AN162" s="124" t="s">
        <v>30</v>
      </c>
      <c r="AO162" s="124" t="s">
        <v>94</v>
      </c>
      <c r="AP162" s="125" t="s">
        <v>95</v>
      </c>
      <c r="AQ162" s="126"/>
      <c r="AR162" s="126"/>
      <c r="AS162" s="126"/>
      <c r="AT162" s="118"/>
      <c r="AU162" s="118"/>
      <c r="AV162" s="118"/>
      <c r="AW162" s="118"/>
      <c r="AX162" s="118"/>
      <c r="AY162" s="118"/>
      <c r="AZ162" s="118"/>
      <c r="BA162" s="118"/>
      <c r="BB162" s="118"/>
      <c r="BC162" s="118"/>
      <c r="BD162" s="118"/>
      <c r="BE162" s="118"/>
      <c r="BF162" s="118"/>
      <c r="BG162" s="47"/>
      <c r="BH162" s="47"/>
      <c r="BI162" s="47"/>
      <c r="BJ162" s="47"/>
      <c r="BK162" s="47"/>
    </row>
    <row r="163" spans="1:63" ht="28.5" customHeight="1">
      <c r="A163" s="12" t="s">
        <v>129</v>
      </c>
      <c r="B163" s="200"/>
      <c r="C163" s="42" t="s">
        <v>107</v>
      </c>
      <c r="D163" s="28">
        <f t="shared" ref="D163:D180" si="215">AK163/V163</f>
        <v>0.24056727159435537</v>
      </c>
      <c r="E163" s="201">
        <f t="shared" ref="E163:E180" si="216">AJ163/V163</f>
        <v>0.42270749767651694</v>
      </c>
      <c r="F163" s="30">
        <f t="shared" ref="F163:F180" si="217">(Z163+AB163)/V163</f>
        <v>0.18214022608216157</v>
      </c>
      <c r="G163" s="30">
        <f t="shared" ref="G163:G179" si="218">R163/AP163</f>
        <v>7.4137931034482754E-2</v>
      </c>
      <c r="H163" s="35">
        <v>7410</v>
      </c>
      <c r="I163" s="35">
        <f t="shared" ref="I163:I179" si="219">N163*7</f>
        <v>1400</v>
      </c>
      <c r="J163" s="35">
        <f t="shared" ref="J163:J179" si="220">N163*14</f>
        <v>2800</v>
      </c>
      <c r="K163" s="49">
        <v>76</v>
      </c>
      <c r="L163" s="49">
        <f>1906+1320</f>
        <v>3226</v>
      </c>
      <c r="M163" s="48"/>
      <c r="N163" s="44">
        <v>200</v>
      </c>
      <c r="O163" s="227">
        <v>195</v>
      </c>
      <c r="P163" s="31">
        <f t="shared" ref="P163:P179" si="221">O163-S163</f>
        <v>195</v>
      </c>
      <c r="Q163" s="227">
        <v>13</v>
      </c>
      <c r="R163" s="233">
        <v>129</v>
      </c>
      <c r="S163" s="36"/>
      <c r="T163" s="34">
        <f t="shared" ref="T163:T179" si="222">W163*O163</f>
        <v>5440500</v>
      </c>
      <c r="U163" s="31">
        <f t="shared" ref="U163:U179" si="223">W163*S163</f>
        <v>0</v>
      </c>
      <c r="V163" s="34">
        <f t="shared" ref="V163:V179" si="224">T163-U163</f>
        <v>5440500</v>
      </c>
      <c r="W163" s="34">
        <v>27900</v>
      </c>
      <c r="X163" s="34">
        <f>SUMIF(헤몬팜마진!$B$7:$B$32,$C163,헤몬팜마진!$R$7:$R$32)</f>
        <v>8850.86</v>
      </c>
      <c r="Y163" s="34">
        <f t="shared" ref="Y163:Y179" si="225">AI163*P163</f>
        <v>1802787.0120000001</v>
      </c>
      <c r="Z163" s="34">
        <f t="shared" ref="Z163:Z179" si="226">AA163*1.1</f>
        <v>990933.9</v>
      </c>
      <c r="AA163" s="49">
        <v>900849</v>
      </c>
      <c r="AB163" s="36"/>
      <c r="AC163" s="204">
        <f t="shared" ref="AC163:AC164" si="227">(1072+1100)*Q163</f>
        <v>28236</v>
      </c>
      <c r="AD163" s="152">
        <v>0.1</v>
      </c>
      <c r="AE163" s="31">
        <f>3050*(P163)</f>
        <v>594750</v>
      </c>
      <c r="AF163" s="28">
        <f t="shared" ref="AF163:AF180" si="228">AD163+(AE163/V163)</f>
        <v>0.20931899641577062</v>
      </c>
      <c r="AG163" s="34">
        <f t="shared" ref="AG163:AG179" si="229">IFERROR(V163*AF163+3%,0)</f>
        <v>1138800.03</v>
      </c>
      <c r="AH163" s="34">
        <f t="shared" ref="AH163:AH179" si="230">V163/1.1*10%-((AI163*P163)+AG163+(AN163*P163)+(AL163*P163))*10%</f>
        <v>199172.8168909091</v>
      </c>
      <c r="AI163" s="34">
        <f>SUMIF(헤몬팜마진!$B$7:$B$32,$C163,헤몬팜마진!$V$7:$V$32)</f>
        <v>9245.0616000000009</v>
      </c>
      <c r="AJ163" s="34">
        <f t="shared" ref="AJ163:AJ180" si="231">V163-(Y163+AG163+AH163+(AN163*P163))</f>
        <v>2299740.1411090903</v>
      </c>
      <c r="AK163" s="46">
        <f t="shared" ref="AK163:AK180" si="232">AJ163-Z163-AB163</f>
        <v>1308806.2411090904</v>
      </c>
      <c r="AL163" s="40">
        <f>SUMIF(헤몬팜마진!$B$7:$B$32,$C163,헤몬팜마진!$T$7:$T$32)</f>
        <v>64.584000000000003</v>
      </c>
      <c r="AM163" s="41">
        <f>SUMIF(헤몬팜마진!$B$7:$B$32,$C163,헤몬팜마진!$U$7:$U$32)</f>
        <v>329.61759999999998</v>
      </c>
      <c r="AN163" s="36"/>
      <c r="AO163" s="202">
        <v>331821</v>
      </c>
      <c r="AP163" s="205">
        <v>1740</v>
      </c>
      <c r="AQ163" s="126"/>
      <c r="AR163" s="126"/>
      <c r="AS163" s="126"/>
      <c r="AT163" s="118"/>
      <c r="AU163" s="118"/>
      <c r="AV163" s="118"/>
      <c r="AW163" s="118"/>
      <c r="AX163" s="118"/>
      <c r="AY163" s="118"/>
      <c r="AZ163" s="118"/>
      <c r="BA163" s="118"/>
      <c r="BB163" s="118"/>
      <c r="BC163" s="118"/>
      <c r="BD163" s="118"/>
      <c r="BE163" s="118"/>
      <c r="BF163" s="118"/>
      <c r="BG163" s="47"/>
      <c r="BH163" s="47"/>
      <c r="BI163" s="47"/>
      <c r="BJ163" s="47"/>
      <c r="BK163" s="47"/>
    </row>
    <row r="164" spans="1:63" ht="28.5" customHeight="1">
      <c r="A164" s="228" t="s">
        <v>130</v>
      </c>
      <c r="B164" s="200"/>
      <c r="C164" s="42" t="s">
        <v>108</v>
      </c>
      <c r="D164" s="28">
        <f t="shared" si="215"/>
        <v>0.2926469648912029</v>
      </c>
      <c r="E164" s="201">
        <f t="shared" si="216"/>
        <v>0.40985107649179026</v>
      </c>
      <c r="F164" s="30">
        <f t="shared" si="217"/>
        <v>0.11720411160058737</v>
      </c>
      <c r="G164" s="30">
        <f t="shared" si="218"/>
        <v>5.2631578947368418E-2</v>
      </c>
      <c r="H164" s="35">
        <v>1460</v>
      </c>
      <c r="I164" s="35">
        <f t="shared" si="219"/>
        <v>140</v>
      </c>
      <c r="J164" s="35">
        <f t="shared" si="220"/>
        <v>280</v>
      </c>
      <c r="K164" s="39">
        <v>325</v>
      </c>
      <c r="L164" s="39">
        <v>0</v>
      </c>
      <c r="M164" s="210"/>
      <c r="N164" s="44">
        <v>20</v>
      </c>
      <c r="O164" s="202">
        <v>3</v>
      </c>
      <c r="P164" s="31">
        <f t="shared" si="221"/>
        <v>3</v>
      </c>
      <c r="Q164" s="36"/>
      <c r="R164" s="167">
        <v>1</v>
      </c>
      <c r="S164" s="36"/>
      <c r="T164" s="34">
        <f t="shared" si="222"/>
        <v>68100</v>
      </c>
      <c r="U164" s="31">
        <f t="shared" si="223"/>
        <v>0</v>
      </c>
      <c r="V164" s="34">
        <f t="shared" si="224"/>
        <v>68100</v>
      </c>
      <c r="W164" s="43">
        <v>22700</v>
      </c>
      <c r="X164" s="34">
        <f>SUMIF(헤몬팜마진!$B$7:$B$32,$C164,헤몬팜마진!$R$7:$R$32)</f>
        <v>7080.6879999999992</v>
      </c>
      <c r="Y164" s="34">
        <f t="shared" si="225"/>
        <v>22131.983999999997</v>
      </c>
      <c r="Z164" s="34">
        <f t="shared" si="226"/>
        <v>7981.6</v>
      </c>
      <c r="AA164" s="49">
        <v>7256</v>
      </c>
      <c r="AB164" s="36"/>
      <c r="AC164" s="204">
        <f t="shared" si="227"/>
        <v>0</v>
      </c>
      <c r="AD164" s="152">
        <v>0.1</v>
      </c>
      <c r="AE164" s="31">
        <f>2950*(P164)</f>
        <v>8850</v>
      </c>
      <c r="AF164" s="28">
        <f t="shared" si="228"/>
        <v>0.22995594713656389</v>
      </c>
      <c r="AG164" s="34">
        <f t="shared" si="229"/>
        <v>15660.030000000002</v>
      </c>
      <c r="AH164" s="34">
        <f t="shared" si="230"/>
        <v>2397.1276909090911</v>
      </c>
      <c r="AI164" s="34">
        <f>SUMIF(헤몬팜마진!$B$7:$B$32,$C164,헤몬팜마진!$V$7:$V$32)</f>
        <v>7377.3279999999995</v>
      </c>
      <c r="AJ164" s="34">
        <f t="shared" si="231"/>
        <v>27910.858309090916</v>
      </c>
      <c r="AK164" s="46">
        <f t="shared" si="232"/>
        <v>19929.258309090917</v>
      </c>
      <c r="AL164" s="40">
        <f>SUMIF(헤몬팜마진!$B$7:$B$32,$C164,헤몬팜마진!$T$7:$T$32)</f>
        <v>48.6</v>
      </c>
      <c r="AM164" s="41">
        <f>SUMIF(헤몬팜마진!$B$7:$B$32,$C164,헤몬팜마진!$U$7:$U$32)</f>
        <v>248.04000000000002</v>
      </c>
      <c r="AN164" s="36"/>
      <c r="AO164" s="202">
        <v>49683</v>
      </c>
      <c r="AP164" s="205">
        <v>19</v>
      </c>
      <c r="AQ164" s="126"/>
      <c r="AR164" s="126"/>
      <c r="AS164" s="126"/>
      <c r="AT164" s="118"/>
      <c r="AU164" s="118"/>
      <c r="AV164" s="118"/>
      <c r="AW164" s="118"/>
      <c r="AX164" s="118"/>
      <c r="AY164" s="118"/>
      <c r="AZ164" s="118"/>
      <c r="BA164" s="118"/>
      <c r="BB164" s="118"/>
      <c r="BC164" s="118"/>
      <c r="BD164" s="118"/>
      <c r="BE164" s="118"/>
      <c r="BF164" s="118"/>
      <c r="BG164" s="47"/>
      <c r="BH164" s="47"/>
      <c r="BI164" s="47"/>
      <c r="BJ164" s="47"/>
      <c r="BK164" s="47"/>
    </row>
    <row r="165" spans="1:63" ht="28.5" customHeight="1">
      <c r="A165" s="327" t="s">
        <v>131</v>
      </c>
      <c r="B165" s="323"/>
      <c r="C165" s="42" t="s">
        <v>109</v>
      </c>
      <c r="D165" s="28" t="e">
        <f t="shared" si="215"/>
        <v>#REF!</v>
      </c>
      <c r="E165" s="201" t="e">
        <f t="shared" si="216"/>
        <v>#REF!</v>
      </c>
      <c r="F165" s="30">
        <f t="shared" si="217"/>
        <v>0.15653784570596799</v>
      </c>
      <c r="G165" s="30">
        <f t="shared" si="218"/>
        <v>8.1632653061224483E-2</v>
      </c>
      <c r="H165" s="35">
        <v>0</v>
      </c>
      <c r="I165" s="35">
        <f t="shared" si="219"/>
        <v>105</v>
      </c>
      <c r="J165" s="35">
        <f t="shared" si="220"/>
        <v>210</v>
      </c>
      <c r="K165" s="325">
        <v>430</v>
      </c>
      <c r="L165" s="49">
        <f>40+3+3</f>
        <v>46</v>
      </c>
      <c r="M165" s="48"/>
      <c r="N165" s="44">
        <v>15</v>
      </c>
      <c r="O165" s="202">
        <v>3</v>
      </c>
      <c r="P165" s="31">
        <f t="shared" si="221"/>
        <v>3</v>
      </c>
      <c r="Q165" s="36">
        <v>1</v>
      </c>
      <c r="R165" s="233">
        <v>4</v>
      </c>
      <c r="S165" s="36"/>
      <c r="T165" s="34">
        <f t="shared" si="222"/>
        <v>137400</v>
      </c>
      <c r="U165" s="31">
        <f t="shared" si="223"/>
        <v>0</v>
      </c>
      <c r="V165" s="34">
        <f t="shared" si="224"/>
        <v>137400</v>
      </c>
      <c r="W165" s="43">
        <v>45800</v>
      </c>
      <c r="X165" s="34">
        <f>SUMIF(헤몬팜마진!$B$7:$B$32,$C165,헤몬팜마진!$R$7:$R$32)</f>
        <v>9990.4082249999992</v>
      </c>
      <c r="Y165" s="34" t="e">
        <f t="shared" si="225"/>
        <v>#REF!</v>
      </c>
      <c r="Z165" s="34">
        <f t="shared" si="226"/>
        <v>21508.300000000003</v>
      </c>
      <c r="AA165" s="49">
        <v>19553</v>
      </c>
      <c r="AB165" s="36"/>
      <c r="AC165" s="204">
        <f t="shared" ref="AC165:AC179" si="233">(1210+1100)*Q165</f>
        <v>2310</v>
      </c>
      <c r="AD165" s="152">
        <v>0.11</v>
      </c>
      <c r="AE165" s="31">
        <f t="shared" ref="AE165:AE166" si="234">4150*(P165)</f>
        <v>12450</v>
      </c>
      <c r="AF165" s="28">
        <f t="shared" si="228"/>
        <v>0.2006113537117904</v>
      </c>
      <c r="AG165" s="34">
        <f t="shared" si="229"/>
        <v>27564.03</v>
      </c>
      <c r="AH165" s="34" t="e">
        <f t="shared" si="230"/>
        <v>#REF!</v>
      </c>
      <c r="AI165" s="34" t="e">
        <f>SUMIF(헤몬팜마진!$B$7:$B$32,$C165,헤몬팜마진!$V$7:$V$32)</f>
        <v>#REF!</v>
      </c>
      <c r="AJ165" s="34" t="e">
        <f t="shared" si="231"/>
        <v>#REF!</v>
      </c>
      <c r="AK165" s="46" t="e">
        <f t="shared" si="232"/>
        <v>#REF!</v>
      </c>
      <c r="AL165" s="40">
        <f>SUMIF(헤몬팜마진!$B$7:$B$32,$C165,헤몬팜마진!$T$7:$T$32)</f>
        <v>162</v>
      </c>
      <c r="AM165" s="41">
        <f>SUMIF(헤몬팜마진!$B$7:$B$32,$C165,헤몬팜마진!$U$7:$U$32)</f>
        <v>826.80000000000007</v>
      </c>
      <c r="AN165" s="36"/>
      <c r="AO165" s="202">
        <v>20458</v>
      </c>
      <c r="AP165" s="205">
        <v>49</v>
      </c>
      <c r="AQ165" s="126"/>
      <c r="AR165" s="126"/>
      <c r="AS165" s="126"/>
      <c r="AT165" s="118"/>
      <c r="AU165" s="118"/>
      <c r="AV165" s="118"/>
      <c r="AW165" s="118"/>
      <c r="AX165" s="118"/>
      <c r="AY165" s="118"/>
      <c r="AZ165" s="118"/>
      <c r="BA165" s="118"/>
      <c r="BB165" s="118"/>
      <c r="BC165" s="118"/>
      <c r="BD165" s="118"/>
      <c r="BE165" s="118"/>
      <c r="BF165" s="118"/>
      <c r="BG165" s="47"/>
      <c r="BH165" s="47"/>
      <c r="BI165" s="47"/>
      <c r="BJ165" s="47"/>
      <c r="BK165" s="47"/>
    </row>
    <row r="166" spans="1:63" ht="28.5" customHeight="1">
      <c r="A166" s="318"/>
      <c r="B166" s="324"/>
      <c r="C166" s="42" t="s">
        <v>110</v>
      </c>
      <c r="D166" s="28" t="e">
        <f t="shared" si="215"/>
        <v>#REF!</v>
      </c>
      <c r="E166" s="201" t="e">
        <f t="shared" si="216"/>
        <v>#REF!</v>
      </c>
      <c r="F166" s="30">
        <f t="shared" si="217"/>
        <v>0.40427350427350428</v>
      </c>
      <c r="G166" s="30">
        <f t="shared" si="218"/>
        <v>6.993006993006993E-3</v>
      </c>
      <c r="H166" s="35">
        <v>0</v>
      </c>
      <c r="I166" s="35">
        <f t="shared" si="219"/>
        <v>105</v>
      </c>
      <c r="J166" s="35">
        <f t="shared" si="220"/>
        <v>210</v>
      </c>
      <c r="K166" s="310"/>
      <c r="L166" s="49">
        <f>13+2</f>
        <v>15</v>
      </c>
      <c r="M166" s="48"/>
      <c r="N166" s="44">
        <v>15</v>
      </c>
      <c r="O166" s="202">
        <v>1</v>
      </c>
      <c r="P166" s="31">
        <f t="shared" si="221"/>
        <v>1</v>
      </c>
      <c r="Q166" s="202"/>
      <c r="R166" s="203">
        <v>1</v>
      </c>
      <c r="S166" s="36"/>
      <c r="T166" s="34">
        <f t="shared" si="222"/>
        <v>46800</v>
      </c>
      <c r="U166" s="31">
        <f t="shared" si="223"/>
        <v>0</v>
      </c>
      <c r="V166" s="34">
        <f t="shared" si="224"/>
        <v>46800</v>
      </c>
      <c r="W166" s="43">
        <v>46800</v>
      </c>
      <c r="X166" s="34">
        <f>SUMIF(헤몬팜마진!$B$7:$B$32,$C166,헤몬팜마진!$R$7:$R$32)</f>
        <v>9990.4082249999992</v>
      </c>
      <c r="Y166" s="34" t="e">
        <f t="shared" si="225"/>
        <v>#REF!</v>
      </c>
      <c r="Z166" s="34">
        <f t="shared" si="226"/>
        <v>18920</v>
      </c>
      <c r="AA166" s="49">
        <v>17200</v>
      </c>
      <c r="AB166" s="36"/>
      <c r="AC166" s="204">
        <f t="shared" si="233"/>
        <v>0</v>
      </c>
      <c r="AD166" s="152">
        <v>0.11</v>
      </c>
      <c r="AE166" s="31">
        <f t="shared" si="234"/>
        <v>4150</v>
      </c>
      <c r="AF166" s="28">
        <f t="shared" si="228"/>
        <v>0.19867521367521368</v>
      </c>
      <c r="AG166" s="34">
        <f t="shared" si="229"/>
        <v>9298.0300000000007</v>
      </c>
      <c r="AH166" s="34" t="e">
        <f t="shared" si="230"/>
        <v>#REF!</v>
      </c>
      <c r="AI166" s="34" t="e">
        <f>SUMIF(헤몬팜마진!$B$7:$B$32,$C166,헤몬팜마진!$V$7:$V$32)</f>
        <v>#REF!</v>
      </c>
      <c r="AJ166" s="34" t="e">
        <f t="shared" si="231"/>
        <v>#REF!</v>
      </c>
      <c r="AK166" s="206" t="e">
        <f t="shared" si="232"/>
        <v>#REF!</v>
      </c>
      <c r="AL166" s="40">
        <f>SUMIF(헤몬팜마진!$B$7:$B$32,$C166,헤몬팜마진!$T$7:$T$32)</f>
        <v>162</v>
      </c>
      <c r="AM166" s="41">
        <f>SUMIF(헤몬팜마진!$B$7:$B$32,$C166,헤몬팜마진!$U$7:$U$32)</f>
        <v>826.80000000000007</v>
      </c>
      <c r="AN166" s="36"/>
      <c r="AO166" s="202">
        <v>45995</v>
      </c>
      <c r="AP166" s="205">
        <v>143</v>
      </c>
      <c r="AQ166" s="126"/>
      <c r="AR166" s="126"/>
      <c r="AS166" s="126"/>
      <c r="AT166" s="118"/>
      <c r="AU166" s="118"/>
      <c r="AV166" s="118"/>
      <c r="AW166" s="118"/>
      <c r="AX166" s="118"/>
      <c r="AY166" s="118"/>
      <c r="AZ166" s="118"/>
      <c r="BA166" s="118"/>
      <c r="BB166" s="118"/>
      <c r="BC166" s="118"/>
      <c r="BD166" s="118"/>
      <c r="BE166" s="118"/>
      <c r="BF166" s="118"/>
      <c r="BG166" s="47"/>
      <c r="BH166" s="47"/>
      <c r="BI166" s="47"/>
      <c r="BJ166" s="47"/>
      <c r="BK166" s="47"/>
    </row>
    <row r="167" spans="1:63" ht="28.5" customHeight="1">
      <c r="A167" s="12" t="s">
        <v>132</v>
      </c>
      <c r="B167" s="323"/>
      <c r="C167" s="42" t="s">
        <v>32</v>
      </c>
      <c r="D167" s="28" t="e">
        <f t="shared" si="215"/>
        <v>#REF!</v>
      </c>
      <c r="E167" s="201" t="e">
        <f t="shared" si="216"/>
        <v>#REF!</v>
      </c>
      <c r="F167" s="30" t="e">
        <f t="shared" si="217"/>
        <v>#DIV/0!</v>
      </c>
      <c r="G167" s="30">
        <f t="shared" si="218"/>
        <v>0</v>
      </c>
      <c r="H167" s="37">
        <v>3504</v>
      </c>
      <c r="I167" s="35">
        <f t="shared" si="219"/>
        <v>210</v>
      </c>
      <c r="J167" s="35">
        <f t="shared" si="220"/>
        <v>420</v>
      </c>
      <c r="K167" s="325">
        <v>626</v>
      </c>
      <c r="L167" s="39">
        <f>30+13+6</f>
        <v>49</v>
      </c>
      <c r="M167" s="210"/>
      <c r="N167" s="208">
        <v>30</v>
      </c>
      <c r="O167" s="202"/>
      <c r="P167" s="31">
        <f t="shared" si="221"/>
        <v>0</v>
      </c>
      <c r="Q167" s="36"/>
      <c r="R167" s="203"/>
      <c r="S167" s="36"/>
      <c r="T167" s="34">
        <f t="shared" si="222"/>
        <v>0</v>
      </c>
      <c r="U167" s="31">
        <f t="shared" si="223"/>
        <v>0</v>
      </c>
      <c r="V167" s="34">
        <f t="shared" si="224"/>
        <v>0</v>
      </c>
      <c r="W167" s="43">
        <v>59800</v>
      </c>
      <c r="X167" s="34">
        <f>SUMIF(헤몬팜마진!$B$7:$B$32,$C167,헤몬팜마진!$R$7:$R$32)</f>
        <v>13276.289999999999</v>
      </c>
      <c r="Y167" s="34" t="e">
        <f t="shared" si="225"/>
        <v>#REF!</v>
      </c>
      <c r="Z167" s="34">
        <f t="shared" si="226"/>
        <v>23537.800000000003</v>
      </c>
      <c r="AA167" s="49">
        <v>21398</v>
      </c>
      <c r="AB167" s="209"/>
      <c r="AC167" s="204">
        <f t="shared" si="233"/>
        <v>0</v>
      </c>
      <c r="AD167" s="152">
        <v>0.108</v>
      </c>
      <c r="AE167" s="31">
        <f t="shared" ref="AE167:AE168" si="235">4825*(P167)</f>
        <v>0</v>
      </c>
      <c r="AF167" s="28" t="e">
        <f t="shared" si="228"/>
        <v>#DIV/0!</v>
      </c>
      <c r="AG167" s="34">
        <f t="shared" si="229"/>
        <v>0</v>
      </c>
      <c r="AH167" s="34" t="e">
        <f t="shared" si="230"/>
        <v>#REF!</v>
      </c>
      <c r="AI167" s="34" t="e">
        <f>SUMIF(헤몬팜마진!$B$7:$B$32,$C167,헤몬팜마진!$V$7:$V$32)</f>
        <v>#REF!</v>
      </c>
      <c r="AJ167" s="34" t="e">
        <f t="shared" si="231"/>
        <v>#REF!</v>
      </c>
      <c r="AK167" s="46" t="e">
        <f t="shared" si="232"/>
        <v>#REF!</v>
      </c>
      <c r="AL167" s="40">
        <f>SUMIF(헤몬팜마진!$B$7:$B$32,$C167,헤몬팜마진!$T$7:$T$32)</f>
        <v>371.52</v>
      </c>
      <c r="AM167" s="41">
        <f>SUMIF(헤몬팜마진!$B$7:$B$32,$C167,헤몬팜마진!$U$7:$U$32)</f>
        <v>1896.1279999999999</v>
      </c>
      <c r="AN167" s="36"/>
      <c r="AO167" s="202">
        <v>15592</v>
      </c>
      <c r="AP167" s="205">
        <v>29</v>
      </c>
      <c r="AQ167" s="126"/>
      <c r="AR167" s="126"/>
      <c r="AS167" s="126"/>
      <c r="AT167" s="118"/>
      <c r="AU167" s="118"/>
      <c r="AV167" s="118"/>
      <c r="AW167" s="118"/>
      <c r="AX167" s="118"/>
      <c r="AY167" s="118"/>
      <c r="AZ167" s="118"/>
      <c r="BA167" s="118"/>
      <c r="BB167" s="118"/>
      <c r="BC167" s="118"/>
      <c r="BD167" s="118"/>
      <c r="BE167" s="118"/>
      <c r="BF167" s="118"/>
      <c r="BG167" s="47"/>
      <c r="BH167" s="47"/>
      <c r="BI167" s="47"/>
      <c r="BJ167" s="47"/>
      <c r="BK167" s="47"/>
    </row>
    <row r="168" spans="1:63" ht="28.5" customHeight="1">
      <c r="A168" s="12" t="s">
        <v>132</v>
      </c>
      <c r="B168" s="324"/>
      <c r="C168" s="42" t="s">
        <v>33</v>
      </c>
      <c r="D168" s="28" t="e">
        <f t="shared" si="215"/>
        <v>#REF!</v>
      </c>
      <c r="E168" s="201" t="e">
        <f t="shared" si="216"/>
        <v>#REF!</v>
      </c>
      <c r="F168" s="30">
        <f t="shared" si="217"/>
        <v>0.1919482659787905</v>
      </c>
      <c r="G168" s="30">
        <f t="shared" si="218"/>
        <v>1.2195121951219513E-2</v>
      </c>
      <c r="H168" s="35">
        <v>0</v>
      </c>
      <c r="I168" s="35">
        <f t="shared" si="219"/>
        <v>210</v>
      </c>
      <c r="J168" s="35">
        <f t="shared" si="220"/>
        <v>420</v>
      </c>
      <c r="K168" s="310"/>
      <c r="L168" s="39">
        <f>4+11+18+38+129</f>
        <v>200</v>
      </c>
      <c r="M168" s="210"/>
      <c r="N168" s="44">
        <v>30</v>
      </c>
      <c r="O168" s="202">
        <v>4</v>
      </c>
      <c r="P168" s="31">
        <f t="shared" si="221"/>
        <v>4</v>
      </c>
      <c r="Q168" s="36"/>
      <c r="R168" s="203">
        <v>1</v>
      </c>
      <c r="S168" s="36"/>
      <c r="T168" s="34">
        <f t="shared" si="222"/>
        <v>279120</v>
      </c>
      <c r="U168" s="31">
        <f t="shared" si="223"/>
        <v>0</v>
      </c>
      <c r="V168" s="34">
        <f t="shared" si="224"/>
        <v>279120</v>
      </c>
      <c r="W168" s="43">
        <v>69780</v>
      </c>
      <c r="X168" s="34">
        <f>SUMIF(헤몬팜마진!$B$7:$B$32,$C168,헤몬팜마진!$R$7:$R$32)</f>
        <v>13276.289999999999</v>
      </c>
      <c r="Y168" s="34" t="e">
        <f t="shared" si="225"/>
        <v>#REF!</v>
      </c>
      <c r="Z168" s="34">
        <f t="shared" si="226"/>
        <v>53576.600000000006</v>
      </c>
      <c r="AA168" s="49">
        <v>48706</v>
      </c>
      <c r="AB168" s="36"/>
      <c r="AC168" s="204">
        <f t="shared" si="233"/>
        <v>0</v>
      </c>
      <c r="AD168" s="152">
        <v>0.108</v>
      </c>
      <c r="AE168" s="31">
        <f t="shared" si="235"/>
        <v>19300</v>
      </c>
      <c r="AF168" s="28">
        <f t="shared" si="228"/>
        <v>0.17714588707366008</v>
      </c>
      <c r="AG168" s="34">
        <f t="shared" si="229"/>
        <v>49444.99</v>
      </c>
      <c r="AH168" s="34" t="e">
        <f t="shared" si="230"/>
        <v>#REF!</v>
      </c>
      <c r="AI168" s="34" t="e">
        <f>SUMIF(헤몬팜마진!$B$7:$B$32,$C168,헤몬팜마진!$V$7:$V$32)</f>
        <v>#REF!</v>
      </c>
      <c r="AJ168" s="34" t="e">
        <f t="shared" si="231"/>
        <v>#REF!</v>
      </c>
      <c r="AK168" s="46" t="e">
        <f t="shared" si="232"/>
        <v>#REF!</v>
      </c>
      <c r="AL168" s="40">
        <f>SUMIF(헤몬팜마진!$B$7:$B$32,$C168,헤몬팜마진!$T$7:$T$32)</f>
        <v>371.52</v>
      </c>
      <c r="AM168" s="41">
        <f>SUMIF(헤몬팜마진!$B$7:$B$32,$C168,헤몬팜마진!$U$7:$U$32)</f>
        <v>1896.1279999999999</v>
      </c>
      <c r="AN168" s="36"/>
      <c r="AO168" s="202">
        <v>30884</v>
      </c>
      <c r="AP168" s="205">
        <v>82</v>
      </c>
      <c r="AQ168" s="126"/>
      <c r="AR168" s="126"/>
      <c r="AS168" s="126"/>
      <c r="AT168" s="118"/>
      <c r="AU168" s="118"/>
      <c r="AV168" s="118"/>
      <c r="AW168" s="118"/>
      <c r="AX168" s="118"/>
      <c r="AY168" s="118"/>
      <c r="AZ168" s="118"/>
      <c r="BA168" s="118"/>
      <c r="BB168" s="118"/>
      <c r="BC168" s="118"/>
      <c r="BD168" s="118"/>
      <c r="BE168" s="118"/>
      <c r="BF168" s="118"/>
      <c r="BG168" s="47"/>
      <c r="BH168" s="47"/>
      <c r="BI168" s="47"/>
      <c r="BJ168" s="47"/>
      <c r="BK168" s="47"/>
    </row>
    <row r="169" spans="1:63" ht="28.5" customHeight="1">
      <c r="A169" s="228" t="s">
        <v>133</v>
      </c>
      <c r="B169" s="200"/>
      <c r="C169" s="42" t="s">
        <v>111</v>
      </c>
      <c r="D169" s="28">
        <f t="shared" si="215"/>
        <v>-1.0069669569140536</v>
      </c>
      <c r="E169" s="201">
        <f t="shared" si="216"/>
        <v>0.39080832224227396</v>
      </c>
      <c r="F169" s="30">
        <f t="shared" si="217"/>
        <v>1.3977752791563276</v>
      </c>
      <c r="G169" s="30">
        <f t="shared" si="218"/>
        <v>2.6315789473684209E-2</v>
      </c>
      <c r="H169" s="35">
        <v>500</v>
      </c>
      <c r="I169" s="35">
        <f t="shared" si="219"/>
        <v>105</v>
      </c>
      <c r="J169" s="35">
        <f t="shared" si="220"/>
        <v>210</v>
      </c>
      <c r="K169" s="39">
        <v>577</v>
      </c>
      <c r="L169" s="39">
        <v>211</v>
      </c>
      <c r="M169" s="210"/>
      <c r="N169" s="44">
        <v>15</v>
      </c>
      <c r="O169" s="202">
        <v>9</v>
      </c>
      <c r="P169" s="31">
        <f t="shared" si="221"/>
        <v>4</v>
      </c>
      <c r="Q169" s="202">
        <v>1</v>
      </c>
      <c r="R169" s="203">
        <v>3</v>
      </c>
      <c r="S169" s="202">
        <v>5</v>
      </c>
      <c r="T169" s="34">
        <f t="shared" si="222"/>
        <v>145080</v>
      </c>
      <c r="U169" s="31">
        <f t="shared" si="223"/>
        <v>80600</v>
      </c>
      <c r="V169" s="34">
        <f t="shared" si="224"/>
        <v>64480</v>
      </c>
      <c r="W169" s="43">
        <v>16120</v>
      </c>
      <c r="X169" s="34">
        <f>SUMIF(헤몬팜마진!$B$7:$B$32,$C169,헤몬팜마진!$R$7:$R$32)</f>
        <v>5089.2444999999998</v>
      </c>
      <c r="Y169" s="34">
        <f t="shared" si="225"/>
        <v>20505.297999999999</v>
      </c>
      <c r="Z169" s="34">
        <f t="shared" si="226"/>
        <v>40791.300000000003</v>
      </c>
      <c r="AA169" s="49">
        <v>37083</v>
      </c>
      <c r="AB169" s="211">
        <f>((17890*0.015)+(17890*0.19)+2100+2200+1900)*5</f>
        <v>49337.25</v>
      </c>
      <c r="AC169" s="204">
        <f t="shared" si="233"/>
        <v>2310</v>
      </c>
      <c r="AD169" s="152">
        <v>7.8E-2</v>
      </c>
      <c r="AE169" s="31">
        <f>2900*(P169)</f>
        <v>11600</v>
      </c>
      <c r="AF169" s="28">
        <f t="shared" si="228"/>
        <v>0.25790074441687344</v>
      </c>
      <c r="AG169" s="34">
        <f t="shared" si="229"/>
        <v>16629.469999999998</v>
      </c>
      <c r="AH169" s="34">
        <f t="shared" si="230"/>
        <v>2145.9113818181818</v>
      </c>
      <c r="AI169" s="34">
        <f>SUMIF(헤몬팜마진!$B$7:$B$32,$C169,헤몬팜마진!$V$7:$V$32)</f>
        <v>5126.3244999999997</v>
      </c>
      <c r="AJ169" s="34">
        <f t="shared" si="231"/>
        <v>25199.320618181824</v>
      </c>
      <c r="AK169" s="206">
        <f t="shared" si="232"/>
        <v>-64929.229381818179</v>
      </c>
      <c r="AL169" s="40">
        <f>SUMIF(헤몬팜마진!$B$7:$B$32,$C169,헤몬팜마진!$T$7:$T$32)</f>
        <v>6.0750000000000002</v>
      </c>
      <c r="AM169" s="41">
        <f>SUMIF(헤몬팜마진!$B$7:$B$32,$C169,헤몬팜마진!$U$7:$U$32)</f>
        <v>31.005000000000003</v>
      </c>
      <c r="AN169" s="36"/>
      <c r="AO169" s="202">
        <v>51536</v>
      </c>
      <c r="AP169" s="205">
        <v>114</v>
      </c>
      <c r="AQ169" s="126"/>
      <c r="AR169" s="126"/>
      <c r="AS169" s="126"/>
      <c r="AT169" s="118"/>
      <c r="AU169" s="118"/>
      <c r="AV169" s="118"/>
      <c r="AW169" s="118"/>
      <c r="AX169" s="118"/>
      <c r="AY169" s="118"/>
      <c r="AZ169" s="118"/>
      <c r="BA169" s="118"/>
      <c r="BB169" s="118"/>
      <c r="BC169" s="118"/>
      <c r="BD169" s="118"/>
      <c r="BE169" s="118"/>
      <c r="BF169" s="118"/>
      <c r="BG169" s="47"/>
      <c r="BH169" s="47"/>
      <c r="BI169" s="47"/>
      <c r="BJ169" s="47"/>
      <c r="BK169" s="47"/>
    </row>
    <row r="170" spans="1:63" ht="28.5" customHeight="1">
      <c r="A170" s="327" t="s">
        <v>134</v>
      </c>
      <c r="B170" s="323"/>
      <c r="C170" s="42" t="s">
        <v>112</v>
      </c>
      <c r="D170" s="29" t="e">
        <f t="shared" si="215"/>
        <v>#REF!</v>
      </c>
      <c r="E170" s="201" t="e">
        <f t="shared" si="216"/>
        <v>#REF!</v>
      </c>
      <c r="F170" s="30">
        <f t="shared" si="217"/>
        <v>0.60945527638190955</v>
      </c>
      <c r="G170" s="30">
        <f t="shared" si="218"/>
        <v>2.0833333333333332E-2</v>
      </c>
      <c r="H170" s="312">
        <v>0</v>
      </c>
      <c r="I170" s="35">
        <f t="shared" si="219"/>
        <v>140</v>
      </c>
      <c r="J170" s="35">
        <f t="shared" si="220"/>
        <v>280</v>
      </c>
      <c r="K170" s="325">
        <v>343</v>
      </c>
      <c r="L170" s="39">
        <f>97+42+48+31+19+10</f>
        <v>247</v>
      </c>
      <c r="M170" s="210"/>
      <c r="N170" s="44">
        <v>20</v>
      </c>
      <c r="O170" s="202">
        <v>5</v>
      </c>
      <c r="P170" s="31">
        <f t="shared" si="221"/>
        <v>5</v>
      </c>
      <c r="Q170" s="202">
        <v>2</v>
      </c>
      <c r="R170" s="233">
        <v>5</v>
      </c>
      <c r="S170" s="36"/>
      <c r="T170" s="34">
        <f t="shared" si="222"/>
        <v>199000</v>
      </c>
      <c r="U170" s="31">
        <f t="shared" si="223"/>
        <v>0</v>
      </c>
      <c r="V170" s="34">
        <f t="shared" si="224"/>
        <v>199000</v>
      </c>
      <c r="W170" s="43">
        <v>39800</v>
      </c>
      <c r="X170" s="34">
        <f>SUMIF(헤몬팜마진!$B$7:$B$32,$C170,헤몬팜마진!$R$7:$R$32)</f>
        <v>7855.1382499999991</v>
      </c>
      <c r="Y170" s="34" t="e">
        <f t="shared" si="225"/>
        <v>#REF!</v>
      </c>
      <c r="Z170" s="34">
        <f t="shared" si="226"/>
        <v>121281.60000000001</v>
      </c>
      <c r="AA170" s="49">
        <v>110256</v>
      </c>
      <c r="AB170" s="209"/>
      <c r="AC170" s="204">
        <f t="shared" si="233"/>
        <v>4620</v>
      </c>
      <c r="AD170" s="152">
        <v>0.08</v>
      </c>
      <c r="AE170" s="31">
        <f>4150*(P170)</f>
        <v>20750</v>
      </c>
      <c r="AF170" s="28">
        <f t="shared" si="228"/>
        <v>0.18427135678391959</v>
      </c>
      <c r="AG170" s="34">
        <f t="shared" si="229"/>
        <v>36670.03</v>
      </c>
      <c r="AH170" s="34" t="e">
        <f t="shared" si="230"/>
        <v>#REF!</v>
      </c>
      <c r="AI170" s="34" t="e">
        <f>SUMIF(헤몬팜마진!$B$7:$B$32,$C170,헤몬팜마진!$V$7:$V$32)</f>
        <v>#REF!</v>
      </c>
      <c r="AJ170" s="34" t="e">
        <f t="shared" si="231"/>
        <v>#REF!</v>
      </c>
      <c r="AK170" s="46" t="e">
        <f t="shared" si="232"/>
        <v>#REF!</v>
      </c>
      <c r="AL170" s="40">
        <f>SUMIF(헤몬팜마진!$B$7:$B$32,$C170,헤몬팜마진!$T$7:$T$32)</f>
        <v>176.41799999999998</v>
      </c>
      <c r="AM170" s="41">
        <f>SUMIF(헤몬팜마진!$B$7:$B$32,$C170,헤몬팜마진!$U$7:$U$32)</f>
        <v>900.38519999999994</v>
      </c>
      <c r="AN170" s="36"/>
      <c r="AO170" s="202">
        <v>136516</v>
      </c>
      <c r="AP170" s="205">
        <v>240</v>
      </c>
      <c r="AQ170" s="126"/>
      <c r="AR170" s="126"/>
      <c r="AS170" s="126"/>
      <c r="AT170" s="118"/>
      <c r="AU170" s="118"/>
      <c r="AV170" s="118"/>
      <c r="AW170" s="118"/>
      <c r="AX170" s="118"/>
      <c r="AY170" s="118"/>
      <c r="AZ170" s="118"/>
      <c r="BA170" s="118"/>
      <c r="BB170" s="118"/>
      <c r="BC170" s="118"/>
      <c r="BD170" s="118"/>
      <c r="BE170" s="118"/>
      <c r="BF170" s="118"/>
      <c r="BG170" s="47"/>
      <c r="BH170" s="47"/>
      <c r="BI170" s="47"/>
      <c r="BJ170" s="47"/>
      <c r="BK170" s="47"/>
    </row>
    <row r="171" spans="1:63" ht="28.5" customHeight="1">
      <c r="A171" s="318"/>
      <c r="B171" s="324"/>
      <c r="C171" s="42" t="s">
        <v>113</v>
      </c>
      <c r="D171" s="28" t="e">
        <f t="shared" si="215"/>
        <v>#REF!</v>
      </c>
      <c r="E171" s="201" t="e">
        <f t="shared" si="216"/>
        <v>#REF!</v>
      </c>
      <c r="F171" s="30">
        <f t="shared" si="217"/>
        <v>0.14065811965811967</v>
      </c>
      <c r="G171" s="30">
        <f t="shared" si="218"/>
        <v>0</v>
      </c>
      <c r="H171" s="310"/>
      <c r="I171" s="35">
        <f t="shared" si="219"/>
        <v>105</v>
      </c>
      <c r="J171" s="35">
        <f t="shared" si="220"/>
        <v>210</v>
      </c>
      <c r="K171" s="310"/>
      <c r="L171" s="39">
        <f>74+42+48+18+8+2</f>
        <v>192</v>
      </c>
      <c r="M171" s="210"/>
      <c r="N171" s="44">
        <v>15</v>
      </c>
      <c r="O171" s="36">
        <v>3</v>
      </c>
      <c r="P171" s="31">
        <f t="shared" si="221"/>
        <v>3</v>
      </c>
      <c r="Q171" s="36"/>
      <c r="R171" s="167"/>
      <c r="S171" s="36"/>
      <c r="T171" s="34">
        <f t="shared" si="222"/>
        <v>128700</v>
      </c>
      <c r="U171" s="31">
        <f t="shared" si="223"/>
        <v>0</v>
      </c>
      <c r="V171" s="34">
        <f t="shared" si="224"/>
        <v>128700</v>
      </c>
      <c r="W171" s="43">
        <v>42900</v>
      </c>
      <c r="X171" s="34">
        <f>SUMIF(헤몬팜마진!$B$7:$B$32,$C171,헤몬팜마진!$R$7:$R$32)</f>
        <v>7855.1382499999991</v>
      </c>
      <c r="Y171" s="34" t="e">
        <f t="shared" si="225"/>
        <v>#REF!</v>
      </c>
      <c r="Z171" s="34">
        <f t="shared" si="226"/>
        <v>18102.7</v>
      </c>
      <c r="AA171" s="49">
        <v>16457</v>
      </c>
      <c r="AB171" s="36"/>
      <c r="AC171" s="204">
        <f t="shared" si="233"/>
        <v>0</v>
      </c>
      <c r="AD171" s="152">
        <v>7.8E-2</v>
      </c>
      <c r="AE171" s="31">
        <f>1900*(P171)</f>
        <v>5700</v>
      </c>
      <c r="AF171" s="28">
        <f t="shared" si="228"/>
        <v>0.12228904428904429</v>
      </c>
      <c r="AG171" s="34">
        <f t="shared" si="229"/>
        <v>15738.630000000001</v>
      </c>
      <c r="AH171" s="34" t="e">
        <f t="shared" si="230"/>
        <v>#REF!</v>
      </c>
      <c r="AI171" s="34" t="e">
        <f>SUMIF(헤몬팜마진!$B$7:$B$32,$C171,헤몬팜마진!$V$7:$V$32)</f>
        <v>#REF!</v>
      </c>
      <c r="AJ171" s="34" t="e">
        <f t="shared" si="231"/>
        <v>#REF!</v>
      </c>
      <c r="AK171" s="206" t="e">
        <f t="shared" si="232"/>
        <v>#REF!</v>
      </c>
      <c r="AL171" s="40">
        <f>SUMIF(헤몬팜마진!$B$7:$B$32,$C171,헤몬팜마진!$T$7:$T$32)</f>
        <v>176.41799999999998</v>
      </c>
      <c r="AM171" s="41">
        <f>SUMIF(헤몬팜마진!$B$7:$B$32,$C171,헤몬팜마진!$U$7:$U$32)</f>
        <v>900.38519999999994</v>
      </c>
      <c r="AN171" s="36"/>
      <c r="AO171" s="202">
        <v>13669</v>
      </c>
      <c r="AP171" s="205">
        <v>50</v>
      </c>
      <c r="AQ171" s="126"/>
      <c r="AR171" s="126"/>
      <c r="AS171" s="126"/>
      <c r="AT171" s="118"/>
      <c r="AU171" s="118"/>
      <c r="AV171" s="118"/>
      <c r="AW171" s="118"/>
      <c r="AX171" s="118"/>
      <c r="AY171" s="118"/>
      <c r="AZ171" s="118"/>
      <c r="BA171" s="118"/>
      <c r="BB171" s="118"/>
      <c r="BC171" s="118"/>
      <c r="BD171" s="118"/>
      <c r="BE171" s="118"/>
      <c r="BF171" s="118"/>
      <c r="BG171" s="47"/>
      <c r="BH171" s="47"/>
      <c r="BI171" s="47"/>
      <c r="BJ171" s="47"/>
      <c r="BK171" s="47"/>
    </row>
    <row r="172" spans="1:63" ht="28.5" customHeight="1">
      <c r="A172" s="228" t="s">
        <v>135</v>
      </c>
      <c r="B172" s="200"/>
      <c r="C172" s="42" t="s">
        <v>114</v>
      </c>
      <c r="D172" s="28">
        <f t="shared" si="215"/>
        <v>0.30847995105519493</v>
      </c>
      <c r="E172" s="201">
        <f t="shared" si="216"/>
        <v>0.36298887962662352</v>
      </c>
      <c r="F172" s="30">
        <f t="shared" si="217"/>
        <v>5.4508928571428569E-2</v>
      </c>
      <c r="G172" s="30">
        <f t="shared" si="218"/>
        <v>5.128205128205128E-2</v>
      </c>
      <c r="H172" s="35">
        <v>1750</v>
      </c>
      <c r="I172" s="35">
        <f t="shared" si="219"/>
        <v>350</v>
      </c>
      <c r="J172" s="35">
        <f t="shared" si="220"/>
        <v>700</v>
      </c>
      <c r="K172" s="39">
        <v>1449</v>
      </c>
      <c r="L172" s="39">
        <v>1217</v>
      </c>
      <c r="M172" s="210"/>
      <c r="N172" s="44">
        <v>50</v>
      </c>
      <c r="O172" s="202">
        <v>21</v>
      </c>
      <c r="P172" s="31">
        <f t="shared" si="221"/>
        <v>21</v>
      </c>
      <c r="Q172" s="36">
        <v>2</v>
      </c>
      <c r="R172" s="203">
        <v>4</v>
      </c>
      <c r="S172" s="36"/>
      <c r="T172" s="34">
        <f t="shared" si="222"/>
        <v>403200</v>
      </c>
      <c r="U172" s="31">
        <f t="shared" si="223"/>
        <v>0</v>
      </c>
      <c r="V172" s="34">
        <f t="shared" si="224"/>
        <v>403200</v>
      </c>
      <c r="W172" s="43">
        <v>19200</v>
      </c>
      <c r="X172" s="34">
        <f>SUMIF(헤몬팜마진!$B$7:$B$32,$C172,헤몬팜마진!$R$7:$R$32)</f>
        <v>6372.6191999999992</v>
      </c>
      <c r="Y172" s="34">
        <f t="shared" si="225"/>
        <v>142200.13919999998</v>
      </c>
      <c r="Z172" s="34">
        <f t="shared" si="226"/>
        <v>21978</v>
      </c>
      <c r="AA172" s="49">
        <v>19980</v>
      </c>
      <c r="AB172" s="36"/>
      <c r="AC172" s="204">
        <f t="shared" si="233"/>
        <v>4620</v>
      </c>
      <c r="AD172" s="152">
        <v>0.08</v>
      </c>
      <c r="AE172" s="31">
        <f>3350*(P172)</f>
        <v>70350</v>
      </c>
      <c r="AF172" s="28">
        <f t="shared" si="228"/>
        <v>0.25447916666666665</v>
      </c>
      <c r="AG172" s="34">
        <f t="shared" si="229"/>
        <v>102606.02999999998</v>
      </c>
      <c r="AH172" s="34">
        <f t="shared" si="230"/>
        <v>12036.714534545459</v>
      </c>
      <c r="AI172" s="34">
        <f>SUMIF(헤몬팜마진!$B$7:$B$32,$C172,헤몬팜마진!$V$7:$V$32)</f>
        <v>6771.435199999999</v>
      </c>
      <c r="AJ172" s="34">
        <f t="shared" si="231"/>
        <v>146357.11626545459</v>
      </c>
      <c r="AK172" s="46">
        <f t="shared" si="232"/>
        <v>124379.11626545459</v>
      </c>
      <c r="AL172" s="40">
        <f>SUMIF(헤몬팜마진!$B$7:$B$32,$C172,헤몬팜마진!$T$7:$T$32)</f>
        <v>65.34</v>
      </c>
      <c r="AM172" s="41">
        <f>SUMIF(헤몬팜마진!$B$7:$B$32,$C172,헤몬팜마진!$U$7:$U$32)</f>
        <v>333.476</v>
      </c>
      <c r="AN172" s="36"/>
      <c r="AO172" s="202">
        <v>25255</v>
      </c>
      <c r="AP172" s="205">
        <v>78</v>
      </c>
      <c r="AQ172" s="126"/>
      <c r="AR172" s="126"/>
      <c r="AS172" s="126"/>
      <c r="AT172" s="118"/>
      <c r="AU172" s="118"/>
      <c r="AV172" s="118"/>
      <c r="AW172" s="118"/>
      <c r="AX172" s="118"/>
      <c r="AY172" s="118"/>
      <c r="AZ172" s="118"/>
      <c r="BA172" s="118"/>
      <c r="BB172" s="118"/>
      <c r="BC172" s="118"/>
      <c r="BD172" s="118"/>
      <c r="BE172" s="118"/>
      <c r="BF172" s="118"/>
      <c r="BG172" s="47"/>
      <c r="BH172" s="47"/>
      <c r="BI172" s="47"/>
      <c r="BJ172" s="47"/>
      <c r="BK172" s="47"/>
    </row>
    <row r="173" spans="1:63" ht="28.5" customHeight="1">
      <c r="A173" s="327" t="s">
        <v>136</v>
      </c>
      <c r="B173" s="326"/>
      <c r="C173" s="42" t="s">
        <v>115</v>
      </c>
      <c r="D173" s="28" t="e">
        <f t="shared" si="215"/>
        <v>#REF!</v>
      </c>
      <c r="E173" s="201" t="e">
        <f t="shared" si="216"/>
        <v>#REF!</v>
      </c>
      <c r="F173" s="30">
        <f t="shared" si="217"/>
        <v>0.41806021897810225</v>
      </c>
      <c r="G173" s="30">
        <f t="shared" si="218"/>
        <v>1.3333333333333334E-2</v>
      </c>
      <c r="H173" s="35">
        <v>0</v>
      </c>
      <c r="I173" s="35">
        <f t="shared" si="219"/>
        <v>70</v>
      </c>
      <c r="J173" s="35">
        <f t="shared" si="220"/>
        <v>140</v>
      </c>
      <c r="K173" s="328">
        <v>494</v>
      </c>
      <c r="L173" s="39">
        <v>0</v>
      </c>
      <c r="M173" s="210"/>
      <c r="N173" s="44">
        <v>10</v>
      </c>
      <c r="O173" s="36">
        <v>3</v>
      </c>
      <c r="P173" s="31">
        <f t="shared" si="221"/>
        <v>3</v>
      </c>
      <c r="Q173" s="36"/>
      <c r="R173" s="167">
        <v>1</v>
      </c>
      <c r="S173" s="36"/>
      <c r="T173" s="34">
        <f t="shared" si="222"/>
        <v>164400</v>
      </c>
      <c r="U173" s="31">
        <f t="shared" si="223"/>
        <v>0</v>
      </c>
      <c r="V173" s="34">
        <f t="shared" si="224"/>
        <v>164400</v>
      </c>
      <c r="W173" s="43">
        <v>54800</v>
      </c>
      <c r="X173" s="34">
        <f>SUMIF(헤몬팜마진!$B$7:$B$32,$C173,헤몬팜마진!$R$7:$R$32)</f>
        <v>12169.932499999999</v>
      </c>
      <c r="Y173" s="34" t="e">
        <f t="shared" si="225"/>
        <v>#REF!</v>
      </c>
      <c r="Z173" s="34">
        <f t="shared" si="226"/>
        <v>68729.100000000006</v>
      </c>
      <c r="AA173" s="49">
        <v>62481</v>
      </c>
      <c r="AB173" s="36"/>
      <c r="AC173" s="204">
        <f t="shared" si="233"/>
        <v>0</v>
      </c>
      <c r="AD173" s="152">
        <v>7.8E-2</v>
      </c>
      <c r="AE173" s="31">
        <f t="shared" ref="AE173:AE174" si="236">4825*(P173)</f>
        <v>14475</v>
      </c>
      <c r="AF173" s="28">
        <f t="shared" si="228"/>
        <v>0.16604744525547444</v>
      </c>
      <c r="AG173" s="34">
        <f t="shared" si="229"/>
        <v>27298.229999999996</v>
      </c>
      <c r="AH173" s="34" t="e">
        <f t="shared" si="230"/>
        <v>#REF!</v>
      </c>
      <c r="AI173" s="34" t="e">
        <f>SUMIF(헤몬팜마진!$B$7:$B$32,$C173,헤몬팜마진!$V$7:$V$32)</f>
        <v>#REF!</v>
      </c>
      <c r="AJ173" s="34" t="e">
        <f t="shared" si="231"/>
        <v>#REF!</v>
      </c>
      <c r="AK173" s="206" t="e">
        <f t="shared" si="232"/>
        <v>#REF!</v>
      </c>
      <c r="AL173" s="40">
        <f>SUMIF(헤몬팜마진!$B$7:$B$32,$C173,헤몬팜마진!$T$7:$T$32)</f>
        <v>181.44000000000003</v>
      </c>
      <c r="AM173" s="41">
        <f>SUMIF(헤몬팜마진!$B$7:$B$32,$C173,헤몬팜마진!$U$7:$U$32)</f>
        <v>926.01600000000019</v>
      </c>
      <c r="AN173" s="36"/>
      <c r="AO173" s="202">
        <v>23477</v>
      </c>
      <c r="AP173" s="205">
        <v>75</v>
      </c>
      <c r="AQ173" s="126"/>
      <c r="AR173" s="126"/>
      <c r="AS173" s="126"/>
      <c r="AT173" s="118"/>
      <c r="AU173" s="118"/>
      <c r="AV173" s="118"/>
      <c r="AW173" s="118"/>
      <c r="AX173" s="118"/>
      <c r="AY173" s="118"/>
      <c r="AZ173" s="118"/>
      <c r="BA173" s="118"/>
      <c r="BB173" s="118"/>
      <c r="BC173" s="118"/>
      <c r="BD173" s="118"/>
      <c r="BE173" s="118"/>
      <c r="BF173" s="118"/>
      <c r="BG173" s="47"/>
      <c r="BH173" s="47"/>
      <c r="BI173" s="47"/>
      <c r="BJ173" s="47"/>
      <c r="BK173" s="47"/>
    </row>
    <row r="174" spans="1:63" ht="28.5" customHeight="1">
      <c r="A174" s="318"/>
      <c r="B174" s="324"/>
      <c r="C174" s="42" t="s">
        <v>116</v>
      </c>
      <c r="D174" s="28" t="e">
        <f t="shared" si="215"/>
        <v>#REF!</v>
      </c>
      <c r="E174" s="201" t="e">
        <f t="shared" si="216"/>
        <v>#REF!</v>
      </c>
      <c r="F174" s="30">
        <f t="shared" si="217"/>
        <v>0.34320929476763085</v>
      </c>
      <c r="G174" s="30">
        <f t="shared" si="218"/>
        <v>5.5865921787709499E-3</v>
      </c>
      <c r="H174" s="35">
        <v>0</v>
      </c>
      <c r="I174" s="35">
        <f t="shared" si="219"/>
        <v>70</v>
      </c>
      <c r="J174" s="35">
        <f t="shared" si="220"/>
        <v>140</v>
      </c>
      <c r="K174" s="310"/>
      <c r="L174" s="39">
        <v>1</v>
      </c>
      <c r="M174" s="210"/>
      <c r="N174" s="44">
        <v>10</v>
      </c>
      <c r="O174" s="202">
        <v>4</v>
      </c>
      <c r="P174" s="31">
        <f t="shared" si="221"/>
        <v>4</v>
      </c>
      <c r="Q174" s="202">
        <v>1</v>
      </c>
      <c r="R174" s="203">
        <v>1</v>
      </c>
      <c r="S174" s="36"/>
      <c r="T174" s="34">
        <f t="shared" si="222"/>
        <v>246160</v>
      </c>
      <c r="U174" s="31">
        <f t="shared" si="223"/>
        <v>0</v>
      </c>
      <c r="V174" s="34">
        <f t="shared" si="224"/>
        <v>246160</v>
      </c>
      <c r="W174" s="43">
        <v>61540</v>
      </c>
      <c r="X174" s="34">
        <f>SUMIF(헤몬팜마진!$B$7:$B$32,$C174,헤몬팜마진!$R$7:$R$32)</f>
        <v>12169.932499999999</v>
      </c>
      <c r="Y174" s="34" t="e">
        <f t="shared" si="225"/>
        <v>#REF!</v>
      </c>
      <c r="Z174" s="34">
        <f t="shared" si="226"/>
        <v>84484.400000000009</v>
      </c>
      <c r="AA174" s="49">
        <v>76804</v>
      </c>
      <c r="AB174" s="36"/>
      <c r="AC174" s="204">
        <f t="shared" si="233"/>
        <v>2310</v>
      </c>
      <c r="AD174" s="152">
        <v>7.8E-2</v>
      </c>
      <c r="AE174" s="31">
        <f t="shared" si="236"/>
        <v>19300</v>
      </c>
      <c r="AF174" s="28">
        <f t="shared" si="228"/>
        <v>0.15640428989275268</v>
      </c>
      <c r="AG174" s="34">
        <f t="shared" si="229"/>
        <v>38500.509999999995</v>
      </c>
      <c r="AH174" s="34" t="e">
        <f t="shared" si="230"/>
        <v>#REF!</v>
      </c>
      <c r="AI174" s="34" t="e">
        <f>SUMIF(헤몬팜마진!$B$7:$B$32,$C174,헤몬팜마진!$V$7:$V$32)</f>
        <v>#REF!</v>
      </c>
      <c r="AJ174" s="34" t="e">
        <f t="shared" si="231"/>
        <v>#REF!</v>
      </c>
      <c r="AK174" s="46" t="e">
        <f t="shared" si="232"/>
        <v>#REF!</v>
      </c>
      <c r="AL174" s="40">
        <f>SUMIF(헤몬팜마진!$B$7:$B$32,$C174,헤몬팜마진!$T$7:$T$32)</f>
        <v>181.44000000000003</v>
      </c>
      <c r="AM174" s="41">
        <f>SUMIF(헤몬팜마진!$B$7:$B$32,$C174,헤몬팜마진!$U$7:$U$32)</f>
        <v>926.01600000000019</v>
      </c>
      <c r="AN174" s="36"/>
      <c r="AO174" s="202">
        <v>64333</v>
      </c>
      <c r="AP174" s="205">
        <v>179</v>
      </c>
      <c r="AQ174" s="126"/>
      <c r="AR174" s="126"/>
      <c r="AS174" s="126"/>
      <c r="AT174" s="118"/>
      <c r="AU174" s="118"/>
      <c r="AV174" s="118"/>
      <c r="AW174" s="118"/>
      <c r="AX174" s="118"/>
      <c r="AY174" s="118"/>
      <c r="AZ174" s="118"/>
      <c r="BA174" s="118"/>
      <c r="BB174" s="118"/>
      <c r="BC174" s="118"/>
      <c r="BD174" s="118"/>
      <c r="BE174" s="118"/>
      <c r="BF174" s="118"/>
      <c r="BG174" s="47"/>
      <c r="BH174" s="47"/>
      <c r="BI174" s="47"/>
      <c r="BJ174" s="47"/>
      <c r="BK174" s="47"/>
    </row>
    <row r="175" spans="1:63" ht="28.5" customHeight="1">
      <c r="A175" s="228" t="s">
        <v>137</v>
      </c>
      <c r="B175" s="200"/>
      <c r="C175" s="42" t="s">
        <v>117</v>
      </c>
      <c r="D175" s="28">
        <f t="shared" si="215"/>
        <v>0.219838992048867</v>
      </c>
      <c r="E175" s="201">
        <f t="shared" si="216"/>
        <v>0.49826616922604422</v>
      </c>
      <c r="F175" s="30">
        <f t="shared" si="217"/>
        <v>0.27842717717717719</v>
      </c>
      <c r="G175" s="30">
        <f t="shared" si="218"/>
        <v>0</v>
      </c>
      <c r="H175" s="35">
        <v>2000</v>
      </c>
      <c r="I175" s="35">
        <f t="shared" si="219"/>
        <v>700</v>
      </c>
      <c r="J175" s="35">
        <f t="shared" si="220"/>
        <v>1400</v>
      </c>
      <c r="K175" s="39">
        <v>2373</v>
      </c>
      <c r="L175" s="39">
        <v>3</v>
      </c>
      <c r="M175" s="210"/>
      <c r="N175" s="44">
        <v>100</v>
      </c>
      <c r="O175" s="202">
        <v>9</v>
      </c>
      <c r="P175" s="31">
        <f t="shared" si="221"/>
        <v>9</v>
      </c>
      <c r="Q175" s="202">
        <v>2</v>
      </c>
      <c r="R175" s="203"/>
      <c r="S175" s="36"/>
      <c r="T175" s="34">
        <f t="shared" si="222"/>
        <v>159840</v>
      </c>
      <c r="U175" s="31">
        <f t="shared" si="223"/>
        <v>0</v>
      </c>
      <c r="V175" s="34">
        <f t="shared" si="224"/>
        <v>159840</v>
      </c>
      <c r="W175" s="43">
        <v>17760</v>
      </c>
      <c r="X175" s="34">
        <f>SUMIF(헤몬팜마진!$B$7:$B$32,$C175,헤몬팜마진!$R$7:$R$32)</f>
        <v>3982.8869999999997</v>
      </c>
      <c r="Y175" s="34">
        <f t="shared" si="225"/>
        <v>43534.891799999998</v>
      </c>
      <c r="Z175" s="34">
        <f t="shared" si="226"/>
        <v>44503.8</v>
      </c>
      <c r="AA175" s="49">
        <f>26767+13691</f>
        <v>40458</v>
      </c>
      <c r="AB175" s="36"/>
      <c r="AC175" s="204">
        <f t="shared" si="233"/>
        <v>4620</v>
      </c>
      <c r="AD175" s="152">
        <v>7.8E-2</v>
      </c>
      <c r="AE175" s="31">
        <f t="shared" ref="AE175:AE176" si="237">1900*(P175)</f>
        <v>17100</v>
      </c>
      <c r="AF175" s="28">
        <f t="shared" si="228"/>
        <v>0.18498198198198199</v>
      </c>
      <c r="AG175" s="34">
        <f t="shared" si="229"/>
        <v>29567.55</v>
      </c>
      <c r="AH175" s="34">
        <f t="shared" si="230"/>
        <v>7094.6937109090914</v>
      </c>
      <c r="AI175" s="34">
        <f>SUMIF(헤몬팜마진!$B$7:$B$32,$C175,헤몬팜마진!$V$7:$V$32)</f>
        <v>4837.2101999999995</v>
      </c>
      <c r="AJ175" s="34">
        <f t="shared" si="231"/>
        <v>79642.864489090905</v>
      </c>
      <c r="AK175" s="46">
        <f t="shared" si="232"/>
        <v>35139.064489090902</v>
      </c>
      <c r="AL175" s="40">
        <f>SUMIF(헤몬팜마진!$B$7:$B$32,$C175,헤몬팜마진!$T$7:$T$32)</f>
        <v>139.96800000000002</v>
      </c>
      <c r="AM175" s="41">
        <f>SUMIF(헤몬팜마진!$B$7:$B$32,$C175,헤몬팜마진!$U$7:$U$32)</f>
        <v>714.35519999999997</v>
      </c>
      <c r="AN175" s="36"/>
      <c r="AO175" s="202">
        <v>75390</v>
      </c>
      <c r="AP175" s="205">
        <v>273</v>
      </c>
      <c r="AQ175" s="126"/>
      <c r="AR175" s="126"/>
      <c r="AS175" s="126"/>
      <c r="AT175" s="118"/>
      <c r="AU175" s="118"/>
      <c r="AV175" s="118"/>
      <c r="AW175" s="118"/>
      <c r="AX175" s="118"/>
      <c r="AY175" s="118"/>
      <c r="AZ175" s="118"/>
      <c r="BA175" s="118"/>
      <c r="BB175" s="118"/>
      <c r="BC175" s="118"/>
      <c r="BD175" s="118"/>
      <c r="BE175" s="118"/>
      <c r="BF175" s="118"/>
      <c r="BG175" s="47"/>
      <c r="BH175" s="47"/>
      <c r="BI175" s="47"/>
      <c r="BJ175" s="47"/>
      <c r="BK175" s="47"/>
    </row>
    <row r="176" spans="1:63" ht="28.5" customHeight="1">
      <c r="A176" s="228" t="s">
        <v>138</v>
      </c>
      <c r="B176" s="200"/>
      <c r="C176" s="42" t="s">
        <v>118</v>
      </c>
      <c r="D176" s="28">
        <f t="shared" si="215"/>
        <v>6.1820269978005882E-2</v>
      </c>
      <c r="E176" s="201">
        <f t="shared" si="216"/>
        <v>0.43889184255865105</v>
      </c>
      <c r="F176" s="30">
        <f t="shared" si="217"/>
        <v>0.37707157258064516</v>
      </c>
      <c r="G176" s="30">
        <f t="shared" si="218"/>
        <v>3.3898305084745763E-2</v>
      </c>
      <c r="H176" s="35">
        <v>0</v>
      </c>
      <c r="I176" s="35">
        <f t="shared" si="219"/>
        <v>350</v>
      </c>
      <c r="J176" s="35">
        <f t="shared" si="220"/>
        <v>700</v>
      </c>
      <c r="K176" s="39">
        <v>87</v>
      </c>
      <c r="L176" s="39">
        <v>0</v>
      </c>
      <c r="M176" s="210"/>
      <c r="N176" s="44">
        <v>50</v>
      </c>
      <c r="O176" s="202">
        <v>4</v>
      </c>
      <c r="P176" s="31">
        <f t="shared" si="221"/>
        <v>4</v>
      </c>
      <c r="Q176" s="36"/>
      <c r="R176" s="203">
        <v>4</v>
      </c>
      <c r="S176" s="36"/>
      <c r="T176" s="34">
        <f t="shared" si="222"/>
        <v>99200</v>
      </c>
      <c r="U176" s="31">
        <f t="shared" si="223"/>
        <v>0</v>
      </c>
      <c r="V176" s="34">
        <f t="shared" si="224"/>
        <v>99200</v>
      </c>
      <c r="W176" s="43">
        <v>24800</v>
      </c>
      <c r="X176" s="34">
        <f>SUMIF(헤몬팜마진!$B$7:$B$32,$C176,헤몬팜마진!$R$7:$R$32)</f>
        <v>8408.3169999999991</v>
      </c>
      <c r="Y176" s="34">
        <f t="shared" si="225"/>
        <v>34318.835999999996</v>
      </c>
      <c r="Z176" s="34">
        <f t="shared" si="226"/>
        <v>37405.5</v>
      </c>
      <c r="AA176" s="49">
        <v>34005</v>
      </c>
      <c r="AB176" s="209"/>
      <c r="AC176" s="204">
        <f t="shared" si="233"/>
        <v>0</v>
      </c>
      <c r="AD176" s="152">
        <v>0.1</v>
      </c>
      <c r="AE176" s="31">
        <f t="shared" si="237"/>
        <v>7600</v>
      </c>
      <c r="AF176" s="28">
        <f t="shared" si="228"/>
        <v>0.17661290322580647</v>
      </c>
      <c r="AG176" s="34">
        <f t="shared" si="229"/>
        <v>17520.030000000002</v>
      </c>
      <c r="AH176" s="34">
        <f t="shared" si="230"/>
        <v>3823.0632181818182</v>
      </c>
      <c r="AI176" s="34">
        <f>SUMIF(헤몬팜마진!$B$7:$B$32,$C176,헤몬팜마진!$V$7:$V$32)</f>
        <v>8579.7089999999989</v>
      </c>
      <c r="AJ176" s="34">
        <f t="shared" si="231"/>
        <v>43538.070781818184</v>
      </c>
      <c r="AK176" s="206">
        <f t="shared" si="232"/>
        <v>6132.5707818181836</v>
      </c>
      <c r="AL176" s="40">
        <f>SUMIF(헤몬팜마진!$B$7:$B$32,$C176,헤몬팜마진!$T$7:$T$32)</f>
        <v>28.079999999999995</v>
      </c>
      <c r="AM176" s="41">
        <f>SUMIF(헤몬팜마진!$B$7:$B$32,$C176,헤몬팜마진!$U$7:$U$32)</f>
        <v>143.31199999999998</v>
      </c>
      <c r="AN176" s="36"/>
      <c r="AO176" s="202">
        <v>63862</v>
      </c>
      <c r="AP176" s="205">
        <v>118</v>
      </c>
      <c r="AQ176" s="126"/>
      <c r="AR176" s="126"/>
      <c r="AS176" s="126"/>
      <c r="AT176" s="118"/>
      <c r="AU176" s="118"/>
      <c r="AV176" s="118"/>
      <c r="AW176" s="118"/>
      <c r="AX176" s="118"/>
      <c r="AY176" s="118"/>
      <c r="AZ176" s="118"/>
      <c r="BA176" s="118"/>
      <c r="BB176" s="118"/>
      <c r="BC176" s="118"/>
      <c r="BD176" s="118"/>
      <c r="BE176" s="118"/>
      <c r="BF176" s="118"/>
      <c r="BG176" s="47"/>
      <c r="BH176" s="47"/>
      <c r="BI176" s="47"/>
      <c r="BJ176" s="47"/>
      <c r="BK176" s="47"/>
    </row>
    <row r="177" spans="1:63" ht="28.5" customHeight="1">
      <c r="A177" s="12"/>
      <c r="B177" s="214" t="s">
        <v>126</v>
      </c>
      <c r="C177" s="42" t="s">
        <v>31</v>
      </c>
      <c r="D177" s="28">
        <f t="shared" si="215"/>
        <v>7.3817334590486935E-2</v>
      </c>
      <c r="E177" s="201">
        <f t="shared" si="216"/>
        <v>0.40281958620883768</v>
      </c>
      <c r="F177" s="30">
        <f t="shared" si="217"/>
        <v>0.32900225161835073</v>
      </c>
      <c r="G177" s="30">
        <f t="shared" si="218"/>
        <v>4.2194092827004218E-2</v>
      </c>
      <c r="H177" s="35">
        <v>700</v>
      </c>
      <c r="I177" s="35">
        <f t="shared" si="219"/>
        <v>210</v>
      </c>
      <c r="J177" s="35">
        <f t="shared" si="220"/>
        <v>420</v>
      </c>
      <c r="K177" s="39">
        <v>954</v>
      </c>
      <c r="L177" s="39">
        <v>2</v>
      </c>
      <c r="M177" s="210"/>
      <c r="N177" s="44">
        <v>30</v>
      </c>
      <c r="O177" s="36">
        <v>17</v>
      </c>
      <c r="P177" s="31">
        <f t="shared" si="221"/>
        <v>17</v>
      </c>
      <c r="Q177" s="36">
        <v>2</v>
      </c>
      <c r="R177" s="167">
        <v>10</v>
      </c>
      <c r="S177" s="36"/>
      <c r="T177" s="34">
        <f t="shared" si="222"/>
        <v>355300</v>
      </c>
      <c r="U177" s="31">
        <f t="shared" si="223"/>
        <v>0</v>
      </c>
      <c r="V177" s="34">
        <f t="shared" si="224"/>
        <v>355300</v>
      </c>
      <c r="W177" s="43">
        <v>20900</v>
      </c>
      <c r="X177" s="34">
        <f>SUMIF(헤몬팜마진!$B$7:$B$32,$C177,헤몬팜마진!$R$7:$R$32)</f>
        <v>6638.1449999999995</v>
      </c>
      <c r="Y177" s="34">
        <f t="shared" si="225"/>
        <v>113655.32579999998</v>
      </c>
      <c r="Z177" s="34">
        <f t="shared" si="226"/>
        <v>95925.500000000015</v>
      </c>
      <c r="AA177" s="48">
        <v>87205</v>
      </c>
      <c r="AB177" s="211">
        <f>((20900*0.015)+(20900*0.19)+2100+2200+1900)*2</f>
        <v>20969</v>
      </c>
      <c r="AC177" s="204">
        <f t="shared" si="233"/>
        <v>4620</v>
      </c>
      <c r="AD177" s="152">
        <v>0.08</v>
      </c>
      <c r="AE177" s="31">
        <f>3400*(P177)</f>
        <v>57800</v>
      </c>
      <c r="AF177" s="28">
        <f t="shared" si="228"/>
        <v>0.24267942583732055</v>
      </c>
      <c r="AG177" s="34">
        <f t="shared" si="229"/>
        <v>86224.029999999984</v>
      </c>
      <c r="AH177" s="34">
        <f t="shared" si="230"/>
        <v>12298.845220000003</v>
      </c>
      <c r="AI177" s="34">
        <f>SUMIF(헤몬팜마진!$B$7:$B$32,$C177,헤몬팜마진!$V$7:$V$32)</f>
        <v>6685.607399999999</v>
      </c>
      <c r="AJ177" s="34">
        <f t="shared" si="231"/>
        <v>143121.79898000002</v>
      </c>
      <c r="AK177" s="206">
        <f t="shared" si="232"/>
        <v>26227.298980000007</v>
      </c>
      <c r="AL177" s="40">
        <f>SUMIF(헤몬팜마진!$B$7:$B$32,$C177,헤몬팜마진!$T$7:$T$32)</f>
        <v>7.7759999999999998</v>
      </c>
      <c r="AM177" s="41">
        <f>SUMIF(헤몬팜마진!$B$7:$B$32,$C177,헤몬팜마진!$U$7:$U$32)</f>
        <v>39.686400000000006</v>
      </c>
      <c r="AN177" s="36"/>
      <c r="AO177" s="202">
        <v>191783</v>
      </c>
      <c r="AP177" s="205">
        <v>237</v>
      </c>
      <c r="AQ177" s="126"/>
      <c r="AR177" s="126"/>
      <c r="AS177" s="126"/>
      <c r="AT177" s="118"/>
      <c r="AU177" s="118"/>
      <c r="AV177" s="118"/>
      <c r="AW177" s="118"/>
      <c r="AX177" s="118"/>
      <c r="AY177" s="118"/>
      <c r="AZ177" s="118"/>
      <c r="BA177" s="118"/>
      <c r="BB177" s="118"/>
      <c r="BC177" s="118"/>
      <c r="BD177" s="118"/>
      <c r="BE177" s="118"/>
      <c r="BF177" s="118"/>
      <c r="BG177" s="47"/>
      <c r="BH177" s="47"/>
      <c r="BI177" s="47"/>
      <c r="BJ177" s="47"/>
      <c r="BK177" s="47"/>
    </row>
    <row r="178" spans="1:63" ht="28.5" customHeight="1">
      <c r="A178" s="327" t="s">
        <v>139</v>
      </c>
      <c r="B178" s="127" t="s">
        <v>127</v>
      </c>
      <c r="C178" s="42" t="s">
        <v>119</v>
      </c>
      <c r="D178" s="28">
        <f t="shared" si="215"/>
        <v>0.26355681190210939</v>
      </c>
      <c r="E178" s="201">
        <f t="shared" si="216"/>
        <v>0.43444843950500822</v>
      </c>
      <c r="F178" s="30">
        <f t="shared" si="217"/>
        <v>0.17089162760289886</v>
      </c>
      <c r="G178" s="30">
        <f t="shared" si="218"/>
        <v>9.9173553719008267E-2</v>
      </c>
      <c r="H178" s="35">
        <v>2000</v>
      </c>
      <c r="I178" s="35">
        <f t="shared" si="219"/>
        <v>280</v>
      </c>
      <c r="J178" s="35">
        <f t="shared" si="220"/>
        <v>560</v>
      </c>
      <c r="K178" s="328">
        <v>1048</v>
      </c>
      <c r="L178" s="39">
        <f>311+240+1</f>
        <v>552</v>
      </c>
      <c r="M178" s="210"/>
      <c r="N178" s="44">
        <v>40</v>
      </c>
      <c r="O178" s="202">
        <v>29</v>
      </c>
      <c r="P178" s="31">
        <f t="shared" si="221"/>
        <v>29</v>
      </c>
      <c r="Q178" s="202">
        <v>2</v>
      </c>
      <c r="R178" s="203">
        <v>12</v>
      </c>
      <c r="S178" s="36"/>
      <c r="T178" s="34">
        <f t="shared" si="222"/>
        <v>718910</v>
      </c>
      <c r="U178" s="31">
        <f t="shared" si="223"/>
        <v>0</v>
      </c>
      <c r="V178" s="34">
        <f t="shared" si="224"/>
        <v>718910</v>
      </c>
      <c r="W178" s="43">
        <v>24790</v>
      </c>
      <c r="X178" s="34">
        <f>SUMIF(헤몬팜마진!$B$7:$B$32,$C178,헤몬팜마진!$R$7:$R$32)</f>
        <v>6859.4164999999994</v>
      </c>
      <c r="Y178" s="34">
        <f t="shared" si="225"/>
        <v>210354.92489999995</v>
      </c>
      <c r="Z178" s="34">
        <f t="shared" si="226"/>
        <v>122855.70000000001</v>
      </c>
      <c r="AA178" s="49">
        <v>111687</v>
      </c>
      <c r="AB178" s="209"/>
      <c r="AC178" s="204">
        <f t="shared" si="233"/>
        <v>4620</v>
      </c>
      <c r="AD178" s="152">
        <v>0.108</v>
      </c>
      <c r="AE178" s="31">
        <f>3150*(P178)</f>
        <v>91350</v>
      </c>
      <c r="AF178" s="28">
        <f t="shared" si="228"/>
        <v>0.23506736587333604</v>
      </c>
      <c r="AG178" s="34">
        <f t="shared" si="229"/>
        <v>168992.31000000003</v>
      </c>
      <c r="AH178" s="34">
        <f t="shared" si="230"/>
        <v>27233.437455454543</v>
      </c>
      <c r="AI178" s="34">
        <f>SUMIF(헤몬팜마진!$B$7:$B$32,$C178,헤몬팜마진!$V$7:$V$32)</f>
        <v>7253.6180999999988</v>
      </c>
      <c r="AJ178" s="34">
        <f t="shared" si="231"/>
        <v>312329.32764454547</v>
      </c>
      <c r="AK178" s="206">
        <f t="shared" si="232"/>
        <v>189473.62764454546</v>
      </c>
      <c r="AL178" s="40">
        <f>SUMIF(헤몬팜마진!$B$7:$B$32,$C178,헤몬팜마진!$T$7:$T$32)</f>
        <v>64.584000000000003</v>
      </c>
      <c r="AM178" s="41">
        <f>SUMIF(헤몬팜마진!$B$7:$B$32,$C178,헤몬팜마진!$U$7:$U$32)</f>
        <v>329.61759999999998</v>
      </c>
      <c r="AN178" s="36"/>
      <c r="AO178" s="202">
        <v>22799</v>
      </c>
      <c r="AP178" s="205">
        <v>121</v>
      </c>
      <c r="AQ178" s="126"/>
      <c r="AR178" s="126"/>
      <c r="AS178" s="126"/>
      <c r="AT178" s="118"/>
      <c r="AU178" s="118"/>
      <c r="AV178" s="118"/>
      <c r="AW178" s="118"/>
      <c r="AX178" s="118"/>
      <c r="AY178" s="118"/>
      <c r="AZ178" s="118"/>
      <c r="BA178" s="118"/>
      <c r="BB178" s="118"/>
      <c r="BC178" s="118"/>
      <c r="BD178" s="118"/>
      <c r="BE178" s="118"/>
      <c r="BF178" s="118"/>
      <c r="BG178" s="47"/>
      <c r="BH178" s="47"/>
      <c r="BI178" s="47"/>
      <c r="BJ178" s="47"/>
      <c r="BK178" s="47"/>
    </row>
    <row r="179" spans="1:63" ht="28.5" customHeight="1">
      <c r="A179" s="318"/>
      <c r="B179" s="214" t="s">
        <v>128</v>
      </c>
      <c r="C179" s="42" t="s">
        <v>120</v>
      </c>
      <c r="D179" s="28" t="e">
        <f t="shared" si="215"/>
        <v>#DIV/0!</v>
      </c>
      <c r="E179" s="201" t="e">
        <f t="shared" si="216"/>
        <v>#DIV/0!</v>
      </c>
      <c r="F179" s="30" t="e">
        <f t="shared" si="217"/>
        <v>#DIV/0!</v>
      </c>
      <c r="G179" s="30">
        <f t="shared" si="218"/>
        <v>0</v>
      </c>
      <c r="H179" s="35">
        <v>0</v>
      </c>
      <c r="I179" s="35">
        <f t="shared" si="219"/>
        <v>105</v>
      </c>
      <c r="J179" s="35">
        <f t="shared" si="220"/>
        <v>210</v>
      </c>
      <c r="K179" s="310"/>
      <c r="L179" s="39">
        <f>22+3</f>
        <v>25</v>
      </c>
      <c r="M179" s="210"/>
      <c r="N179" s="44">
        <v>15</v>
      </c>
      <c r="O179" s="36"/>
      <c r="P179" s="31">
        <f t="shared" si="221"/>
        <v>0</v>
      </c>
      <c r="Q179" s="36"/>
      <c r="R179" s="167"/>
      <c r="S179" s="36"/>
      <c r="T179" s="34">
        <f t="shared" si="222"/>
        <v>0</v>
      </c>
      <c r="U179" s="31">
        <f t="shared" si="223"/>
        <v>0</v>
      </c>
      <c r="V179" s="34">
        <f t="shared" si="224"/>
        <v>0</v>
      </c>
      <c r="W179" s="43">
        <v>39800</v>
      </c>
      <c r="X179" s="34">
        <f>SUMIF(헤몬팜마진!$B$7:$B$32,$C179,헤몬팜마진!$R$7:$R$32)</f>
        <v>13718.832999999999</v>
      </c>
      <c r="Y179" s="34">
        <f t="shared" si="225"/>
        <v>0</v>
      </c>
      <c r="Z179" s="34">
        <f t="shared" si="226"/>
        <v>40454.700000000004</v>
      </c>
      <c r="AA179" s="49">
        <v>36777</v>
      </c>
      <c r="AB179" s="209"/>
      <c r="AC179" s="204">
        <f t="shared" si="233"/>
        <v>0</v>
      </c>
      <c r="AD179" s="152">
        <v>0.108</v>
      </c>
      <c r="AE179" s="31">
        <f>3550*(P179)</f>
        <v>0</v>
      </c>
      <c r="AF179" s="28" t="e">
        <f t="shared" si="228"/>
        <v>#DIV/0!</v>
      </c>
      <c r="AG179" s="34">
        <f t="shared" si="229"/>
        <v>0</v>
      </c>
      <c r="AH179" s="34">
        <f t="shared" si="230"/>
        <v>0</v>
      </c>
      <c r="AI179" s="34">
        <f>SUMIF(헤몬팜마진!$B$7:$B$32,$C179,헤몬팜마진!$V$7:$V$32)</f>
        <v>14113.034599999999</v>
      </c>
      <c r="AJ179" s="34">
        <f t="shared" si="231"/>
        <v>0</v>
      </c>
      <c r="AK179" s="206">
        <f t="shared" si="232"/>
        <v>-40454.700000000004</v>
      </c>
      <c r="AL179" s="40">
        <f>SUMIF(헤몬팜마진!$B$7:$B$32,$C179,헤몬팜마진!$T$7:$T$32)</f>
        <v>64.584000000000003</v>
      </c>
      <c r="AM179" s="41">
        <f>SUMIF(헤몬팜마진!$B$7:$B$32,$C179,헤몬팜마진!$U$7:$U$32)</f>
        <v>329.61759999999998</v>
      </c>
      <c r="AN179" s="36"/>
      <c r="AO179" s="202">
        <v>39398</v>
      </c>
      <c r="AP179" s="205">
        <v>76</v>
      </c>
      <c r="AQ179" s="126"/>
      <c r="AR179" s="126"/>
      <c r="AS179" s="126"/>
      <c r="AT179" s="118"/>
      <c r="AU179" s="118"/>
      <c r="AV179" s="118"/>
      <c r="AW179" s="118"/>
      <c r="AX179" s="118"/>
      <c r="AY179" s="118"/>
      <c r="AZ179" s="118"/>
      <c r="BA179" s="118"/>
      <c r="BB179" s="118"/>
      <c r="BC179" s="118"/>
      <c r="BD179" s="118"/>
      <c r="BE179" s="118"/>
      <c r="BF179" s="118"/>
      <c r="BG179" s="47"/>
      <c r="BH179" s="47"/>
      <c r="BI179" s="47"/>
      <c r="BJ179" s="47"/>
      <c r="BK179" s="47"/>
    </row>
    <row r="180" spans="1:63" ht="28.5" customHeight="1">
      <c r="A180" s="12"/>
      <c r="B180" s="216"/>
      <c r="C180" s="217"/>
      <c r="D180" s="51" t="e">
        <f t="shared" si="215"/>
        <v>#REF!</v>
      </c>
      <c r="E180" s="218" t="e">
        <f t="shared" si="216"/>
        <v>#REF!</v>
      </c>
      <c r="F180" s="53">
        <f t="shared" si="217"/>
        <v>0.22127275408260499</v>
      </c>
      <c r="G180" s="219"/>
      <c r="H180" s="55"/>
      <c r="I180" s="55"/>
      <c r="J180" s="55"/>
      <c r="K180" s="55"/>
      <c r="L180" s="55"/>
      <c r="M180" s="55"/>
      <c r="N180" s="55"/>
      <c r="O180" s="130">
        <f t="shared" ref="O180:V180" si="238">SUM(O163:O179)</f>
        <v>310</v>
      </c>
      <c r="P180" s="220">
        <f t="shared" si="238"/>
        <v>305</v>
      </c>
      <c r="Q180" s="130">
        <f t="shared" si="238"/>
        <v>26</v>
      </c>
      <c r="R180" s="130">
        <f t="shared" si="238"/>
        <v>176</v>
      </c>
      <c r="S180" s="130">
        <f t="shared" si="238"/>
        <v>5</v>
      </c>
      <c r="T180" s="130">
        <f t="shared" si="238"/>
        <v>8591710</v>
      </c>
      <c r="U180" s="130">
        <f t="shared" si="238"/>
        <v>80600</v>
      </c>
      <c r="V180" s="220">
        <f t="shared" si="238"/>
        <v>8511110</v>
      </c>
      <c r="W180" s="55"/>
      <c r="X180" s="130">
        <f t="shared" ref="X180:AC180" si="239">SUM(X163:X179)</f>
        <v>153584.54814999999</v>
      </c>
      <c r="Y180" s="220" t="e">
        <f t="shared" si="239"/>
        <v>#REF!</v>
      </c>
      <c r="Z180" s="130">
        <f t="shared" si="239"/>
        <v>1812970.5000000002</v>
      </c>
      <c r="AA180" s="130">
        <f t="shared" si="239"/>
        <v>1648155</v>
      </c>
      <c r="AB180" s="130">
        <f t="shared" si="239"/>
        <v>70306.25</v>
      </c>
      <c r="AC180" s="130">
        <f t="shared" si="239"/>
        <v>58266</v>
      </c>
      <c r="AD180" s="154">
        <v>0.09</v>
      </c>
      <c r="AE180" s="220">
        <f>SUM(AE163:AE179)</f>
        <v>955525</v>
      </c>
      <c r="AF180" s="53">
        <f t="shared" si="228"/>
        <v>0.20226796504803721</v>
      </c>
      <c r="AG180" s="56">
        <f t="shared" ref="AG180:AI180" si="240">SUM(AG163:AG179)</f>
        <v>1780513.9300000002</v>
      </c>
      <c r="AH180" s="56" t="e">
        <f t="shared" si="240"/>
        <v>#REF!</v>
      </c>
      <c r="AI180" s="56" t="e">
        <f t="shared" si="240"/>
        <v>#REF!</v>
      </c>
      <c r="AJ180" s="56" t="e">
        <f t="shared" si="231"/>
        <v>#REF!</v>
      </c>
      <c r="AK180" s="221" t="e">
        <f t="shared" si="232"/>
        <v>#REF!</v>
      </c>
      <c r="AL180" s="54"/>
      <c r="AM180" s="222"/>
      <c r="AN180" s="57"/>
      <c r="AO180" s="131">
        <f t="shared" ref="AO180:AP180" si="241">SUM(AO163:AO164)</f>
        <v>381504</v>
      </c>
      <c r="AP180" s="132">
        <f t="shared" si="241"/>
        <v>1759</v>
      </c>
      <c r="AQ180" s="126"/>
      <c r="AR180" s="126"/>
      <c r="AS180" s="126"/>
      <c r="AT180" s="118"/>
      <c r="AU180" s="118"/>
      <c r="AV180" s="118"/>
      <c r="AW180" s="118"/>
      <c r="AX180" s="118"/>
      <c r="AY180" s="118"/>
      <c r="AZ180" s="118"/>
      <c r="BA180" s="118"/>
      <c r="BB180" s="118"/>
      <c r="BC180" s="118"/>
      <c r="BD180" s="118"/>
      <c r="BE180" s="118"/>
      <c r="BF180" s="118"/>
      <c r="BG180" s="47"/>
      <c r="BH180" s="47"/>
      <c r="BI180" s="47"/>
      <c r="BJ180" s="47"/>
      <c r="BK180" s="47"/>
    </row>
    <row r="181" spans="1:63" ht="28.5" customHeight="1">
      <c r="A181" s="3"/>
      <c r="B181" s="120"/>
      <c r="C181" s="229"/>
      <c r="D181" s="230"/>
      <c r="E181" s="230"/>
      <c r="F181" s="230"/>
      <c r="G181" s="230"/>
      <c r="H181" s="231"/>
      <c r="I181" s="231"/>
      <c r="J181" s="231"/>
      <c r="K181" s="231"/>
      <c r="L181" s="231"/>
      <c r="M181" s="231"/>
      <c r="N181" s="231"/>
      <c r="O181" s="231"/>
      <c r="P181" s="232"/>
      <c r="Q181" s="231"/>
      <c r="R181" s="231"/>
      <c r="S181" s="231"/>
      <c r="T181" s="231"/>
      <c r="U181" s="231"/>
      <c r="V181" s="231"/>
      <c r="W181" s="231"/>
      <c r="X181" s="231"/>
      <c r="Y181" s="231"/>
      <c r="Z181" s="231"/>
      <c r="AA181" s="133"/>
      <c r="AB181" s="61"/>
      <c r="AC181" s="148"/>
      <c r="AD181" s="148"/>
      <c r="AE181" s="148"/>
      <c r="AF181" s="148"/>
      <c r="AG181" s="61"/>
      <c r="AH181" s="61"/>
      <c r="AI181" s="187"/>
      <c r="AJ181" s="118"/>
      <c r="AK181" s="126"/>
      <c r="AL181" s="126"/>
      <c r="AM181" s="126"/>
      <c r="AN181" s="118"/>
      <c r="AO181" s="118"/>
      <c r="AP181" s="118"/>
      <c r="AQ181" s="126"/>
      <c r="AR181" s="126"/>
      <c r="AS181" s="126"/>
      <c r="AT181" s="118"/>
      <c r="AU181" s="118"/>
      <c r="AV181" s="118"/>
      <c r="AW181" s="118"/>
      <c r="AX181" s="118"/>
      <c r="AY181" s="118"/>
      <c r="AZ181" s="118"/>
      <c r="BA181" s="118"/>
      <c r="BB181" s="118"/>
      <c r="BC181" s="118"/>
      <c r="BD181" s="118"/>
      <c r="BE181" s="118"/>
      <c r="BF181" s="118"/>
      <c r="BG181" s="47"/>
      <c r="BH181" s="47"/>
      <c r="BI181" s="47"/>
      <c r="BJ181" s="47"/>
      <c r="BK181" s="47"/>
    </row>
    <row r="182" spans="1:63" ht="28.5" customHeight="1">
      <c r="A182" s="12"/>
      <c r="B182" s="189"/>
      <c r="C182" s="134">
        <v>45938</v>
      </c>
      <c r="D182" s="122" t="s">
        <v>0</v>
      </c>
      <c r="E182" s="122" t="s">
        <v>1</v>
      </c>
      <c r="F182" s="122" t="s">
        <v>2</v>
      </c>
      <c r="G182" s="190" t="s">
        <v>3</v>
      </c>
      <c r="H182" s="191" t="s">
        <v>4</v>
      </c>
      <c r="I182" s="192" t="s">
        <v>5</v>
      </c>
      <c r="J182" s="192" t="s">
        <v>90</v>
      </c>
      <c r="K182" s="193" t="s">
        <v>6</v>
      </c>
      <c r="L182" s="194" t="s">
        <v>7</v>
      </c>
      <c r="M182" s="15" t="s">
        <v>91</v>
      </c>
      <c r="N182" s="123" t="s">
        <v>125</v>
      </c>
      <c r="O182" s="123" t="s">
        <v>8</v>
      </c>
      <c r="P182" s="123" t="s">
        <v>9</v>
      </c>
      <c r="Q182" s="195" t="s">
        <v>10</v>
      </c>
      <c r="R182" s="123" t="s">
        <v>92</v>
      </c>
      <c r="S182" s="196" t="s">
        <v>11</v>
      </c>
      <c r="T182" s="17" t="s">
        <v>12</v>
      </c>
      <c r="U182" s="17" t="s">
        <v>13</v>
      </c>
      <c r="V182" s="17" t="s">
        <v>14</v>
      </c>
      <c r="W182" s="17" t="s">
        <v>15</v>
      </c>
      <c r="X182" s="15" t="s">
        <v>16</v>
      </c>
      <c r="Y182" s="15" t="s">
        <v>17</v>
      </c>
      <c r="Z182" s="19" t="s">
        <v>18</v>
      </c>
      <c r="AA182" s="19" t="s">
        <v>19</v>
      </c>
      <c r="AB182" s="20" t="s">
        <v>20</v>
      </c>
      <c r="AC182" s="22" t="s">
        <v>93</v>
      </c>
      <c r="AD182" s="197" t="s">
        <v>21</v>
      </c>
      <c r="AE182" s="122" t="s">
        <v>22</v>
      </c>
      <c r="AF182" s="21" t="s">
        <v>23</v>
      </c>
      <c r="AG182" s="21" t="s">
        <v>21</v>
      </c>
      <c r="AH182" s="122" t="s">
        <v>24</v>
      </c>
      <c r="AI182" s="15" t="s">
        <v>25</v>
      </c>
      <c r="AJ182" s="15" t="s">
        <v>26</v>
      </c>
      <c r="AK182" s="122" t="s">
        <v>27</v>
      </c>
      <c r="AL182" s="198" t="s">
        <v>28</v>
      </c>
      <c r="AM182" s="199" t="s">
        <v>29</v>
      </c>
      <c r="AN182" s="124" t="s">
        <v>30</v>
      </c>
      <c r="AO182" s="124" t="s">
        <v>94</v>
      </c>
      <c r="AP182" s="125" t="s">
        <v>95</v>
      </c>
      <c r="AQ182" s="126"/>
      <c r="AR182" s="126"/>
      <c r="AS182" s="126"/>
      <c r="AT182" s="118"/>
      <c r="AU182" s="118"/>
      <c r="AV182" s="118"/>
      <c r="AW182" s="118"/>
      <c r="AX182" s="118"/>
      <c r="AY182" s="118"/>
      <c r="AZ182" s="118"/>
      <c r="BA182" s="118"/>
      <c r="BB182" s="118"/>
      <c r="BC182" s="118"/>
      <c r="BD182" s="118"/>
      <c r="BE182" s="118"/>
      <c r="BF182" s="118"/>
      <c r="BG182" s="47"/>
      <c r="BH182" s="47"/>
      <c r="BI182" s="47"/>
      <c r="BJ182" s="47"/>
      <c r="BK182" s="47"/>
    </row>
    <row r="183" spans="1:63" ht="28.5" customHeight="1">
      <c r="A183" s="12" t="s">
        <v>129</v>
      </c>
      <c r="B183" s="200"/>
      <c r="C183" s="42" t="s">
        <v>107</v>
      </c>
      <c r="D183" s="28">
        <f t="shared" ref="D183:D200" si="242">AK183/V183</f>
        <v>0.21413873799131203</v>
      </c>
      <c r="E183" s="201">
        <f t="shared" ref="E183:E200" si="243">AJ183/V183</f>
        <v>0.42270749762508925</v>
      </c>
      <c r="F183" s="30">
        <f t="shared" ref="F183:F200" si="244">(Z183+AB183)/V183</f>
        <v>0.20856875963377722</v>
      </c>
      <c r="G183" s="30">
        <f t="shared" ref="G183:G199" si="245">R183/AP183</f>
        <v>7.2127769191138585E-2</v>
      </c>
      <c r="H183" s="35">
        <v>7410</v>
      </c>
      <c r="I183" s="35">
        <f t="shared" ref="I183:I199" si="246">N183*7</f>
        <v>1400</v>
      </c>
      <c r="J183" s="35">
        <f t="shared" ref="J183:J199" si="247">N183*14</f>
        <v>2800</v>
      </c>
      <c r="K183" s="49">
        <v>76</v>
      </c>
      <c r="L183" s="49">
        <f>1906+1320</f>
        <v>3226</v>
      </c>
      <c r="M183" s="48"/>
      <c r="N183" s="44">
        <v>200</v>
      </c>
      <c r="O183" s="227">
        <v>193</v>
      </c>
      <c r="P183" s="31">
        <f t="shared" ref="P183:P199" si="248">O183-S183</f>
        <v>193</v>
      </c>
      <c r="Q183" s="227">
        <v>23</v>
      </c>
      <c r="R183" s="233">
        <v>140</v>
      </c>
      <c r="S183" s="36"/>
      <c r="T183" s="34">
        <f t="shared" ref="T183:T199" si="249">W183*O183</f>
        <v>5384700</v>
      </c>
      <c r="U183" s="31">
        <f t="shared" ref="U183:U199" si="250">W183*S183</f>
        <v>0</v>
      </c>
      <c r="V183" s="34">
        <f t="shared" ref="V183:V199" si="251">T183-U183</f>
        <v>5384700</v>
      </c>
      <c r="W183" s="34">
        <v>27900</v>
      </c>
      <c r="X183" s="34">
        <f>SUMIF(헤몬팜마진!$B$7:$B$32,$C183,헤몬팜마진!$R$7:$R$32)</f>
        <v>8850.86</v>
      </c>
      <c r="Y183" s="34">
        <f t="shared" ref="Y183:Y199" si="252">AI183*P183</f>
        <v>1784296.8888000001</v>
      </c>
      <c r="Z183" s="34">
        <f t="shared" ref="Z183:Z199" si="253">AA183*1.1</f>
        <v>1123080.2000000002</v>
      </c>
      <c r="AA183" s="49">
        <v>1020982</v>
      </c>
      <c r="AB183" s="36"/>
      <c r="AC183" s="204">
        <f t="shared" ref="AC183:AC184" si="254">(1072+1100)*Q183</f>
        <v>49956</v>
      </c>
      <c r="AD183" s="152">
        <v>0.1</v>
      </c>
      <c r="AE183" s="31">
        <f>3050*(P183)</f>
        <v>588650</v>
      </c>
      <c r="AF183" s="28">
        <f t="shared" ref="AF183:AF200" si="255">AD183+(AE183/V183)</f>
        <v>0.20931899641577062</v>
      </c>
      <c r="AG183" s="34">
        <f t="shared" ref="AG183:AG199" si="256">IFERROR(V183*AF183+3%,0)</f>
        <v>1127120.03</v>
      </c>
      <c r="AH183" s="34">
        <f t="shared" ref="AH183:AH199" si="257">V183/1.1*10%-((AI183*P183)+AG183+(AN183*P183)+(AL183*P183))*10%</f>
        <v>197130.01873818174</v>
      </c>
      <c r="AI183" s="34">
        <f>SUMIF(헤몬팜마진!$B$7:$B$32,$C183,헤몬팜마진!$V$7:$V$32)</f>
        <v>9245.0616000000009</v>
      </c>
      <c r="AJ183" s="34">
        <f t="shared" ref="AJ183:AJ200" si="258">V183-(Y183+AG183+AH183+(AN183*P183))</f>
        <v>2276153.0624618181</v>
      </c>
      <c r="AK183" s="46">
        <f t="shared" ref="AK183:AK200" si="259">AJ183-Z183-AB183</f>
        <v>1153072.8624618179</v>
      </c>
      <c r="AL183" s="40">
        <f>SUMIF(헤몬팜마진!$B$7:$B$32,$C183,헤몬팜마진!$T$7:$T$32)</f>
        <v>64.584000000000003</v>
      </c>
      <c r="AM183" s="41">
        <f>SUMIF(헤몬팜마진!$B$7:$B$32,$C183,헤몬팜마진!$U$7:$U$32)</f>
        <v>329.61759999999998</v>
      </c>
      <c r="AN183" s="36"/>
      <c r="AO183" s="202">
        <v>440280</v>
      </c>
      <c r="AP183" s="205">
        <v>1941</v>
      </c>
      <c r="AQ183" s="126"/>
      <c r="AR183" s="126"/>
      <c r="AS183" s="126"/>
      <c r="AT183" s="118"/>
      <c r="AU183" s="118"/>
      <c r="AV183" s="118"/>
      <c r="AW183" s="118"/>
      <c r="AX183" s="118"/>
      <c r="AY183" s="118"/>
      <c r="AZ183" s="118"/>
      <c r="BA183" s="118"/>
      <c r="BB183" s="118"/>
      <c r="BC183" s="118"/>
      <c r="BD183" s="118"/>
      <c r="BE183" s="118"/>
      <c r="BF183" s="118"/>
      <c r="BG183" s="47"/>
      <c r="BH183" s="47"/>
      <c r="BI183" s="47"/>
      <c r="BJ183" s="47"/>
      <c r="BK183" s="47"/>
    </row>
    <row r="184" spans="1:63" ht="28.5" customHeight="1">
      <c r="A184" s="228" t="s">
        <v>130</v>
      </c>
      <c r="B184" s="200"/>
      <c r="C184" s="42" t="s">
        <v>108</v>
      </c>
      <c r="D184" s="28">
        <f t="shared" si="242"/>
        <v>0.33874681804832474</v>
      </c>
      <c r="E184" s="201">
        <f t="shared" si="243"/>
        <v>0.40985107649179026</v>
      </c>
      <c r="F184" s="30">
        <f t="shared" si="244"/>
        <v>7.1104258443465504E-2</v>
      </c>
      <c r="G184" s="30">
        <f t="shared" si="245"/>
        <v>7.6923076923076927E-2</v>
      </c>
      <c r="H184" s="35">
        <v>1460</v>
      </c>
      <c r="I184" s="35">
        <f t="shared" si="246"/>
        <v>140</v>
      </c>
      <c r="J184" s="35">
        <f t="shared" si="247"/>
        <v>280</v>
      </c>
      <c r="K184" s="39">
        <v>325</v>
      </c>
      <c r="L184" s="39">
        <v>0</v>
      </c>
      <c r="M184" s="210"/>
      <c r="N184" s="44">
        <v>20</v>
      </c>
      <c r="O184" s="202">
        <v>3</v>
      </c>
      <c r="P184" s="31">
        <f t="shared" si="248"/>
        <v>3</v>
      </c>
      <c r="Q184" s="36"/>
      <c r="R184" s="167">
        <v>1</v>
      </c>
      <c r="S184" s="36"/>
      <c r="T184" s="34">
        <f t="shared" si="249"/>
        <v>68100</v>
      </c>
      <c r="U184" s="31">
        <f t="shared" si="250"/>
        <v>0</v>
      </c>
      <c r="V184" s="34">
        <f t="shared" si="251"/>
        <v>68100</v>
      </c>
      <c r="W184" s="43">
        <v>22700</v>
      </c>
      <c r="X184" s="34">
        <f>SUMIF(헤몬팜마진!$B$7:$B$32,$C184,헤몬팜마진!$R$7:$R$32)</f>
        <v>7080.6879999999992</v>
      </c>
      <c r="Y184" s="34">
        <f t="shared" si="252"/>
        <v>22131.983999999997</v>
      </c>
      <c r="Z184" s="34">
        <f t="shared" si="253"/>
        <v>4842.2000000000007</v>
      </c>
      <c r="AA184" s="49">
        <v>4402</v>
      </c>
      <c r="AB184" s="36"/>
      <c r="AC184" s="204">
        <f t="shared" si="254"/>
        <v>0</v>
      </c>
      <c r="AD184" s="152">
        <v>0.1</v>
      </c>
      <c r="AE184" s="31">
        <f>2950*(P184)</f>
        <v>8850</v>
      </c>
      <c r="AF184" s="28">
        <f t="shared" si="255"/>
        <v>0.22995594713656389</v>
      </c>
      <c r="AG184" s="34">
        <f t="shared" si="256"/>
        <v>15660.030000000002</v>
      </c>
      <c r="AH184" s="34">
        <f t="shared" si="257"/>
        <v>2397.1276909090911</v>
      </c>
      <c r="AI184" s="34">
        <f>SUMIF(헤몬팜마진!$B$7:$B$32,$C184,헤몬팜마진!$V$7:$V$32)</f>
        <v>7377.3279999999995</v>
      </c>
      <c r="AJ184" s="34">
        <f t="shared" si="258"/>
        <v>27910.858309090916</v>
      </c>
      <c r="AK184" s="46">
        <f t="shared" si="259"/>
        <v>23068.658309090915</v>
      </c>
      <c r="AL184" s="40">
        <f>SUMIF(헤몬팜마진!$B$7:$B$32,$C184,헤몬팜마진!$T$7:$T$32)</f>
        <v>48.6</v>
      </c>
      <c r="AM184" s="41">
        <f>SUMIF(헤몬팜마진!$B$7:$B$32,$C184,헤몬팜마진!$U$7:$U$32)</f>
        <v>248.04000000000002</v>
      </c>
      <c r="AN184" s="36"/>
      <c r="AO184" s="202">
        <v>52897</v>
      </c>
      <c r="AP184" s="205">
        <v>13</v>
      </c>
      <c r="AQ184" s="126"/>
      <c r="AR184" s="126"/>
      <c r="AS184" s="126"/>
      <c r="AT184" s="118"/>
      <c r="AU184" s="118"/>
      <c r="AV184" s="118"/>
      <c r="AW184" s="118"/>
      <c r="AX184" s="118"/>
      <c r="AY184" s="118"/>
      <c r="AZ184" s="118"/>
      <c r="BA184" s="118"/>
      <c r="BB184" s="118"/>
      <c r="BC184" s="118"/>
      <c r="BD184" s="118"/>
      <c r="BE184" s="118"/>
      <c r="BF184" s="118"/>
      <c r="BG184" s="47"/>
      <c r="BH184" s="47"/>
      <c r="BI184" s="47"/>
      <c r="BJ184" s="47"/>
      <c r="BK184" s="47"/>
    </row>
    <row r="185" spans="1:63" ht="28.5" customHeight="1">
      <c r="A185" s="327" t="s">
        <v>131</v>
      </c>
      <c r="B185" s="323"/>
      <c r="C185" s="42" t="s">
        <v>109</v>
      </c>
      <c r="D185" s="28" t="e">
        <f t="shared" si="242"/>
        <v>#REF!</v>
      </c>
      <c r="E185" s="201" t="e">
        <f t="shared" si="243"/>
        <v>#REF!</v>
      </c>
      <c r="F185" s="30">
        <f t="shared" si="244"/>
        <v>0.15046943231441051</v>
      </c>
      <c r="G185" s="30">
        <f t="shared" si="245"/>
        <v>0</v>
      </c>
      <c r="H185" s="35">
        <v>0</v>
      </c>
      <c r="I185" s="35">
        <f t="shared" si="246"/>
        <v>105</v>
      </c>
      <c r="J185" s="35">
        <f t="shared" si="247"/>
        <v>210</v>
      </c>
      <c r="K185" s="325">
        <v>430</v>
      </c>
      <c r="L185" s="49">
        <f>40+3+3</f>
        <v>46</v>
      </c>
      <c r="M185" s="48"/>
      <c r="N185" s="44">
        <v>15</v>
      </c>
      <c r="O185" s="202">
        <v>1</v>
      </c>
      <c r="P185" s="31">
        <f t="shared" si="248"/>
        <v>1</v>
      </c>
      <c r="Q185" s="36"/>
      <c r="R185" s="203"/>
      <c r="S185" s="36"/>
      <c r="T185" s="34">
        <f t="shared" si="249"/>
        <v>45800</v>
      </c>
      <c r="U185" s="31">
        <f t="shared" si="250"/>
        <v>0</v>
      </c>
      <c r="V185" s="34">
        <f t="shared" si="251"/>
        <v>45800</v>
      </c>
      <c r="W185" s="43">
        <v>45800</v>
      </c>
      <c r="X185" s="34">
        <f>SUMIF(헤몬팜마진!$B$7:$B$32,$C185,헤몬팜마진!$R$7:$R$32)</f>
        <v>9990.4082249999992</v>
      </c>
      <c r="Y185" s="34" t="e">
        <f t="shared" si="252"/>
        <v>#REF!</v>
      </c>
      <c r="Z185" s="34">
        <f t="shared" si="253"/>
        <v>6891.5000000000009</v>
      </c>
      <c r="AA185" s="49">
        <v>6265</v>
      </c>
      <c r="AB185" s="36"/>
      <c r="AC185" s="204">
        <f t="shared" ref="AC185:AC199" si="260">(1210+1100)*Q185</f>
        <v>0</v>
      </c>
      <c r="AD185" s="152">
        <v>0.11</v>
      </c>
      <c r="AE185" s="31">
        <f t="shared" ref="AE185:AE186" si="261">4150*(P185)</f>
        <v>4150</v>
      </c>
      <c r="AF185" s="28">
        <f t="shared" si="255"/>
        <v>0.2006113537117904</v>
      </c>
      <c r="AG185" s="34">
        <f t="shared" si="256"/>
        <v>9188.0300000000007</v>
      </c>
      <c r="AH185" s="34" t="e">
        <f t="shared" si="257"/>
        <v>#REF!</v>
      </c>
      <c r="AI185" s="34" t="e">
        <f>SUMIF(헤몬팜마진!$B$7:$B$32,$C185,헤몬팜마진!$V$7:$V$32)</f>
        <v>#REF!</v>
      </c>
      <c r="AJ185" s="34" t="e">
        <f t="shared" si="258"/>
        <v>#REF!</v>
      </c>
      <c r="AK185" s="46" t="e">
        <f t="shared" si="259"/>
        <v>#REF!</v>
      </c>
      <c r="AL185" s="40">
        <f>SUMIF(헤몬팜마진!$B$7:$B$32,$C185,헤몬팜마진!$T$7:$T$32)</f>
        <v>162</v>
      </c>
      <c r="AM185" s="41">
        <f>SUMIF(헤몬팜마진!$B$7:$B$32,$C185,헤몬팜마진!$U$7:$U$32)</f>
        <v>826.80000000000007</v>
      </c>
      <c r="AN185" s="36"/>
      <c r="AO185" s="202">
        <v>34979</v>
      </c>
      <c r="AP185" s="205">
        <v>87</v>
      </c>
      <c r="AQ185" s="126"/>
      <c r="AR185" s="126"/>
      <c r="AS185" s="126"/>
      <c r="AT185" s="118"/>
      <c r="AU185" s="118"/>
      <c r="AV185" s="118"/>
      <c r="AW185" s="118"/>
      <c r="AX185" s="118"/>
      <c r="AY185" s="118"/>
      <c r="AZ185" s="118"/>
      <c r="BA185" s="118"/>
      <c r="BB185" s="118"/>
      <c r="BC185" s="118"/>
      <c r="BD185" s="118"/>
      <c r="BE185" s="118"/>
      <c r="BF185" s="118"/>
      <c r="BG185" s="47"/>
      <c r="BH185" s="47"/>
      <c r="BI185" s="47"/>
      <c r="BJ185" s="47"/>
      <c r="BK185" s="47"/>
    </row>
    <row r="186" spans="1:63" ht="28.5" customHeight="1">
      <c r="A186" s="318"/>
      <c r="B186" s="324"/>
      <c r="C186" s="42" t="s">
        <v>110</v>
      </c>
      <c r="D186" s="28" t="e">
        <f t="shared" si="242"/>
        <v>#REF!</v>
      </c>
      <c r="E186" s="201" t="e">
        <f t="shared" si="243"/>
        <v>#REF!</v>
      </c>
      <c r="F186" s="30">
        <f t="shared" si="244"/>
        <v>0.26637393162393164</v>
      </c>
      <c r="G186" s="30">
        <f t="shared" si="245"/>
        <v>7.5187969924812026E-3</v>
      </c>
      <c r="H186" s="35">
        <v>0</v>
      </c>
      <c r="I186" s="35">
        <f t="shared" si="246"/>
        <v>105</v>
      </c>
      <c r="J186" s="35">
        <f t="shared" si="247"/>
        <v>210</v>
      </c>
      <c r="K186" s="310"/>
      <c r="L186" s="49">
        <f>13+2</f>
        <v>15</v>
      </c>
      <c r="M186" s="48"/>
      <c r="N186" s="44">
        <v>15</v>
      </c>
      <c r="O186" s="202">
        <v>2</v>
      </c>
      <c r="P186" s="31">
        <f t="shared" si="248"/>
        <v>2</v>
      </c>
      <c r="Q186" s="202"/>
      <c r="R186" s="203">
        <v>1</v>
      </c>
      <c r="S186" s="36"/>
      <c r="T186" s="34">
        <f t="shared" si="249"/>
        <v>93600</v>
      </c>
      <c r="U186" s="31">
        <f t="shared" si="250"/>
        <v>0</v>
      </c>
      <c r="V186" s="34">
        <f t="shared" si="251"/>
        <v>93600</v>
      </c>
      <c r="W186" s="43">
        <v>46800</v>
      </c>
      <c r="X186" s="34">
        <f>SUMIF(헤몬팜마진!$B$7:$B$32,$C186,헤몬팜마진!$R$7:$R$32)</f>
        <v>9990.4082249999992</v>
      </c>
      <c r="Y186" s="34" t="e">
        <f t="shared" si="252"/>
        <v>#REF!</v>
      </c>
      <c r="Z186" s="34">
        <f t="shared" si="253"/>
        <v>24932.600000000002</v>
      </c>
      <c r="AA186" s="49">
        <v>22666</v>
      </c>
      <c r="AB186" s="36"/>
      <c r="AC186" s="204">
        <f t="shared" si="260"/>
        <v>0</v>
      </c>
      <c r="AD186" s="152">
        <v>0.11</v>
      </c>
      <c r="AE186" s="31">
        <f t="shared" si="261"/>
        <v>8300</v>
      </c>
      <c r="AF186" s="28">
        <f t="shared" si="255"/>
        <v>0.19867521367521368</v>
      </c>
      <c r="AG186" s="34">
        <f t="shared" si="256"/>
        <v>18596.03</v>
      </c>
      <c r="AH186" s="34" t="e">
        <f t="shared" si="257"/>
        <v>#REF!</v>
      </c>
      <c r="AI186" s="34" t="e">
        <f>SUMIF(헤몬팜마진!$B$7:$B$32,$C186,헤몬팜마진!$V$7:$V$32)</f>
        <v>#REF!</v>
      </c>
      <c r="AJ186" s="34" t="e">
        <f t="shared" si="258"/>
        <v>#REF!</v>
      </c>
      <c r="AK186" s="206" t="e">
        <f t="shared" si="259"/>
        <v>#REF!</v>
      </c>
      <c r="AL186" s="40">
        <f>SUMIF(헤몬팜마진!$B$7:$B$32,$C186,헤몬팜마진!$T$7:$T$32)</f>
        <v>162</v>
      </c>
      <c r="AM186" s="41">
        <f>SUMIF(헤몬팜마진!$B$7:$B$32,$C186,헤몬팜마진!$U$7:$U$32)</f>
        <v>826.80000000000007</v>
      </c>
      <c r="AN186" s="36"/>
      <c r="AO186" s="202">
        <v>73976</v>
      </c>
      <c r="AP186" s="205">
        <v>133</v>
      </c>
      <c r="AQ186" s="126"/>
      <c r="AR186" s="126"/>
      <c r="AS186" s="126"/>
      <c r="AT186" s="118"/>
      <c r="AU186" s="118"/>
      <c r="AV186" s="118"/>
      <c r="AW186" s="118"/>
      <c r="AX186" s="118"/>
      <c r="AY186" s="118"/>
      <c r="AZ186" s="118"/>
      <c r="BA186" s="118"/>
      <c r="BB186" s="118"/>
      <c r="BC186" s="118"/>
      <c r="BD186" s="118"/>
      <c r="BE186" s="118"/>
      <c r="BF186" s="118"/>
      <c r="BG186" s="47"/>
      <c r="BH186" s="47"/>
      <c r="BI186" s="47"/>
      <c r="BJ186" s="47"/>
      <c r="BK186" s="47"/>
    </row>
    <row r="187" spans="1:63" ht="28.5" customHeight="1">
      <c r="A187" s="12" t="s">
        <v>132</v>
      </c>
      <c r="B187" s="323"/>
      <c r="C187" s="42" t="s">
        <v>32</v>
      </c>
      <c r="D187" s="28" t="e">
        <f t="shared" si="242"/>
        <v>#REF!</v>
      </c>
      <c r="E187" s="201" t="e">
        <f t="shared" si="243"/>
        <v>#REF!</v>
      </c>
      <c r="F187" s="30" t="e">
        <f t="shared" si="244"/>
        <v>#DIV/0!</v>
      </c>
      <c r="G187" s="30">
        <f t="shared" si="245"/>
        <v>0</v>
      </c>
      <c r="H187" s="37">
        <v>3504</v>
      </c>
      <c r="I187" s="35">
        <f t="shared" si="246"/>
        <v>210</v>
      </c>
      <c r="J187" s="35">
        <f t="shared" si="247"/>
        <v>420</v>
      </c>
      <c r="K187" s="325">
        <v>626</v>
      </c>
      <c r="L187" s="39">
        <f>30+13+6</f>
        <v>49</v>
      </c>
      <c r="M187" s="210"/>
      <c r="N187" s="208">
        <v>30</v>
      </c>
      <c r="O187" s="202"/>
      <c r="P187" s="31">
        <f t="shared" si="248"/>
        <v>0</v>
      </c>
      <c r="Q187" s="36"/>
      <c r="R187" s="203"/>
      <c r="S187" s="36"/>
      <c r="T187" s="34">
        <f t="shared" si="249"/>
        <v>0</v>
      </c>
      <c r="U187" s="31">
        <f t="shared" si="250"/>
        <v>0</v>
      </c>
      <c r="V187" s="34">
        <f t="shared" si="251"/>
        <v>0</v>
      </c>
      <c r="W187" s="43">
        <v>59800</v>
      </c>
      <c r="X187" s="34">
        <f>SUMIF(헤몬팜마진!$B$7:$B$32,$C187,헤몬팜마진!$R$7:$R$32)</f>
        <v>13276.289999999999</v>
      </c>
      <c r="Y187" s="34" t="e">
        <f t="shared" si="252"/>
        <v>#REF!</v>
      </c>
      <c r="Z187" s="34">
        <f t="shared" si="253"/>
        <v>19364.400000000001</v>
      </c>
      <c r="AA187" s="49">
        <v>17604</v>
      </c>
      <c r="AB187" s="209"/>
      <c r="AC187" s="204">
        <f t="shared" si="260"/>
        <v>0</v>
      </c>
      <c r="AD187" s="152">
        <v>0.108</v>
      </c>
      <c r="AE187" s="31">
        <f t="shared" ref="AE187:AE188" si="262">4825*(P187)</f>
        <v>0</v>
      </c>
      <c r="AF187" s="28" t="e">
        <f t="shared" si="255"/>
        <v>#DIV/0!</v>
      </c>
      <c r="AG187" s="34">
        <f t="shared" si="256"/>
        <v>0</v>
      </c>
      <c r="AH187" s="34" t="e">
        <f t="shared" si="257"/>
        <v>#REF!</v>
      </c>
      <c r="AI187" s="34" t="e">
        <f>SUMIF(헤몬팜마진!$B$7:$B$32,$C187,헤몬팜마진!$V$7:$V$32)</f>
        <v>#REF!</v>
      </c>
      <c r="AJ187" s="34" t="e">
        <f t="shared" si="258"/>
        <v>#REF!</v>
      </c>
      <c r="AK187" s="46" t="e">
        <f t="shared" si="259"/>
        <v>#REF!</v>
      </c>
      <c r="AL187" s="40">
        <f>SUMIF(헤몬팜마진!$B$7:$B$32,$C187,헤몬팜마진!$T$7:$T$32)</f>
        <v>371.52</v>
      </c>
      <c r="AM187" s="41">
        <f>SUMIF(헤몬팜마진!$B$7:$B$32,$C187,헤몬팜마진!$U$7:$U$32)</f>
        <v>1896.1279999999999</v>
      </c>
      <c r="AN187" s="36"/>
      <c r="AO187" s="202">
        <v>11872</v>
      </c>
      <c r="AP187" s="205">
        <v>29</v>
      </c>
      <c r="AQ187" s="126"/>
      <c r="AR187" s="126"/>
      <c r="AS187" s="126"/>
      <c r="AT187" s="118"/>
      <c r="AU187" s="118"/>
      <c r="AV187" s="118"/>
      <c r="AW187" s="118"/>
      <c r="AX187" s="118"/>
      <c r="AY187" s="118"/>
      <c r="AZ187" s="118"/>
      <c r="BA187" s="118"/>
      <c r="BB187" s="118"/>
      <c r="BC187" s="118"/>
      <c r="BD187" s="118"/>
      <c r="BE187" s="118"/>
      <c r="BF187" s="118"/>
      <c r="BG187" s="47"/>
      <c r="BH187" s="47"/>
      <c r="BI187" s="47"/>
      <c r="BJ187" s="47"/>
      <c r="BK187" s="47"/>
    </row>
    <row r="188" spans="1:63" ht="28.5" customHeight="1">
      <c r="A188" s="12" t="s">
        <v>132</v>
      </c>
      <c r="B188" s="324"/>
      <c r="C188" s="42" t="s">
        <v>33</v>
      </c>
      <c r="D188" s="28" t="e">
        <f t="shared" si="242"/>
        <v>#REF!</v>
      </c>
      <c r="E188" s="201" t="e">
        <f t="shared" si="243"/>
        <v>#REF!</v>
      </c>
      <c r="F188" s="30">
        <f t="shared" si="244"/>
        <v>0.31306439285373083</v>
      </c>
      <c r="G188" s="30">
        <f t="shared" si="245"/>
        <v>2.5316455696202531E-2</v>
      </c>
      <c r="H188" s="35">
        <v>0</v>
      </c>
      <c r="I188" s="35">
        <f t="shared" si="246"/>
        <v>210</v>
      </c>
      <c r="J188" s="35">
        <f t="shared" si="247"/>
        <v>420</v>
      </c>
      <c r="K188" s="310"/>
      <c r="L188" s="39">
        <f>4+11+18+38+129</f>
        <v>200</v>
      </c>
      <c r="M188" s="210"/>
      <c r="N188" s="44">
        <v>30</v>
      </c>
      <c r="O188" s="202">
        <v>3</v>
      </c>
      <c r="P188" s="31">
        <f t="shared" si="248"/>
        <v>3</v>
      </c>
      <c r="Q188" s="36"/>
      <c r="R188" s="203">
        <v>2</v>
      </c>
      <c r="S188" s="36"/>
      <c r="T188" s="34">
        <f t="shared" si="249"/>
        <v>209340</v>
      </c>
      <c r="U188" s="31">
        <f t="shared" si="250"/>
        <v>0</v>
      </c>
      <c r="V188" s="34">
        <f t="shared" si="251"/>
        <v>209340</v>
      </c>
      <c r="W188" s="43">
        <v>69780</v>
      </c>
      <c r="X188" s="34">
        <f>SUMIF(헤몬팜마진!$B$7:$B$32,$C188,헤몬팜마진!$R$7:$R$32)</f>
        <v>13276.289999999999</v>
      </c>
      <c r="Y188" s="34" t="e">
        <f t="shared" si="252"/>
        <v>#REF!</v>
      </c>
      <c r="Z188" s="34">
        <f t="shared" si="253"/>
        <v>65536.900000000009</v>
      </c>
      <c r="AA188" s="49">
        <v>59579</v>
      </c>
      <c r="AB188" s="36"/>
      <c r="AC188" s="204">
        <f t="shared" si="260"/>
        <v>0</v>
      </c>
      <c r="AD188" s="152">
        <v>0.108</v>
      </c>
      <c r="AE188" s="31">
        <f t="shared" si="262"/>
        <v>14475</v>
      </c>
      <c r="AF188" s="28">
        <f t="shared" si="255"/>
        <v>0.17714588707366008</v>
      </c>
      <c r="AG188" s="34">
        <f t="shared" si="256"/>
        <v>37083.75</v>
      </c>
      <c r="AH188" s="34" t="e">
        <f t="shared" si="257"/>
        <v>#REF!</v>
      </c>
      <c r="AI188" s="34" t="e">
        <f>SUMIF(헤몬팜마진!$B$7:$B$32,$C188,헤몬팜마진!$V$7:$V$32)</f>
        <v>#REF!</v>
      </c>
      <c r="AJ188" s="34" t="e">
        <f t="shared" si="258"/>
        <v>#REF!</v>
      </c>
      <c r="AK188" s="46" t="e">
        <f t="shared" si="259"/>
        <v>#REF!</v>
      </c>
      <c r="AL188" s="40">
        <f>SUMIF(헤몬팜마진!$B$7:$B$32,$C188,헤몬팜마진!$T$7:$T$32)</f>
        <v>371.52</v>
      </c>
      <c r="AM188" s="41">
        <f>SUMIF(헤몬팜마진!$B$7:$B$32,$C188,헤몬팜마진!$U$7:$U$32)</f>
        <v>1896.1279999999999</v>
      </c>
      <c r="AN188" s="36"/>
      <c r="AO188" s="202">
        <v>28129</v>
      </c>
      <c r="AP188" s="205">
        <v>79</v>
      </c>
      <c r="AQ188" s="126"/>
      <c r="AR188" s="126"/>
      <c r="AS188" s="126"/>
      <c r="AT188" s="118"/>
      <c r="AU188" s="118"/>
      <c r="AV188" s="118"/>
      <c r="AW188" s="118"/>
      <c r="AX188" s="118"/>
      <c r="AY188" s="118"/>
      <c r="AZ188" s="118"/>
      <c r="BA188" s="118"/>
      <c r="BB188" s="118"/>
      <c r="BC188" s="118"/>
      <c r="BD188" s="118"/>
      <c r="BE188" s="118"/>
      <c r="BF188" s="118"/>
      <c r="BG188" s="47"/>
      <c r="BH188" s="47"/>
      <c r="BI188" s="47"/>
      <c r="BJ188" s="47"/>
      <c r="BK188" s="47"/>
    </row>
    <row r="189" spans="1:63" ht="28.5" customHeight="1">
      <c r="A189" s="228" t="s">
        <v>133</v>
      </c>
      <c r="B189" s="200"/>
      <c r="C189" s="42" t="s">
        <v>111</v>
      </c>
      <c r="D189" s="28">
        <f t="shared" si="242"/>
        <v>-0.5517551237875028</v>
      </c>
      <c r="E189" s="201">
        <f t="shared" si="243"/>
        <v>0.39080846182043766</v>
      </c>
      <c r="F189" s="30">
        <f t="shared" si="244"/>
        <v>0.9425635856079404</v>
      </c>
      <c r="G189" s="30">
        <f t="shared" si="245"/>
        <v>5.7471264367816091E-2</v>
      </c>
      <c r="H189" s="35">
        <v>500</v>
      </c>
      <c r="I189" s="35">
        <f t="shared" si="246"/>
        <v>105</v>
      </c>
      <c r="J189" s="35">
        <f t="shared" si="247"/>
        <v>210</v>
      </c>
      <c r="K189" s="39">
        <v>577</v>
      </c>
      <c r="L189" s="39">
        <v>211</v>
      </c>
      <c r="M189" s="210"/>
      <c r="N189" s="44">
        <v>15</v>
      </c>
      <c r="O189" s="202">
        <v>11</v>
      </c>
      <c r="P189" s="31">
        <f t="shared" si="248"/>
        <v>6</v>
      </c>
      <c r="Q189" s="202"/>
      <c r="R189" s="203">
        <v>5</v>
      </c>
      <c r="S189" s="202">
        <v>5</v>
      </c>
      <c r="T189" s="34">
        <f t="shared" si="249"/>
        <v>177320</v>
      </c>
      <c r="U189" s="31">
        <f t="shared" si="250"/>
        <v>80600</v>
      </c>
      <c r="V189" s="34">
        <f t="shared" si="251"/>
        <v>96720</v>
      </c>
      <c r="W189" s="43">
        <v>16120</v>
      </c>
      <c r="X189" s="34">
        <f>SUMIF(헤몬팜마진!$B$7:$B$32,$C189,헤몬팜마진!$R$7:$R$32)</f>
        <v>5089.2444999999998</v>
      </c>
      <c r="Y189" s="34">
        <f t="shared" si="252"/>
        <v>30757.947</v>
      </c>
      <c r="Z189" s="34">
        <f t="shared" si="253"/>
        <v>41827.5</v>
      </c>
      <c r="AA189" s="49">
        <v>38025</v>
      </c>
      <c r="AB189" s="211">
        <f>((17890*0.015)+(17890*0.19)+2100+2200+1900)*5</f>
        <v>49337.25</v>
      </c>
      <c r="AC189" s="204">
        <f t="shared" si="260"/>
        <v>0</v>
      </c>
      <c r="AD189" s="152">
        <v>7.8E-2</v>
      </c>
      <c r="AE189" s="31">
        <f>2900*(P189)</f>
        <v>17400</v>
      </c>
      <c r="AF189" s="28">
        <f t="shared" si="255"/>
        <v>0.25790074441687344</v>
      </c>
      <c r="AG189" s="34">
        <f t="shared" si="256"/>
        <v>24944.19</v>
      </c>
      <c r="AH189" s="34">
        <f t="shared" si="257"/>
        <v>3218.8685727272714</v>
      </c>
      <c r="AI189" s="34">
        <f>SUMIF(헤몬팜마진!$B$7:$B$32,$C189,헤몬팜마진!$V$7:$V$32)</f>
        <v>5126.3244999999997</v>
      </c>
      <c r="AJ189" s="34">
        <f t="shared" si="258"/>
        <v>37798.99442727273</v>
      </c>
      <c r="AK189" s="206">
        <f t="shared" si="259"/>
        <v>-53365.75557272727</v>
      </c>
      <c r="AL189" s="40">
        <f>SUMIF(헤몬팜마진!$B$7:$B$32,$C189,헤몬팜마진!$T$7:$T$32)</f>
        <v>6.0750000000000002</v>
      </c>
      <c r="AM189" s="41">
        <f>SUMIF(헤몬팜마진!$B$7:$B$32,$C189,헤몬팜마진!$U$7:$U$32)</f>
        <v>31.005000000000003</v>
      </c>
      <c r="AN189" s="36"/>
      <c r="AO189" s="202">
        <v>51162</v>
      </c>
      <c r="AP189" s="205">
        <v>87</v>
      </c>
      <c r="AQ189" s="126"/>
      <c r="AR189" s="126"/>
      <c r="AS189" s="126"/>
      <c r="AT189" s="118"/>
      <c r="AU189" s="118"/>
      <c r="AV189" s="118"/>
      <c r="AW189" s="118"/>
      <c r="AX189" s="118"/>
      <c r="AY189" s="118"/>
      <c r="AZ189" s="118"/>
      <c r="BA189" s="118"/>
      <c r="BB189" s="118"/>
      <c r="BC189" s="118"/>
      <c r="BD189" s="118"/>
      <c r="BE189" s="118"/>
      <c r="BF189" s="118"/>
      <c r="BG189" s="47"/>
      <c r="BH189" s="47"/>
      <c r="BI189" s="47"/>
      <c r="BJ189" s="47"/>
      <c r="BK189" s="47"/>
    </row>
    <row r="190" spans="1:63" ht="28.5" customHeight="1">
      <c r="A190" s="327" t="s">
        <v>134</v>
      </c>
      <c r="B190" s="323"/>
      <c r="C190" s="42" t="s">
        <v>112</v>
      </c>
      <c r="D190" s="29" t="e">
        <f t="shared" si="242"/>
        <v>#REF!</v>
      </c>
      <c r="E190" s="201" t="e">
        <f t="shared" si="243"/>
        <v>#REF!</v>
      </c>
      <c r="F190" s="30">
        <f t="shared" si="244"/>
        <v>0.23618322381136453</v>
      </c>
      <c r="G190" s="30">
        <f t="shared" si="245"/>
        <v>3.2000000000000001E-2</v>
      </c>
      <c r="H190" s="312">
        <v>0</v>
      </c>
      <c r="I190" s="35">
        <f t="shared" si="246"/>
        <v>140</v>
      </c>
      <c r="J190" s="35">
        <f t="shared" si="247"/>
        <v>280</v>
      </c>
      <c r="K190" s="325">
        <v>343</v>
      </c>
      <c r="L190" s="39">
        <f>97+42+48+31+19+10</f>
        <v>247</v>
      </c>
      <c r="M190" s="210"/>
      <c r="N190" s="44">
        <v>20</v>
      </c>
      <c r="O190" s="202">
        <v>13</v>
      </c>
      <c r="P190" s="31">
        <f t="shared" si="248"/>
        <v>13</v>
      </c>
      <c r="Q190" s="202"/>
      <c r="R190" s="167">
        <v>8</v>
      </c>
      <c r="S190" s="36"/>
      <c r="T190" s="34">
        <f t="shared" si="249"/>
        <v>517400</v>
      </c>
      <c r="U190" s="31">
        <f t="shared" si="250"/>
        <v>0</v>
      </c>
      <c r="V190" s="34">
        <f t="shared" si="251"/>
        <v>517400</v>
      </c>
      <c r="W190" s="43">
        <v>39800</v>
      </c>
      <c r="X190" s="34">
        <f>SUMIF(헤몬팜마진!$B$7:$B$32,$C190,헤몬팜마진!$R$7:$R$32)</f>
        <v>7855.1382499999991</v>
      </c>
      <c r="Y190" s="34" t="e">
        <f t="shared" si="252"/>
        <v>#REF!</v>
      </c>
      <c r="Z190" s="34">
        <f t="shared" si="253"/>
        <v>122201.20000000001</v>
      </c>
      <c r="AA190" s="49">
        <v>111092</v>
      </c>
      <c r="AB190" s="209"/>
      <c r="AC190" s="204">
        <f t="shared" si="260"/>
        <v>0</v>
      </c>
      <c r="AD190" s="152">
        <v>0.08</v>
      </c>
      <c r="AE190" s="31">
        <f>4150*(P190)</f>
        <v>53950</v>
      </c>
      <c r="AF190" s="28">
        <f t="shared" si="255"/>
        <v>0.18427135678391959</v>
      </c>
      <c r="AG190" s="34">
        <f t="shared" si="256"/>
        <v>95342.03</v>
      </c>
      <c r="AH190" s="34" t="e">
        <f t="shared" si="257"/>
        <v>#REF!</v>
      </c>
      <c r="AI190" s="34" t="e">
        <f>SUMIF(헤몬팜마진!$B$7:$B$32,$C190,헤몬팜마진!$V$7:$V$32)</f>
        <v>#REF!</v>
      </c>
      <c r="AJ190" s="34" t="e">
        <f t="shared" si="258"/>
        <v>#REF!</v>
      </c>
      <c r="AK190" s="46" t="e">
        <f t="shared" si="259"/>
        <v>#REF!</v>
      </c>
      <c r="AL190" s="40">
        <f>SUMIF(헤몬팜마진!$B$7:$B$32,$C190,헤몬팜마진!$T$7:$T$32)</f>
        <v>176.41799999999998</v>
      </c>
      <c r="AM190" s="41">
        <f>SUMIF(헤몬팜마진!$B$7:$B$32,$C190,헤몬팜마진!$U$7:$U$32)</f>
        <v>900.38519999999994</v>
      </c>
      <c r="AN190" s="36"/>
      <c r="AO190" s="202">
        <v>101904</v>
      </c>
      <c r="AP190" s="205">
        <v>250</v>
      </c>
      <c r="AQ190" s="126"/>
      <c r="AR190" s="126"/>
      <c r="AS190" s="126"/>
      <c r="AT190" s="118"/>
      <c r="AU190" s="118"/>
      <c r="AV190" s="118"/>
      <c r="AW190" s="118"/>
      <c r="AX190" s="118"/>
      <c r="AY190" s="118"/>
      <c r="AZ190" s="118"/>
      <c r="BA190" s="118"/>
      <c r="BB190" s="118"/>
      <c r="BC190" s="118"/>
      <c r="BD190" s="118"/>
      <c r="BE190" s="118"/>
      <c r="BF190" s="118"/>
      <c r="BG190" s="47"/>
      <c r="BH190" s="47"/>
      <c r="BI190" s="47"/>
      <c r="BJ190" s="47"/>
      <c r="BK190" s="47"/>
    </row>
    <row r="191" spans="1:63" ht="28.5" customHeight="1">
      <c r="A191" s="318"/>
      <c r="B191" s="324"/>
      <c r="C191" s="42" t="s">
        <v>113</v>
      </c>
      <c r="D191" s="28" t="e">
        <f t="shared" si="242"/>
        <v>#REF!</v>
      </c>
      <c r="E191" s="201" t="e">
        <f t="shared" si="243"/>
        <v>#REF!</v>
      </c>
      <c r="F191" s="30">
        <f t="shared" si="244"/>
        <v>0.20448717948717951</v>
      </c>
      <c r="G191" s="30">
        <f t="shared" si="245"/>
        <v>2.5316455696202531E-2</v>
      </c>
      <c r="H191" s="310"/>
      <c r="I191" s="35">
        <f t="shared" si="246"/>
        <v>105</v>
      </c>
      <c r="J191" s="35">
        <f t="shared" si="247"/>
        <v>210</v>
      </c>
      <c r="K191" s="310"/>
      <c r="L191" s="39">
        <f>74+42+48+18+8+2</f>
        <v>192</v>
      </c>
      <c r="M191" s="210"/>
      <c r="N191" s="44">
        <v>15</v>
      </c>
      <c r="O191" s="36">
        <v>3</v>
      </c>
      <c r="P191" s="31">
        <f t="shared" si="248"/>
        <v>3</v>
      </c>
      <c r="Q191" s="36"/>
      <c r="R191" s="167">
        <v>2</v>
      </c>
      <c r="S191" s="36"/>
      <c r="T191" s="34">
        <f t="shared" si="249"/>
        <v>128700</v>
      </c>
      <c r="U191" s="31">
        <f t="shared" si="250"/>
        <v>0</v>
      </c>
      <c r="V191" s="34">
        <f t="shared" si="251"/>
        <v>128700</v>
      </c>
      <c r="W191" s="43">
        <v>42900</v>
      </c>
      <c r="X191" s="34">
        <f>SUMIF(헤몬팜마진!$B$7:$B$32,$C191,헤몬팜마진!$R$7:$R$32)</f>
        <v>7855.1382499999991</v>
      </c>
      <c r="Y191" s="34" t="e">
        <f t="shared" si="252"/>
        <v>#REF!</v>
      </c>
      <c r="Z191" s="34">
        <f t="shared" si="253"/>
        <v>26317.500000000004</v>
      </c>
      <c r="AA191" s="49">
        <v>23925</v>
      </c>
      <c r="AB191" s="36"/>
      <c r="AC191" s="204">
        <f t="shared" si="260"/>
        <v>0</v>
      </c>
      <c r="AD191" s="152">
        <v>7.8E-2</v>
      </c>
      <c r="AE191" s="31">
        <f>1900*(P191)</f>
        <v>5700</v>
      </c>
      <c r="AF191" s="28">
        <f t="shared" si="255"/>
        <v>0.12228904428904429</v>
      </c>
      <c r="AG191" s="34">
        <f t="shared" si="256"/>
        <v>15738.630000000001</v>
      </c>
      <c r="AH191" s="34" t="e">
        <f t="shared" si="257"/>
        <v>#REF!</v>
      </c>
      <c r="AI191" s="34" t="e">
        <f>SUMIF(헤몬팜마진!$B$7:$B$32,$C191,헤몬팜마진!$V$7:$V$32)</f>
        <v>#REF!</v>
      </c>
      <c r="AJ191" s="34" t="e">
        <f t="shared" si="258"/>
        <v>#REF!</v>
      </c>
      <c r="AK191" s="206" t="e">
        <f t="shared" si="259"/>
        <v>#REF!</v>
      </c>
      <c r="AL191" s="40">
        <f>SUMIF(헤몬팜마진!$B$7:$B$32,$C191,헤몬팜마진!$T$7:$T$32)</f>
        <v>176.41799999999998</v>
      </c>
      <c r="AM191" s="41">
        <f>SUMIF(헤몬팜마진!$B$7:$B$32,$C191,헤몬팜마진!$U$7:$U$32)</f>
        <v>900.38519999999994</v>
      </c>
      <c r="AN191" s="36"/>
      <c r="AO191" s="202">
        <v>13167</v>
      </c>
      <c r="AP191" s="205">
        <v>79</v>
      </c>
      <c r="AQ191" s="126"/>
      <c r="AR191" s="126"/>
      <c r="AS191" s="126"/>
      <c r="AT191" s="118"/>
      <c r="AU191" s="118"/>
      <c r="AV191" s="118"/>
      <c r="AW191" s="118"/>
      <c r="AX191" s="118"/>
      <c r="AY191" s="118"/>
      <c r="AZ191" s="118"/>
      <c r="BA191" s="118"/>
      <c r="BB191" s="118"/>
      <c r="BC191" s="118"/>
      <c r="BD191" s="118"/>
      <c r="BE191" s="118"/>
      <c r="BF191" s="118"/>
      <c r="BG191" s="47"/>
      <c r="BH191" s="47"/>
      <c r="BI191" s="47"/>
      <c r="BJ191" s="47"/>
      <c r="BK191" s="47"/>
    </row>
    <row r="192" spans="1:63" ht="28.5" customHeight="1">
      <c r="A192" s="228" t="s">
        <v>135</v>
      </c>
      <c r="B192" s="200"/>
      <c r="C192" s="42" t="s">
        <v>114</v>
      </c>
      <c r="D192" s="28">
        <f t="shared" si="242"/>
        <v>0.30092408005445087</v>
      </c>
      <c r="E192" s="201">
        <f t="shared" si="243"/>
        <v>0.36298885870028424</v>
      </c>
      <c r="F192" s="30">
        <f t="shared" si="244"/>
        <v>6.2064778645833346E-2</v>
      </c>
      <c r="G192" s="30">
        <f t="shared" si="245"/>
        <v>7.8125E-2</v>
      </c>
      <c r="H192" s="35">
        <v>1750</v>
      </c>
      <c r="I192" s="35">
        <f t="shared" si="246"/>
        <v>350</v>
      </c>
      <c r="J192" s="35">
        <f t="shared" si="247"/>
        <v>700</v>
      </c>
      <c r="K192" s="39">
        <v>1449</v>
      </c>
      <c r="L192" s="39">
        <v>1217</v>
      </c>
      <c r="M192" s="210"/>
      <c r="N192" s="44">
        <v>50</v>
      </c>
      <c r="O192" s="202">
        <v>16</v>
      </c>
      <c r="P192" s="31">
        <f t="shared" si="248"/>
        <v>16</v>
      </c>
      <c r="Q192" s="36"/>
      <c r="R192" s="203">
        <v>5</v>
      </c>
      <c r="S192" s="36"/>
      <c r="T192" s="34">
        <f t="shared" si="249"/>
        <v>307200</v>
      </c>
      <c r="U192" s="31">
        <f t="shared" si="250"/>
        <v>0</v>
      </c>
      <c r="V192" s="34">
        <f t="shared" si="251"/>
        <v>307200</v>
      </c>
      <c r="W192" s="43">
        <v>19200</v>
      </c>
      <c r="X192" s="34">
        <f>SUMIF(헤몬팜마진!$B$7:$B$32,$C192,헤몬팜마진!$R$7:$R$32)</f>
        <v>6372.6191999999992</v>
      </c>
      <c r="Y192" s="34">
        <f t="shared" si="252"/>
        <v>108342.96319999998</v>
      </c>
      <c r="Z192" s="34">
        <f t="shared" si="253"/>
        <v>19066.300000000003</v>
      </c>
      <c r="AA192" s="49">
        <v>17333</v>
      </c>
      <c r="AB192" s="36"/>
      <c r="AC192" s="204">
        <f t="shared" si="260"/>
        <v>0</v>
      </c>
      <c r="AD192" s="152">
        <v>0.08</v>
      </c>
      <c r="AE192" s="31">
        <f>3350*(P192)</f>
        <v>53600</v>
      </c>
      <c r="AF192" s="28">
        <f t="shared" si="255"/>
        <v>0.25447916666666665</v>
      </c>
      <c r="AG192" s="34">
        <f t="shared" si="256"/>
        <v>78176.03</v>
      </c>
      <c r="AH192" s="34">
        <f t="shared" si="257"/>
        <v>9170.8294072727258</v>
      </c>
      <c r="AI192" s="34">
        <f>SUMIF(헤몬팜마진!$B$7:$B$32,$C192,헤몬팜마진!$V$7:$V$32)</f>
        <v>6771.435199999999</v>
      </c>
      <c r="AJ192" s="34">
        <f t="shared" si="258"/>
        <v>111510.17739272732</v>
      </c>
      <c r="AK192" s="46">
        <f t="shared" si="259"/>
        <v>92443.877392727314</v>
      </c>
      <c r="AL192" s="40">
        <f>SUMIF(헤몬팜마진!$B$7:$B$32,$C192,헤몬팜마진!$T$7:$T$32)</f>
        <v>65.34</v>
      </c>
      <c r="AM192" s="41">
        <f>SUMIF(헤몬팜마진!$B$7:$B$32,$C192,헤몬팜마진!$U$7:$U$32)</f>
        <v>333.476</v>
      </c>
      <c r="AN192" s="36"/>
      <c r="AO192" s="202">
        <v>35379</v>
      </c>
      <c r="AP192" s="205">
        <v>64</v>
      </c>
      <c r="AQ192" s="126"/>
      <c r="AR192" s="126"/>
      <c r="AS192" s="126"/>
      <c r="AT192" s="118"/>
      <c r="AU192" s="118"/>
      <c r="AV192" s="118"/>
      <c r="AW192" s="118"/>
      <c r="AX192" s="118"/>
      <c r="AY192" s="118"/>
      <c r="AZ192" s="118"/>
      <c r="BA192" s="118"/>
      <c r="BB192" s="118"/>
      <c r="BC192" s="118"/>
      <c r="BD192" s="118"/>
      <c r="BE192" s="118"/>
      <c r="BF192" s="118"/>
      <c r="BG192" s="47"/>
      <c r="BH192" s="47"/>
      <c r="BI192" s="47"/>
      <c r="BJ192" s="47"/>
      <c r="BK192" s="47"/>
    </row>
    <row r="193" spans="1:63" ht="28.5" customHeight="1">
      <c r="A193" s="327" t="s">
        <v>136</v>
      </c>
      <c r="B193" s="326"/>
      <c r="C193" s="42" t="s">
        <v>115</v>
      </c>
      <c r="D193" s="28" t="e">
        <f t="shared" si="242"/>
        <v>#REF!</v>
      </c>
      <c r="E193" s="201" t="e">
        <f t="shared" si="243"/>
        <v>#REF!</v>
      </c>
      <c r="F193" s="30">
        <f t="shared" si="244"/>
        <v>0.2209233576642336</v>
      </c>
      <c r="G193" s="30">
        <f t="shared" si="245"/>
        <v>1.8181818181818181E-2</v>
      </c>
      <c r="H193" s="35">
        <v>0</v>
      </c>
      <c r="I193" s="35">
        <f t="shared" si="246"/>
        <v>70</v>
      </c>
      <c r="J193" s="35">
        <f t="shared" si="247"/>
        <v>140</v>
      </c>
      <c r="K193" s="328">
        <v>494</v>
      </c>
      <c r="L193" s="39">
        <v>0</v>
      </c>
      <c r="M193" s="210"/>
      <c r="N193" s="44">
        <v>10</v>
      </c>
      <c r="O193" s="36">
        <v>7</v>
      </c>
      <c r="P193" s="31">
        <f t="shared" si="248"/>
        <v>7</v>
      </c>
      <c r="Q193" s="36"/>
      <c r="R193" s="167">
        <v>2</v>
      </c>
      <c r="S193" s="36"/>
      <c r="T193" s="34">
        <f t="shared" si="249"/>
        <v>383600</v>
      </c>
      <c r="U193" s="31">
        <f t="shared" si="250"/>
        <v>0</v>
      </c>
      <c r="V193" s="34">
        <f t="shared" si="251"/>
        <v>383600</v>
      </c>
      <c r="W193" s="43">
        <v>54800</v>
      </c>
      <c r="X193" s="34">
        <f>SUMIF(헤몬팜마진!$B$7:$B$32,$C193,헤몬팜마진!$R$7:$R$32)</f>
        <v>12169.932499999999</v>
      </c>
      <c r="Y193" s="34" t="e">
        <f t="shared" si="252"/>
        <v>#REF!</v>
      </c>
      <c r="Z193" s="34">
        <f t="shared" si="253"/>
        <v>84746.200000000012</v>
      </c>
      <c r="AA193" s="49">
        <v>77042</v>
      </c>
      <c r="AB193" s="36"/>
      <c r="AC193" s="204">
        <f t="shared" si="260"/>
        <v>0</v>
      </c>
      <c r="AD193" s="152">
        <v>7.8E-2</v>
      </c>
      <c r="AE193" s="31">
        <f t="shared" ref="AE193:AE194" si="263">4825*(P193)</f>
        <v>33775</v>
      </c>
      <c r="AF193" s="28">
        <f t="shared" si="255"/>
        <v>0.16604744525547444</v>
      </c>
      <c r="AG193" s="34">
        <f t="shared" si="256"/>
        <v>63695.829999999994</v>
      </c>
      <c r="AH193" s="34" t="e">
        <f t="shared" si="257"/>
        <v>#REF!</v>
      </c>
      <c r="AI193" s="34" t="e">
        <f>SUMIF(헤몬팜마진!$B$7:$B$32,$C193,헤몬팜마진!$V$7:$V$32)</f>
        <v>#REF!</v>
      </c>
      <c r="AJ193" s="34" t="e">
        <f t="shared" si="258"/>
        <v>#REF!</v>
      </c>
      <c r="AK193" s="206" t="e">
        <f t="shared" si="259"/>
        <v>#REF!</v>
      </c>
      <c r="AL193" s="40">
        <f>SUMIF(헤몬팜마진!$B$7:$B$32,$C193,헤몬팜마진!$T$7:$T$32)</f>
        <v>181.44000000000003</v>
      </c>
      <c r="AM193" s="41">
        <f>SUMIF(헤몬팜마진!$B$7:$B$32,$C193,헤몬팜마진!$U$7:$U$32)</f>
        <v>926.01600000000019</v>
      </c>
      <c r="AN193" s="36"/>
      <c r="AO193" s="202">
        <v>26757</v>
      </c>
      <c r="AP193" s="205">
        <v>110</v>
      </c>
      <c r="AQ193" s="126"/>
      <c r="AR193" s="126"/>
      <c r="AS193" s="126"/>
      <c r="AT193" s="118"/>
      <c r="AU193" s="118"/>
      <c r="AV193" s="118"/>
      <c r="AW193" s="118"/>
      <c r="AX193" s="118"/>
      <c r="AY193" s="118"/>
      <c r="AZ193" s="118"/>
      <c r="BA193" s="118"/>
      <c r="BB193" s="118"/>
      <c r="BC193" s="118"/>
      <c r="BD193" s="118"/>
      <c r="BE193" s="118"/>
      <c r="BF193" s="118"/>
      <c r="BG193" s="47"/>
      <c r="BH193" s="47"/>
      <c r="BI193" s="47"/>
      <c r="BJ193" s="47"/>
      <c r="BK193" s="47"/>
    </row>
    <row r="194" spans="1:63" ht="28.5" customHeight="1">
      <c r="A194" s="318"/>
      <c r="B194" s="324"/>
      <c r="C194" s="42" t="s">
        <v>116</v>
      </c>
      <c r="D194" s="28" t="e">
        <f t="shared" si="242"/>
        <v>#REF!</v>
      </c>
      <c r="E194" s="201" t="e">
        <f t="shared" si="243"/>
        <v>#REF!</v>
      </c>
      <c r="F194" s="30">
        <f t="shared" si="244"/>
        <v>0.14204192395190121</v>
      </c>
      <c r="G194" s="30">
        <f t="shared" si="245"/>
        <v>2.5000000000000001E-2</v>
      </c>
      <c r="H194" s="35">
        <v>0</v>
      </c>
      <c r="I194" s="35">
        <f t="shared" si="246"/>
        <v>70</v>
      </c>
      <c r="J194" s="35">
        <f t="shared" si="247"/>
        <v>140</v>
      </c>
      <c r="K194" s="310"/>
      <c r="L194" s="39">
        <v>1</v>
      </c>
      <c r="M194" s="210"/>
      <c r="N194" s="44">
        <v>10</v>
      </c>
      <c r="O194" s="202">
        <v>10</v>
      </c>
      <c r="P194" s="31">
        <f t="shared" si="248"/>
        <v>10</v>
      </c>
      <c r="Q194" s="202"/>
      <c r="R194" s="203">
        <v>5</v>
      </c>
      <c r="S194" s="36"/>
      <c r="T194" s="34">
        <f t="shared" si="249"/>
        <v>615400</v>
      </c>
      <c r="U194" s="31">
        <f t="shared" si="250"/>
        <v>0</v>
      </c>
      <c r="V194" s="34">
        <f t="shared" si="251"/>
        <v>615400</v>
      </c>
      <c r="W194" s="43">
        <v>61540</v>
      </c>
      <c r="X194" s="34">
        <f>SUMIF(헤몬팜마진!$B$7:$B$32,$C194,헤몬팜마진!$R$7:$R$32)</f>
        <v>12169.932499999999</v>
      </c>
      <c r="Y194" s="34" t="e">
        <f t="shared" si="252"/>
        <v>#REF!</v>
      </c>
      <c r="Z194" s="34">
        <f t="shared" si="253"/>
        <v>87412.6</v>
      </c>
      <c r="AA194" s="49">
        <v>79466</v>
      </c>
      <c r="AB194" s="36"/>
      <c r="AC194" s="204">
        <f t="shared" si="260"/>
        <v>0</v>
      </c>
      <c r="AD194" s="152">
        <v>7.8E-2</v>
      </c>
      <c r="AE194" s="31">
        <f t="shared" si="263"/>
        <v>48250</v>
      </c>
      <c r="AF194" s="28">
        <f t="shared" si="255"/>
        <v>0.15640428989275268</v>
      </c>
      <c r="AG194" s="34">
        <f t="shared" si="256"/>
        <v>96251.23</v>
      </c>
      <c r="AH194" s="34" t="e">
        <f t="shared" si="257"/>
        <v>#REF!</v>
      </c>
      <c r="AI194" s="34" t="e">
        <f>SUMIF(헤몬팜마진!$B$7:$B$32,$C194,헤몬팜마진!$V$7:$V$32)</f>
        <v>#REF!</v>
      </c>
      <c r="AJ194" s="34" t="e">
        <f t="shared" si="258"/>
        <v>#REF!</v>
      </c>
      <c r="AK194" s="46" t="e">
        <f t="shared" si="259"/>
        <v>#REF!</v>
      </c>
      <c r="AL194" s="40">
        <f>SUMIF(헤몬팜마진!$B$7:$B$32,$C194,헤몬팜마진!$T$7:$T$32)</f>
        <v>181.44000000000003</v>
      </c>
      <c r="AM194" s="41">
        <f>SUMIF(헤몬팜마진!$B$7:$B$32,$C194,헤몬팜마진!$U$7:$U$32)</f>
        <v>926.01600000000019</v>
      </c>
      <c r="AN194" s="36"/>
      <c r="AO194" s="235">
        <v>40953</v>
      </c>
      <c r="AP194" s="235">
        <v>200</v>
      </c>
      <c r="AQ194" s="126"/>
      <c r="AR194" s="126"/>
      <c r="AS194" s="126"/>
      <c r="AT194" s="118"/>
      <c r="AU194" s="118"/>
      <c r="AV194" s="118"/>
      <c r="AW194" s="118"/>
      <c r="AX194" s="118"/>
      <c r="AY194" s="118"/>
      <c r="AZ194" s="118"/>
      <c r="BA194" s="118"/>
      <c r="BB194" s="118"/>
      <c r="BC194" s="118"/>
      <c r="BD194" s="118"/>
      <c r="BE194" s="118"/>
      <c r="BF194" s="118"/>
      <c r="BG194" s="47"/>
      <c r="BH194" s="47"/>
      <c r="BI194" s="47"/>
      <c r="BJ194" s="47"/>
      <c r="BK194" s="47"/>
    </row>
    <row r="195" spans="1:63" ht="28.5" customHeight="1">
      <c r="A195" s="228" t="s">
        <v>137</v>
      </c>
      <c r="B195" s="200"/>
      <c r="C195" s="42" t="s">
        <v>117</v>
      </c>
      <c r="D195" s="28">
        <f t="shared" si="242"/>
        <v>0.35542314370051875</v>
      </c>
      <c r="E195" s="201">
        <f t="shared" si="243"/>
        <v>0.49826623679361182</v>
      </c>
      <c r="F195" s="30">
        <f t="shared" si="244"/>
        <v>0.14284309309309309</v>
      </c>
      <c r="G195" s="30">
        <f t="shared" si="245"/>
        <v>1.1152416356877323E-2</v>
      </c>
      <c r="H195" s="35">
        <v>2000</v>
      </c>
      <c r="I195" s="35">
        <f t="shared" si="246"/>
        <v>700</v>
      </c>
      <c r="J195" s="35">
        <f t="shared" si="247"/>
        <v>1400</v>
      </c>
      <c r="K195" s="39">
        <v>2373</v>
      </c>
      <c r="L195" s="39">
        <v>3</v>
      </c>
      <c r="M195" s="210"/>
      <c r="N195" s="44">
        <v>100</v>
      </c>
      <c r="O195" s="202">
        <v>15</v>
      </c>
      <c r="P195" s="31">
        <f t="shared" si="248"/>
        <v>15</v>
      </c>
      <c r="Q195" s="202"/>
      <c r="R195" s="203">
        <v>3</v>
      </c>
      <c r="S195" s="36"/>
      <c r="T195" s="34">
        <f t="shared" si="249"/>
        <v>266400</v>
      </c>
      <c r="U195" s="31">
        <f t="shared" si="250"/>
        <v>0</v>
      </c>
      <c r="V195" s="34">
        <f t="shared" si="251"/>
        <v>266400</v>
      </c>
      <c r="W195" s="43">
        <v>17760</v>
      </c>
      <c r="X195" s="34">
        <f>SUMIF(헤몬팜마진!$B$7:$B$32,$C195,헤몬팜마진!$R$7:$R$32)</f>
        <v>3982.8869999999997</v>
      </c>
      <c r="Y195" s="34">
        <f t="shared" si="252"/>
        <v>72558.152999999991</v>
      </c>
      <c r="Z195" s="34">
        <f t="shared" si="253"/>
        <v>38053.4</v>
      </c>
      <c r="AA195" s="49">
        <f>23107+11487</f>
        <v>34594</v>
      </c>
      <c r="AB195" s="36"/>
      <c r="AC195" s="204">
        <f t="shared" si="260"/>
        <v>0</v>
      </c>
      <c r="AD195" s="152">
        <v>7.8E-2</v>
      </c>
      <c r="AE195" s="31">
        <f t="shared" ref="AE195:AE196" si="264">1900*(P195)</f>
        <v>28500</v>
      </c>
      <c r="AF195" s="28">
        <f t="shared" si="255"/>
        <v>0.18498198198198199</v>
      </c>
      <c r="AG195" s="34">
        <f t="shared" si="256"/>
        <v>49279.23</v>
      </c>
      <c r="AH195" s="34">
        <f t="shared" si="257"/>
        <v>11824.491518181818</v>
      </c>
      <c r="AI195" s="34">
        <f>SUMIF(헤몬팜마진!$B$7:$B$32,$C195,헤몬팜마진!$V$7:$V$32)</f>
        <v>4837.2101999999995</v>
      </c>
      <c r="AJ195" s="34">
        <f t="shared" si="258"/>
        <v>132738.12548181819</v>
      </c>
      <c r="AK195" s="46">
        <f t="shared" si="259"/>
        <v>94684.725481818197</v>
      </c>
      <c r="AL195" s="40">
        <f>SUMIF(헤몬팜마진!$B$7:$B$32,$C195,헤몬팜마진!$T$7:$T$32)</f>
        <v>139.96800000000002</v>
      </c>
      <c r="AM195" s="41">
        <f>SUMIF(헤몬팜마진!$B$7:$B$32,$C195,헤몬팜마진!$U$7:$U$32)</f>
        <v>714.35519999999997</v>
      </c>
      <c r="AN195" s="36"/>
      <c r="AO195" s="202">
        <v>72344</v>
      </c>
      <c r="AP195" s="205">
        <v>269</v>
      </c>
      <c r="AQ195" s="126"/>
      <c r="AR195" s="126"/>
      <c r="AS195" s="126"/>
      <c r="AT195" s="118"/>
      <c r="AU195" s="118"/>
      <c r="AV195" s="118"/>
      <c r="AW195" s="118"/>
      <c r="AX195" s="118"/>
      <c r="AY195" s="118"/>
      <c r="AZ195" s="118"/>
      <c r="BA195" s="118"/>
      <c r="BB195" s="118"/>
      <c r="BC195" s="118"/>
      <c r="BD195" s="118"/>
      <c r="BE195" s="118"/>
      <c r="BF195" s="118"/>
      <c r="BG195" s="47"/>
      <c r="BH195" s="47"/>
      <c r="BI195" s="47"/>
      <c r="BJ195" s="47"/>
      <c r="BK195" s="47"/>
    </row>
    <row r="196" spans="1:63" ht="28.5" customHeight="1">
      <c r="A196" s="228" t="s">
        <v>138</v>
      </c>
      <c r="B196" s="200"/>
      <c r="C196" s="42" t="s">
        <v>118</v>
      </c>
      <c r="D196" s="28">
        <f t="shared" si="242"/>
        <v>0.24698636070381233</v>
      </c>
      <c r="E196" s="201">
        <f t="shared" si="243"/>
        <v>0.43889200586510269</v>
      </c>
      <c r="F196" s="30">
        <f t="shared" si="244"/>
        <v>0.19190564516129036</v>
      </c>
      <c r="G196" s="30">
        <f t="shared" si="245"/>
        <v>5.9829059829059832E-2</v>
      </c>
      <c r="H196" s="35">
        <v>0</v>
      </c>
      <c r="I196" s="35">
        <f t="shared" si="246"/>
        <v>350</v>
      </c>
      <c r="J196" s="35">
        <f t="shared" si="247"/>
        <v>700</v>
      </c>
      <c r="K196" s="39">
        <v>87</v>
      </c>
      <c r="L196" s="39">
        <v>0</v>
      </c>
      <c r="M196" s="210"/>
      <c r="N196" s="44">
        <v>50</v>
      </c>
      <c r="O196" s="202">
        <v>10</v>
      </c>
      <c r="P196" s="31">
        <f t="shared" si="248"/>
        <v>10</v>
      </c>
      <c r="Q196" s="36"/>
      <c r="R196" s="203">
        <v>7</v>
      </c>
      <c r="S196" s="36"/>
      <c r="T196" s="34">
        <f t="shared" si="249"/>
        <v>248000</v>
      </c>
      <c r="U196" s="31">
        <f t="shared" si="250"/>
        <v>0</v>
      </c>
      <c r="V196" s="34">
        <f t="shared" si="251"/>
        <v>248000</v>
      </c>
      <c r="W196" s="43">
        <v>24800</v>
      </c>
      <c r="X196" s="34">
        <f>SUMIF(헤몬팜마진!$B$7:$B$32,$C196,헤몬팜마진!$R$7:$R$32)</f>
        <v>8408.3169999999991</v>
      </c>
      <c r="Y196" s="34">
        <f t="shared" si="252"/>
        <v>85797.09</v>
      </c>
      <c r="Z196" s="34">
        <f t="shared" si="253"/>
        <v>47592.600000000006</v>
      </c>
      <c r="AA196" s="49">
        <v>43266</v>
      </c>
      <c r="AB196" s="209"/>
      <c r="AC196" s="204">
        <f t="shared" si="260"/>
        <v>0</v>
      </c>
      <c r="AD196" s="152">
        <v>0.1</v>
      </c>
      <c r="AE196" s="31">
        <f t="shared" si="264"/>
        <v>19000</v>
      </c>
      <c r="AF196" s="28">
        <f t="shared" si="255"/>
        <v>0.17661290322580647</v>
      </c>
      <c r="AG196" s="34">
        <f t="shared" si="256"/>
        <v>43800.030000000006</v>
      </c>
      <c r="AH196" s="34">
        <f t="shared" si="257"/>
        <v>9557.6625454545429</v>
      </c>
      <c r="AI196" s="34">
        <f>SUMIF(헤몬팜마진!$B$7:$B$32,$C196,헤몬팜마진!$V$7:$V$32)</f>
        <v>8579.7089999999989</v>
      </c>
      <c r="AJ196" s="34">
        <f t="shared" si="258"/>
        <v>108845.21745454546</v>
      </c>
      <c r="AK196" s="206">
        <f t="shared" si="259"/>
        <v>61252.617454545456</v>
      </c>
      <c r="AL196" s="40">
        <f>SUMIF(헤몬팜마진!$B$7:$B$32,$C196,헤몬팜마진!$T$7:$T$32)</f>
        <v>28.079999999999995</v>
      </c>
      <c r="AM196" s="41">
        <f>SUMIF(헤몬팜마진!$B$7:$B$32,$C196,헤몬팜마진!$U$7:$U$32)</f>
        <v>143.31199999999998</v>
      </c>
      <c r="AN196" s="36"/>
      <c r="AO196" s="202">
        <v>66426</v>
      </c>
      <c r="AP196" s="205">
        <v>117</v>
      </c>
      <c r="AQ196" s="126"/>
      <c r="AR196" s="126"/>
      <c r="AS196" s="126"/>
      <c r="AT196" s="118"/>
      <c r="AU196" s="118"/>
      <c r="AV196" s="118"/>
      <c r="AW196" s="118"/>
      <c r="AX196" s="118"/>
      <c r="AY196" s="118"/>
      <c r="AZ196" s="118"/>
      <c r="BA196" s="118"/>
      <c r="BB196" s="118"/>
      <c r="BC196" s="118"/>
      <c r="BD196" s="118"/>
      <c r="BE196" s="118"/>
      <c r="BF196" s="118"/>
      <c r="BG196" s="47"/>
      <c r="BH196" s="47"/>
      <c r="BI196" s="47"/>
      <c r="BJ196" s="47"/>
      <c r="BK196" s="47"/>
    </row>
    <row r="197" spans="1:63" ht="28.5" customHeight="1">
      <c r="A197" s="12"/>
      <c r="B197" s="214" t="s">
        <v>126</v>
      </c>
      <c r="C197" s="42" t="s">
        <v>31</v>
      </c>
      <c r="D197" s="28">
        <f t="shared" si="242"/>
        <v>8.4463008964996283E-2</v>
      </c>
      <c r="E197" s="201">
        <f t="shared" si="243"/>
        <v>0.40281959420800811</v>
      </c>
      <c r="F197" s="30">
        <f t="shared" si="244"/>
        <v>0.31835658524301186</v>
      </c>
      <c r="G197" s="30">
        <f t="shared" si="245"/>
        <v>5.2401746724890827E-2</v>
      </c>
      <c r="H197" s="35">
        <v>700</v>
      </c>
      <c r="I197" s="35">
        <f t="shared" si="246"/>
        <v>210</v>
      </c>
      <c r="J197" s="35">
        <f t="shared" si="247"/>
        <v>420</v>
      </c>
      <c r="K197" s="39">
        <v>954</v>
      </c>
      <c r="L197" s="39">
        <v>2</v>
      </c>
      <c r="M197" s="210"/>
      <c r="N197" s="44">
        <v>30</v>
      </c>
      <c r="O197" s="36">
        <v>19</v>
      </c>
      <c r="P197" s="31">
        <f t="shared" si="248"/>
        <v>19</v>
      </c>
      <c r="Q197" s="36">
        <v>1</v>
      </c>
      <c r="R197" s="167">
        <v>12</v>
      </c>
      <c r="S197" s="36"/>
      <c r="T197" s="34">
        <f t="shared" si="249"/>
        <v>397100</v>
      </c>
      <c r="U197" s="31">
        <f t="shared" si="250"/>
        <v>0</v>
      </c>
      <c r="V197" s="34">
        <f t="shared" si="251"/>
        <v>397100</v>
      </c>
      <c r="W197" s="43">
        <v>20900</v>
      </c>
      <c r="X197" s="34">
        <f>SUMIF(헤몬팜마진!$B$7:$B$32,$C197,헤몬팜마진!$R$7:$R$32)</f>
        <v>6638.1449999999995</v>
      </c>
      <c r="Y197" s="34">
        <f t="shared" si="252"/>
        <v>127026.54059999998</v>
      </c>
      <c r="Z197" s="34">
        <f t="shared" si="253"/>
        <v>105450.40000000001</v>
      </c>
      <c r="AA197" s="48">
        <v>95864</v>
      </c>
      <c r="AB197" s="211">
        <f>((20900*0.015)+(20900*0.19)+2100+2200+1900)*2</f>
        <v>20969</v>
      </c>
      <c r="AC197" s="204">
        <f t="shared" si="260"/>
        <v>2310</v>
      </c>
      <c r="AD197" s="152">
        <v>0.08</v>
      </c>
      <c r="AE197" s="31">
        <f>3400*(P197)</f>
        <v>64600</v>
      </c>
      <c r="AF197" s="28">
        <f t="shared" si="255"/>
        <v>0.24267942583732055</v>
      </c>
      <c r="AG197" s="34">
        <f t="shared" si="256"/>
        <v>96368.029999999984</v>
      </c>
      <c r="AH197" s="34">
        <f t="shared" si="257"/>
        <v>13745.768539999994</v>
      </c>
      <c r="AI197" s="34">
        <f>SUMIF(헤몬팜마진!$B$7:$B$32,$C197,헤몬팜마진!$V$7:$V$32)</f>
        <v>6685.607399999999</v>
      </c>
      <c r="AJ197" s="34">
        <f t="shared" si="258"/>
        <v>159959.66086000003</v>
      </c>
      <c r="AK197" s="206">
        <f t="shared" si="259"/>
        <v>33540.260860000024</v>
      </c>
      <c r="AL197" s="40">
        <f>SUMIF(헤몬팜마진!$B$7:$B$32,$C197,헤몬팜마진!$T$7:$T$32)</f>
        <v>7.7759999999999998</v>
      </c>
      <c r="AM197" s="41">
        <f>SUMIF(헤몬팜마진!$B$7:$B$32,$C197,헤몬팜마진!$U$7:$U$32)</f>
        <v>39.686400000000006</v>
      </c>
      <c r="AN197" s="36"/>
      <c r="AO197" s="202">
        <v>183546</v>
      </c>
      <c r="AP197" s="205">
        <v>229</v>
      </c>
      <c r="AQ197" s="126"/>
      <c r="AR197" s="126"/>
      <c r="AS197" s="126"/>
      <c r="AT197" s="118"/>
      <c r="AU197" s="118"/>
      <c r="AV197" s="118"/>
      <c r="AW197" s="118"/>
      <c r="AX197" s="118"/>
      <c r="AY197" s="118"/>
      <c r="AZ197" s="118"/>
      <c r="BA197" s="118"/>
      <c r="BB197" s="118"/>
      <c r="BC197" s="118"/>
      <c r="BD197" s="118"/>
      <c r="BE197" s="118"/>
      <c r="BF197" s="118"/>
      <c r="BG197" s="47"/>
      <c r="BH197" s="47"/>
      <c r="BI197" s="47"/>
      <c r="BJ197" s="47"/>
      <c r="BK197" s="47"/>
    </row>
    <row r="198" spans="1:63" ht="28.5" customHeight="1">
      <c r="A198" s="327" t="s">
        <v>139</v>
      </c>
      <c r="B198" s="127" t="s">
        <v>127</v>
      </c>
      <c r="C198" s="42" t="s">
        <v>119</v>
      </c>
      <c r="D198" s="28">
        <f t="shared" si="242"/>
        <v>0.33097740113519214</v>
      </c>
      <c r="E198" s="201">
        <f t="shared" si="243"/>
        <v>0.43444844680773037</v>
      </c>
      <c r="F198" s="30">
        <f t="shared" si="244"/>
        <v>0.10347104567253822</v>
      </c>
      <c r="G198" s="30">
        <f t="shared" si="245"/>
        <v>0.18627450980392157</v>
      </c>
      <c r="H198" s="35">
        <v>2000</v>
      </c>
      <c r="I198" s="35">
        <f t="shared" si="246"/>
        <v>280</v>
      </c>
      <c r="J198" s="35">
        <f t="shared" si="247"/>
        <v>560</v>
      </c>
      <c r="K198" s="328">
        <v>1048</v>
      </c>
      <c r="L198" s="39">
        <f>311+240+1</f>
        <v>552</v>
      </c>
      <c r="M198" s="210"/>
      <c r="N198" s="44">
        <v>40</v>
      </c>
      <c r="O198" s="202">
        <v>36</v>
      </c>
      <c r="P198" s="31">
        <f t="shared" si="248"/>
        <v>36</v>
      </c>
      <c r="Q198" s="202">
        <v>5</v>
      </c>
      <c r="R198" s="203">
        <v>19</v>
      </c>
      <c r="S198" s="36"/>
      <c r="T198" s="34">
        <f t="shared" si="249"/>
        <v>892440</v>
      </c>
      <c r="U198" s="31">
        <f t="shared" si="250"/>
        <v>0</v>
      </c>
      <c r="V198" s="34">
        <f t="shared" si="251"/>
        <v>892440</v>
      </c>
      <c r="W198" s="43">
        <v>24790</v>
      </c>
      <c r="X198" s="34">
        <f>SUMIF(헤몬팜마진!$B$7:$B$32,$C198,헤몬팜마진!$R$7:$R$32)</f>
        <v>6859.4164999999994</v>
      </c>
      <c r="Y198" s="34">
        <f t="shared" si="252"/>
        <v>261130.25159999996</v>
      </c>
      <c r="Z198" s="34">
        <f t="shared" si="253"/>
        <v>92341.700000000012</v>
      </c>
      <c r="AA198" s="49">
        <v>83947</v>
      </c>
      <c r="AB198" s="209"/>
      <c r="AC198" s="204">
        <f t="shared" si="260"/>
        <v>11550</v>
      </c>
      <c r="AD198" s="152">
        <v>0.108</v>
      </c>
      <c r="AE198" s="31">
        <f>3150*(P198)</f>
        <v>113400</v>
      </c>
      <c r="AF198" s="28">
        <f t="shared" si="255"/>
        <v>0.23506736587333604</v>
      </c>
      <c r="AG198" s="34">
        <f t="shared" si="256"/>
        <v>209783.55000000002</v>
      </c>
      <c r="AH198" s="34">
        <f t="shared" si="257"/>
        <v>33807.02653090909</v>
      </c>
      <c r="AI198" s="34">
        <f>SUMIF(헤몬팜마진!$B$7:$B$32,$C198,헤몬팜마진!$V$7:$V$32)</f>
        <v>7253.6180999999988</v>
      </c>
      <c r="AJ198" s="34">
        <f t="shared" si="258"/>
        <v>387719.17186909087</v>
      </c>
      <c r="AK198" s="206">
        <f t="shared" si="259"/>
        <v>295377.47186909086</v>
      </c>
      <c r="AL198" s="40">
        <f>SUMIF(헤몬팜마진!$B$7:$B$32,$C198,헤몬팜마진!$T$7:$T$32)</f>
        <v>64.584000000000003</v>
      </c>
      <c r="AM198" s="41">
        <f>SUMIF(헤몬팜마진!$B$7:$B$32,$C198,헤몬팜마진!$U$7:$U$32)</f>
        <v>329.61759999999998</v>
      </c>
      <c r="AN198" s="36"/>
      <c r="AO198" s="235">
        <v>23840</v>
      </c>
      <c r="AP198" s="235">
        <v>102</v>
      </c>
      <c r="AQ198" s="126"/>
      <c r="AR198" s="126"/>
      <c r="AS198" s="126"/>
      <c r="AT198" s="118"/>
      <c r="AU198" s="118"/>
      <c r="AV198" s="118"/>
      <c r="AW198" s="118"/>
      <c r="AX198" s="118"/>
      <c r="AY198" s="118"/>
      <c r="AZ198" s="118"/>
      <c r="BA198" s="118"/>
      <c r="BB198" s="118"/>
      <c r="BC198" s="118"/>
      <c r="BD198" s="118"/>
      <c r="BE198" s="118"/>
      <c r="BF198" s="118"/>
      <c r="BG198" s="47"/>
      <c r="BH198" s="47"/>
      <c r="BI198" s="47"/>
      <c r="BJ198" s="47"/>
      <c r="BK198" s="47"/>
    </row>
    <row r="199" spans="1:63" ht="28.5" customHeight="1">
      <c r="A199" s="318"/>
      <c r="B199" s="214" t="s">
        <v>128</v>
      </c>
      <c r="C199" s="42" t="s">
        <v>120</v>
      </c>
      <c r="D199" s="28">
        <f t="shared" si="242"/>
        <v>-0.61077742608497032</v>
      </c>
      <c r="E199" s="201">
        <f t="shared" si="243"/>
        <v>0.41263714677935137</v>
      </c>
      <c r="F199" s="30">
        <f t="shared" si="244"/>
        <v>1.0234145728643216</v>
      </c>
      <c r="G199" s="30">
        <f t="shared" si="245"/>
        <v>0</v>
      </c>
      <c r="H199" s="35">
        <v>0</v>
      </c>
      <c r="I199" s="35">
        <f t="shared" si="246"/>
        <v>105</v>
      </c>
      <c r="J199" s="35">
        <f t="shared" si="247"/>
        <v>210</v>
      </c>
      <c r="K199" s="310"/>
      <c r="L199" s="39">
        <f>22+3</f>
        <v>25</v>
      </c>
      <c r="M199" s="210"/>
      <c r="N199" s="44">
        <v>15</v>
      </c>
      <c r="O199" s="36">
        <v>1</v>
      </c>
      <c r="P199" s="31">
        <f t="shared" si="248"/>
        <v>1</v>
      </c>
      <c r="Q199" s="36">
        <v>1</v>
      </c>
      <c r="R199" s="167"/>
      <c r="S199" s="36"/>
      <c r="T199" s="34">
        <f t="shared" si="249"/>
        <v>39800</v>
      </c>
      <c r="U199" s="31">
        <f t="shared" si="250"/>
        <v>0</v>
      </c>
      <c r="V199" s="34">
        <f t="shared" si="251"/>
        <v>39800</v>
      </c>
      <c r="W199" s="43">
        <v>39800</v>
      </c>
      <c r="X199" s="34">
        <f>SUMIF(헤몬팜마진!$B$7:$B$32,$C199,헤몬팜마진!$R$7:$R$32)</f>
        <v>13718.832999999999</v>
      </c>
      <c r="Y199" s="34">
        <f t="shared" si="252"/>
        <v>14113.034599999999</v>
      </c>
      <c r="Z199" s="34">
        <f t="shared" si="253"/>
        <v>40731.9</v>
      </c>
      <c r="AA199" s="49">
        <v>37029</v>
      </c>
      <c r="AB199" s="209"/>
      <c r="AC199" s="204">
        <f t="shared" si="260"/>
        <v>2310</v>
      </c>
      <c r="AD199" s="152">
        <v>0.108</v>
      </c>
      <c r="AE199" s="31">
        <f>3550*(P199)</f>
        <v>3550</v>
      </c>
      <c r="AF199" s="28">
        <f t="shared" si="255"/>
        <v>0.1971959798994975</v>
      </c>
      <c r="AG199" s="34">
        <f t="shared" si="256"/>
        <v>7848.43</v>
      </c>
      <c r="AH199" s="34">
        <f t="shared" si="257"/>
        <v>1415.5769581818181</v>
      </c>
      <c r="AI199" s="34">
        <f>SUMIF(헤몬팜마진!$B$7:$B$32,$C199,헤몬팜마진!$V$7:$V$32)</f>
        <v>14113.034599999999</v>
      </c>
      <c r="AJ199" s="34">
        <f t="shared" si="258"/>
        <v>16422.958441818184</v>
      </c>
      <c r="AK199" s="206">
        <f t="shared" si="259"/>
        <v>-24308.941558181818</v>
      </c>
      <c r="AL199" s="40">
        <f>SUMIF(헤몬팜마진!$B$7:$B$32,$C199,헤몬팜마진!$T$7:$T$32)</f>
        <v>64.584000000000003</v>
      </c>
      <c r="AM199" s="41">
        <f>SUMIF(헤몬팜마진!$B$7:$B$32,$C199,헤몬팜마진!$U$7:$U$32)</f>
        <v>329.61759999999998</v>
      </c>
      <c r="AN199" s="36"/>
      <c r="AO199" s="202">
        <v>40241</v>
      </c>
      <c r="AP199" s="205">
        <v>82</v>
      </c>
      <c r="AQ199" s="126"/>
      <c r="AR199" s="126"/>
      <c r="AS199" s="126"/>
      <c r="AT199" s="118"/>
      <c r="AU199" s="118"/>
      <c r="AV199" s="118"/>
      <c r="AW199" s="118"/>
      <c r="AX199" s="118"/>
      <c r="AY199" s="118"/>
      <c r="AZ199" s="118"/>
      <c r="BA199" s="118"/>
      <c r="BB199" s="118"/>
      <c r="BC199" s="118"/>
      <c r="BD199" s="118"/>
      <c r="BE199" s="118"/>
      <c r="BF199" s="118"/>
      <c r="BG199" s="47"/>
      <c r="BH199" s="47"/>
      <c r="BI199" s="47"/>
      <c r="BJ199" s="47"/>
      <c r="BK199" s="47"/>
    </row>
    <row r="200" spans="1:63" ht="28.5" customHeight="1">
      <c r="A200" s="12"/>
      <c r="B200" s="216"/>
      <c r="C200" s="217"/>
      <c r="D200" s="51" t="e">
        <f t="shared" si="242"/>
        <v>#REF!</v>
      </c>
      <c r="E200" s="218" t="e">
        <f t="shared" si="243"/>
        <v>#REF!</v>
      </c>
      <c r="F200" s="53">
        <f t="shared" si="244"/>
        <v>0.20844159454524822</v>
      </c>
      <c r="G200" s="219"/>
      <c r="H200" s="55"/>
      <c r="I200" s="55"/>
      <c r="J200" s="55"/>
      <c r="K200" s="55"/>
      <c r="L200" s="55"/>
      <c r="M200" s="55"/>
      <c r="N200" s="55"/>
      <c r="O200" s="130">
        <f t="shared" ref="O200:V200" si="265">SUM(O183:O199)</f>
        <v>343</v>
      </c>
      <c r="P200" s="220">
        <f t="shared" si="265"/>
        <v>338</v>
      </c>
      <c r="Q200" s="130">
        <f t="shared" si="265"/>
        <v>30</v>
      </c>
      <c r="R200" s="130">
        <f t="shared" si="265"/>
        <v>212</v>
      </c>
      <c r="S200" s="130">
        <f t="shared" si="265"/>
        <v>5</v>
      </c>
      <c r="T200" s="130">
        <f t="shared" si="265"/>
        <v>9774900</v>
      </c>
      <c r="U200" s="130">
        <f t="shared" si="265"/>
        <v>80600</v>
      </c>
      <c r="V200" s="220">
        <f t="shared" si="265"/>
        <v>9694300</v>
      </c>
      <c r="W200" s="55"/>
      <c r="X200" s="130">
        <f t="shared" ref="X200:AC200" si="266">SUM(X183:X199)</f>
        <v>153584.54814999999</v>
      </c>
      <c r="Y200" s="220" t="e">
        <f t="shared" si="266"/>
        <v>#REF!</v>
      </c>
      <c r="Z200" s="130">
        <f t="shared" si="266"/>
        <v>1950389.0999999999</v>
      </c>
      <c r="AA200" s="130">
        <f t="shared" si="266"/>
        <v>1773081</v>
      </c>
      <c r="AB200" s="130">
        <f t="shared" si="266"/>
        <v>70306.25</v>
      </c>
      <c r="AC200" s="130">
        <f t="shared" si="266"/>
        <v>66126</v>
      </c>
      <c r="AD200" s="154">
        <v>0.09</v>
      </c>
      <c r="AE200" s="220">
        <f>SUM(AE183:AE199)</f>
        <v>1066150</v>
      </c>
      <c r="AF200" s="53">
        <f t="shared" si="255"/>
        <v>0.19997699679192926</v>
      </c>
      <c r="AG200" s="56">
        <f t="shared" ref="AG200:AI200" si="267">SUM(AG183:AG199)</f>
        <v>1988875.08</v>
      </c>
      <c r="AH200" s="56" t="e">
        <f t="shared" si="267"/>
        <v>#REF!</v>
      </c>
      <c r="AI200" s="56" t="e">
        <f t="shared" si="267"/>
        <v>#REF!</v>
      </c>
      <c r="AJ200" s="56" t="e">
        <f t="shared" si="258"/>
        <v>#REF!</v>
      </c>
      <c r="AK200" s="221" t="e">
        <f t="shared" si="259"/>
        <v>#REF!</v>
      </c>
      <c r="AL200" s="54"/>
      <c r="AM200" s="222"/>
      <c r="AN200" s="57"/>
      <c r="AO200" s="131">
        <f t="shared" ref="AO200:AP200" si="268">SUM(AO183:AO184)</f>
        <v>493177</v>
      </c>
      <c r="AP200" s="132">
        <f t="shared" si="268"/>
        <v>1954</v>
      </c>
      <c r="AQ200" s="126"/>
      <c r="AR200" s="126"/>
      <c r="AS200" s="126"/>
      <c r="AT200" s="118"/>
      <c r="AU200" s="118"/>
      <c r="AV200" s="118"/>
      <c r="AW200" s="118"/>
      <c r="AX200" s="118"/>
      <c r="AY200" s="118"/>
      <c r="AZ200" s="118"/>
      <c r="BA200" s="118"/>
      <c r="BB200" s="118"/>
      <c r="BC200" s="118"/>
      <c r="BD200" s="118"/>
      <c r="BE200" s="118"/>
      <c r="BF200" s="118"/>
      <c r="BG200" s="47"/>
      <c r="BH200" s="47"/>
      <c r="BI200" s="47"/>
      <c r="BJ200" s="47"/>
      <c r="BK200" s="47"/>
    </row>
    <row r="201" spans="1:63" ht="28.5" customHeight="1">
      <c r="A201" s="3"/>
      <c r="B201" s="120"/>
      <c r="C201" s="229"/>
      <c r="D201" s="230"/>
      <c r="E201" s="230"/>
      <c r="F201" s="230"/>
      <c r="G201" s="230"/>
      <c r="H201" s="231"/>
      <c r="I201" s="231"/>
      <c r="J201" s="231"/>
      <c r="K201" s="231"/>
      <c r="L201" s="231"/>
      <c r="M201" s="231"/>
      <c r="N201" s="231"/>
      <c r="O201" s="231"/>
      <c r="P201" s="232"/>
      <c r="Q201" s="231"/>
      <c r="R201" s="231"/>
      <c r="S201" s="231"/>
      <c r="T201" s="231"/>
      <c r="U201" s="231"/>
      <c r="V201" s="231"/>
      <c r="W201" s="231"/>
      <c r="X201" s="231"/>
      <c r="Y201" s="231"/>
      <c r="Z201" s="231"/>
      <c r="AA201" s="133"/>
      <c r="AB201" s="61"/>
      <c r="AC201" s="148"/>
      <c r="AD201" s="148"/>
      <c r="AE201" s="148"/>
      <c r="AF201" s="148"/>
      <c r="AG201" s="61"/>
      <c r="AH201" s="61"/>
      <c r="AI201" s="187"/>
      <c r="AJ201" s="118"/>
      <c r="AK201" s="126"/>
      <c r="AL201" s="126"/>
      <c r="AM201" s="126"/>
      <c r="AN201" s="118"/>
      <c r="AO201" s="118"/>
      <c r="AP201" s="118"/>
      <c r="AQ201" s="126"/>
      <c r="AR201" s="126"/>
      <c r="AS201" s="126"/>
      <c r="AT201" s="118"/>
      <c r="AU201" s="118"/>
      <c r="AV201" s="118"/>
      <c r="AW201" s="118"/>
      <c r="AX201" s="118"/>
      <c r="AY201" s="118"/>
      <c r="AZ201" s="118"/>
      <c r="BA201" s="118"/>
      <c r="BB201" s="118"/>
      <c r="BC201" s="118"/>
      <c r="BD201" s="118"/>
      <c r="BE201" s="118"/>
      <c r="BF201" s="118"/>
      <c r="BG201" s="47"/>
      <c r="BH201" s="47"/>
      <c r="BI201" s="47"/>
      <c r="BJ201" s="47"/>
      <c r="BK201" s="47"/>
    </row>
    <row r="202" spans="1:63" ht="28.5" customHeight="1">
      <c r="A202" s="12"/>
      <c r="B202" s="189"/>
      <c r="C202" s="134">
        <v>45939</v>
      </c>
      <c r="D202" s="122" t="s">
        <v>0</v>
      </c>
      <c r="E202" s="122" t="s">
        <v>1</v>
      </c>
      <c r="F202" s="122" t="s">
        <v>2</v>
      </c>
      <c r="G202" s="190" t="s">
        <v>3</v>
      </c>
      <c r="H202" s="191" t="s">
        <v>4</v>
      </c>
      <c r="I202" s="192" t="s">
        <v>5</v>
      </c>
      <c r="J202" s="192" t="s">
        <v>90</v>
      </c>
      <c r="K202" s="193" t="s">
        <v>6</v>
      </c>
      <c r="L202" s="194" t="s">
        <v>7</v>
      </c>
      <c r="M202" s="15" t="s">
        <v>91</v>
      </c>
      <c r="N202" s="123" t="s">
        <v>125</v>
      </c>
      <c r="O202" s="123" t="s">
        <v>8</v>
      </c>
      <c r="P202" s="123" t="s">
        <v>9</v>
      </c>
      <c r="Q202" s="195" t="s">
        <v>10</v>
      </c>
      <c r="R202" s="123" t="s">
        <v>92</v>
      </c>
      <c r="S202" s="196" t="s">
        <v>11</v>
      </c>
      <c r="T202" s="17" t="s">
        <v>12</v>
      </c>
      <c r="U202" s="17" t="s">
        <v>13</v>
      </c>
      <c r="V202" s="17" t="s">
        <v>14</v>
      </c>
      <c r="W202" s="17" t="s">
        <v>15</v>
      </c>
      <c r="X202" s="15" t="s">
        <v>16</v>
      </c>
      <c r="Y202" s="15" t="s">
        <v>17</v>
      </c>
      <c r="Z202" s="19" t="s">
        <v>18</v>
      </c>
      <c r="AA202" s="19" t="s">
        <v>19</v>
      </c>
      <c r="AB202" s="20" t="s">
        <v>20</v>
      </c>
      <c r="AC202" s="22" t="s">
        <v>93</v>
      </c>
      <c r="AD202" s="197" t="s">
        <v>21</v>
      </c>
      <c r="AE202" s="122" t="s">
        <v>22</v>
      </c>
      <c r="AF202" s="21" t="s">
        <v>23</v>
      </c>
      <c r="AG202" s="21" t="s">
        <v>21</v>
      </c>
      <c r="AH202" s="122" t="s">
        <v>24</v>
      </c>
      <c r="AI202" s="15" t="s">
        <v>25</v>
      </c>
      <c r="AJ202" s="15" t="s">
        <v>26</v>
      </c>
      <c r="AK202" s="122" t="s">
        <v>27</v>
      </c>
      <c r="AL202" s="198" t="s">
        <v>28</v>
      </c>
      <c r="AM202" s="199" t="s">
        <v>29</v>
      </c>
      <c r="AN202" s="124" t="s">
        <v>30</v>
      </c>
      <c r="AO202" s="124" t="s">
        <v>94</v>
      </c>
      <c r="AP202" s="125" t="s">
        <v>95</v>
      </c>
      <c r="AQ202" s="126"/>
      <c r="AR202" s="126"/>
      <c r="AS202" s="126"/>
      <c r="AT202" s="118"/>
      <c r="AU202" s="118"/>
      <c r="AV202" s="118"/>
      <c r="AW202" s="118"/>
      <c r="AX202" s="118"/>
      <c r="AY202" s="118"/>
      <c r="AZ202" s="118"/>
      <c r="BA202" s="118"/>
      <c r="BB202" s="118"/>
      <c r="BC202" s="118"/>
      <c r="BD202" s="118"/>
      <c r="BE202" s="118"/>
      <c r="BF202" s="118"/>
      <c r="BG202" s="47"/>
      <c r="BH202" s="47"/>
      <c r="BI202" s="47"/>
      <c r="BJ202" s="47"/>
      <c r="BK202" s="47"/>
    </row>
    <row r="203" spans="1:63" ht="28.5" customHeight="1">
      <c r="A203" s="12" t="s">
        <v>129</v>
      </c>
      <c r="B203" s="200"/>
      <c r="C203" s="42" t="s">
        <v>107</v>
      </c>
      <c r="D203" s="28">
        <f t="shared" ref="D203:D220" si="269">AK203/V203</f>
        <v>0.23275996277388761</v>
      </c>
      <c r="E203" s="201">
        <f t="shared" ref="E203:E220" si="270">AJ203/V203</f>
        <v>0.4227074977018373</v>
      </c>
      <c r="F203" s="30">
        <f t="shared" ref="F203:F220" si="271">(Z203+AB203)/V203</f>
        <v>0.18994753492794969</v>
      </c>
      <c r="G203" s="30">
        <f t="shared" ref="G203:G219" si="272">R203/AP203</f>
        <v>6.6782810685249716E-2</v>
      </c>
      <c r="H203" s="35">
        <v>7410</v>
      </c>
      <c r="I203" s="35">
        <f t="shared" ref="I203:I219" si="273">N203*7</f>
        <v>1400</v>
      </c>
      <c r="J203" s="35">
        <f t="shared" ref="J203:J219" si="274">N203*14</f>
        <v>2800</v>
      </c>
      <c r="K203" s="49">
        <v>76</v>
      </c>
      <c r="L203" s="49">
        <f>1906+1320</f>
        <v>3226</v>
      </c>
      <c r="M203" s="48"/>
      <c r="N203" s="44">
        <v>200</v>
      </c>
      <c r="O203" s="227">
        <v>196</v>
      </c>
      <c r="P203" s="31">
        <f t="shared" ref="P203:P219" si="275">O203-S203</f>
        <v>196</v>
      </c>
      <c r="Q203" s="227">
        <v>18</v>
      </c>
      <c r="R203" s="233">
        <v>115</v>
      </c>
      <c r="S203" s="36"/>
      <c r="T203" s="34">
        <f t="shared" ref="T203:T219" si="276">W203*O203</f>
        <v>5468400</v>
      </c>
      <c r="U203" s="31">
        <f t="shared" ref="U203:U219" si="277">W203*S203</f>
        <v>0</v>
      </c>
      <c r="V203" s="34">
        <f t="shared" ref="V203:V219" si="278">T203-U203</f>
        <v>5468400</v>
      </c>
      <c r="W203" s="34">
        <v>27900</v>
      </c>
      <c r="X203" s="34">
        <f>SUMIF(헤몬팜마진!$B$7:$B$32,$C203,헤몬팜마진!$R$7:$R$32)</f>
        <v>8850.86</v>
      </c>
      <c r="Y203" s="34">
        <f t="shared" ref="Y203:Y219" si="279">AI203*P203</f>
        <v>1812032.0736000002</v>
      </c>
      <c r="Z203" s="34">
        <f t="shared" ref="Z203:Z219" si="280">AA203*1.1</f>
        <v>1038709.1000000001</v>
      </c>
      <c r="AA203" s="49">
        <v>944281</v>
      </c>
      <c r="AB203" s="36"/>
      <c r="AC203" s="204">
        <f t="shared" ref="AC203:AC204" si="281">(1072+1100)*Q203</f>
        <v>39096</v>
      </c>
      <c r="AD203" s="152">
        <v>0.1</v>
      </c>
      <c r="AE203" s="31">
        <f>3050*(P203)</f>
        <v>597800</v>
      </c>
      <c r="AF203" s="28">
        <f t="shared" ref="AF203:AF220" si="282">AD203+(AE203/V203)</f>
        <v>0.20931899641577062</v>
      </c>
      <c r="AG203" s="34">
        <f t="shared" ref="AG203:AG219" si="283">IFERROR(V203*AF203+3%,0)</f>
        <v>1144640.03</v>
      </c>
      <c r="AH203" s="34">
        <f t="shared" ref="AH203:AH219" si="284">V203/1.1*10%-((AI203*P203)+AG203+(AN203*P203)+(AL203*P203))*10%</f>
        <v>200194.2159672727</v>
      </c>
      <c r="AI203" s="34">
        <f>SUMIF(헤몬팜마진!$B$7:$B$32,$C203,헤몬팜마진!$V$7:$V$32)</f>
        <v>9245.0616000000009</v>
      </c>
      <c r="AJ203" s="34">
        <f t="shared" ref="AJ203:AJ220" si="285">V203-(Y203+AG203+AH203+(AN203*P203))</f>
        <v>2311533.6804327271</v>
      </c>
      <c r="AK203" s="46">
        <f t="shared" ref="AK203:AK220" si="286">AJ203-Z203-AB203</f>
        <v>1272824.580432727</v>
      </c>
      <c r="AL203" s="40">
        <f>SUMIF(헤몬팜마진!$B$7:$B$32,$C203,헤몬팜마진!$T$7:$T$32)</f>
        <v>64.584000000000003</v>
      </c>
      <c r="AM203" s="41">
        <f>SUMIF(헤몬팜마진!$B$7:$B$32,$C203,헤몬팜마진!$U$7:$U$32)</f>
        <v>329.61759999999998</v>
      </c>
      <c r="AN203" s="36"/>
      <c r="AO203" s="202">
        <v>300318</v>
      </c>
      <c r="AP203" s="205">
        <v>1722</v>
      </c>
      <c r="AQ203" s="126"/>
      <c r="AR203" s="126"/>
      <c r="AS203" s="126"/>
      <c r="AT203" s="118"/>
      <c r="AU203" s="118"/>
      <c r="AV203" s="118"/>
      <c r="AW203" s="118"/>
      <c r="AX203" s="118"/>
      <c r="AY203" s="118"/>
      <c r="AZ203" s="118"/>
      <c r="BA203" s="118"/>
      <c r="BB203" s="118"/>
      <c r="BC203" s="118"/>
      <c r="BD203" s="118"/>
      <c r="BE203" s="118"/>
      <c r="BF203" s="118"/>
      <c r="BG203" s="47"/>
      <c r="BH203" s="47"/>
      <c r="BI203" s="47"/>
      <c r="BJ203" s="47"/>
      <c r="BK203" s="47"/>
    </row>
    <row r="204" spans="1:63" ht="28.5" customHeight="1">
      <c r="A204" s="228" t="s">
        <v>130</v>
      </c>
      <c r="B204" s="200"/>
      <c r="C204" s="42" t="s">
        <v>108</v>
      </c>
      <c r="D204" s="28">
        <f t="shared" si="269"/>
        <v>0.2424646117340809</v>
      </c>
      <c r="E204" s="201">
        <f t="shared" si="270"/>
        <v>0.40985117561073287</v>
      </c>
      <c r="F204" s="30">
        <f t="shared" si="271"/>
        <v>0.16738656387665199</v>
      </c>
      <c r="G204" s="30">
        <f t="shared" si="272"/>
        <v>5.4054054054054057E-2</v>
      </c>
      <c r="H204" s="35">
        <v>1460</v>
      </c>
      <c r="I204" s="35">
        <f t="shared" si="273"/>
        <v>140</v>
      </c>
      <c r="J204" s="35">
        <f t="shared" si="274"/>
        <v>280</v>
      </c>
      <c r="K204" s="39">
        <v>325</v>
      </c>
      <c r="L204" s="39">
        <v>0</v>
      </c>
      <c r="M204" s="210"/>
      <c r="N204" s="44">
        <v>20</v>
      </c>
      <c r="O204" s="202">
        <v>4</v>
      </c>
      <c r="P204" s="31">
        <f t="shared" si="275"/>
        <v>4</v>
      </c>
      <c r="Q204" s="36"/>
      <c r="R204" s="167">
        <v>2</v>
      </c>
      <c r="S204" s="36"/>
      <c r="T204" s="34">
        <f t="shared" si="276"/>
        <v>90800</v>
      </c>
      <c r="U204" s="31">
        <f t="shared" si="277"/>
        <v>0</v>
      </c>
      <c r="V204" s="34">
        <f t="shared" si="278"/>
        <v>90800</v>
      </c>
      <c r="W204" s="43">
        <v>22700</v>
      </c>
      <c r="X204" s="34">
        <f>SUMIF(헤몬팜마진!$B$7:$B$32,$C204,헤몬팜마진!$R$7:$R$32)</f>
        <v>7080.6879999999992</v>
      </c>
      <c r="Y204" s="34">
        <f t="shared" si="279"/>
        <v>29509.311999999998</v>
      </c>
      <c r="Z204" s="34">
        <f t="shared" si="280"/>
        <v>15198.7</v>
      </c>
      <c r="AA204" s="49">
        <v>13817</v>
      </c>
      <c r="AB204" s="36"/>
      <c r="AC204" s="204">
        <f t="shared" si="281"/>
        <v>0</v>
      </c>
      <c r="AD204" s="152">
        <v>0.1</v>
      </c>
      <c r="AE204" s="31">
        <f>2950*(P204)</f>
        <v>11800</v>
      </c>
      <c r="AF204" s="28">
        <f t="shared" si="282"/>
        <v>0.22995594713656389</v>
      </c>
      <c r="AG204" s="34">
        <f t="shared" si="283"/>
        <v>20880.03</v>
      </c>
      <c r="AH204" s="34">
        <f t="shared" si="284"/>
        <v>3196.1712545454538</v>
      </c>
      <c r="AI204" s="34">
        <f>SUMIF(헤몬팜마진!$B$7:$B$32,$C204,헤몬팜마진!$V$7:$V$32)</f>
        <v>7377.3279999999995</v>
      </c>
      <c r="AJ204" s="34">
        <f t="shared" si="285"/>
        <v>37214.486745454546</v>
      </c>
      <c r="AK204" s="46">
        <f t="shared" si="286"/>
        <v>22015.786745454545</v>
      </c>
      <c r="AL204" s="40">
        <f>SUMIF(헤몬팜마진!$B$7:$B$32,$C204,헤몬팜마진!$T$7:$T$32)</f>
        <v>48.6</v>
      </c>
      <c r="AM204" s="41">
        <f>SUMIF(헤몬팜마진!$B$7:$B$32,$C204,헤몬팜마진!$U$7:$U$32)</f>
        <v>248.04000000000002</v>
      </c>
      <c r="AN204" s="36"/>
      <c r="AO204" s="235">
        <v>73361</v>
      </c>
      <c r="AP204" s="235">
        <v>37</v>
      </c>
      <c r="AQ204" s="126"/>
      <c r="AR204" s="126"/>
      <c r="AS204" s="126"/>
      <c r="AT204" s="118"/>
      <c r="AU204" s="118"/>
      <c r="AV204" s="118"/>
      <c r="AW204" s="118"/>
      <c r="AX204" s="118"/>
      <c r="AY204" s="118"/>
      <c r="AZ204" s="118"/>
      <c r="BA204" s="118"/>
      <c r="BB204" s="118"/>
      <c r="BC204" s="118"/>
      <c r="BD204" s="118"/>
      <c r="BE204" s="118"/>
      <c r="BF204" s="118"/>
      <c r="BG204" s="47"/>
      <c r="BH204" s="47"/>
      <c r="BI204" s="47"/>
      <c r="BJ204" s="47"/>
      <c r="BK204" s="47"/>
    </row>
    <row r="205" spans="1:63" ht="28.5" customHeight="1">
      <c r="A205" s="327" t="s">
        <v>131</v>
      </c>
      <c r="B205" s="323"/>
      <c r="C205" s="42" t="s">
        <v>109</v>
      </c>
      <c r="D205" s="28" t="e">
        <f t="shared" si="269"/>
        <v>#REF!</v>
      </c>
      <c r="E205" s="201" t="e">
        <f t="shared" si="270"/>
        <v>#REF!</v>
      </c>
      <c r="F205" s="30">
        <f t="shared" si="271"/>
        <v>7.6097629444791023E-2</v>
      </c>
      <c r="G205" s="30">
        <f t="shared" si="272"/>
        <v>8.9743589743589744E-2</v>
      </c>
      <c r="H205" s="35">
        <v>0</v>
      </c>
      <c r="I205" s="35">
        <f t="shared" si="273"/>
        <v>105</v>
      </c>
      <c r="J205" s="35">
        <f t="shared" si="274"/>
        <v>210</v>
      </c>
      <c r="K205" s="325">
        <v>430</v>
      </c>
      <c r="L205" s="49">
        <f>40+3+3</f>
        <v>46</v>
      </c>
      <c r="M205" s="48"/>
      <c r="N205" s="44">
        <v>15</v>
      </c>
      <c r="O205" s="202">
        <v>7</v>
      </c>
      <c r="P205" s="31">
        <f t="shared" si="275"/>
        <v>7</v>
      </c>
      <c r="Q205" s="36">
        <v>1</v>
      </c>
      <c r="R205" s="203">
        <v>7</v>
      </c>
      <c r="S205" s="36"/>
      <c r="T205" s="34">
        <f t="shared" si="276"/>
        <v>320600</v>
      </c>
      <c r="U205" s="31">
        <f t="shared" si="277"/>
        <v>0</v>
      </c>
      <c r="V205" s="34">
        <f t="shared" si="278"/>
        <v>320600</v>
      </c>
      <c r="W205" s="43">
        <v>45800</v>
      </c>
      <c r="X205" s="34">
        <f>SUMIF(헤몬팜마진!$B$7:$B$32,$C205,헤몬팜마진!$R$7:$R$32)</f>
        <v>9990.4082249999992</v>
      </c>
      <c r="Y205" s="34" t="e">
        <f t="shared" si="279"/>
        <v>#REF!</v>
      </c>
      <c r="Z205" s="34">
        <f t="shared" si="280"/>
        <v>24396.9</v>
      </c>
      <c r="AA205" s="49">
        <v>22179</v>
      </c>
      <c r="AB205" s="36"/>
      <c r="AC205" s="204">
        <f t="shared" ref="AC205:AC219" si="287">(1210+1100)*Q205</f>
        <v>2310</v>
      </c>
      <c r="AD205" s="152">
        <v>0.11</v>
      </c>
      <c r="AE205" s="31">
        <f t="shared" ref="AE205:AE206" si="288">4150*(P205)</f>
        <v>29050</v>
      </c>
      <c r="AF205" s="28">
        <f t="shared" si="282"/>
        <v>0.2006113537117904</v>
      </c>
      <c r="AG205" s="34">
        <f t="shared" si="283"/>
        <v>64316.03</v>
      </c>
      <c r="AH205" s="34" t="e">
        <f t="shared" si="284"/>
        <v>#REF!</v>
      </c>
      <c r="AI205" s="34" t="e">
        <f>SUMIF(헤몬팜마진!$B$7:$B$32,$C205,헤몬팜마진!$V$7:$V$32)</f>
        <v>#REF!</v>
      </c>
      <c r="AJ205" s="34" t="e">
        <f t="shared" si="285"/>
        <v>#REF!</v>
      </c>
      <c r="AK205" s="46" t="e">
        <f t="shared" si="286"/>
        <v>#REF!</v>
      </c>
      <c r="AL205" s="40">
        <f>SUMIF(헤몬팜마진!$B$7:$B$32,$C205,헤몬팜마진!$T$7:$T$32)</f>
        <v>162</v>
      </c>
      <c r="AM205" s="41">
        <f>SUMIF(헤몬팜마진!$B$7:$B$32,$C205,헤몬팜마진!$U$7:$U$32)</f>
        <v>826.80000000000007</v>
      </c>
      <c r="AN205" s="36"/>
      <c r="AO205" s="202">
        <v>13838</v>
      </c>
      <c r="AP205" s="205">
        <v>78</v>
      </c>
      <c r="AQ205" s="126"/>
      <c r="AR205" s="126"/>
      <c r="AS205" s="126"/>
      <c r="AT205" s="118"/>
      <c r="AU205" s="118"/>
      <c r="AV205" s="118"/>
      <c r="AW205" s="118"/>
      <c r="AX205" s="118"/>
      <c r="AY205" s="118"/>
      <c r="AZ205" s="118"/>
      <c r="BA205" s="118"/>
      <c r="BB205" s="118"/>
      <c r="BC205" s="118"/>
      <c r="BD205" s="118"/>
      <c r="BE205" s="118"/>
      <c r="BF205" s="118"/>
      <c r="BG205" s="47"/>
      <c r="BH205" s="47"/>
      <c r="BI205" s="47"/>
      <c r="BJ205" s="47"/>
      <c r="BK205" s="47"/>
    </row>
    <row r="206" spans="1:63" ht="28.5" customHeight="1">
      <c r="A206" s="318"/>
      <c r="B206" s="324"/>
      <c r="C206" s="42" t="s">
        <v>110</v>
      </c>
      <c r="D206" s="28" t="e">
        <f t="shared" si="269"/>
        <v>#REF!</v>
      </c>
      <c r="E206" s="201" t="e">
        <f t="shared" si="270"/>
        <v>#REF!</v>
      </c>
      <c r="F206" s="30">
        <f t="shared" si="271"/>
        <v>0.38757371794871798</v>
      </c>
      <c r="G206" s="30">
        <f t="shared" si="272"/>
        <v>1.4184397163120567E-2</v>
      </c>
      <c r="H206" s="35">
        <v>0</v>
      </c>
      <c r="I206" s="35">
        <f t="shared" si="273"/>
        <v>105</v>
      </c>
      <c r="J206" s="35">
        <f t="shared" si="274"/>
        <v>210</v>
      </c>
      <c r="K206" s="310"/>
      <c r="L206" s="49">
        <f>13+2</f>
        <v>15</v>
      </c>
      <c r="M206" s="48"/>
      <c r="N206" s="44">
        <v>15</v>
      </c>
      <c r="O206" s="202">
        <v>2</v>
      </c>
      <c r="P206" s="31">
        <f t="shared" si="275"/>
        <v>2</v>
      </c>
      <c r="Q206" s="202">
        <v>1</v>
      </c>
      <c r="R206" s="203">
        <v>2</v>
      </c>
      <c r="S206" s="36"/>
      <c r="T206" s="34">
        <f t="shared" si="276"/>
        <v>93600</v>
      </c>
      <c r="U206" s="31">
        <f t="shared" si="277"/>
        <v>0</v>
      </c>
      <c r="V206" s="34">
        <f t="shared" si="278"/>
        <v>93600</v>
      </c>
      <c r="W206" s="43">
        <v>46800</v>
      </c>
      <c r="X206" s="34">
        <f>SUMIF(헤몬팜마진!$B$7:$B$32,$C206,헤몬팜마진!$R$7:$R$32)</f>
        <v>9990.4082249999992</v>
      </c>
      <c r="Y206" s="34" t="e">
        <f t="shared" si="279"/>
        <v>#REF!</v>
      </c>
      <c r="Z206" s="34">
        <f t="shared" si="280"/>
        <v>36276.9</v>
      </c>
      <c r="AA206" s="49">
        <v>32979</v>
      </c>
      <c r="AB206" s="36"/>
      <c r="AC206" s="204">
        <f t="shared" si="287"/>
        <v>2310</v>
      </c>
      <c r="AD206" s="152">
        <v>0.11</v>
      </c>
      <c r="AE206" s="31">
        <f t="shared" si="288"/>
        <v>8300</v>
      </c>
      <c r="AF206" s="28">
        <f t="shared" si="282"/>
        <v>0.19867521367521368</v>
      </c>
      <c r="AG206" s="34">
        <f t="shared" si="283"/>
        <v>18596.03</v>
      </c>
      <c r="AH206" s="34" t="e">
        <f t="shared" si="284"/>
        <v>#REF!</v>
      </c>
      <c r="AI206" s="34" t="e">
        <f>SUMIF(헤몬팜마진!$B$7:$B$32,$C206,헤몬팜마진!$V$7:$V$32)</f>
        <v>#REF!</v>
      </c>
      <c r="AJ206" s="34" t="e">
        <f t="shared" si="285"/>
        <v>#REF!</v>
      </c>
      <c r="AK206" s="206" t="e">
        <f t="shared" si="286"/>
        <v>#REF!</v>
      </c>
      <c r="AL206" s="40">
        <f>SUMIF(헤몬팜마진!$B$7:$B$32,$C206,헤몬팜마진!$T$7:$T$32)</f>
        <v>162</v>
      </c>
      <c r="AM206" s="41">
        <f>SUMIF(헤몬팜마진!$B$7:$B$32,$C206,헤몬팜마진!$U$7:$U$32)</f>
        <v>826.80000000000007</v>
      </c>
      <c r="AN206" s="36"/>
      <c r="AO206" s="202">
        <v>75333</v>
      </c>
      <c r="AP206" s="205">
        <v>141</v>
      </c>
      <c r="AQ206" s="126"/>
      <c r="AR206" s="126"/>
      <c r="AS206" s="126"/>
      <c r="AT206" s="118"/>
      <c r="AU206" s="118"/>
      <c r="AV206" s="118"/>
      <c r="AW206" s="118"/>
      <c r="AX206" s="118"/>
      <c r="AY206" s="118"/>
      <c r="AZ206" s="118"/>
      <c r="BA206" s="118"/>
      <c r="BB206" s="118"/>
      <c r="BC206" s="118"/>
      <c r="BD206" s="118"/>
      <c r="BE206" s="118"/>
      <c r="BF206" s="118"/>
      <c r="BG206" s="47"/>
      <c r="BH206" s="47"/>
      <c r="BI206" s="47"/>
      <c r="BJ206" s="47"/>
      <c r="BK206" s="47"/>
    </row>
    <row r="207" spans="1:63" ht="28.5" customHeight="1">
      <c r="A207" s="12" t="s">
        <v>132</v>
      </c>
      <c r="B207" s="323"/>
      <c r="C207" s="42" t="s">
        <v>32</v>
      </c>
      <c r="D207" s="28" t="e">
        <f t="shared" si="269"/>
        <v>#REF!</v>
      </c>
      <c r="E207" s="201" t="e">
        <f t="shared" si="270"/>
        <v>#REF!</v>
      </c>
      <c r="F207" s="30" t="e">
        <f t="shared" si="271"/>
        <v>#DIV/0!</v>
      </c>
      <c r="G207" s="30">
        <f t="shared" si="272"/>
        <v>0</v>
      </c>
      <c r="H207" s="37">
        <v>3504</v>
      </c>
      <c r="I207" s="35">
        <f t="shared" si="273"/>
        <v>210</v>
      </c>
      <c r="J207" s="35">
        <f t="shared" si="274"/>
        <v>420</v>
      </c>
      <c r="K207" s="325">
        <v>626</v>
      </c>
      <c r="L207" s="39">
        <f>30+13+6</f>
        <v>49</v>
      </c>
      <c r="M207" s="210"/>
      <c r="N207" s="208">
        <v>30</v>
      </c>
      <c r="O207" s="202"/>
      <c r="P207" s="31">
        <f t="shared" si="275"/>
        <v>0</v>
      </c>
      <c r="Q207" s="36"/>
      <c r="R207" s="203"/>
      <c r="S207" s="36"/>
      <c r="T207" s="34">
        <f t="shared" si="276"/>
        <v>0</v>
      </c>
      <c r="U207" s="31">
        <f t="shared" si="277"/>
        <v>0</v>
      </c>
      <c r="V207" s="34">
        <f t="shared" si="278"/>
        <v>0</v>
      </c>
      <c r="W207" s="43">
        <v>59800</v>
      </c>
      <c r="X207" s="34">
        <f>SUMIF(헤몬팜마진!$B$7:$B$32,$C207,헤몬팜마진!$R$7:$R$32)</f>
        <v>13276.289999999999</v>
      </c>
      <c r="Y207" s="34" t="e">
        <f t="shared" si="279"/>
        <v>#REF!</v>
      </c>
      <c r="Z207" s="34">
        <f t="shared" si="280"/>
        <v>22580.800000000003</v>
      </c>
      <c r="AA207" s="49">
        <v>20528</v>
      </c>
      <c r="AB207" s="209"/>
      <c r="AC207" s="204">
        <f t="shared" si="287"/>
        <v>0</v>
      </c>
      <c r="AD207" s="152">
        <v>0.108</v>
      </c>
      <c r="AE207" s="31">
        <f t="shared" ref="AE207:AE208" si="289">4825*(P207)</f>
        <v>0</v>
      </c>
      <c r="AF207" s="28" t="e">
        <f t="shared" si="282"/>
        <v>#DIV/0!</v>
      </c>
      <c r="AG207" s="34">
        <f t="shared" si="283"/>
        <v>0</v>
      </c>
      <c r="AH207" s="34" t="e">
        <f t="shared" si="284"/>
        <v>#REF!</v>
      </c>
      <c r="AI207" s="34" t="e">
        <f>SUMIF(헤몬팜마진!$B$7:$B$32,$C207,헤몬팜마진!$V$7:$V$32)</f>
        <v>#REF!</v>
      </c>
      <c r="AJ207" s="34" t="e">
        <f t="shared" si="285"/>
        <v>#REF!</v>
      </c>
      <c r="AK207" s="46" t="e">
        <f t="shared" si="286"/>
        <v>#REF!</v>
      </c>
      <c r="AL207" s="40">
        <f>SUMIF(헤몬팜마진!$B$7:$B$32,$C207,헤몬팜마진!$T$7:$T$32)</f>
        <v>371.52</v>
      </c>
      <c r="AM207" s="41">
        <f>SUMIF(헤몬팜마진!$B$7:$B$32,$C207,헤몬팜마진!$U$7:$U$32)</f>
        <v>1896.1279999999999</v>
      </c>
      <c r="AN207" s="36"/>
      <c r="AO207" s="202">
        <v>17846</v>
      </c>
      <c r="AP207" s="205">
        <v>35</v>
      </c>
      <c r="AQ207" s="126"/>
      <c r="AR207" s="126"/>
      <c r="AS207" s="126"/>
      <c r="AT207" s="118"/>
      <c r="AU207" s="118"/>
      <c r="AV207" s="118"/>
      <c r="AW207" s="118"/>
      <c r="AX207" s="118"/>
      <c r="AY207" s="118"/>
      <c r="AZ207" s="118"/>
      <c r="BA207" s="118"/>
      <c r="BB207" s="118"/>
      <c r="BC207" s="118"/>
      <c r="BD207" s="118"/>
      <c r="BE207" s="118"/>
      <c r="BF207" s="118"/>
      <c r="BG207" s="47"/>
      <c r="BH207" s="47"/>
      <c r="BI207" s="47"/>
      <c r="BJ207" s="47"/>
      <c r="BK207" s="47"/>
    </row>
    <row r="208" spans="1:63" ht="28.5" customHeight="1">
      <c r="A208" s="12" t="s">
        <v>132</v>
      </c>
      <c r="B208" s="324"/>
      <c r="C208" s="42" t="s">
        <v>33</v>
      </c>
      <c r="D208" s="28" t="e">
        <f t="shared" si="269"/>
        <v>#REF!</v>
      </c>
      <c r="E208" s="201" t="e">
        <f t="shared" si="270"/>
        <v>#REF!</v>
      </c>
      <c r="F208" s="30">
        <f t="shared" si="271"/>
        <v>0.4271997707079393</v>
      </c>
      <c r="G208" s="30">
        <f t="shared" si="272"/>
        <v>2.8169014084507043E-2</v>
      </c>
      <c r="H208" s="35">
        <v>0</v>
      </c>
      <c r="I208" s="35">
        <f t="shared" si="273"/>
        <v>210</v>
      </c>
      <c r="J208" s="35">
        <f t="shared" si="274"/>
        <v>420</v>
      </c>
      <c r="K208" s="310"/>
      <c r="L208" s="39">
        <f>4+11+18+38+129</f>
        <v>200</v>
      </c>
      <c r="M208" s="210"/>
      <c r="N208" s="44">
        <v>30</v>
      </c>
      <c r="O208" s="202">
        <v>2</v>
      </c>
      <c r="P208" s="31">
        <f t="shared" si="275"/>
        <v>2</v>
      </c>
      <c r="Q208" s="36"/>
      <c r="R208" s="203">
        <v>2</v>
      </c>
      <c r="S208" s="36"/>
      <c r="T208" s="34">
        <f t="shared" si="276"/>
        <v>139560</v>
      </c>
      <c r="U208" s="31">
        <f t="shared" si="277"/>
        <v>0</v>
      </c>
      <c r="V208" s="34">
        <f t="shared" si="278"/>
        <v>139560</v>
      </c>
      <c r="W208" s="43">
        <v>69780</v>
      </c>
      <c r="X208" s="34">
        <f>SUMIF(헤몬팜마진!$B$7:$B$32,$C208,헤몬팜마진!$R$7:$R$32)</f>
        <v>13276.289999999999</v>
      </c>
      <c r="Y208" s="34" t="e">
        <f t="shared" si="279"/>
        <v>#REF!</v>
      </c>
      <c r="Z208" s="34">
        <f t="shared" si="280"/>
        <v>59620.000000000007</v>
      </c>
      <c r="AA208" s="49">
        <v>54200</v>
      </c>
      <c r="AB208" s="36"/>
      <c r="AC208" s="204">
        <f t="shared" si="287"/>
        <v>0</v>
      </c>
      <c r="AD208" s="152">
        <v>0.108</v>
      </c>
      <c r="AE208" s="31">
        <f t="shared" si="289"/>
        <v>9650</v>
      </c>
      <c r="AF208" s="28">
        <f t="shared" si="282"/>
        <v>0.17714588707366008</v>
      </c>
      <c r="AG208" s="34">
        <f t="shared" si="283"/>
        <v>24722.51</v>
      </c>
      <c r="AH208" s="34" t="e">
        <f t="shared" si="284"/>
        <v>#REF!</v>
      </c>
      <c r="AI208" s="34" t="e">
        <f>SUMIF(헤몬팜마진!$B$7:$B$32,$C208,헤몬팜마진!$V$7:$V$32)</f>
        <v>#REF!</v>
      </c>
      <c r="AJ208" s="34" t="e">
        <f t="shared" si="285"/>
        <v>#REF!</v>
      </c>
      <c r="AK208" s="46" t="e">
        <f t="shared" si="286"/>
        <v>#REF!</v>
      </c>
      <c r="AL208" s="40">
        <f>SUMIF(헤몬팜마진!$B$7:$B$32,$C208,헤몬팜마진!$T$7:$T$32)</f>
        <v>371.52</v>
      </c>
      <c r="AM208" s="41">
        <f>SUMIF(헤몬팜마진!$B$7:$B$32,$C208,헤몬팜마진!$U$7:$U$32)</f>
        <v>1896.1279999999999</v>
      </c>
      <c r="AN208" s="36"/>
      <c r="AO208" s="202">
        <v>27629</v>
      </c>
      <c r="AP208" s="205">
        <v>71</v>
      </c>
      <c r="AQ208" s="126"/>
      <c r="AR208" s="126"/>
      <c r="AS208" s="126"/>
      <c r="AT208" s="118"/>
      <c r="AU208" s="118"/>
      <c r="AV208" s="118"/>
      <c r="AW208" s="118"/>
      <c r="AX208" s="118"/>
      <c r="AY208" s="118"/>
      <c r="AZ208" s="118"/>
      <c r="BA208" s="118"/>
      <c r="BB208" s="118"/>
      <c r="BC208" s="118"/>
      <c r="BD208" s="118"/>
      <c r="BE208" s="118"/>
      <c r="BF208" s="118"/>
      <c r="BG208" s="47"/>
      <c r="BH208" s="47"/>
      <c r="BI208" s="47"/>
      <c r="BJ208" s="47"/>
      <c r="BK208" s="47"/>
    </row>
    <row r="209" spans="1:63" ht="28.5" customHeight="1">
      <c r="A209" s="228" t="s">
        <v>133</v>
      </c>
      <c r="B209" s="200"/>
      <c r="C209" s="42" t="s">
        <v>111</v>
      </c>
      <c r="D209" s="28">
        <f t="shared" si="269"/>
        <v>-0.89459567899842096</v>
      </c>
      <c r="E209" s="201">
        <f t="shared" si="270"/>
        <v>0.39080832224227396</v>
      </c>
      <c r="F209" s="30">
        <f t="shared" si="271"/>
        <v>1.2854040012406949</v>
      </c>
      <c r="G209" s="30">
        <f t="shared" si="272"/>
        <v>3.2967032967032968E-2</v>
      </c>
      <c r="H209" s="35">
        <v>500</v>
      </c>
      <c r="I209" s="35">
        <f t="shared" si="273"/>
        <v>105</v>
      </c>
      <c r="J209" s="35">
        <f t="shared" si="274"/>
        <v>210</v>
      </c>
      <c r="K209" s="39">
        <v>577</v>
      </c>
      <c r="L209" s="39">
        <v>211</v>
      </c>
      <c r="M209" s="210"/>
      <c r="N209" s="44">
        <v>15</v>
      </c>
      <c r="O209" s="202">
        <v>9</v>
      </c>
      <c r="P209" s="31">
        <f t="shared" si="275"/>
        <v>4</v>
      </c>
      <c r="Q209" s="202"/>
      <c r="R209" s="203">
        <v>3</v>
      </c>
      <c r="S209" s="202">
        <v>5</v>
      </c>
      <c r="T209" s="34">
        <f t="shared" si="276"/>
        <v>145080</v>
      </c>
      <c r="U209" s="31">
        <f t="shared" si="277"/>
        <v>80600</v>
      </c>
      <c r="V209" s="34">
        <f t="shared" si="278"/>
        <v>64480</v>
      </c>
      <c r="W209" s="43">
        <v>16120</v>
      </c>
      <c r="X209" s="34">
        <f>SUMIF(헤몬팜마진!$B$7:$B$32,$C209,헤몬팜마진!$R$7:$R$32)</f>
        <v>5089.2444999999998</v>
      </c>
      <c r="Y209" s="34">
        <f t="shared" si="279"/>
        <v>20505.297999999999</v>
      </c>
      <c r="Z209" s="34">
        <f t="shared" si="280"/>
        <v>33545.600000000006</v>
      </c>
      <c r="AA209" s="49">
        <v>30496</v>
      </c>
      <c r="AB209" s="211">
        <f>((17890*0.015)+(17890*0.19)+2100+2200+1900)*5</f>
        <v>49337.25</v>
      </c>
      <c r="AC209" s="204">
        <f t="shared" si="287"/>
        <v>0</v>
      </c>
      <c r="AD209" s="152">
        <v>7.8E-2</v>
      </c>
      <c r="AE209" s="31">
        <f>2900*(P209)</f>
        <v>11600</v>
      </c>
      <c r="AF209" s="28">
        <f t="shared" si="282"/>
        <v>0.25790074441687344</v>
      </c>
      <c r="AG209" s="34">
        <f t="shared" si="283"/>
        <v>16629.469999999998</v>
      </c>
      <c r="AH209" s="34">
        <f t="shared" si="284"/>
        <v>2145.9113818181818</v>
      </c>
      <c r="AI209" s="34">
        <f>SUMIF(헤몬팜마진!$B$7:$B$32,$C209,헤몬팜마진!$V$7:$V$32)</f>
        <v>5126.3244999999997</v>
      </c>
      <c r="AJ209" s="34">
        <f t="shared" si="285"/>
        <v>25199.320618181824</v>
      </c>
      <c r="AK209" s="206">
        <f t="shared" si="286"/>
        <v>-57683.529381818182</v>
      </c>
      <c r="AL209" s="40">
        <f>SUMIF(헤몬팜마진!$B$7:$B$32,$C209,헤몬팜마진!$T$7:$T$32)</f>
        <v>6.0750000000000002</v>
      </c>
      <c r="AM209" s="41">
        <f>SUMIF(헤몬팜마진!$B$7:$B$32,$C209,헤몬팜마진!$U$7:$U$32)</f>
        <v>31.005000000000003</v>
      </c>
      <c r="AN209" s="36"/>
      <c r="AO209" s="202">
        <v>63928</v>
      </c>
      <c r="AP209" s="205">
        <v>91</v>
      </c>
      <c r="AQ209" s="126"/>
      <c r="AR209" s="126"/>
      <c r="AS209" s="126"/>
      <c r="AT209" s="118"/>
      <c r="AU209" s="118"/>
      <c r="AV209" s="118"/>
      <c r="AW209" s="118"/>
      <c r="AX209" s="118"/>
      <c r="AY209" s="118"/>
      <c r="AZ209" s="118"/>
      <c r="BA209" s="118"/>
      <c r="BB209" s="118"/>
      <c r="BC209" s="118"/>
      <c r="BD209" s="118"/>
      <c r="BE209" s="118"/>
      <c r="BF209" s="118"/>
      <c r="BG209" s="47"/>
      <c r="BH209" s="47"/>
      <c r="BI209" s="47"/>
      <c r="BJ209" s="47"/>
      <c r="BK209" s="47"/>
    </row>
    <row r="210" spans="1:63" ht="28.5" customHeight="1">
      <c r="A210" s="327" t="s">
        <v>134</v>
      </c>
      <c r="B210" s="323"/>
      <c r="C210" s="42" t="s">
        <v>112</v>
      </c>
      <c r="D210" s="29" t="e">
        <f t="shared" si="269"/>
        <v>#REF!</v>
      </c>
      <c r="E210" s="201" t="e">
        <f t="shared" si="270"/>
        <v>#REF!</v>
      </c>
      <c r="F210" s="30">
        <f t="shared" si="271"/>
        <v>0.30838386376326077</v>
      </c>
      <c r="G210" s="30">
        <f t="shared" si="272"/>
        <v>3.3492822966507178E-2</v>
      </c>
      <c r="H210" s="312">
        <v>0</v>
      </c>
      <c r="I210" s="35">
        <f t="shared" si="273"/>
        <v>140</v>
      </c>
      <c r="J210" s="35">
        <f t="shared" si="274"/>
        <v>280</v>
      </c>
      <c r="K210" s="325">
        <v>343</v>
      </c>
      <c r="L210" s="39">
        <f>97+42+48+31+19+10</f>
        <v>247</v>
      </c>
      <c r="M210" s="210"/>
      <c r="N210" s="44">
        <v>20</v>
      </c>
      <c r="O210" s="202">
        <v>9</v>
      </c>
      <c r="P210" s="31">
        <f t="shared" si="275"/>
        <v>9</v>
      </c>
      <c r="Q210" s="202">
        <v>2</v>
      </c>
      <c r="R210" s="167">
        <v>7</v>
      </c>
      <c r="S210" s="36"/>
      <c r="T210" s="34">
        <f t="shared" si="276"/>
        <v>358200</v>
      </c>
      <c r="U210" s="31">
        <f t="shared" si="277"/>
        <v>0</v>
      </c>
      <c r="V210" s="34">
        <f t="shared" si="278"/>
        <v>358200</v>
      </c>
      <c r="W210" s="43">
        <v>39800</v>
      </c>
      <c r="X210" s="34">
        <f>SUMIF(헤몬팜마진!$B$7:$B$32,$C210,헤몬팜마진!$R$7:$R$32)</f>
        <v>7855.1382499999991</v>
      </c>
      <c r="Y210" s="34" t="e">
        <f t="shared" si="279"/>
        <v>#REF!</v>
      </c>
      <c r="Z210" s="34">
        <f t="shared" si="280"/>
        <v>110463.1</v>
      </c>
      <c r="AA210" s="49">
        <v>100421</v>
      </c>
      <c r="AB210" s="209"/>
      <c r="AC210" s="204">
        <f t="shared" si="287"/>
        <v>4620</v>
      </c>
      <c r="AD210" s="152">
        <v>0.08</v>
      </c>
      <c r="AE210" s="31">
        <f>4150*(P210)</f>
        <v>37350</v>
      </c>
      <c r="AF210" s="28">
        <f t="shared" si="282"/>
        <v>0.18427135678391959</v>
      </c>
      <c r="AG210" s="34">
        <f t="shared" si="283"/>
        <v>66006.03</v>
      </c>
      <c r="AH210" s="34" t="e">
        <f t="shared" si="284"/>
        <v>#REF!</v>
      </c>
      <c r="AI210" s="34" t="e">
        <f>SUMIF(헤몬팜마진!$B$7:$B$32,$C210,헤몬팜마진!$V$7:$V$32)</f>
        <v>#REF!</v>
      </c>
      <c r="AJ210" s="34" t="e">
        <f t="shared" si="285"/>
        <v>#REF!</v>
      </c>
      <c r="AK210" s="46" t="e">
        <f t="shared" si="286"/>
        <v>#REF!</v>
      </c>
      <c r="AL210" s="40">
        <f>SUMIF(헤몬팜마진!$B$7:$B$32,$C210,헤몬팜마진!$T$7:$T$32)</f>
        <v>176.41799999999998</v>
      </c>
      <c r="AM210" s="41">
        <f>SUMIF(헤몬팜마진!$B$7:$B$32,$C210,헤몬팜마진!$U$7:$U$32)</f>
        <v>900.38519999999994</v>
      </c>
      <c r="AN210" s="36"/>
      <c r="AO210" s="202">
        <v>80493</v>
      </c>
      <c r="AP210" s="205">
        <v>209</v>
      </c>
      <c r="AQ210" s="126"/>
      <c r="AR210" s="126"/>
      <c r="AS210" s="126"/>
      <c r="AT210" s="118"/>
      <c r="AU210" s="118"/>
      <c r="AV210" s="118"/>
      <c r="AW210" s="118"/>
      <c r="AX210" s="118"/>
      <c r="AY210" s="118"/>
      <c r="AZ210" s="118"/>
      <c r="BA210" s="118"/>
      <c r="BB210" s="118"/>
      <c r="BC210" s="118"/>
      <c r="BD210" s="118"/>
      <c r="BE210" s="118"/>
      <c r="BF210" s="118"/>
      <c r="BG210" s="47"/>
      <c r="BH210" s="47"/>
      <c r="BI210" s="47"/>
      <c r="BJ210" s="47"/>
      <c r="BK210" s="47"/>
    </row>
    <row r="211" spans="1:63" ht="28.5" customHeight="1">
      <c r="A211" s="318"/>
      <c r="B211" s="324"/>
      <c r="C211" s="42" t="s">
        <v>113</v>
      </c>
      <c r="D211" s="28" t="e">
        <f t="shared" si="269"/>
        <v>#REF!</v>
      </c>
      <c r="E211" s="201" t="e">
        <f t="shared" si="270"/>
        <v>#REF!</v>
      </c>
      <c r="F211" s="30">
        <f t="shared" si="271"/>
        <v>0.16965811965811967</v>
      </c>
      <c r="G211" s="30">
        <f t="shared" si="272"/>
        <v>0</v>
      </c>
      <c r="H211" s="310"/>
      <c r="I211" s="35">
        <f t="shared" si="273"/>
        <v>105</v>
      </c>
      <c r="J211" s="35">
        <f t="shared" si="274"/>
        <v>210</v>
      </c>
      <c r="K211" s="310"/>
      <c r="L211" s="39">
        <f>74+42+48+18+8+2</f>
        <v>192</v>
      </c>
      <c r="M211" s="210"/>
      <c r="N211" s="44">
        <v>15</v>
      </c>
      <c r="O211" s="36">
        <v>3</v>
      </c>
      <c r="P211" s="31">
        <f t="shared" si="275"/>
        <v>3</v>
      </c>
      <c r="Q211" s="36"/>
      <c r="R211" s="167"/>
      <c r="S211" s="36"/>
      <c r="T211" s="34">
        <f t="shared" si="276"/>
        <v>128700</v>
      </c>
      <c r="U211" s="31">
        <f t="shared" si="277"/>
        <v>0</v>
      </c>
      <c r="V211" s="34">
        <f t="shared" si="278"/>
        <v>128700</v>
      </c>
      <c r="W211" s="43">
        <v>42900</v>
      </c>
      <c r="X211" s="34">
        <f>SUMIF(헤몬팜마진!$B$7:$B$32,$C211,헤몬팜마진!$R$7:$R$32)</f>
        <v>7855.1382499999991</v>
      </c>
      <c r="Y211" s="34" t="e">
        <f t="shared" si="279"/>
        <v>#REF!</v>
      </c>
      <c r="Z211" s="34">
        <f t="shared" si="280"/>
        <v>21835</v>
      </c>
      <c r="AA211" s="49">
        <v>19850</v>
      </c>
      <c r="AB211" s="36"/>
      <c r="AC211" s="204">
        <f t="shared" si="287"/>
        <v>0</v>
      </c>
      <c r="AD211" s="152">
        <v>7.8E-2</v>
      </c>
      <c r="AE211" s="31">
        <f>1900*(P211)</f>
        <v>5700</v>
      </c>
      <c r="AF211" s="28">
        <f t="shared" si="282"/>
        <v>0.12228904428904429</v>
      </c>
      <c r="AG211" s="34">
        <f t="shared" si="283"/>
        <v>15738.630000000001</v>
      </c>
      <c r="AH211" s="34" t="e">
        <f t="shared" si="284"/>
        <v>#REF!</v>
      </c>
      <c r="AI211" s="34" t="e">
        <f>SUMIF(헤몬팜마진!$B$7:$B$32,$C211,헤몬팜마진!$V$7:$V$32)</f>
        <v>#REF!</v>
      </c>
      <c r="AJ211" s="34" t="e">
        <f t="shared" si="285"/>
        <v>#REF!</v>
      </c>
      <c r="AK211" s="206" t="e">
        <f t="shared" si="286"/>
        <v>#REF!</v>
      </c>
      <c r="AL211" s="40">
        <f>SUMIF(헤몬팜마진!$B$7:$B$32,$C211,헤몬팜마진!$T$7:$T$32)</f>
        <v>176.41799999999998</v>
      </c>
      <c r="AM211" s="41">
        <f>SUMIF(헤몬팜마진!$B$7:$B$32,$C211,헤몬팜마진!$U$7:$U$32)</f>
        <v>900.38519999999994</v>
      </c>
      <c r="AN211" s="36"/>
      <c r="AO211" s="202">
        <v>14482</v>
      </c>
      <c r="AP211" s="205">
        <v>62</v>
      </c>
      <c r="AQ211" s="126"/>
      <c r="AR211" s="126"/>
      <c r="AS211" s="126"/>
      <c r="AT211" s="118"/>
      <c r="AU211" s="118"/>
      <c r="AV211" s="118"/>
      <c r="AW211" s="118"/>
      <c r="AX211" s="118"/>
      <c r="AY211" s="118"/>
      <c r="AZ211" s="118"/>
      <c r="BA211" s="118"/>
      <c r="BB211" s="118"/>
      <c r="BC211" s="118"/>
      <c r="BD211" s="118"/>
      <c r="BE211" s="118"/>
      <c r="BF211" s="118"/>
      <c r="BG211" s="47"/>
      <c r="BH211" s="47"/>
      <c r="BI211" s="47"/>
      <c r="BJ211" s="47"/>
      <c r="BK211" s="47"/>
    </row>
    <row r="212" spans="1:63" ht="28.5" customHeight="1">
      <c r="A212" s="228" t="s">
        <v>135</v>
      </c>
      <c r="B212" s="200"/>
      <c r="C212" s="42" t="s">
        <v>114</v>
      </c>
      <c r="D212" s="28">
        <f t="shared" si="269"/>
        <v>0.29648334916443858</v>
      </c>
      <c r="E212" s="201">
        <f t="shared" si="270"/>
        <v>0.36298886387032092</v>
      </c>
      <c r="F212" s="30">
        <f t="shared" si="271"/>
        <v>6.6505514705882354E-2</v>
      </c>
      <c r="G212" s="30">
        <f t="shared" si="272"/>
        <v>9.2105263157894732E-2</v>
      </c>
      <c r="H212" s="35">
        <v>1750</v>
      </c>
      <c r="I212" s="35">
        <f t="shared" si="273"/>
        <v>350</v>
      </c>
      <c r="J212" s="35">
        <f t="shared" si="274"/>
        <v>700</v>
      </c>
      <c r="K212" s="39">
        <v>1449</v>
      </c>
      <c r="L212" s="39">
        <v>1217</v>
      </c>
      <c r="M212" s="210"/>
      <c r="N212" s="44">
        <v>50</v>
      </c>
      <c r="O212" s="202">
        <v>17</v>
      </c>
      <c r="P212" s="31">
        <f t="shared" si="275"/>
        <v>17</v>
      </c>
      <c r="Q212" s="36">
        <v>1</v>
      </c>
      <c r="R212" s="203">
        <v>7</v>
      </c>
      <c r="S212" s="36"/>
      <c r="T212" s="34">
        <f t="shared" si="276"/>
        <v>326400</v>
      </c>
      <c r="U212" s="31">
        <f t="shared" si="277"/>
        <v>0</v>
      </c>
      <c r="V212" s="34">
        <f t="shared" si="278"/>
        <v>326400</v>
      </c>
      <c r="W212" s="43">
        <v>19200</v>
      </c>
      <c r="X212" s="34">
        <f>SUMIF(헤몬팜마진!$B$7:$B$32,$C212,헤몬팜마진!$R$7:$R$32)</f>
        <v>6372.6191999999992</v>
      </c>
      <c r="Y212" s="34">
        <f t="shared" si="279"/>
        <v>115114.39839999998</v>
      </c>
      <c r="Z212" s="34">
        <f t="shared" si="280"/>
        <v>21707.4</v>
      </c>
      <c r="AA212" s="49">
        <v>19734</v>
      </c>
      <c r="AB212" s="36"/>
      <c r="AC212" s="204">
        <f t="shared" si="287"/>
        <v>2310</v>
      </c>
      <c r="AD212" s="152">
        <v>0.08</v>
      </c>
      <c r="AE212" s="31">
        <f>3350*(P212)</f>
        <v>56950</v>
      </c>
      <c r="AF212" s="28">
        <f t="shared" si="282"/>
        <v>0.25447916666666665</v>
      </c>
      <c r="AG212" s="34">
        <f t="shared" si="283"/>
        <v>83062.03</v>
      </c>
      <c r="AH212" s="34">
        <f t="shared" si="284"/>
        <v>9744.0064327272739</v>
      </c>
      <c r="AI212" s="34">
        <f>SUMIF(헤몬팜마진!$B$7:$B$32,$C212,헤몬팜마진!$V$7:$V$32)</f>
        <v>6771.435199999999</v>
      </c>
      <c r="AJ212" s="34">
        <f t="shared" si="285"/>
        <v>118479.56516727275</v>
      </c>
      <c r="AK212" s="46">
        <f t="shared" si="286"/>
        <v>96772.16516727276</v>
      </c>
      <c r="AL212" s="40">
        <f>SUMIF(헤몬팜마진!$B$7:$B$32,$C212,헤몬팜마진!$T$7:$T$32)</f>
        <v>65.34</v>
      </c>
      <c r="AM212" s="41">
        <f>SUMIF(헤몬팜마진!$B$7:$B$32,$C212,헤몬팜마진!$U$7:$U$32)</f>
        <v>333.476</v>
      </c>
      <c r="AN212" s="36"/>
      <c r="AO212" s="235">
        <v>45537</v>
      </c>
      <c r="AP212" s="235">
        <v>76</v>
      </c>
      <c r="AQ212" s="126"/>
      <c r="AR212" s="126"/>
      <c r="AS212" s="126"/>
      <c r="AT212" s="118"/>
      <c r="AU212" s="118"/>
      <c r="AV212" s="118"/>
      <c r="AW212" s="118"/>
      <c r="AX212" s="118"/>
      <c r="AY212" s="118"/>
      <c r="AZ212" s="118"/>
      <c r="BA212" s="118"/>
      <c r="BB212" s="118"/>
      <c r="BC212" s="118"/>
      <c r="BD212" s="118"/>
      <c r="BE212" s="118"/>
      <c r="BF212" s="118"/>
      <c r="BG212" s="47"/>
      <c r="BH212" s="47"/>
      <c r="BI212" s="47"/>
      <c r="BJ212" s="47"/>
      <c r="BK212" s="47"/>
    </row>
    <row r="213" spans="1:63" ht="28.5" customHeight="1">
      <c r="A213" s="327" t="s">
        <v>136</v>
      </c>
      <c r="B213" s="326"/>
      <c r="C213" s="42" t="s">
        <v>115</v>
      </c>
      <c r="D213" s="28" t="e">
        <f t="shared" si="269"/>
        <v>#REF!</v>
      </c>
      <c r="E213" s="201" t="e">
        <f t="shared" si="270"/>
        <v>#REF!</v>
      </c>
      <c r="F213" s="30">
        <f t="shared" si="271"/>
        <v>0.35195985401459856</v>
      </c>
      <c r="G213" s="30">
        <f t="shared" si="272"/>
        <v>3.8095238095238099E-2</v>
      </c>
      <c r="H213" s="35">
        <v>0</v>
      </c>
      <c r="I213" s="35">
        <f t="shared" si="273"/>
        <v>70</v>
      </c>
      <c r="J213" s="35">
        <f t="shared" si="274"/>
        <v>140</v>
      </c>
      <c r="K213" s="328">
        <v>494</v>
      </c>
      <c r="L213" s="39">
        <v>0</v>
      </c>
      <c r="M213" s="210"/>
      <c r="N213" s="44">
        <v>10</v>
      </c>
      <c r="O213" s="36">
        <v>3</v>
      </c>
      <c r="P213" s="31">
        <f t="shared" si="275"/>
        <v>3</v>
      </c>
      <c r="Q213" s="36">
        <v>1</v>
      </c>
      <c r="R213" s="167">
        <v>4</v>
      </c>
      <c r="S213" s="36"/>
      <c r="T213" s="34">
        <f t="shared" si="276"/>
        <v>164400</v>
      </c>
      <c r="U213" s="31">
        <f t="shared" si="277"/>
        <v>0</v>
      </c>
      <c r="V213" s="34">
        <f t="shared" si="278"/>
        <v>164400</v>
      </c>
      <c r="W213" s="43">
        <v>54800</v>
      </c>
      <c r="X213" s="34">
        <f>SUMIF(헤몬팜마진!$B$7:$B$32,$C213,헤몬팜마진!$R$7:$R$32)</f>
        <v>12169.932499999999</v>
      </c>
      <c r="Y213" s="34" t="e">
        <f t="shared" si="279"/>
        <v>#REF!</v>
      </c>
      <c r="Z213" s="34">
        <f t="shared" si="280"/>
        <v>57862.200000000004</v>
      </c>
      <c r="AA213" s="49">
        <v>52602</v>
      </c>
      <c r="AB213" s="36"/>
      <c r="AC213" s="204">
        <f t="shared" si="287"/>
        <v>2310</v>
      </c>
      <c r="AD213" s="152">
        <v>7.8E-2</v>
      </c>
      <c r="AE213" s="31">
        <f t="shared" ref="AE213:AE214" si="290">4825*(P213)</f>
        <v>14475</v>
      </c>
      <c r="AF213" s="28">
        <f t="shared" si="282"/>
        <v>0.16604744525547444</v>
      </c>
      <c r="AG213" s="34">
        <f t="shared" si="283"/>
        <v>27298.229999999996</v>
      </c>
      <c r="AH213" s="34" t="e">
        <f t="shared" si="284"/>
        <v>#REF!</v>
      </c>
      <c r="AI213" s="34" t="e">
        <f>SUMIF(헤몬팜마진!$B$7:$B$32,$C213,헤몬팜마진!$V$7:$V$32)</f>
        <v>#REF!</v>
      </c>
      <c r="AJ213" s="34" t="e">
        <f t="shared" si="285"/>
        <v>#REF!</v>
      </c>
      <c r="AK213" s="206" t="e">
        <f t="shared" si="286"/>
        <v>#REF!</v>
      </c>
      <c r="AL213" s="40">
        <f>SUMIF(헤몬팜마진!$B$7:$B$32,$C213,헤몬팜마진!$T$7:$T$32)</f>
        <v>181.44000000000003</v>
      </c>
      <c r="AM213" s="41">
        <f>SUMIF(헤몬팜마진!$B$7:$B$32,$C213,헤몬팜마진!$U$7:$U$32)</f>
        <v>926.01600000000019</v>
      </c>
      <c r="AN213" s="36"/>
      <c r="AO213" s="202">
        <v>25057</v>
      </c>
      <c r="AP213" s="205">
        <v>105</v>
      </c>
      <c r="AQ213" s="126"/>
      <c r="AR213" s="126"/>
      <c r="AS213" s="126"/>
      <c r="AT213" s="118"/>
      <c r="AU213" s="118"/>
      <c r="AV213" s="118"/>
      <c r="AW213" s="118"/>
      <c r="AX213" s="118"/>
      <c r="AY213" s="118"/>
      <c r="AZ213" s="118"/>
      <c r="BA213" s="118"/>
      <c r="BB213" s="118"/>
      <c r="BC213" s="118"/>
      <c r="BD213" s="118"/>
      <c r="BE213" s="118"/>
      <c r="BF213" s="118"/>
      <c r="BG213" s="47"/>
      <c r="BH213" s="47"/>
      <c r="BI213" s="47"/>
      <c r="BJ213" s="47"/>
      <c r="BK213" s="47"/>
    </row>
    <row r="214" spans="1:63" ht="28.5" customHeight="1">
      <c r="A214" s="318"/>
      <c r="B214" s="324"/>
      <c r="C214" s="42" t="s">
        <v>116</v>
      </c>
      <c r="D214" s="28" t="e">
        <f t="shared" si="269"/>
        <v>#REF!</v>
      </c>
      <c r="E214" s="201" t="e">
        <f t="shared" si="270"/>
        <v>#REF!</v>
      </c>
      <c r="F214" s="30">
        <f t="shared" si="271"/>
        <v>0.15939185895352617</v>
      </c>
      <c r="G214" s="30">
        <f t="shared" si="272"/>
        <v>1.4218009478672985E-2</v>
      </c>
      <c r="H214" s="35">
        <v>0</v>
      </c>
      <c r="I214" s="35">
        <f t="shared" si="273"/>
        <v>70</v>
      </c>
      <c r="J214" s="35">
        <f t="shared" si="274"/>
        <v>140</v>
      </c>
      <c r="K214" s="310"/>
      <c r="L214" s="39">
        <v>1</v>
      </c>
      <c r="M214" s="210"/>
      <c r="N214" s="44">
        <v>10</v>
      </c>
      <c r="O214" s="202">
        <v>8</v>
      </c>
      <c r="P214" s="31">
        <f t="shared" si="275"/>
        <v>8</v>
      </c>
      <c r="Q214" s="202"/>
      <c r="R214" s="203">
        <v>3</v>
      </c>
      <c r="S214" s="36"/>
      <c r="T214" s="34">
        <f t="shared" si="276"/>
        <v>492320</v>
      </c>
      <c r="U214" s="31">
        <f t="shared" si="277"/>
        <v>0</v>
      </c>
      <c r="V214" s="34">
        <f t="shared" si="278"/>
        <v>492320</v>
      </c>
      <c r="W214" s="43">
        <v>61540</v>
      </c>
      <c r="X214" s="34">
        <f>SUMIF(헤몬팜마진!$B$7:$B$32,$C214,헤몬팜마진!$R$7:$R$32)</f>
        <v>12169.932499999999</v>
      </c>
      <c r="Y214" s="34" t="e">
        <f t="shared" si="279"/>
        <v>#REF!</v>
      </c>
      <c r="Z214" s="34">
        <f t="shared" si="280"/>
        <v>78471.8</v>
      </c>
      <c r="AA214" s="49">
        <v>71338</v>
      </c>
      <c r="AB214" s="36"/>
      <c r="AC214" s="204">
        <f t="shared" si="287"/>
        <v>0</v>
      </c>
      <c r="AD214" s="152">
        <v>7.8E-2</v>
      </c>
      <c r="AE214" s="31">
        <f t="shared" si="290"/>
        <v>38600</v>
      </c>
      <c r="AF214" s="28">
        <f t="shared" si="282"/>
        <v>0.15640428989275268</v>
      </c>
      <c r="AG214" s="34">
        <f t="shared" si="283"/>
        <v>77000.989999999991</v>
      </c>
      <c r="AH214" s="34" t="e">
        <f t="shared" si="284"/>
        <v>#REF!</v>
      </c>
      <c r="AI214" s="34" t="e">
        <f>SUMIF(헤몬팜마진!$B$7:$B$32,$C214,헤몬팜마진!$V$7:$V$32)</f>
        <v>#REF!</v>
      </c>
      <c r="AJ214" s="34" t="e">
        <f t="shared" si="285"/>
        <v>#REF!</v>
      </c>
      <c r="AK214" s="46" t="e">
        <f t="shared" si="286"/>
        <v>#REF!</v>
      </c>
      <c r="AL214" s="40">
        <f>SUMIF(헤몬팜마진!$B$7:$B$32,$C214,헤몬팜마진!$T$7:$T$32)</f>
        <v>181.44000000000003</v>
      </c>
      <c r="AM214" s="41">
        <f>SUMIF(헤몬팜마진!$B$7:$B$32,$C214,헤몬팜마진!$U$7:$U$32)</f>
        <v>926.01600000000019</v>
      </c>
      <c r="AN214" s="36"/>
      <c r="AO214" s="202">
        <v>38196</v>
      </c>
      <c r="AP214" s="205">
        <v>211</v>
      </c>
      <c r="AQ214" s="126"/>
      <c r="AR214" s="126"/>
      <c r="AS214" s="126"/>
      <c r="AT214" s="118"/>
      <c r="AU214" s="118"/>
      <c r="AV214" s="118"/>
      <c r="AW214" s="118"/>
      <c r="AX214" s="118"/>
      <c r="AY214" s="118"/>
      <c r="AZ214" s="118"/>
      <c r="BA214" s="118"/>
      <c r="BB214" s="118"/>
      <c r="BC214" s="118"/>
      <c r="BD214" s="118"/>
      <c r="BE214" s="118"/>
      <c r="BF214" s="118"/>
      <c r="BG214" s="47"/>
      <c r="BH214" s="47"/>
      <c r="BI214" s="47"/>
      <c r="BJ214" s="47"/>
      <c r="BK214" s="47"/>
    </row>
    <row r="215" spans="1:63" ht="28.5" customHeight="1">
      <c r="A215" s="228" t="s">
        <v>137</v>
      </c>
      <c r="B215" s="200"/>
      <c r="C215" s="42" t="s">
        <v>117</v>
      </c>
      <c r="D215" s="28">
        <f t="shared" si="269"/>
        <v>0.38470486925419739</v>
      </c>
      <c r="E215" s="201">
        <f t="shared" si="270"/>
        <v>0.49826624312807127</v>
      </c>
      <c r="F215" s="30">
        <f t="shared" si="271"/>
        <v>0.11356137387387388</v>
      </c>
      <c r="G215" s="30">
        <f t="shared" si="272"/>
        <v>9.316770186335404E-3</v>
      </c>
      <c r="H215" s="35">
        <v>2000</v>
      </c>
      <c r="I215" s="35">
        <f t="shared" si="273"/>
        <v>700</v>
      </c>
      <c r="J215" s="35">
        <f t="shared" si="274"/>
        <v>1400</v>
      </c>
      <c r="K215" s="39">
        <v>2373</v>
      </c>
      <c r="L215" s="39">
        <v>3</v>
      </c>
      <c r="M215" s="210"/>
      <c r="N215" s="44">
        <v>100</v>
      </c>
      <c r="O215" s="202">
        <v>16</v>
      </c>
      <c r="P215" s="31">
        <f t="shared" si="275"/>
        <v>16</v>
      </c>
      <c r="Q215" s="202"/>
      <c r="R215" s="203">
        <v>3</v>
      </c>
      <c r="S215" s="36"/>
      <c r="T215" s="34">
        <f t="shared" si="276"/>
        <v>284160</v>
      </c>
      <c r="U215" s="31">
        <f t="shared" si="277"/>
        <v>0</v>
      </c>
      <c r="V215" s="34">
        <f t="shared" si="278"/>
        <v>284160</v>
      </c>
      <c r="W215" s="43">
        <v>17760</v>
      </c>
      <c r="X215" s="34">
        <f>SUMIF(헤몬팜마진!$B$7:$B$32,$C215,헤몬팜마진!$R$7:$R$32)</f>
        <v>3982.8869999999997</v>
      </c>
      <c r="Y215" s="34">
        <f t="shared" si="279"/>
        <v>77395.363199999993</v>
      </c>
      <c r="Z215" s="34">
        <f t="shared" si="280"/>
        <v>32269.600000000002</v>
      </c>
      <c r="AA215" s="49">
        <v>29336</v>
      </c>
      <c r="AB215" s="36"/>
      <c r="AC215" s="204">
        <f t="shared" si="287"/>
        <v>0</v>
      </c>
      <c r="AD215" s="152">
        <v>7.8E-2</v>
      </c>
      <c r="AE215" s="31">
        <f t="shared" ref="AE215:AE216" si="291">1900*(P215)</f>
        <v>30400</v>
      </c>
      <c r="AF215" s="28">
        <f t="shared" si="282"/>
        <v>0.18498198198198199</v>
      </c>
      <c r="AG215" s="34">
        <f t="shared" si="283"/>
        <v>52564.51</v>
      </c>
      <c r="AH215" s="34">
        <f t="shared" si="284"/>
        <v>12612.79115272727</v>
      </c>
      <c r="AI215" s="34">
        <f>SUMIF(헤몬팜마진!$B$7:$B$32,$C215,헤몬팜마진!$V$7:$V$32)</f>
        <v>4837.2101999999995</v>
      </c>
      <c r="AJ215" s="34">
        <f t="shared" si="285"/>
        <v>141587.33564727273</v>
      </c>
      <c r="AK215" s="46">
        <f t="shared" si="286"/>
        <v>109317.73564727273</v>
      </c>
      <c r="AL215" s="40">
        <f>SUMIF(헤몬팜마진!$B$7:$B$32,$C215,헤몬팜마진!$T$7:$T$32)</f>
        <v>139.96800000000002</v>
      </c>
      <c r="AM215" s="41">
        <f>SUMIF(헤몬팜마진!$B$7:$B$32,$C215,헤몬팜마진!$U$7:$U$32)</f>
        <v>714.35519999999997</v>
      </c>
      <c r="AN215" s="36"/>
      <c r="AO215" s="202">
        <v>55981</v>
      </c>
      <c r="AP215" s="205">
        <v>322</v>
      </c>
      <c r="AQ215" s="126"/>
      <c r="AR215" s="126"/>
      <c r="AS215" s="126"/>
      <c r="AT215" s="118"/>
      <c r="AU215" s="118"/>
      <c r="AV215" s="118"/>
      <c r="AW215" s="118"/>
      <c r="AX215" s="118"/>
      <c r="AY215" s="118"/>
      <c r="AZ215" s="118"/>
      <c r="BA215" s="118"/>
      <c r="BB215" s="118"/>
      <c r="BC215" s="118"/>
      <c r="BD215" s="118"/>
      <c r="BE215" s="118"/>
      <c r="BF215" s="118"/>
      <c r="BG215" s="47"/>
      <c r="BH215" s="47"/>
      <c r="BI215" s="47"/>
      <c r="BJ215" s="47"/>
      <c r="BK215" s="47"/>
    </row>
    <row r="216" spans="1:63" ht="28.5" customHeight="1">
      <c r="A216" s="228" t="s">
        <v>138</v>
      </c>
      <c r="B216" s="200"/>
      <c r="C216" s="42" t="s">
        <v>118</v>
      </c>
      <c r="D216" s="28">
        <f t="shared" si="269"/>
        <v>-0.12154263324780062</v>
      </c>
      <c r="E216" s="201">
        <f t="shared" si="270"/>
        <v>0.43889184255865105</v>
      </c>
      <c r="F216" s="30">
        <f t="shared" si="271"/>
        <v>0.56043447580645167</v>
      </c>
      <c r="G216" s="30">
        <f t="shared" si="272"/>
        <v>6.4516129032258064E-3</v>
      </c>
      <c r="H216" s="35">
        <v>0</v>
      </c>
      <c r="I216" s="35">
        <f t="shared" si="273"/>
        <v>350</v>
      </c>
      <c r="J216" s="35">
        <f t="shared" si="274"/>
        <v>700</v>
      </c>
      <c r="K216" s="39">
        <v>87</v>
      </c>
      <c r="L216" s="39">
        <v>0</v>
      </c>
      <c r="M216" s="210"/>
      <c r="N216" s="44">
        <v>50</v>
      </c>
      <c r="O216" s="202">
        <v>4</v>
      </c>
      <c r="P216" s="31">
        <f t="shared" si="275"/>
        <v>4</v>
      </c>
      <c r="Q216" s="36"/>
      <c r="R216" s="203">
        <v>1</v>
      </c>
      <c r="S216" s="36"/>
      <c r="T216" s="34">
        <f t="shared" si="276"/>
        <v>99200</v>
      </c>
      <c r="U216" s="31">
        <f t="shared" si="277"/>
        <v>0</v>
      </c>
      <c r="V216" s="34">
        <f t="shared" si="278"/>
        <v>99200</v>
      </c>
      <c r="W216" s="43">
        <v>24800</v>
      </c>
      <c r="X216" s="34">
        <f>SUMIF(헤몬팜마진!$B$7:$B$32,$C216,헤몬팜마진!$R$7:$R$32)</f>
        <v>8408.3169999999991</v>
      </c>
      <c r="Y216" s="34">
        <f t="shared" si="279"/>
        <v>34318.835999999996</v>
      </c>
      <c r="Z216" s="34">
        <f t="shared" si="280"/>
        <v>55595.100000000006</v>
      </c>
      <c r="AA216" s="49">
        <v>50541</v>
      </c>
      <c r="AB216" s="209"/>
      <c r="AC216" s="204">
        <f t="shared" si="287"/>
        <v>0</v>
      </c>
      <c r="AD216" s="152">
        <v>0.1</v>
      </c>
      <c r="AE216" s="31">
        <f t="shared" si="291"/>
        <v>7600</v>
      </c>
      <c r="AF216" s="28">
        <f t="shared" si="282"/>
        <v>0.17661290322580647</v>
      </c>
      <c r="AG216" s="34">
        <f t="shared" si="283"/>
        <v>17520.030000000002</v>
      </c>
      <c r="AH216" s="34">
        <f t="shared" si="284"/>
        <v>3823.0632181818182</v>
      </c>
      <c r="AI216" s="34">
        <f>SUMIF(헤몬팜마진!$B$7:$B$32,$C216,헤몬팜마진!$V$7:$V$32)</f>
        <v>8579.7089999999989</v>
      </c>
      <c r="AJ216" s="34">
        <f t="shared" si="285"/>
        <v>43538.070781818184</v>
      </c>
      <c r="AK216" s="206">
        <f t="shared" si="286"/>
        <v>-12057.029218181822</v>
      </c>
      <c r="AL216" s="40">
        <f>SUMIF(헤몬팜마진!$B$7:$B$32,$C216,헤몬팜마진!$T$7:$T$32)</f>
        <v>28.079999999999995</v>
      </c>
      <c r="AM216" s="41">
        <f>SUMIF(헤몬팜마진!$B$7:$B$32,$C216,헤몬팜마진!$U$7:$U$32)</f>
        <v>143.31199999999998</v>
      </c>
      <c r="AN216" s="36"/>
      <c r="AO216" s="202">
        <v>105412</v>
      </c>
      <c r="AP216" s="205">
        <v>155</v>
      </c>
      <c r="AQ216" s="126"/>
      <c r="AR216" s="126"/>
      <c r="AS216" s="126"/>
      <c r="AT216" s="118"/>
      <c r="AU216" s="118"/>
      <c r="AV216" s="118"/>
      <c r="AW216" s="118"/>
      <c r="AX216" s="118"/>
      <c r="AY216" s="118"/>
      <c r="AZ216" s="118"/>
      <c r="BA216" s="118"/>
      <c r="BB216" s="118"/>
      <c r="BC216" s="118"/>
      <c r="BD216" s="118"/>
      <c r="BE216" s="118"/>
      <c r="BF216" s="118"/>
      <c r="BG216" s="47"/>
      <c r="BH216" s="47"/>
      <c r="BI216" s="47"/>
      <c r="BJ216" s="47"/>
      <c r="BK216" s="47"/>
    </row>
    <row r="217" spans="1:63" ht="28.5" customHeight="1">
      <c r="A217" s="12"/>
      <c r="B217" s="214" t="s">
        <v>126</v>
      </c>
      <c r="C217" s="42" t="s">
        <v>31</v>
      </c>
      <c r="D217" s="28">
        <f t="shared" si="269"/>
        <v>-6.7620310885167387E-2</v>
      </c>
      <c r="E217" s="201">
        <f t="shared" si="270"/>
        <v>0.40281958145933022</v>
      </c>
      <c r="F217" s="30">
        <f t="shared" si="271"/>
        <v>0.47043989234449762</v>
      </c>
      <c r="G217" s="30">
        <f t="shared" si="272"/>
        <v>4.4217687074829932E-2</v>
      </c>
      <c r="H217" s="35">
        <v>700</v>
      </c>
      <c r="I217" s="35">
        <f t="shared" si="273"/>
        <v>210</v>
      </c>
      <c r="J217" s="35">
        <f t="shared" si="274"/>
        <v>420</v>
      </c>
      <c r="K217" s="39">
        <v>954</v>
      </c>
      <c r="L217" s="39">
        <v>2</v>
      </c>
      <c r="M217" s="210"/>
      <c r="N217" s="44">
        <v>30</v>
      </c>
      <c r="O217" s="36">
        <v>16</v>
      </c>
      <c r="P217" s="31">
        <f t="shared" si="275"/>
        <v>16</v>
      </c>
      <c r="Q217" s="36">
        <v>3</v>
      </c>
      <c r="R217" s="167">
        <v>13</v>
      </c>
      <c r="S217" s="36"/>
      <c r="T217" s="34">
        <f t="shared" si="276"/>
        <v>334400</v>
      </c>
      <c r="U217" s="31">
        <f t="shared" si="277"/>
        <v>0</v>
      </c>
      <c r="V217" s="34">
        <f t="shared" si="278"/>
        <v>334400</v>
      </c>
      <c r="W217" s="43">
        <v>20900</v>
      </c>
      <c r="X217" s="34">
        <f>SUMIF(헤몬팜마진!$B$7:$B$32,$C217,헤몬팜마진!$R$7:$R$32)</f>
        <v>6638.1449999999995</v>
      </c>
      <c r="Y217" s="34">
        <f t="shared" si="279"/>
        <v>106969.71839999998</v>
      </c>
      <c r="Z217" s="34">
        <f t="shared" si="280"/>
        <v>136346.1</v>
      </c>
      <c r="AA217" s="48">
        <v>123951</v>
      </c>
      <c r="AB217" s="211">
        <f>((20900*0.015)+(20900*0.19)+2100+2200+1900)*2</f>
        <v>20969</v>
      </c>
      <c r="AC217" s="204">
        <f t="shared" si="287"/>
        <v>6930</v>
      </c>
      <c r="AD217" s="152">
        <v>0.08</v>
      </c>
      <c r="AE217" s="31">
        <f>3400*(P217)</f>
        <v>54400</v>
      </c>
      <c r="AF217" s="28">
        <f t="shared" si="282"/>
        <v>0.24267942583732055</v>
      </c>
      <c r="AG217" s="34">
        <f t="shared" si="283"/>
        <v>81152.029999999984</v>
      </c>
      <c r="AH217" s="34">
        <f t="shared" si="284"/>
        <v>11575.383560000002</v>
      </c>
      <c r="AI217" s="34">
        <f>SUMIF(헤몬팜마진!$B$7:$B$32,$C217,헤몬팜마진!$V$7:$V$32)</f>
        <v>6685.607399999999</v>
      </c>
      <c r="AJ217" s="34">
        <f t="shared" si="285"/>
        <v>134702.86804000003</v>
      </c>
      <c r="AK217" s="206">
        <f t="shared" si="286"/>
        <v>-22612.231959999976</v>
      </c>
      <c r="AL217" s="40">
        <f>SUMIF(헤몬팜마진!$B$7:$B$32,$C217,헤몬팜마진!$T$7:$T$32)</f>
        <v>7.7759999999999998</v>
      </c>
      <c r="AM217" s="41">
        <f>SUMIF(헤몬팜마진!$B$7:$B$32,$C217,헤몬팜마진!$U$7:$U$32)</f>
        <v>39.686400000000006</v>
      </c>
      <c r="AN217" s="36"/>
      <c r="AO217" s="202">
        <v>227189</v>
      </c>
      <c r="AP217" s="205">
        <v>294</v>
      </c>
      <c r="AQ217" s="126"/>
      <c r="AR217" s="126"/>
      <c r="AS217" s="126"/>
      <c r="AT217" s="118"/>
      <c r="AU217" s="118"/>
      <c r="AV217" s="118"/>
      <c r="AW217" s="118"/>
      <c r="AX217" s="118"/>
      <c r="AY217" s="118"/>
      <c r="AZ217" s="118"/>
      <c r="BA217" s="118"/>
      <c r="BB217" s="118"/>
      <c r="BC217" s="118"/>
      <c r="BD217" s="118"/>
      <c r="BE217" s="118"/>
      <c r="BF217" s="118"/>
      <c r="BG217" s="47"/>
      <c r="BH217" s="47"/>
      <c r="BI217" s="47"/>
      <c r="BJ217" s="47"/>
      <c r="BK217" s="47"/>
    </row>
    <row r="218" spans="1:63" ht="28.5" customHeight="1">
      <c r="A218" s="327" t="s">
        <v>139</v>
      </c>
      <c r="B218" s="127" t="s">
        <v>127</v>
      </c>
      <c r="C218" s="42" t="s">
        <v>119</v>
      </c>
      <c r="D218" s="28">
        <f t="shared" si="269"/>
        <v>0.22682841712986493</v>
      </c>
      <c r="E218" s="201">
        <f t="shared" si="270"/>
        <v>0.43444842519763421</v>
      </c>
      <c r="F218" s="30">
        <f t="shared" si="271"/>
        <v>0.20762000806776928</v>
      </c>
      <c r="G218" s="30">
        <f t="shared" si="272"/>
        <v>8.6206896551724144E-2</v>
      </c>
      <c r="H218" s="35">
        <v>2000</v>
      </c>
      <c r="I218" s="35">
        <f t="shared" si="273"/>
        <v>280</v>
      </c>
      <c r="J218" s="35">
        <f t="shared" si="274"/>
        <v>560</v>
      </c>
      <c r="K218" s="328">
        <v>1048</v>
      </c>
      <c r="L218" s="39">
        <f>311+240+1</f>
        <v>552</v>
      </c>
      <c r="M218" s="210"/>
      <c r="N218" s="44">
        <v>40</v>
      </c>
      <c r="O218" s="202">
        <v>21</v>
      </c>
      <c r="P218" s="31">
        <f t="shared" si="275"/>
        <v>21</v>
      </c>
      <c r="Q218" s="202">
        <v>4</v>
      </c>
      <c r="R218" s="203">
        <v>10</v>
      </c>
      <c r="S218" s="36"/>
      <c r="T218" s="34">
        <f t="shared" si="276"/>
        <v>520590</v>
      </c>
      <c r="U218" s="31">
        <f t="shared" si="277"/>
        <v>0</v>
      </c>
      <c r="V218" s="34">
        <f t="shared" si="278"/>
        <v>520590</v>
      </c>
      <c r="W218" s="43">
        <v>24790</v>
      </c>
      <c r="X218" s="34">
        <f>SUMIF(헤몬팜마진!$B$7:$B$32,$C218,헤몬팜마진!$R$7:$R$32)</f>
        <v>6859.4164999999994</v>
      </c>
      <c r="Y218" s="34">
        <f t="shared" si="279"/>
        <v>152325.98009999999</v>
      </c>
      <c r="Z218" s="34">
        <f t="shared" si="280"/>
        <v>108084.90000000001</v>
      </c>
      <c r="AA218" s="49">
        <v>98259</v>
      </c>
      <c r="AB218" s="209"/>
      <c r="AC218" s="204">
        <f t="shared" si="287"/>
        <v>9240</v>
      </c>
      <c r="AD218" s="152">
        <v>0.108</v>
      </c>
      <c r="AE218" s="31">
        <f>3150*(P218)</f>
        <v>66150</v>
      </c>
      <c r="AF218" s="28">
        <f t="shared" si="282"/>
        <v>0.23506736587333604</v>
      </c>
      <c r="AG218" s="34">
        <f t="shared" si="283"/>
        <v>122373.75000000001</v>
      </c>
      <c r="AH218" s="34">
        <f t="shared" si="284"/>
        <v>19720.764226363637</v>
      </c>
      <c r="AI218" s="34">
        <f>SUMIF(헤몬팜마진!$B$7:$B$32,$C218,헤몬팜마진!$V$7:$V$32)</f>
        <v>7253.6180999999988</v>
      </c>
      <c r="AJ218" s="34">
        <f t="shared" si="285"/>
        <v>226169.50567363639</v>
      </c>
      <c r="AK218" s="206">
        <f t="shared" si="286"/>
        <v>118084.60567363638</v>
      </c>
      <c r="AL218" s="40">
        <f>SUMIF(헤몬팜마진!$B$7:$B$32,$C218,헤몬팜마진!$T$7:$T$32)</f>
        <v>64.584000000000003</v>
      </c>
      <c r="AM218" s="41">
        <f>SUMIF(헤몬팜마진!$B$7:$B$32,$C218,헤몬팜마진!$U$7:$U$32)</f>
        <v>329.61759999999998</v>
      </c>
      <c r="AN218" s="36"/>
      <c r="AO218" s="202">
        <v>25375</v>
      </c>
      <c r="AP218" s="205">
        <v>116</v>
      </c>
      <c r="AQ218" s="126"/>
      <c r="AR218" s="126"/>
      <c r="AS218" s="126"/>
      <c r="AT218" s="118"/>
      <c r="AU218" s="118"/>
      <c r="AV218" s="118"/>
      <c r="AW218" s="118"/>
      <c r="AX218" s="118"/>
      <c r="AY218" s="118"/>
      <c r="AZ218" s="118"/>
      <c r="BA218" s="118"/>
      <c r="BB218" s="118"/>
      <c r="BC218" s="118"/>
      <c r="BD218" s="118"/>
      <c r="BE218" s="118"/>
      <c r="BF218" s="118"/>
      <c r="BG218" s="47"/>
      <c r="BH218" s="47"/>
      <c r="BI218" s="47"/>
      <c r="BJ218" s="47"/>
      <c r="BK218" s="47"/>
    </row>
    <row r="219" spans="1:63" ht="28.5" customHeight="1">
      <c r="A219" s="318"/>
      <c r="B219" s="214" t="s">
        <v>128</v>
      </c>
      <c r="C219" s="42" t="s">
        <v>120</v>
      </c>
      <c r="D219" s="28">
        <f t="shared" si="269"/>
        <v>-0.38549819241662869</v>
      </c>
      <c r="E219" s="201">
        <f t="shared" si="270"/>
        <v>0.41263748597533118</v>
      </c>
      <c r="F219" s="30">
        <f t="shared" si="271"/>
        <v>0.79813567839195987</v>
      </c>
      <c r="G219" s="30">
        <f t="shared" si="272"/>
        <v>1.6528925619834711E-2</v>
      </c>
      <c r="H219" s="35">
        <v>0</v>
      </c>
      <c r="I219" s="35">
        <f t="shared" si="273"/>
        <v>105</v>
      </c>
      <c r="J219" s="35">
        <f t="shared" si="274"/>
        <v>210</v>
      </c>
      <c r="K219" s="310"/>
      <c r="L219" s="39">
        <f>22+3</f>
        <v>25</v>
      </c>
      <c r="M219" s="210"/>
      <c r="N219" s="44">
        <v>15</v>
      </c>
      <c r="O219" s="36">
        <v>2</v>
      </c>
      <c r="P219" s="31">
        <f t="shared" si="275"/>
        <v>2</v>
      </c>
      <c r="Q219" s="36"/>
      <c r="R219" s="167">
        <v>2</v>
      </c>
      <c r="S219" s="36"/>
      <c r="T219" s="34">
        <f t="shared" si="276"/>
        <v>79600</v>
      </c>
      <c r="U219" s="31">
        <f t="shared" si="277"/>
        <v>0</v>
      </c>
      <c r="V219" s="34">
        <f t="shared" si="278"/>
        <v>79600</v>
      </c>
      <c r="W219" s="43">
        <v>39800</v>
      </c>
      <c r="X219" s="34">
        <f>SUMIF(헤몬팜마진!$B$7:$B$32,$C219,헤몬팜마진!$R$7:$R$32)</f>
        <v>13718.832999999999</v>
      </c>
      <c r="Y219" s="34">
        <f t="shared" si="279"/>
        <v>28226.069199999998</v>
      </c>
      <c r="Z219" s="34">
        <f t="shared" si="280"/>
        <v>63531.600000000006</v>
      </c>
      <c r="AA219" s="49">
        <v>57756</v>
      </c>
      <c r="AB219" s="209"/>
      <c r="AC219" s="204">
        <f t="shared" si="287"/>
        <v>0</v>
      </c>
      <c r="AD219" s="152">
        <v>0.108</v>
      </c>
      <c r="AE219" s="31">
        <f>3550*(P219)</f>
        <v>7100</v>
      </c>
      <c r="AF219" s="28">
        <f t="shared" si="282"/>
        <v>0.1971959798994975</v>
      </c>
      <c r="AG219" s="34">
        <f t="shared" si="283"/>
        <v>15696.830000000002</v>
      </c>
      <c r="AH219" s="34">
        <f t="shared" si="284"/>
        <v>2831.1569163636359</v>
      </c>
      <c r="AI219" s="34">
        <f>SUMIF(헤몬팜마진!$B$7:$B$32,$C219,헤몬팜마진!$V$7:$V$32)</f>
        <v>14113.034599999999</v>
      </c>
      <c r="AJ219" s="34">
        <f t="shared" si="285"/>
        <v>32845.943883636362</v>
      </c>
      <c r="AK219" s="206">
        <f t="shared" si="286"/>
        <v>-30685.656116363643</v>
      </c>
      <c r="AL219" s="40">
        <f>SUMIF(헤몬팜마진!$B$7:$B$32,$C219,헤몬팜마진!$T$7:$T$32)</f>
        <v>64.584000000000003</v>
      </c>
      <c r="AM219" s="41">
        <f>SUMIF(헤몬팜마진!$B$7:$B$32,$C219,헤몬팜마진!$U$7:$U$32)</f>
        <v>329.61759999999998</v>
      </c>
      <c r="AN219" s="36"/>
      <c r="AO219" s="202">
        <v>48859</v>
      </c>
      <c r="AP219" s="205">
        <v>121</v>
      </c>
      <c r="AQ219" s="126"/>
      <c r="AR219" s="126"/>
      <c r="AS219" s="126"/>
      <c r="AT219" s="118"/>
      <c r="AU219" s="118"/>
      <c r="AV219" s="118"/>
      <c r="AW219" s="118"/>
      <c r="AX219" s="118"/>
      <c r="AY219" s="118"/>
      <c r="AZ219" s="118"/>
      <c r="BA219" s="118"/>
      <c r="BB219" s="118"/>
      <c r="BC219" s="118"/>
      <c r="BD219" s="118"/>
      <c r="BE219" s="118"/>
      <c r="BF219" s="118"/>
      <c r="BG219" s="47"/>
      <c r="BH219" s="47"/>
      <c r="BI219" s="47"/>
      <c r="BJ219" s="47"/>
      <c r="BK219" s="47"/>
    </row>
    <row r="220" spans="1:63" ht="28.5" customHeight="1">
      <c r="A220" s="12"/>
      <c r="B220" s="216"/>
      <c r="C220" s="217"/>
      <c r="D220" s="51" t="e">
        <f t="shared" si="269"/>
        <v>#REF!</v>
      </c>
      <c r="E220" s="218" t="e">
        <f t="shared" si="270"/>
        <v>#REF!</v>
      </c>
      <c r="F220" s="53">
        <f t="shared" si="271"/>
        <v>0.22160738326523832</v>
      </c>
      <c r="G220" s="219"/>
      <c r="H220" s="55"/>
      <c r="I220" s="55"/>
      <c r="J220" s="55"/>
      <c r="K220" s="55"/>
      <c r="L220" s="55"/>
      <c r="M220" s="55"/>
      <c r="N220" s="55"/>
      <c r="O220" s="130">
        <f t="shared" ref="O220:V220" si="292">SUM(O203:O219)</f>
        <v>319</v>
      </c>
      <c r="P220" s="220">
        <f t="shared" si="292"/>
        <v>314</v>
      </c>
      <c r="Q220" s="130">
        <f t="shared" si="292"/>
        <v>31</v>
      </c>
      <c r="R220" s="130">
        <f t="shared" si="292"/>
        <v>181</v>
      </c>
      <c r="S220" s="130">
        <f t="shared" si="292"/>
        <v>5</v>
      </c>
      <c r="T220" s="130">
        <f t="shared" si="292"/>
        <v>9046010</v>
      </c>
      <c r="U220" s="130">
        <f t="shared" si="292"/>
        <v>80600</v>
      </c>
      <c r="V220" s="220">
        <f t="shared" si="292"/>
        <v>8965410</v>
      </c>
      <c r="W220" s="55"/>
      <c r="X220" s="130">
        <f t="shared" ref="X220:AC220" si="293">SUM(X203:X219)</f>
        <v>153584.54814999999</v>
      </c>
      <c r="Y220" s="220" t="e">
        <f t="shared" si="293"/>
        <v>#REF!</v>
      </c>
      <c r="Z220" s="130">
        <f t="shared" si="293"/>
        <v>1916494.8000000003</v>
      </c>
      <c r="AA220" s="130">
        <f t="shared" si="293"/>
        <v>1742268</v>
      </c>
      <c r="AB220" s="130">
        <f t="shared" si="293"/>
        <v>70306.25</v>
      </c>
      <c r="AC220" s="130">
        <f t="shared" si="293"/>
        <v>69126</v>
      </c>
      <c r="AD220" s="154">
        <v>0.09</v>
      </c>
      <c r="AE220" s="220">
        <f>SUM(AE203:AE219)</f>
        <v>986925</v>
      </c>
      <c r="AF220" s="53">
        <f t="shared" si="282"/>
        <v>0.2000814128969004</v>
      </c>
      <c r="AG220" s="56">
        <f t="shared" ref="AG220:AI220" si="294">SUM(AG203:AG219)</f>
        <v>1848197.1600000001</v>
      </c>
      <c r="AH220" s="56" t="e">
        <f t="shared" si="294"/>
        <v>#REF!</v>
      </c>
      <c r="AI220" s="56" t="e">
        <f t="shared" si="294"/>
        <v>#REF!</v>
      </c>
      <c r="AJ220" s="56" t="e">
        <f t="shared" si="285"/>
        <v>#REF!</v>
      </c>
      <c r="AK220" s="221" t="e">
        <f t="shared" si="286"/>
        <v>#REF!</v>
      </c>
      <c r="AL220" s="54"/>
      <c r="AM220" s="222"/>
      <c r="AN220" s="57"/>
      <c r="AO220" s="131">
        <f t="shared" ref="AO220:AP220" si="295">SUM(AO203:AO204)</f>
        <v>373679</v>
      </c>
      <c r="AP220" s="132">
        <f t="shared" si="295"/>
        <v>1759</v>
      </c>
      <c r="AQ220" s="126"/>
      <c r="AR220" s="126"/>
      <c r="AS220" s="126"/>
      <c r="AT220" s="118"/>
      <c r="AU220" s="118"/>
      <c r="AV220" s="118"/>
      <c r="AW220" s="118"/>
      <c r="AX220" s="118"/>
      <c r="AY220" s="118"/>
      <c r="AZ220" s="118"/>
      <c r="BA220" s="118"/>
      <c r="BB220" s="118"/>
      <c r="BC220" s="118"/>
      <c r="BD220" s="118"/>
      <c r="BE220" s="118"/>
      <c r="BF220" s="118"/>
      <c r="BG220" s="47"/>
      <c r="BH220" s="47"/>
      <c r="BI220" s="47"/>
      <c r="BJ220" s="47"/>
      <c r="BK220" s="47"/>
    </row>
    <row r="221" spans="1:63" ht="28.5" customHeight="1">
      <c r="A221" s="3"/>
      <c r="B221" s="120"/>
      <c r="C221" s="229"/>
      <c r="D221" s="230"/>
      <c r="E221" s="230"/>
      <c r="F221" s="230"/>
      <c r="G221" s="230"/>
      <c r="H221" s="231"/>
      <c r="I221" s="231"/>
      <c r="J221" s="231"/>
      <c r="K221" s="231"/>
      <c r="L221" s="231"/>
      <c r="M221" s="231"/>
      <c r="N221" s="231"/>
      <c r="O221" s="231"/>
      <c r="P221" s="232"/>
      <c r="Q221" s="231"/>
      <c r="R221" s="231"/>
      <c r="S221" s="231"/>
      <c r="T221" s="231"/>
      <c r="U221" s="231"/>
      <c r="V221" s="231"/>
      <c r="W221" s="231"/>
      <c r="X221" s="231"/>
      <c r="Y221" s="231"/>
      <c r="Z221" s="231"/>
      <c r="AA221" s="133"/>
      <c r="AB221" s="61"/>
      <c r="AC221" s="148"/>
      <c r="AD221" s="148"/>
      <c r="AE221" s="148"/>
      <c r="AF221" s="148"/>
      <c r="AG221" s="61"/>
      <c r="AH221" s="61"/>
      <c r="AI221" s="187"/>
      <c r="AJ221" s="118"/>
      <c r="AK221" s="126"/>
      <c r="AL221" s="126"/>
      <c r="AM221" s="126"/>
      <c r="AN221" s="118"/>
      <c r="AO221" s="118"/>
      <c r="AP221" s="118"/>
      <c r="AQ221" s="126"/>
      <c r="AR221" s="126"/>
      <c r="AS221" s="126"/>
      <c r="AT221" s="118"/>
      <c r="AU221" s="118"/>
      <c r="AV221" s="118"/>
      <c r="AW221" s="118"/>
      <c r="AX221" s="118"/>
      <c r="AY221" s="118"/>
      <c r="AZ221" s="118"/>
      <c r="BA221" s="118"/>
      <c r="BB221" s="118"/>
      <c r="BC221" s="118"/>
      <c r="BD221" s="118"/>
      <c r="BE221" s="118"/>
      <c r="BF221" s="118"/>
      <c r="BG221" s="47"/>
      <c r="BH221" s="47"/>
      <c r="BI221" s="47"/>
      <c r="BJ221" s="47"/>
      <c r="BK221" s="47"/>
    </row>
    <row r="222" spans="1:63" ht="28.5" customHeight="1">
      <c r="A222" s="12"/>
      <c r="B222" s="189"/>
      <c r="C222" s="13" t="s">
        <v>140</v>
      </c>
      <c r="D222" s="122" t="s">
        <v>0</v>
      </c>
      <c r="E222" s="122" t="s">
        <v>1</v>
      </c>
      <c r="F222" s="122" t="s">
        <v>2</v>
      </c>
      <c r="G222" s="190" t="s">
        <v>3</v>
      </c>
      <c r="H222" s="191" t="s">
        <v>4</v>
      </c>
      <c r="I222" s="192" t="s">
        <v>5</v>
      </c>
      <c r="J222" s="192" t="s">
        <v>90</v>
      </c>
      <c r="K222" s="193" t="s">
        <v>6</v>
      </c>
      <c r="L222" s="194" t="s">
        <v>7</v>
      </c>
      <c r="M222" s="15" t="s">
        <v>91</v>
      </c>
      <c r="N222" s="123" t="s">
        <v>125</v>
      </c>
      <c r="O222" s="123" t="s">
        <v>8</v>
      </c>
      <c r="P222" s="123" t="s">
        <v>9</v>
      </c>
      <c r="Q222" s="195" t="s">
        <v>10</v>
      </c>
      <c r="R222" s="123" t="s">
        <v>92</v>
      </c>
      <c r="S222" s="196" t="s">
        <v>11</v>
      </c>
      <c r="T222" s="17" t="s">
        <v>12</v>
      </c>
      <c r="U222" s="17" t="s">
        <v>13</v>
      </c>
      <c r="V222" s="17" t="s">
        <v>14</v>
      </c>
      <c r="W222" s="17" t="s">
        <v>15</v>
      </c>
      <c r="X222" s="15" t="s">
        <v>16</v>
      </c>
      <c r="Y222" s="15" t="s">
        <v>17</v>
      </c>
      <c r="Z222" s="19" t="s">
        <v>18</v>
      </c>
      <c r="AA222" s="19" t="s">
        <v>19</v>
      </c>
      <c r="AB222" s="20" t="s">
        <v>20</v>
      </c>
      <c r="AC222" s="22" t="s">
        <v>93</v>
      </c>
      <c r="AD222" s="197" t="s">
        <v>21</v>
      </c>
      <c r="AE222" s="122" t="s">
        <v>22</v>
      </c>
      <c r="AF222" s="21" t="s">
        <v>23</v>
      </c>
      <c r="AG222" s="21" t="s">
        <v>21</v>
      </c>
      <c r="AH222" s="122" t="s">
        <v>24</v>
      </c>
      <c r="AI222" s="15" t="s">
        <v>25</v>
      </c>
      <c r="AJ222" s="15" t="s">
        <v>26</v>
      </c>
      <c r="AK222" s="122" t="s">
        <v>27</v>
      </c>
      <c r="AL222" s="198" t="s">
        <v>28</v>
      </c>
      <c r="AM222" s="199" t="s">
        <v>29</v>
      </c>
      <c r="AN222" s="124" t="s">
        <v>30</v>
      </c>
      <c r="AO222" s="124" t="s">
        <v>94</v>
      </c>
      <c r="AP222" s="125" t="s">
        <v>95</v>
      </c>
      <c r="AQ222" s="126"/>
      <c r="AR222" s="126"/>
      <c r="AS222" s="126"/>
      <c r="AT222" s="118"/>
      <c r="AU222" s="118"/>
      <c r="AV222" s="118"/>
      <c r="AW222" s="118"/>
      <c r="AX222" s="118"/>
      <c r="AY222" s="118"/>
      <c r="AZ222" s="118"/>
      <c r="BA222" s="118"/>
      <c r="BB222" s="118"/>
      <c r="BC222" s="118"/>
      <c r="BD222" s="118"/>
      <c r="BE222" s="118"/>
      <c r="BF222" s="118"/>
      <c r="BG222" s="47"/>
      <c r="BH222" s="47"/>
      <c r="BI222" s="47"/>
      <c r="BJ222" s="47"/>
      <c r="BK222" s="47"/>
    </row>
    <row r="223" spans="1:63" ht="28.5" customHeight="1">
      <c r="A223" s="12" t="s">
        <v>129</v>
      </c>
      <c r="B223" s="200"/>
      <c r="C223" s="42" t="s">
        <v>107</v>
      </c>
      <c r="D223" s="28">
        <f t="shared" ref="D223:D240" si="296">AK223/V223</f>
        <v>0.21730042267435359</v>
      </c>
      <c r="E223" s="201">
        <f t="shared" ref="E223:E240" si="297">AJ223/V223</f>
        <v>0.42270750087334374</v>
      </c>
      <c r="F223" s="30">
        <f t="shared" ref="F223:F240" si="298">(Z223+AB223)/V223</f>
        <v>0.20540707819899015</v>
      </c>
      <c r="G223" s="30">
        <f t="shared" ref="G223:G239" si="299">R223/AP223</f>
        <v>6.9213189683317008E-2</v>
      </c>
      <c r="H223" s="35">
        <v>7410</v>
      </c>
      <c r="I223" s="35">
        <f t="shared" ref="I223:I239" si="300">N223*7</f>
        <v>1400</v>
      </c>
      <c r="J223" s="35">
        <f t="shared" ref="J223:J239" si="301">N223*14</f>
        <v>2800</v>
      </c>
      <c r="K223" s="49">
        <v>76</v>
      </c>
      <c r="L223" s="49">
        <f>1906+1320</f>
        <v>3226</v>
      </c>
      <c r="M223" s="48"/>
      <c r="N223" s="44">
        <v>200</v>
      </c>
      <c r="O223" s="227">
        <v>548</v>
      </c>
      <c r="P223" s="31">
        <f t="shared" ref="P223:P239" si="302">O223-S223</f>
        <v>548</v>
      </c>
      <c r="Q223" s="227">
        <v>41</v>
      </c>
      <c r="R223" s="233">
        <v>424</v>
      </c>
      <c r="S223" s="36"/>
      <c r="T223" s="34">
        <f t="shared" ref="T223:T239" si="303">W223*O223</f>
        <v>15289200</v>
      </c>
      <c r="U223" s="31">
        <f t="shared" ref="U223:U239" si="304">W223*S223</f>
        <v>0</v>
      </c>
      <c r="V223" s="34">
        <f t="shared" ref="V223:V239" si="305">T223-U223</f>
        <v>15289200</v>
      </c>
      <c r="W223" s="34">
        <v>27900</v>
      </c>
      <c r="X223" s="34">
        <f>SUMIF(헤몬팜마진!$B$7:$B$32,$C223,헤몬팜마진!$R$7:$R$32)</f>
        <v>8850.86</v>
      </c>
      <c r="Y223" s="34">
        <f t="shared" ref="Y223:Y239" si="306">AI223*P223</f>
        <v>5066293.7568000006</v>
      </c>
      <c r="Z223" s="34">
        <f t="shared" ref="Z223:Z239" si="307">AA223*1.1</f>
        <v>3140509.9000000004</v>
      </c>
      <c r="AA223" s="49">
        <v>2855009</v>
      </c>
      <c r="AB223" s="36"/>
      <c r="AC223" s="204">
        <f t="shared" ref="AC223:AC224" si="308">(1072+1100)*Q223</f>
        <v>89052</v>
      </c>
      <c r="AD223" s="152">
        <v>0.1</v>
      </c>
      <c r="AE223" s="31">
        <f>3050*(P223)</f>
        <v>1671400</v>
      </c>
      <c r="AF223" s="28">
        <f t="shared" ref="AF223:AF240" si="309">AD223+(AE223/V223)</f>
        <v>0.20931899641577062</v>
      </c>
      <c r="AG223" s="34">
        <f t="shared" ref="AG223:AG239" si="310">IFERROR(V223*AF223+3%,0)</f>
        <v>3200320.03</v>
      </c>
      <c r="AH223" s="34">
        <f t="shared" ref="AH223:AH239" si="311">V223/1.1*10%-((AI223*P223)+AG223+(AN223*P223)+(AL223*P223))*10%</f>
        <v>559726.69084727264</v>
      </c>
      <c r="AI223" s="34">
        <f>SUMIF(헤몬팜마진!$B$7:$B$32,$C223,헤몬팜마진!$V$7:$V$32)</f>
        <v>9245.0616000000009</v>
      </c>
      <c r="AJ223" s="34">
        <f t="shared" ref="AJ223:AJ240" si="312">V223-(Y223+AG223+AH223+(AN223*P223))</f>
        <v>6462859.5223527271</v>
      </c>
      <c r="AK223" s="46">
        <f t="shared" ref="AK223:AK240" si="313">AJ223-Z223-AB223</f>
        <v>3322349.6223527268</v>
      </c>
      <c r="AL223" s="40">
        <f>SUMIF(헤몬팜마진!$B$7:$B$32,$C223,헤몬팜마진!$T$7:$T$32)</f>
        <v>64.584000000000003</v>
      </c>
      <c r="AM223" s="41">
        <f>SUMIF(헤몬팜마진!$B$7:$B$32,$C223,헤몬팜마진!$U$7:$U$32)</f>
        <v>329.61759999999998</v>
      </c>
      <c r="AN223" s="36"/>
      <c r="AO223" s="202">
        <v>1421487</v>
      </c>
      <c r="AP223" s="205">
        <v>6126</v>
      </c>
      <c r="AQ223" s="126"/>
      <c r="AR223" s="126"/>
      <c r="AS223" s="126"/>
      <c r="AT223" s="118"/>
      <c r="AU223" s="118"/>
      <c r="AV223" s="118"/>
      <c r="AW223" s="118"/>
      <c r="AX223" s="118"/>
      <c r="AY223" s="118"/>
      <c r="AZ223" s="118"/>
      <c r="BA223" s="118"/>
      <c r="BB223" s="118"/>
      <c r="BC223" s="118"/>
      <c r="BD223" s="118"/>
      <c r="BE223" s="118"/>
      <c r="BF223" s="118"/>
      <c r="BG223" s="47"/>
      <c r="BH223" s="47"/>
      <c r="BI223" s="47"/>
      <c r="BJ223" s="47"/>
      <c r="BK223" s="47"/>
    </row>
    <row r="224" spans="1:63" ht="28.5" customHeight="1">
      <c r="A224" s="228" t="s">
        <v>130</v>
      </c>
      <c r="B224" s="200"/>
      <c r="C224" s="42" t="s">
        <v>108</v>
      </c>
      <c r="D224" s="28">
        <f t="shared" si="296"/>
        <v>0.12225215578694434</v>
      </c>
      <c r="E224" s="201">
        <f t="shared" si="297"/>
        <v>0.40985127472967564</v>
      </c>
      <c r="F224" s="30">
        <f t="shared" si="298"/>
        <v>0.28759911894273127</v>
      </c>
      <c r="G224" s="30">
        <f t="shared" si="299"/>
        <v>6.4102564102564097E-2</v>
      </c>
      <c r="H224" s="35">
        <v>1460</v>
      </c>
      <c r="I224" s="35">
        <f t="shared" si="300"/>
        <v>140</v>
      </c>
      <c r="J224" s="35">
        <f t="shared" si="301"/>
        <v>280</v>
      </c>
      <c r="K224" s="39">
        <v>325</v>
      </c>
      <c r="L224" s="39">
        <v>0</v>
      </c>
      <c r="M224" s="210"/>
      <c r="N224" s="44">
        <v>20</v>
      </c>
      <c r="O224" s="202">
        <v>6</v>
      </c>
      <c r="P224" s="31">
        <f t="shared" si="302"/>
        <v>6</v>
      </c>
      <c r="Q224" s="36">
        <v>1</v>
      </c>
      <c r="R224" s="167">
        <v>5</v>
      </c>
      <c r="S224" s="36"/>
      <c r="T224" s="34">
        <f t="shared" si="303"/>
        <v>136200</v>
      </c>
      <c r="U224" s="31">
        <f t="shared" si="304"/>
        <v>0</v>
      </c>
      <c r="V224" s="34">
        <f t="shared" si="305"/>
        <v>136200</v>
      </c>
      <c r="W224" s="43">
        <v>22700</v>
      </c>
      <c r="X224" s="34">
        <f>SUMIF(헤몬팜마진!$B$7:$B$32,$C224,헤몬팜마진!$R$7:$R$32)</f>
        <v>7080.6879999999992</v>
      </c>
      <c r="Y224" s="34">
        <f t="shared" si="306"/>
        <v>44263.967999999993</v>
      </c>
      <c r="Z224" s="34">
        <f t="shared" si="307"/>
        <v>39171</v>
      </c>
      <c r="AA224" s="49">
        <f>23171+12439</f>
        <v>35610</v>
      </c>
      <c r="AB224" s="36"/>
      <c r="AC224" s="204">
        <f t="shared" si="308"/>
        <v>2172</v>
      </c>
      <c r="AD224" s="152">
        <v>0.1</v>
      </c>
      <c r="AE224" s="31">
        <f>2950*(P224)</f>
        <v>17700</v>
      </c>
      <c r="AF224" s="28">
        <f t="shared" si="309"/>
        <v>0.22995594713656389</v>
      </c>
      <c r="AG224" s="34">
        <f t="shared" si="310"/>
        <v>31320.030000000002</v>
      </c>
      <c r="AH224" s="34">
        <f t="shared" si="311"/>
        <v>4794.258381818182</v>
      </c>
      <c r="AI224" s="34">
        <f>SUMIF(헤몬팜마진!$B$7:$B$32,$C224,헤몬팜마진!$V$7:$V$32)</f>
        <v>7377.3279999999995</v>
      </c>
      <c r="AJ224" s="34">
        <f t="shared" si="312"/>
        <v>55821.743618181819</v>
      </c>
      <c r="AK224" s="46">
        <f t="shared" si="313"/>
        <v>16650.743618181819</v>
      </c>
      <c r="AL224" s="40">
        <f>SUMIF(헤몬팜마진!$B$7:$B$32,$C224,헤몬팜마진!$T$7:$T$32)</f>
        <v>48.6</v>
      </c>
      <c r="AM224" s="41">
        <f>SUMIF(헤몬팜마진!$B$7:$B$32,$C224,헤몬팜마진!$U$7:$U$32)</f>
        <v>248.04000000000002</v>
      </c>
      <c r="AN224" s="36"/>
      <c r="AO224" s="235">
        <v>192756</v>
      </c>
      <c r="AP224" s="235">
        <v>78</v>
      </c>
      <c r="AQ224" s="126"/>
      <c r="AR224" s="126"/>
      <c r="AS224" s="126"/>
      <c r="AT224" s="118"/>
      <c r="AU224" s="118"/>
      <c r="AV224" s="118"/>
      <c r="AW224" s="118"/>
      <c r="AX224" s="118"/>
      <c r="AY224" s="118"/>
      <c r="AZ224" s="118"/>
      <c r="BA224" s="118"/>
      <c r="BB224" s="118"/>
      <c r="BC224" s="118"/>
      <c r="BD224" s="118"/>
      <c r="BE224" s="118"/>
      <c r="BF224" s="118"/>
      <c r="BG224" s="47"/>
      <c r="BH224" s="47"/>
      <c r="BI224" s="47"/>
      <c r="BJ224" s="47"/>
      <c r="BK224" s="47"/>
    </row>
    <row r="225" spans="1:63" ht="28.5" customHeight="1">
      <c r="A225" s="327" t="s">
        <v>131</v>
      </c>
      <c r="B225" s="323"/>
      <c r="C225" s="42" t="s">
        <v>109</v>
      </c>
      <c r="D225" s="28" t="e">
        <f t="shared" si="296"/>
        <v>#REF!</v>
      </c>
      <c r="E225" s="201" t="e">
        <f t="shared" si="297"/>
        <v>#REF!</v>
      </c>
      <c r="F225" s="30">
        <f t="shared" si="298"/>
        <v>0.58840611353711791</v>
      </c>
      <c r="G225" s="30">
        <f t="shared" si="299"/>
        <v>1.5235457063711912E-2</v>
      </c>
      <c r="H225" s="35">
        <v>0</v>
      </c>
      <c r="I225" s="35">
        <f t="shared" si="300"/>
        <v>105</v>
      </c>
      <c r="J225" s="35">
        <f t="shared" si="301"/>
        <v>210</v>
      </c>
      <c r="K225" s="325">
        <v>430</v>
      </c>
      <c r="L225" s="49">
        <f>40+3+3</f>
        <v>46</v>
      </c>
      <c r="M225" s="48"/>
      <c r="N225" s="44">
        <v>15</v>
      </c>
      <c r="O225" s="202">
        <v>11</v>
      </c>
      <c r="P225" s="31">
        <f t="shared" si="302"/>
        <v>11</v>
      </c>
      <c r="Q225" s="36"/>
      <c r="R225" s="203">
        <v>11</v>
      </c>
      <c r="S225" s="36"/>
      <c r="T225" s="34">
        <f t="shared" si="303"/>
        <v>503800</v>
      </c>
      <c r="U225" s="31">
        <f t="shared" si="304"/>
        <v>0</v>
      </c>
      <c r="V225" s="34">
        <f t="shared" si="305"/>
        <v>503800</v>
      </c>
      <c r="W225" s="43">
        <v>45800</v>
      </c>
      <c r="X225" s="34">
        <f>SUMIF(헤몬팜마진!$B$7:$B$32,$C225,헤몬팜마진!$R$7:$R$32)</f>
        <v>9990.4082249999992</v>
      </c>
      <c r="Y225" s="34" t="e">
        <f t="shared" si="306"/>
        <v>#REF!</v>
      </c>
      <c r="Z225" s="34">
        <f t="shared" si="307"/>
        <v>296439</v>
      </c>
      <c r="AA225" s="49">
        <v>269490</v>
      </c>
      <c r="AB225" s="36"/>
      <c r="AC225" s="204">
        <f t="shared" ref="AC225:AC239" si="314">(1210+1100)*Q225</f>
        <v>0</v>
      </c>
      <c r="AD225" s="152">
        <v>0.11</v>
      </c>
      <c r="AE225" s="31">
        <f t="shared" ref="AE225:AE226" si="315">4150*(P225)</f>
        <v>45650</v>
      </c>
      <c r="AF225" s="28">
        <f t="shared" si="309"/>
        <v>0.2006113537117904</v>
      </c>
      <c r="AG225" s="34">
        <f t="shared" si="310"/>
        <v>101068.03</v>
      </c>
      <c r="AH225" s="34" t="e">
        <f t="shared" si="311"/>
        <v>#REF!</v>
      </c>
      <c r="AI225" s="34" t="e">
        <f>SUMIF(헤몬팜마진!$B$7:$B$32,$C225,헤몬팜마진!$V$7:$V$32)</f>
        <v>#REF!</v>
      </c>
      <c r="AJ225" s="34" t="e">
        <f t="shared" si="312"/>
        <v>#REF!</v>
      </c>
      <c r="AK225" s="46" t="e">
        <f t="shared" si="313"/>
        <v>#REF!</v>
      </c>
      <c r="AL225" s="40">
        <f>SUMIF(헤몬팜마진!$B$7:$B$32,$C225,헤몬팜마진!$T$7:$T$32)</f>
        <v>162</v>
      </c>
      <c r="AM225" s="41">
        <f>SUMIF(헤몬팜마진!$B$7:$B$32,$C225,헤몬팜마진!$U$7:$U$32)</f>
        <v>826.80000000000007</v>
      </c>
      <c r="AN225" s="36"/>
      <c r="AO225" s="202">
        <v>251975</v>
      </c>
      <c r="AP225" s="205">
        <v>722</v>
      </c>
      <c r="AQ225" s="126"/>
      <c r="AR225" s="126"/>
      <c r="AS225" s="126"/>
      <c r="AT225" s="118"/>
      <c r="AU225" s="118"/>
      <c r="AV225" s="118"/>
      <c r="AW225" s="118"/>
      <c r="AX225" s="118"/>
      <c r="AY225" s="118"/>
      <c r="AZ225" s="118"/>
      <c r="BA225" s="118"/>
      <c r="BB225" s="118"/>
      <c r="BC225" s="118"/>
      <c r="BD225" s="118"/>
      <c r="BE225" s="118"/>
      <c r="BF225" s="118"/>
      <c r="BG225" s="47"/>
      <c r="BH225" s="47"/>
      <c r="BI225" s="47"/>
      <c r="BJ225" s="47"/>
      <c r="BK225" s="47"/>
    </row>
    <row r="226" spans="1:63" ht="28.5" customHeight="1">
      <c r="A226" s="318"/>
      <c r="B226" s="324"/>
      <c r="C226" s="42" t="s">
        <v>110</v>
      </c>
      <c r="D226" s="28" t="e">
        <f t="shared" si="296"/>
        <v>#REF!</v>
      </c>
      <c r="E226" s="201" t="e">
        <f t="shared" si="297"/>
        <v>#REF!</v>
      </c>
      <c r="F226" s="30">
        <f t="shared" si="298"/>
        <v>0.14822649572649574</v>
      </c>
      <c r="G226" s="30">
        <f t="shared" si="299"/>
        <v>1.7948717948717947E-2</v>
      </c>
      <c r="H226" s="35">
        <v>0</v>
      </c>
      <c r="I226" s="35">
        <f t="shared" si="300"/>
        <v>105</v>
      </c>
      <c r="J226" s="35">
        <f t="shared" si="301"/>
        <v>210</v>
      </c>
      <c r="K226" s="310"/>
      <c r="L226" s="49">
        <f>13+2</f>
        <v>15</v>
      </c>
      <c r="M226" s="48"/>
      <c r="N226" s="44">
        <v>15</v>
      </c>
      <c r="O226" s="202">
        <v>11</v>
      </c>
      <c r="P226" s="31">
        <f t="shared" si="302"/>
        <v>11</v>
      </c>
      <c r="Q226" s="202"/>
      <c r="R226" s="203">
        <v>7</v>
      </c>
      <c r="S226" s="36"/>
      <c r="T226" s="34">
        <f t="shared" si="303"/>
        <v>514800</v>
      </c>
      <c r="U226" s="31">
        <f t="shared" si="304"/>
        <v>0</v>
      </c>
      <c r="V226" s="34">
        <f t="shared" si="305"/>
        <v>514800</v>
      </c>
      <c r="W226" s="43">
        <v>46800</v>
      </c>
      <c r="X226" s="34">
        <f>SUMIF(헤몬팜마진!$B$7:$B$32,$C226,헤몬팜마진!$R$7:$R$32)</f>
        <v>9990.4082249999992</v>
      </c>
      <c r="Y226" s="34" t="e">
        <f t="shared" si="306"/>
        <v>#REF!</v>
      </c>
      <c r="Z226" s="34">
        <f t="shared" si="307"/>
        <v>76307</v>
      </c>
      <c r="AA226" s="49">
        <f>47993+21377</f>
        <v>69370</v>
      </c>
      <c r="AB226" s="36"/>
      <c r="AC226" s="204">
        <f t="shared" si="314"/>
        <v>0</v>
      </c>
      <c r="AD226" s="152">
        <v>0.11</v>
      </c>
      <c r="AE226" s="31">
        <f t="shared" si="315"/>
        <v>45650</v>
      </c>
      <c r="AF226" s="28">
        <f t="shared" si="309"/>
        <v>0.19867521367521368</v>
      </c>
      <c r="AG226" s="34">
        <f t="shared" si="310"/>
        <v>102278.03</v>
      </c>
      <c r="AH226" s="34" t="e">
        <f t="shared" si="311"/>
        <v>#REF!</v>
      </c>
      <c r="AI226" s="34" t="e">
        <f>SUMIF(헤몬팜마진!$B$7:$B$32,$C226,헤몬팜마진!$V$7:$V$32)</f>
        <v>#REF!</v>
      </c>
      <c r="AJ226" s="34" t="e">
        <f t="shared" si="312"/>
        <v>#REF!</v>
      </c>
      <c r="AK226" s="206" t="e">
        <f t="shared" si="313"/>
        <v>#REF!</v>
      </c>
      <c r="AL226" s="40">
        <f>SUMIF(헤몬팜마진!$B$7:$B$32,$C226,헤몬팜마진!$T$7:$T$32)</f>
        <v>162</v>
      </c>
      <c r="AM226" s="41">
        <f>SUMIF(헤몬팜마진!$B$7:$B$32,$C226,헤몬팜마진!$U$7:$U$32)</f>
        <v>826.80000000000007</v>
      </c>
      <c r="AN226" s="36"/>
      <c r="AO226" s="202">
        <f>75900+68317</f>
        <v>144217</v>
      </c>
      <c r="AP226" s="205">
        <f>228+162</f>
        <v>390</v>
      </c>
      <c r="AQ226" s="126"/>
      <c r="AR226" s="126"/>
      <c r="AS226" s="126"/>
      <c r="AT226" s="118"/>
      <c r="AU226" s="118"/>
      <c r="AV226" s="118"/>
      <c r="AW226" s="118"/>
      <c r="AX226" s="118"/>
      <c r="AY226" s="118"/>
      <c r="AZ226" s="118"/>
      <c r="BA226" s="118"/>
      <c r="BB226" s="118"/>
      <c r="BC226" s="118"/>
      <c r="BD226" s="118"/>
      <c r="BE226" s="118"/>
      <c r="BF226" s="118"/>
      <c r="BG226" s="47"/>
      <c r="BH226" s="47"/>
      <c r="BI226" s="47"/>
      <c r="BJ226" s="47"/>
      <c r="BK226" s="47"/>
    </row>
    <row r="227" spans="1:63" ht="28.5" customHeight="1">
      <c r="A227" s="12" t="s">
        <v>132</v>
      </c>
      <c r="B227" s="323"/>
      <c r="C227" s="42" t="s">
        <v>32</v>
      </c>
      <c r="D227" s="28" t="e">
        <f t="shared" si="296"/>
        <v>#REF!</v>
      </c>
      <c r="E227" s="201" t="e">
        <f t="shared" si="297"/>
        <v>#REF!</v>
      </c>
      <c r="F227" s="30">
        <f t="shared" si="298"/>
        <v>-0.71752006688963221</v>
      </c>
      <c r="G227" s="30">
        <f t="shared" si="299"/>
        <v>1.4285714285714285E-2</v>
      </c>
      <c r="H227" s="37">
        <v>3504</v>
      </c>
      <c r="I227" s="35">
        <f t="shared" si="300"/>
        <v>210</v>
      </c>
      <c r="J227" s="35">
        <f t="shared" si="301"/>
        <v>420</v>
      </c>
      <c r="K227" s="325">
        <v>626</v>
      </c>
      <c r="L227" s="39">
        <f>30+13+6</f>
        <v>49</v>
      </c>
      <c r="M227" s="210"/>
      <c r="N227" s="208">
        <v>30</v>
      </c>
      <c r="O227" s="202">
        <v>-1</v>
      </c>
      <c r="P227" s="31">
        <f t="shared" si="302"/>
        <v>-1</v>
      </c>
      <c r="Q227" s="36"/>
      <c r="R227" s="203">
        <v>1</v>
      </c>
      <c r="S227" s="36"/>
      <c r="T227" s="34">
        <f t="shared" si="303"/>
        <v>-59800</v>
      </c>
      <c r="U227" s="31">
        <f t="shared" si="304"/>
        <v>0</v>
      </c>
      <c r="V227" s="34">
        <f t="shared" si="305"/>
        <v>-59800</v>
      </c>
      <c r="W227" s="43">
        <v>59800</v>
      </c>
      <c r="X227" s="34">
        <f>SUMIF(헤몬팜마진!$B$7:$B$32,$C227,헤몬팜마진!$R$7:$R$32)</f>
        <v>13276.289999999999</v>
      </c>
      <c r="Y227" s="34" t="e">
        <f t="shared" si="306"/>
        <v>#REF!</v>
      </c>
      <c r="Z227" s="34">
        <f t="shared" si="307"/>
        <v>42907.700000000004</v>
      </c>
      <c r="AA227" s="49">
        <v>39007</v>
      </c>
      <c r="AB227" s="209"/>
      <c r="AC227" s="204">
        <f t="shared" si="314"/>
        <v>0</v>
      </c>
      <c r="AD227" s="152">
        <v>0.108</v>
      </c>
      <c r="AE227" s="31">
        <f t="shared" ref="AE227:AE228" si="316">4825*(P227)</f>
        <v>-4825</v>
      </c>
      <c r="AF227" s="28">
        <f t="shared" si="309"/>
        <v>0.188685618729097</v>
      </c>
      <c r="AG227" s="34">
        <f t="shared" si="310"/>
        <v>-11283.37</v>
      </c>
      <c r="AH227" s="34" t="e">
        <f t="shared" si="311"/>
        <v>#REF!</v>
      </c>
      <c r="AI227" s="34" t="e">
        <f>SUMIF(헤몬팜마진!$B$7:$B$32,$C227,헤몬팜마진!$V$7:$V$32)</f>
        <v>#REF!</v>
      </c>
      <c r="AJ227" s="34" t="e">
        <f t="shared" si="312"/>
        <v>#REF!</v>
      </c>
      <c r="AK227" s="46" t="e">
        <f t="shared" si="313"/>
        <v>#REF!</v>
      </c>
      <c r="AL227" s="40">
        <f>SUMIF(헤몬팜마진!$B$7:$B$32,$C227,헤몬팜마진!$T$7:$T$32)</f>
        <v>371.52</v>
      </c>
      <c r="AM227" s="41">
        <f>SUMIF(헤몬팜마진!$B$7:$B$32,$C227,헤몬팜마진!$U$7:$U$32)</f>
        <v>1896.1279999999999</v>
      </c>
      <c r="AN227" s="36"/>
      <c r="AO227" s="202">
        <v>43739</v>
      </c>
      <c r="AP227" s="205">
        <v>70</v>
      </c>
      <c r="AQ227" s="126"/>
      <c r="AR227" s="126"/>
      <c r="AS227" s="126"/>
      <c r="AT227" s="118"/>
      <c r="AU227" s="118"/>
      <c r="AV227" s="118"/>
      <c r="AW227" s="118"/>
      <c r="AX227" s="118"/>
      <c r="AY227" s="118"/>
      <c r="AZ227" s="118"/>
      <c r="BA227" s="118"/>
      <c r="BB227" s="118"/>
      <c r="BC227" s="118"/>
      <c r="BD227" s="118"/>
      <c r="BE227" s="118"/>
      <c r="BF227" s="118"/>
      <c r="BG227" s="47"/>
      <c r="BH227" s="47"/>
      <c r="BI227" s="47"/>
      <c r="BJ227" s="47"/>
      <c r="BK227" s="47"/>
    </row>
    <row r="228" spans="1:63" ht="28.5" customHeight="1">
      <c r="A228" s="12" t="s">
        <v>132</v>
      </c>
      <c r="B228" s="324"/>
      <c r="C228" s="42" t="s">
        <v>33</v>
      </c>
      <c r="D228" s="28" t="e">
        <f t="shared" si="296"/>
        <v>#REF!</v>
      </c>
      <c r="E228" s="201" t="e">
        <f t="shared" si="297"/>
        <v>#REF!</v>
      </c>
      <c r="F228" s="30" t="e">
        <f t="shared" si="298"/>
        <v>#DIV/0!</v>
      </c>
      <c r="G228" s="30">
        <f t="shared" si="299"/>
        <v>6.9444444444444441E-3</v>
      </c>
      <c r="H228" s="35">
        <v>0</v>
      </c>
      <c r="I228" s="35">
        <f t="shared" si="300"/>
        <v>210</v>
      </c>
      <c r="J228" s="35">
        <f t="shared" si="301"/>
        <v>420</v>
      </c>
      <c r="K228" s="310"/>
      <c r="L228" s="39">
        <f>4+11+18+38+129</f>
        <v>200</v>
      </c>
      <c r="M228" s="210"/>
      <c r="N228" s="44">
        <v>30</v>
      </c>
      <c r="O228" s="202"/>
      <c r="P228" s="31">
        <f t="shared" si="302"/>
        <v>0</v>
      </c>
      <c r="Q228" s="36">
        <v>2</v>
      </c>
      <c r="R228" s="203">
        <v>1</v>
      </c>
      <c r="S228" s="36"/>
      <c r="T228" s="34">
        <f t="shared" si="303"/>
        <v>0</v>
      </c>
      <c r="U228" s="31">
        <f t="shared" si="304"/>
        <v>0</v>
      </c>
      <c r="V228" s="34">
        <f t="shared" si="305"/>
        <v>0</v>
      </c>
      <c r="W228" s="43">
        <v>69780</v>
      </c>
      <c r="X228" s="34">
        <f>SUMIF(헤몬팜마진!$B$7:$B$32,$C228,헤몬팜마진!$R$7:$R$32)</f>
        <v>13276.289999999999</v>
      </c>
      <c r="Y228" s="34" t="e">
        <f t="shared" si="306"/>
        <v>#REF!</v>
      </c>
      <c r="Z228" s="34">
        <f t="shared" si="307"/>
        <v>144241.90000000002</v>
      </c>
      <c r="AA228" s="49">
        <v>131129</v>
      </c>
      <c r="AB228" s="36"/>
      <c r="AC228" s="204">
        <f t="shared" si="314"/>
        <v>4620</v>
      </c>
      <c r="AD228" s="152">
        <v>0.108</v>
      </c>
      <c r="AE228" s="31">
        <f t="shared" si="316"/>
        <v>0</v>
      </c>
      <c r="AF228" s="28" t="e">
        <f t="shared" si="309"/>
        <v>#DIV/0!</v>
      </c>
      <c r="AG228" s="34">
        <f t="shared" si="310"/>
        <v>0</v>
      </c>
      <c r="AH228" s="34" t="e">
        <f t="shared" si="311"/>
        <v>#REF!</v>
      </c>
      <c r="AI228" s="34" t="e">
        <f>SUMIF(헤몬팜마진!$B$7:$B$32,$C228,헤몬팜마진!$V$7:$V$32)</f>
        <v>#REF!</v>
      </c>
      <c r="AJ228" s="34" t="e">
        <f t="shared" si="312"/>
        <v>#REF!</v>
      </c>
      <c r="AK228" s="46" t="e">
        <f t="shared" si="313"/>
        <v>#REF!</v>
      </c>
      <c r="AL228" s="40">
        <f>SUMIF(헤몬팜마진!$B$7:$B$32,$C228,헤몬팜마진!$T$7:$T$32)</f>
        <v>371.52</v>
      </c>
      <c r="AM228" s="41">
        <f>SUMIF(헤몬팜마진!$B$7:$B$32,$C228,헤몬팜마진!$U$7:$U$32)</f>
        <v>1896.1279999999999</v>
      </c>
      <c r="AN228" s="36"/>
      <c r="AO228" s="202">
        <v>67261</v>
      </c>
      <c r="AP228" s="205">
        <v>144</v>
      </c>
      <c r="AQ228" s="126"/>
      <c r="AR228" s="126"/>
      <c r="AS228" s="126"/>
      <c r="AT228" s="118"/>
      <c r="AU228" s="118"/>
      <c r="AV228" s="118"/>
      <c r="AW228" s="118"/>
      <c r="AX228" s="118"/>
      <c r="AY228" s="118"/>
      <c r="AZ228" s="118"/>
      <c r="BA228" s="118"/>
      <c r="BB228" s="118"/>
      <c r="BC228" s="118"/>
      <c r="BD228" s="118"/>
      <c r="BE228" s="118"/>
      <c r="BF228" s="118"/>
      <c r="BG228" s="47"/>
      <c r="BH228" s="47"/>
      <c r="BI228" s="47"/>
      <c r="BJ228" s="47"/>
      <c r="BK228" s="47"/>
    </row>
    <row r="229" spans="1:63" ht="28.5" customHeight="1">
      <c r="A229" s="228" t="s">
        <v>133</v>
      </c>
      <c r="B229" s="200"/>
      <c r="C229" s="42" t="s">
        <v>111</v>
      </c>
      <c r="D229" s="28">
        <f t="shared" si="296"/>
        <v>-0.99549661468907458</v>
      </c>
      <c r="E229" s="201">
        <f t="shared" si="297"/>
        <v>0.3908081826641101</v>
      </c>
      <c r="F229" s="30">
        <f t="shared" si="298"/>
        <v>1.3863047973531848</v>
      </c>
      <c r="G229" s="30">
        <f t="shared" si="299"/>
        <v>1.9801980198019802E-2</v>
      </c>
      <c r="H229" s="35">
        <v>500</v>
      </c>
      <c r="I229" s="35">
        <f t="shared" si="300"/>
        <v>105</v>
      </c>
      <c r="J229" s="35">
        <f t="shared" si="301"/>
        <v>210</v>
      </c>
      <c r="K229" s="39">
        <v>577</v>
      </c>
      <c r="L229" s="39">
        <v>211</v>
      </c>
      <c r="M229" s="210"/>
      <c r="N229" s="44">
        <v>15</v>
      </c>
      <c r="O229" s="202">
        <v>3</v>
      </c>
      <c r="P229" s="31">
        <f t="shared" si="302"/>
        <v>3</v>
      </c>
      <c r="Q229" s="202">
        <v>1</v>
      </c>
      <c r="R229" s="203">
        <v>4</v>
      </c>
      <c r="S229" s="202"/>
      <c r="T229" s="34">
        <f t="shared" si="303"/>
        <v>48360</v>
      </c>
      <c r="U229" s="31">
        <f t="shared" si="304"/>
        <v>0</v>
      </c>
      <c r="V229" s="34">
        <f t="shared" si="305"/>
        <v>48360</v>
      </c>
      <c r="W229" s="43">
        <v>16120</v>
      </c>
      <c r="X229" s="34">
        <f>SUMIF(헤몬팜마진!$B$7:$B$32,$C229,헤몬팜마진!$R$7:$R$32)</f>
        <v>5089.2444999999998</v>
      </c>
      <c r="Y229" s="34">
        <f t="shared" si="306"/>
        <v>15378.9735</v>
      </c>
      <c r="Z229" s="34">
        <f t="shared" si="307"/>
        <v>67041.700000000012</v>
      </c>
      <c r="AA229" s="49">
        <v>60947</v>
      </c>
      <c r="AB229" s="211"/>
      <c r="AC229" s="204">
        <f t="shared" si="314"/>
        <v>2310</v>
      </c>
      <c r="AD229" s="152">
        <v>7.8E-2</v>
      </c>
      <c r="AE229" s="31">
        <f>2900*(P229)</f>
        <v>8700</v>
      </c>
      <c r="AF229" s="28">
        <f t="shared" si="309"/>
        <v>0.25790074441687344</v>
      </c>
      <c r="AG229" s="34">
        <f t="shared" si="310"/>
        <v>12472.11</v>
      </c>
      <c r="AH229" s="34">
        <f t="shared" si="311"/>
        <v>1609.4327863636358</v>
      </c>
      <c r="AI229" s="34">
        <f>SUMIF(헤몬팜마진!$B$7:$B$32,$C229,헤몬팜마진!$V$7:$V$32)</f>
        <v>5126.3244999999997</v>
      </c>
      <c r="AJ229" s="34">
        <f t="shared" si="312"/>
        <v>18899.483713636364</v>
      </c>
      <c r="AK229" s="206">
        <f t="shared" si="313"/>
        <v>-48142.216286363648</v>
      </c>
      <c r="AL229" s="40">
        <f>SUMIF(헤몬팜마진!$B$7:$B$32,$C229,헤몬팜마진!$T$7:$T$32)</f>
        <v>6.0750000000000002</v>
      </c>
      <c r="AM229" s="41">
        <f>SUMIF(헤몬팜마진!$B$7:$B$32,$C229,헤몬팜마진!$U$7:$U$32)</f>
        <v>31.005000000000003</v>
      </c>
      <c r="AN229" s="36"/>
      <c r="AO229" s="202">
        <v>149214</v>
      </c>
      <c r="AP229" s="205">
        <v>202</v>
      </c>
      <c r="AQ229" s="126"/>
      <c r="AR229" s="126"/>
      <c r="AS229" s="126"/>
      <c r="AT229" s="118"/>
      <c r="AU229" s="118"/>
      <c r="AV229" s="118"/>
      <c r="AW229" s="118"/>
      <c r="AX229" s="118"/>
      <c r="AY229" s="118"/>
      <c r="AZ229" s="118"/>
      <c r="BA229" s="118"/>
      <c r="BB229" s="118"/>
      <c r="BC229" s="118"/>
      <c r="BD229" s="118"/>
      <c r="BE229" s="118"/>
      <c r="BF229" s="118"/>
      <c r="BG229" s="47"/>
      <c r="BH229" s="47"/>
      <c r="BI229" s="47"/>
      <c r="BJ229" s="47"/>
      <c r="BK229" s="47"/>
    </row>
    <row r="230" spans="1:63" ht="28.5" customHeight="1">
      <c r="A230" s="327" t="s">
        <v>134</v>
      </c>
      <c r="B230" s="323"/>
      <c r="C230" s="42" t="s">
        <v>112</v>
      </c>
      <c r="D230" s="29" t="e">
        <f t="shared" si="296"/>
        <v>#REF!</v>
      </c>
      <c r="E230" s="201" t="e">
        <f t="shared" si="297"/>
        <v>#REF!</v>
      </c>
      <c r="F230" s="30">
        <f t="shared" si="298"/>
        <v>0.28924874371859299</v>
      </c>
      <c r="G230" s="30">
        <f t="shared" si="299"/>
        <v>2.336448598130841E-2</v>
      </c>
      <c r="H230" s="312">
        <v>0</v>
      </c>
      <c r="I230" s="35">
        <f t="shared" si="300"/>
        <v>140</v>
      </c>
      <c r="J230" s="35">
        <f t="shared" si="301"/>
        <v>280</v>
      </c>
      <c r="K230" s="325">
        <v>343</v>
      </c>
      <c r="L230" s="39">
        <f>97+42+48+31+19+10</f>
        <v>247</v>
      </c>
      <c r="M230" s="210"/>
      <c r="N230" s="44">
        <v>20</v>
      </c>
      <c r="O230" s="202">
        <v>22</v>
      </c>
      <c r="P230" s="31">
        <f t="shared" si="302"/>
        <v>22</v>
      </c>
      <c r="Q230" s="202">
        <v>2</v>
      </c>
      <c r="R230" s="167">
        <v>15</v>
      </c>
      <c r="S230" s="36"/>
      <c r="T230" s="34">
        <f t="shared" si="303"/>
        <v>875600</v>
      </c>
      <c r="U230" s="31">
        <f t="shared" si="304"/>
        <v>0</v>
      </c>
      <c r="V230" s="34">
        <f t="shared" si="305"/>
        <v>875600</v>
      </c>
      <c r="W230" s="43">
        <v>39800</v>
      </c>
      <c r="X230" s="34">
        <f>SUMIF(헤몬팜마진!$B$7:$B$32,$C230,헤몬팜마진!$R$7:$R$32)</f>
        <v>7855.1382499999991</v>
      </c>
      <c r="Y230" s="34" t="e">
        <f t="shared" si="306"/>
        <v>#REF!</v>
      </c>
      <c r="Z230" s="34">
        <f t="shared" si="307"/>
        <v>253266.2</v>
      </c>
      <c r="AA230" s="49">
        <v>230242</v>
      </c>
      <c r="AB230" s="209"/>
      <c r="AC230" s="204">
        <f t="shared" si="314"/>
        <v>4620</v>
      </c>
      <c r="AD230" s="152">
        <v>0.08</v>
      </c>
      <c r="AE230" s="31">
        <f>4150*(P230)</f>
        <v>91300</v>
      </c>
      <c r="AF230" s="28">
        <f t="shared" si="309"/>
        <v>0.18427135678391959</v>
      </c>
      <c r="AG230" s="34">
        <f t="shared" si="310"/>
        <v>161348.03</v>
      </c>
      <c r="AH230" s="34" t="e">
        <f t="shared" si="311"/>
        <v>#REF!</v>
      </c>
      <c r="AI230" s="34" t="e">
        <f>SUMIF(헤몬팜마진!$B$7:$B$32,$C230,헤몬팜마진!$V$7:$V$32)</f>
        <v>#REF!</v>
      </c>
      <c r="AJ230" s="34" t="e">
        <f t="shared" si="312"/>
        <v>#REF!</v>
      </c>
      <c r="AK230" s="46" t="e">
        <f t="shared" si="313"/>
        <v>#REF!</v>
      </c>
      <c r="AL230" s="40">
        <f>SUMIF(헤몬팜마진!$B$7:$B$32,$C230,헤몬팜마진!$T$7:$T$32)</f>
        <v>176.41799999999998</v>
      </c>
      <c r="AM230" s="41">
        <f>SUMIF(헤몬팜마진!$B$7:$B$32,$C230,헤몬팜마진!$U$7:$U$32)</f>
        <v>900.38519999999994</v>
      </c>
      <c r="AN230" s="36"/>
      <c r="AO230" s="202">
        <v>200824</v>
      </c>
      <c r="AP230" s="205">
        <v>642</v>
      </c>
      <c r="AQ230" s="126"/>
      <c r="AR230" s="126"/>
      <c r="AS230" s="126"/>
      <c r="AT230" s="118"/>
      <c r="AU230" s="118"/>
      <c r="AV230" s="118"/>
      <c r="AW230" s="118"/>
      <c r="AX230" s="118"/>
      <c r="AY230" s="118"/>
      <c r="AZ230" s="118"/>
      <c r="BA230" s="118"/>
      <c r="BB230" s="118"/>
      <c r="BC230" s="118"/>
      <c r="BD230" s="118"/>
      <c r="BE230" s="118"/>
      <c r="BF230" s="118"/>
      <c r="BG230" s="47"/>
      <c r="BH230" s="47"/>
      <c r="BI230" s="47"/>
      <c r="BJ230" s="47"/>
      <c r="BK230" s="47"/>
    </row>
    <row r="231" spans="1:63" ht="28.5" customHeight="1">
      <c r="A231" s="318"/>
      <c r="B231" s="324"/>
      <c r="C231" s="42" t="s">
        <v>113</v>
      </c>
      <c r="D231" s="28" t="e">
        <f t="shared" si="296"/>
        <v>#REF!</v>
      </c>
      <c r="E231" s="201" t="e">
        <f t="shared" si="297"/>
        <v>#REF!</v>
      </c>
      <c r="F231" s="30">
        <f t="shared" si="298"/>
        <v>0.24922344322344323</v>
      </c>
      <c r="G231" s="30">
        <f t="shared" si="299"/>
        <v>3.5087719298245612E-2</v>
      </c>
      <c r="H231" s="310"/>
      <c r="I231" s="35">
        <f t="shared" si="300"/>
        <v>105</v>
      </c>
      <c r="J231" s="35">
        <f t="shared" si="301"/>
        <v>210</v>
      </c>
      <c r="K231" s="310"/>
      <c r="L231" s="39">
        <f>74+42+48+18+8+2</f>
        <v>192</v>
      </c>
      <c r="M231" s="210"/>
      <c r="N231" s="44">
        <v>15</v>
      </c>
      <c r="O231" s="36">
        <v>7</v>
      </c>
      <c r="P231" s="31">
        <f t="shared" si="302"/>
        <v>7</v>
      </c>
      <c r="Q231" s="36">
        <v>3</v>
      </c>
      <c r="R231" s="167">
        <v>6</v>
      </c>
      <c r="S231" s="36"/>
      <c r="T231" s="34">
        <f t="shared" si="303"/>
        <v>300300</v>
      </c>
      <c r="U231" s="31">
        <f t="shared" si="304"/>
        <v>0</v>
      </c>
      <c r="V231" s="34">
        <f t="shared" si="305"/>
        <v>300300</v>
      </c>
      <c r="W231" s="43">
        <v>42900</v>
      </c>
      <c r="X231" s="34">
        <f>SUMIF(헤몬팜마진!$B$7:$B$32,$C231,헤몬팜마진!$R$7:$R$32)</f>
        <v>7855.1382499999991</v>
      </c>
      <c r="Y231" s="34" t="e">
        <f t="shared" si="306"/>
        <v>#REF!</v>
      </c>
      <c r="Z231" s="34">
        <f t="shared" si="307"/>
        <v>74841.8</v>
      </c>
      <c r="AA231" s="49">
        <v>68038</v>
      </c>
      <c r="AB231" s="36"/>
      <c r="AC231" s="204">
        <f t="shared" si="314"/>
        <v>6930</v>
      </c>
      <c r="AD231" s="152">
        <v>7.8E-2</v>
      </c>
      <c r="AE231" s="31">
        <f>1900*(P231)</f>
        <v>13300</v>
      </c>
      <c r="AF231" s="28">
        <f t="shared" si="309"/>
        <v>0.12228904428904429</v>
      </c>
      <c r="AG231" s="34">
        <f t="shared" si="310"/>
        <v>36723.43</v>
      </c>
      <c r="AH231" s="34" t="e">
        <f t="shared" si="311"/>
        <v>#REF!</v>
      </c>
      <c r="AI231" s="34" t="e">
        <f>SUMIF(헤몬팜마진!$B$7:$B$32,$C231,헤몬팜마진!$V$7:$V$32)</f>
        <v>#REF!</v>
      </c>
      <c r="AJ231" s="34" t="e">
        <f t="shared" si="312"/>
        <v>#REF!</v>
      </c>
      <c r="AK231" s="206" t="e">
        <f t="shared" si="313"/>
        <v>#REF!</v>
      </c>
      <c r="AL231" s="40">
        <f>SUMIF(헤몬팜마진!$B$7:$B$32,$C231,헤몬팜마진!$T$7:$T$32)</f>
        <v>176.41799999999998</v>
      </c>
      <c r="AM231" s="41">
        <f>SUMIF(헤몬팜마진!$B$7:$B$32,$C231,헤몬팜마진!$U$7:$U$32)</f>
        <v>900.38519999999994</v>
      </c>
      <c r="AN231" s="36"/>
      <c r="AO231" s="202">
        <v>42650</v>
      </c>
      <c r="AP231" s="205">
        <v>171</v>
      </c>
      <c r="AQ231" s="126"/>
      <c r="AR231" s="126"/>
      <c r="AS231" s="126"/>
      <c r="AT231" s="118"/>
      <c r="AU231" s="118"/>
      <c r="AV231" s="118"/>
      <c r="AW231" s="118"/>
      <c r="AX231" s="118"/>
      <c r="AY231" s="118"/>
      <c r="AZ231" s="118"/>
      <c r="BA231" s="118"/>
      <c r="BB231" s="118"/>
      <c r="BC231" s="118"/>
      <c r="BD231" s="118"/>
      <c r="BE231" s="118"/>
      <c r="BF231" s="118"/>
      <c r="BG231" s="47"/>
      <c r="BH231" s="47"/>
      <c r="BI231" s="47"/>
      <c r="BJ231" s="47"/>
      <c r="BK231" s="47"/>
    </row>
    <row r="232" spans="1:63" ht="28.5" customHeight="1">
      <c r="A232" s="228" t="s">
        <v>135</v>
      </c>
      <c r="B232" s="200"/>
      <c r="C232" s="42" t="s">
        <v>114</v>
      </c>
      <c r="D232" s="28">
        <f t="shared" si="296"/>
        <v>0.31837780199765525</v>
      </c>
      <c r="E232" s="201">
        <f t="shared" si="297"/>
        <v>0.36298891310876635</v>
      </c>
      <c r="F232" s="30">
        <f t="shared" si="298"/>
        <v>4.4611111111111115E-2</v>
      </c>
      <c r="G232" s="30">
        <f t="shared" si="299"/>
        <v>9.0909090909090912E-2</v>
      </c>
      <c r="H232" s="35">
        <v>1750</v>
      </c>
      <c r="I232" s="35">
        <f t="shared" si="300"/>
        <v>350</v>
      </c>
      <c r="J232" s="35">
        <f t="shared" si="301"/>
        <v>700</v>
      </c>
      <c r="K232" s="39">
        <v>1449</v>
      </c>
      <c r="L232" s="39">
        <v>1217</v>
      </c>
      <c r="M232" s="210"/>
      <c r="N232" s="44">
        <v>50</v>
      </c>
      <c r="O232" s="202">
        <v>42</v>
      </c>
      <c r="P232" s="31">
        <f t="shared" si="302"/>
        <v>42</v>
      </c>
      <c r="Q232" s="36">
        <v>8</v>
      </c>
      <c r="R232" s="203">
        <v>16</v>
      </c>
      <c r="S232" s="36"/>
      <c r="T232" s="34">
        <f t="shared" si="303"/>
        <v>806400</v>
      </c>
      <c r="U232" s="31">
        <f t="shared" si="304"/>
        <v>0</v>
      </c>
      <c r="V232" s="34">
        <f t="shared" si="305"/>
        <v>806400</v>
      </c>
      <c r="W232" s="43">
        <v>19200</v>
      </c>
      <c r="X232" s="34">
        <f>SUMIF(헤몬팜마진!$B$7:$B$32,$C232,헤몬팜마진!$R$7:$R$32)</f>
        <v>6372.6191999999992</v>
      </c>
      <c r="Y232" s="34">
        <f t="shared" si="306"/>
        <v>284400.27839999995</v>
      </c>
      <c r="Z232" s="34">
        <f t="shared" si="307"/>
        <v>35974.400000000001</v>
      </c>
      <c r="AA232" s="49">
        <v>32704</v>
      </c>
      <c r="AB232" s="36"/>
      <c r="AC232" s="204">
        <f t="shared" si="314"/>
        <v>18480</v>
      </c>
      <c r="AD232" s="152">
        <v>0.08</v>
      </c>
      <c r="AE232" s="31">
        <f>3350*(P232)</f>
        <v>140700</v>
      </c>
      <c r="AF232" s="28">
        <f t="shared" si="309"/>
        <v>0.25447916666666665</v>
      </c>
      <c r="AG232" s="34">
        <f t="shared" si="310"/>
        <v>205212.02999999997</v>
      </c>
      <c r="AH232" s="34">
        <f t="shared" si="311"/>
        <v>24073.432069090915</v>
      </c>
      <c r="AI232" s="34">
        <f>SUMIF(헤몬팜마진!$B$7:$B$32,$C232,헤몬팜마진!$V$7:$V$32)</f>
        <v>6771.435199999999</v>
      </c>
      <c r="AJ232" s="34">
        <f t="shared" si="312"/>
        <v>292714.25953090918</v>
      </c>
      <c r="AK232" s="46">
        <f t="shared" si="313"/>
        <v>256739.85953090919</v>
      </c>
      <c r="AL232" s="40">
        <f>SUMIF(헤몬팜마진!$B$7:$B$32,$C232,헤몬팜마진!$T$7:$T$32)</f>
        <v>65.34</v>
      </c>
      <c r="AM232" s="41">
        <f>SUMIF(헤몬팜마진!$B$7:$B$32,$C232,헤몬팜마진!$U$7:$U$32)</f>
        <v>333.476</v>
      </c>
      <c r="AN232" s="36"/>
      <c r="AO232" s="235">
        <v>98579</v>
      </c>
      <c r="AP232" s="235">
        <v>176</v>
      </c>
      <c r="AQ232" s="126"/>
      <c r="AR232" s="126"/>
      <c r="AS232" s="126"/>
      <c r="AT232" s="118"/>
      <c r="AU232" s="118"/>
      <c r="AV232" s="118"/>
      <c r="AW232" s="118"/>
      <c r="AX232" s="118"/>
      <c r="AY232" s="118"/>
      <c r="AZ232" s="118"/>
      <c r="BA232" s="118"/>
      <c r="BB232" s="118"/>
      <c r="BC232" s="118"/>
      <c r="BD232" s="118"/>
      <c r="BE232" s="118"/>
      <c r="BF232" s="118"/>
      <c r="BG232" s="47"/>
      <c r="BH232" s="47"/>
      <c r="BI232" s="47"/>
      <c r="BJ232" s="47"/>
      <c r="BK232" s="47"/>
    </row>
    <row r="233" spans="1:63" ht="28.5" customHeight="1">
      <c r="A233" s="327" t="s">
        <v>136</v>
      </c>
      <c r="B233" s="326"/>
      <c r="C233" s="42" t="s">
        <v>115</v>
      </c>
      <c r="D233" s="28" t="e">
        <f t="shared" si="296"/>
        <v>#REF!</v>
      </c>
      <c r="E233" s="201" t="e">
        <f t="shared" si="297"/>
        <v>#REF!</v>
      </c>
      <c r="F233" s="30">
        <f t="shared" si="298"/>
        <v>0.22163208871420551</v>
      </c>
      <c r="G233" s="30">
        <f t="shared" si="299"/>
        <v>4.6153846153846156E-2</v>
      </c>
      <c r="H233" s="35">
        <v>0</v>
      </c>
      <c r="I233" s="35">
        <f t="shared" si="300"/>
        <v>70</v>
      </c>
      <c r="J233" s="35">
        <f t="shared" si="301"/>
        <v>140</v>
      </c>
      <c r="K233" s="328">
        <v>494</v>
      </c>
      <c r="L233" s="39">
        <v>0</v>
      </c>
      <c r="M233" s="210"/>
      <c r="N233" s="44">
        <v>10</v>
      </c>
      <c r="O233" s="36">
        <v>13</v>
      </c>
      <c r="P233" s="31">
        <f t="shared" si="302"/>
        <v>13</v>
      </c>
      <c r="Q233" s="36">
        <v>4</v>
      </c>
      <c r="R233" s="167">
        <v>12</v>
      </c>
      <c r="S233" s="36"/>
      <c r="T233" s="34">
        <f t="shared" si="303"/>
        <v>712400</v>
      </c>
      <c r="U233" s="31">
        <f t="shared" si="304"/>
        <v>0</v>
      </c>
      <c r="V233" s="34">
        <f t="shared" si="305"/>
        <v>712400</v>
      </c>
      <c r="W233" s="43">
        <v>54800</v>
      </c>
      <c r="X233" s="34">
        <f>SUMIF(헤몬팜마진!$B$7:$B$32,$C233,헤몬팜마진!$R$7:$R$32)</f>
        <v>12169.932499999999</v>
      </c>
      <c r="Y233" s="34" t="e">
        <f t="shared" si="306"/>
        <v>#REF!</v>
      </c>
      <c r="Z233" s="34">
        <f t="shared" si="307"/>
        <v>157890.70000000001</v>
      </c>
      <c r="AA233" s="49">
        <v>143537</v>
      </c>
      <c r="AB233" s="36"/>
      <c r="AC233" s="204">
        <f t="shared" si="314"/>
        <v>9240</v>
      </c>
      <c r="AD233" s="152">
        <v>7.8E-2</v>
      </c>
      <c r="AE233" s="31">
        <f t="shared" ref="AE233:AE234" si="317">4825*(P233)</f>
        <v>62725</v>
      </c>
      <c r="AF233" s="28">
        <f t="shared" si="309"/>
        <v>0.16604744525547444</v>
      </c>
      <c r="AG233" s="34">
        <f t="shared" si="310"/>
        <v>118292.22999999998</v>
      </c>
      <c r="AH233" s="34" t="e">
        <f t="shared" si="311"/>
        <v>#REF!</v>
      </c>
      <c r="AI233" s="34" t="e">
        <f>SUMIF(헤몬팜마진!$B$7:$B$32,$C233,헤몬팜마진!$V$7:$V$32)</f>
        <v>#REF!</v>
      </c>
      <c r="AJ233" s="34" t="e">
        <f t="shared" si="312"/>
        <v>#REF!</v>
      </c>
      <c r="AK233" s="206" t="e">
        <f t="shared" si="313"/>
        <v>#REF!</v>
      </c>
      <c r="AL233" s="40">
        <f>SUMIF(헤몬팜마진!$B$7:$B$32,$C233,헤몬팜마진!$T$7:$T$32)</f>
        <v>181.44000000000003</v>
      </c>
      <c r="AM233" s="41">
        <f>SUMIF(헤몬팜마진!$B$7:$B$32,$C233,헤몬팜마진!$U$7:$U$32)</f>
        <v>926.01600000000019</v>
      </c>
      <c r="AN233" s="36"/>
      <c r="AO233" s="202">
        <v>61837</v>
      </c>
      <c r="AP233" s="205">
        <v>260</v>
      </c>
      <c r="AQ233" s="126"/>
      <c r="AR233" s="126"/>
      <c r="AS233" s="126"/>
      <c r="AT233" s="118"/>
      <c r="AU233" s="118"/>
      <c r="AV233" s="118"/>
      <c r="AW233" s="118"/>
      <c r="AX233" s="118"/>
      <c r="AY233" s="118"/>
      <c r="AZ233" s="118"/>
      <c r="BA233" s="118"/>
      <c r="BB233" s="118"/>
      <c r="BC233" s="118"/>
      <c r="BD233" s="118"/>
      <c r="BE233" s="118"/>
      <c r="BF233" s="118"/>
      <c r="BG233" s="47"/>
      <c r="BH233" s="47"/>
      <c r="BI233" s="47"/>
      <c r="BJ233" s="47"/>
      <c r="BK233" s="47"/>
    </row>
    <row r="234" spans="1:63" ht="28.5" customHeight="1">
      <c r="A234" s="318"/>
      <c r="B234" s="324"/>
      <c r="C234" s="42" t="s">
        <v>116</v>
      </c>
      <c r="D234" s="28" t="e">
        <f t="shared" si="296"/>
        <v>#REF!</v>
      </c>
      <c r="E234" s="201" t="e">
        <f t="shared" si="297"/>
        <v>#REF!</v>
      </c>
      <c r="F234" s="30">
        <f t="shared" si="298"/>
        <v>0.16157367159571012</v>
      </c>
      <c r="G234" s="30">
        <f t="shared" si="299"/>
        <v>2.2222222222222223E-2</v>
      </c>
      <c r="H234" s="35">
        <v>0</v>
      </c>
      <c r="I234" s="35">
        <f t="shared" si="300"/>
        <v>70</v>
      </c>
      <c r="J234" s="35">
        <f t="shared" si="301"/>
        <v>140</v>
      </c>
      <c r="K234" s="310"/>
      <c r="L234" s="39">
        <v>1</v>
      </c>
      <c r="M234" s="210"/>
      <c r="N234" s="44">
        <v>10</v>
      </c>
      <c r="O234" s="202">
        <v>16</v>
      </c>
      <c r="P234" s="31">
        <f t="shared" si="302"/>
        <v>16</v>
      </c>
      <c r="Q234" s="202">
        <v>2</v>
      </c>
      <c r="R234" s="203">
        <v>12</v>
      </c>
      <c r="S234" s="36"/>
      <c r="T234" s="34">
        <f t="shared" si="303"/>
        <v>984640</v>
      </c>
      <c r="U234" s="31">
        <f t="shared" si="304"/>
        <v>0</v>
      </c>
      <c r="V234" s="34">
        <f t="shared" si="305"/>
        <v>984640</v>
      </c>
      <c r="W234" s="43">
        <v>61540</v>
      </c>
      <c r="X234" s="34">
        <f>SUMIF(헤몬팜마진!$B$7:$B$32,$C234,헤몬팜마진!$R$7:$R$32)</f>
        <v>12169.932499999999</v>
      </c>
      <c r="Y234" s="34" t="e">
        <f t="shared" si="306"/>
        <v>#REF!</v>
      </c>
      <c r="Z234" s="34">
        <f t="shared" si="307"/>
        <v>159091.90000000002</v>
      </c>
      <c r="AA234" s="49">
        <v>144629</v>
      </c>
      <c r="AB234" s="36"/>
      <c r="AC234" s="204">
        <f t="shared" si="314"/>
        <v>4620</v>
      </c>
      <c r="AD234" s="152">
        <v>7.8E-2</v>
      </c>
      <c r="AE234" s="31">
        <f t="shared" si="317"/>
        <v>77200</v>
      </c>
      <c r="AF234" s="28">
        <f t="shared" si="309"/>
        <v>0.15640428989275268</v>
      </c>
      <c r="AG234" s="34">
        <f t="shared" si="310"/>
        <v>154001.94999999998</v>
      </c>
      <c r="AH234" s="34" t="e">
        <f t="shared" si="311"/>
        <v>#REF!</v>
      </c>
      <c r="AI234" s="34" t="e">
        <f>SUMIF(헤몬팜마진!$B$7:$B$32,$C234,헤몬팜마진!$V$7:$V$32)</f>
        <v>#REF!</v>
      </c>
      <c r="AJ234" s="34" t="e">
        <f t="shared" si="312"/>
        <v>#REF!</v>
      </c>
      <c r="AK234" s="46" t="e">
        <f t="shared" si="313"/>
        <v>#REF!</v>
      </c>
      <c r="AL234" s="40">
        <f>SUMIF(헤몬팜마진!$B$7:$B$32,$C234,헤몬팜마진!$T$7:$T$32)</f>
        <v>181.44000000000003</v>
      </c>
      <c r="AM234" s="41">
        <f>SUMIF(헤몬팜마진!$B$7:$B$32,$C234,헤몬팜마진!$U$7:$U$32)</f>
        <v>926.01600000000019</v>
      </c>
      <c r="AN234" s="36"/>
      <c r="AO234" s="202">
        <v>99430</v>
      </c>
      <c r="AP234" s="205">
        <v>540</v>
      </c>
      <c r="AQ234" s="126"/>
      <c r="AR234" s="126"/>
      <c r="AS234" s="126"/>
      <c r="AT234" s="118"/>
      <c r="AU234" s="118"/>
      <c r="AV234" s="118"/>
      <c r="AW234" s="118"/>
      <c r="AX234" s="118"/>
      <c r="AY234" s="118"/>
      <c r="AZ234" s="118"/>
      <c r="BA234" s="118"/>
      <c r="BB234" s="118"/>
      <c r="BC234" s="118"/>
      <c r="BD234" s="118"/>
      <c r="BE234" s="118"/>
      <c r="BF234" s="118"/>
      <c r="BG234" s="47"/>
      <c r="BH234" s="47"/>
      <c r="BI234" s="47"/>
      <c r="BJ234" s="47"/>
      <c r="BK234" s="47"/>
    </row>
    <row r="235" spans="1:63" ht="28.5" customHeight="1">
      <c r="A235" s="228" t="s">
        <v>137</v>
      </c>
      <c r="B235" s="200"/>
      <c r="C235" s="42" t="s">
        <v>117</v>
      </c>
      <c r="D235" s="28">
        <f t="shared" si="296"/>
        <v>0.37156680309855311</v>
      </c>
      <c r="E235" s="201">
        <f t="shared" si="297"/>
        <v>0.49826631511056513</v>
      </c>
      <c r="F235" s="30">
        <f t="shared" si="298"/>
        <v>0.12669951201201202</v>
      </c>
      <c r="G235" s="30">
        <f t="shared" si="299"/>
        <v>3.7634408602150539E-2</v>
      </c>
      <c r="H235" s="35">
        <v>2000</v>
      </c>
      <c r="I235" s="35">
        <f t="shared" si="300"/>
        <v>700</v>
      </c>
      <c r="J235" s="35">
        <f t="shared" si="301"/>
        <v>1400</v>
      </c>
      <c r="K235" s="39">
        <v>2373</v>
      </c>
      <c r="L235" s="39">
        <v>3</v>
      </c>
      <c r="M235" s="210"/>
      <c r="N235" s="44">
        <v>100</v>
      </c>
      <c r="O235" s="202">
        <v>66</v>
      </c>
      <c r="P235" s="31">
        <f t="shared" si="302"/>
        <v>66</v>
      </c>
      <c r="Q235" s="202">
        <v>11</v>
      </c>
      <c r="R235" s="203">
        <v>35</v>
      </c>
      <c r="S235" s="36"/>
      <c r="T235" s="34">
        <f t="shared" si="303"/>
        <v>1172160</v>
      </c>
      <c r="U235" s="31">
        <f t="shared" si="304"/>
        <v>0</v>
      </c>
      <c r="V235" s="34">
        <f t="shared" si="305"/>
        <v>1172160</v>
      </c>
      <c r="W235" s="43">
        <v>17760</v>
      </c>
      <c r="X235" s="34">
        <f>SUMIF(헤몬팜마진!$B$7:$B$32,$C235,헤몬팜마진!$R$7:$R$32)</f>
        <v>3982.8869999999997</v>
      </c>
      <c r="Y235" s="34">
        <f t="shared" si="306"/>
        <v>319255.87319999997</v>
      </c>
      <c r="Z235" s="34">
        <f t="shared" si="307"/>
        <v>148512.1</v>
      </c>
      <c r="AA235" s="49">
        <f>86330+48681</f>
        <v>135011</v>
      </c>
      <c r="AB235" s="36"/>
      <c r="AC235" s="204">
        <f t="shared" si="314"/>
        <v>25410</v>
      </c>
      <c r="AD235" s="152">
        <v>7.8E-2</v>
      </c>
      <c r="AE235" s="31">
        <f t="shared" ref="AE235:AE236" si="318">1900*(P235)</f>
        <v>125400</v>
      </c>
      <c r="AF235" s="28">
        <f t="shared" si="309"/>
        <v>0.18498198198198199</v>
      </c>
      <c r="AG235" s="34">
        <f t="shared" si="310"/>
        <v>216828.51</v>
      </c>
      <c r="AH235" s="34">
        <f t="shared" si="311"/>
        <v>52027.77287999999</v>
      </c>
      <c r="AI235" s="34">
        <f>SUMIF(헤몬팜마진!$B$7:$B$32,$C235,헤몬팜마진!$V$7:$V$32)</f>
        <v>4837.2101999999995</v>
      </c>
      <c r="AJ235" s="34">
        <f t="shared" si="312"/>
        <v>584047.84392000001</v>
      </c>
      <c r="AK235" s="46">
        <f t="shared" si="313"/>
        <v>435535.74392000004</v>
      </c>
      <c r="AL235" s="40">
        <f>SUMIF(헤몬팜마진!$B$7:$B$32,$C235,헤몬팜마진!$T$7:$T$32)</f>
        <v>139.96800000000002</v>
      </c>
      <c r="AM235" s="41">
        <f>SUMIF(헤몬팜마진!$B$7:$B$32,$C235,헤몬팜마진!$U$7:$U$32)</f>
        <v>714.35519999999997</v>
      </c>
      <c r="AN235" s="36"/>
      <c r="AO235" s="202">
        <v>136708</v>
      </c>
      <c r="AP235" s="205">
        <v>930</v>
      </c>
      <c r="AQ235" s="126"/>
      <c r="AR235" s="126"/>
      <c r="AS235" s="126"/>
      <c r="AT235" s="118"/>
      <c r="AU235" s="118"/>
      <c r="AV235" s="118"/>
      <c r="AW235" s="118"/>
      <c r="AX235" s="118"/>
      <c r="AY235" s="118"/>
      <c r="AZ235" s="118"/>
      <c r="BA235" s="118"/>
      <c r="BB235" s="118"/>
      <c r="BC235" s="118"/>
      <c r="BD235" s="118"/>
      <c r="BE235" s="118"/>
      <c r="BF235" s="118"/>
      <c r="BG235" s="47"/>
      <c r="BH235" s="47"/>
      <c r="BI235" s="47"/>
      <c r="BJ235" s="47"/>
      <c r="BK235" s="47"/>
    </row>
    <row r="236" spans="1:63" ht="28.5" customHeight="1">
      <c r="A236" s="228" t="s">
        <v>138</v>
      </c>
      <c r="B236" s="200"/>
      <c r="C236" s="42" t="s">
        <v>118</v>
      </c>
      <c r="D236" s="28">
        <f t="shared" si="296"/>
        <v>-0.17401587489526593</v>
      </c>
      <c r="E236" s="201">
        <f t="shared" si="297"/>
        <v>0.43889195920611657</v>
      </c>
      <c r="F236" s="30">
        <f t="shared" si="298"/>
        <v>0.6129078341013825</v>
      </c>
      <c r="G236" s="30">
        <f t="shared" si="299"/>
        <v>1.335113484646195E-2</v>
      </c>
      <c r="H236" s="35">
        <v>0</v>
      </c>
      <c r="I236" s="35">
        <f t="shared" si="300"/>
        <v>350</v>
      </c>
      <c r="J236" s="35">
        <f t="shared" si="301"/>
        <v>700</v>
      </c>
      <c r="K236" s="39">
        <v>87</v>
      </c>
      <c r="L236" s="39">
        <v>0</v>
      </c>
      <c r="M236" s="210"/>
      <c r="N236" s="44">
        <v>50</v>
      </c>
      <c r="O236" s="202">
        <v>7</v>
      </c>
      <c r="P236" s="31">
        <f t="shared" si="302"/>
        <v>7</v>
      </c>
      <c r="Q236" s="36">
        <v>2</v>
      </c>
      <c r="R236" s="203">
        <v>10</v>
      </c>
      <c r="S236" s="36"/>
      <c r="T236" s="34">
        <f t="shared" si="303"/>
        <v>173600</v>
      </c>
      <c r="U236" s="31">
        <f t="shared" si="304"/>
        <v>0</v>
      </c>
      <c r="V236" s="34">
        <f t="shared" si="305"/>
        <v>173600</v>
      </c>
      <c r="W236" s="43">
        <v>24800</v>
      </c>
      <c r="X236" s="34">
        <f>SUMIF(헤몬팜마진!$B$7:$B$32,$C236,헤몬팜마진!$R$7:$R$32)</f>
        <v>8408.3169999999991</v>
      </c>
      <c r="Y236" s="34">
        <f t="shared" si="306"/>
        <v>60057.962999999989</v>
      </c>
      <c r="Z236" s="34">
        <f t="shared" si="307"/>
        <v>106400.8</v>
      </c>
      <c r="AA236" s="49">
        <v>96728</v>
      </c>
      <c r="AB236" s="209"/>
      <c r="AC236" s="204">
        <f t="shared" si="314"/>
        <v>4620</v>
      </c>
      <c r="AD236" s="152">
        <v>0.1</v>
      </c>
      <c r="AE236" s="31">
        <f t="shared" si="318"/>
        <v>13300</v>
      </c>
      <c r="AF236" s="28">
        <f t="shared" si="309"/>
        <v>0.17661290322580647</v>
      </c>
      <c r="AG236" s="34">
        <f t="shared" si="310"/>
        <v>30660.030000000002</v>
      </c>
      <c r="AH236" s="34">
        <f t="shared" si="311"/>
        <v>6690.3628818181805</v>
      </c>
      <c r="AI236" s="34">
        <f>SUMIF(헤몬팜마진!$B$7:$B$32,$C236,헤몬팜마진!$V$7:$V$32)</f>
        <v>8579.7089999999989</v>
      </c>
      <c r="AJ236" s="34">
        <f t="shared" si="312"/>
        <v>76191.644118181837</v>
      </c>
      <c r="AK236" s="206">
        <f t="shared" si="313"/>
        <v>-30209.155881818166</v>
      </c>
      <c r="AL236" s="40">
        <f>SUMIF(헤몬팜마진!$B$7:$B$32,$C236,헤몬팜마진!$T$7:$T$32)</f>
        <v>28.079999999999995</v>
      </c>
      <c r="AM236" s="41">
        <f>SUMIF(헤몬팜마진!$B$7:$B$32,$C236,헤몬팜마진!$U$7:$U$32)</f>
        <v>143.31199999999998</v>
      </c>
      <c r="AN236" s="36"/>
      <c r="AO236" s="202">
        <f>250513+93516</f>
        <v>344029</v>
      </c>
      <c r="AP236" s="205">
        <f>392+357</f>
        <v>749</v>
      </c>
      <c r="AQ236" s="126"/>
      <c r="AR236" s="126"/>
      <c r="AS236" s="126"/>
      <c r="AT236" s="118"/>
      <c r="AU236" s="118"/>
      <c r="AV236" s="118"/>
      <c r="AW236" s="118"/>
      <c r="AX236" s="118"/>
      <c r="AY236" s="118"/>
      <c r="AZ236" s="118"/>
      <c r="BA236" s="118"/>
      <c r="BB236" s="118"/>
      <c r="BC236" s="118"/>
      <c r="BD236" s="118"/>
      <c r="BE236" s="118"/>
      <c r="BF236" s="118"/>
      <c r="BG236" s="47"/>
      <c r="BH236" s="47"/>
      <c r="BI236" s="47"/>
      <c r="BJ236" s="47"/>
      <c r="BK236" s="47"/>
    </row>
    <row r="237" spans="1:63" ht="28.5" customHeight="1">
      <c r="A237" s="12"/>
      <c r="B237" s="214" t="s">
        <v>126</v>
      </c>
      <c r="C237" s="42" t="s">
        <v>31</v>
      </c>
      <c r="D237" s="28">
        <f t="shared" si="296"/>
        <v>-7.354538595041317E-2</v>
      </c>
      <c r="E237" s="201">
        <f t="shared" si="297"/>
        <v>0.37869345702479346</v>
      </c>
      <c r="F237" s="30">
        <f t="shared" si="298"/>
        <v>0.45223884297520667</v>
      </c>
      <c r="G237" s="30">
        <f t="shared" si="299"/>
        <v>4.357298474945534E-2</v>
      </c>
      <c r="H237" s="35">
        <v>700</v>
      </c>
      <c r="I237" s="35">
        <f t="shared" si="300"/>
        <v>210</v>
      </c>
      <c r="J237" s="35">
        <f t="shared" si="301"/>
        <v>420</v>
      </c>
      <c r="K237" s="39">
        <v>954</v>
      </c>
      <c r="L237" s="39">
        <v>2</v>
      </c>
      <c r="M237" s="210"/>
      <c r="N237" s="44">
        <v>30</v>
      </c>
      <c r="O237" s="36">
        <v>70</v>
      </c>
      <c r="P237" s="31">
        <f t="shared" si="302"/>
        <v>55</v>
      </c>
      <c r="Q237" s="36">
        <v>6</v>
      </c>
      <c r="R237" s="167">
        <v>40</v>
      </c>
      <c r="S237" s="36">
        <v>15</v>
      </c>
      <c r="T237" s="34">
        <f t="shared" si="303"/>
        <v>1386000</v>
      </c>
      <c r="U237" s="31">
        <f t="shared" si="304"/>
        <v>297000</v>
      </c>
      <c r="V237" s="34">
        <f t="shared" si="305"/>
        <v>1089000</v>
      </c>
      <c r="W237" s="43">
        <v>19800</v>
      </c>
      <c r="X237" s="34">
        <f>SUMIF(헤몬팜마진!$B$7:$B$32,$C237,헤몬팜마진!$R$7:$R$32)</f>
        <v>6638.1449999999995</v>
      </c>
      <c r="Y237" s="34">
        <f t="shared" si="306"/>
        <v>367708.40699999995</v>
      </c>
      <c r="Z237" s="34">
        <f t="shared" si="307"/>
        <v>335220.60000000003</v>
      </c>
      <c r="AA237" s="48">
        <v>304746</v>
      </c>
      <c r="AB237" s="211">
        <f>((20900*0.015)+(20900*0.19)+2100+2200+1900)*15</f>
        <v>157267.5</v>
      </c>
      <c r="AC237" s="204">
        <f t="shared" si="314"/>
        <v>13860</v>
      </c>
      <c r="AD237" s="152">
        <v>0.08</v>
      </c>
      <c r="AE237" s="31">
        <f>3400*(P237)</f>
        <v>187000</v>
      </c>
      <c r="AF237" s="28">
        <f t="shared" si="309"/>
        <v>0.25171717171717173</v>
      </c>
      <c r="AG237" s="34">
        <f t="shared" si="310"/>
        <v>274120.03000000003</v>
      </c>
      <c r="AH237" s="34">
        <f t="shared" si="311"/>
        <v>34774.388299999999</v>
      </c>
      <c r="AI237" s="34">
        <f>SUMIF(헤몬팜마진!$B$7:$B$32,$C237,헤몬팜마진!$V$7:$V$32)</f>
        <v>6685.607399999999</v>
      </c>
      <c r="AJ237" s="34">
        <f t="shared" si="312"/>
        <v>412397.17470000009</v>
      </c>
      <c r="AK237" s="206">
        <f t="shared" si="313"/>
        <v>-80090.925299999944</v>
      </c>
      <c r="AL237" s="40">
        <f>SUMIF(헤몬팜마진!$B$7:$B$32,$C237,헤몬팜마진!$T$7:$T$32)</f>
        <v>7.7759999999999998</v>
      </c>
      <c r="AM237" s="41">
        <f>SUMIF(헤몬팜마진!$B$7:$B$32,$C237,헤몬팜마진!$U$7:$U$32)</f>
        <v>39.686400000000006</v>
      </c>
      <c r="AN237" s="36"/>
      <c r="AO237" s="202">
        <v>698930</v>
      </c>
      <c r="AP237" s="205">
        <v>918</v>
      </c>
      <c r="AQ237" s="126"/>
      <c r="AR237" s="126"/>
      <c r="AS237" s="126"/>
      <c r="AT237" s="118"/>
      <c r="AU237" s="118"/>
      <c r="AV237" s="118"/>
      <c r="AW237" s="118"/>
      <c r="AX237" s="118"/>
      <c r="AY237" s="118"/>
      <c r="AZ237" s="118"/>
      <c r="BA237" s="118"/>
      <c r="BB237" s="118"/>
      <c r="BC237" s="118"/>
      <c r="BD237" s="118"/>
      <c r="BE237" s="118"/>
      <c r="BF237" s="118"/>
      <c r="BG237" s="47"/>
      <c r="BH237" s="47"/>
      <c r="BI237" s="47"/>
      <c r="BJ237" s="47"/>
      <c r="BK237" s="47"/>
    </row>
    <row r="238" spans="1:63" ht="28.5" customHeight="1">
      <c r="A238" s="327" t="s">
        <v>139</v>
      </c>
      <c r="B238" s="127" t="s">
        <v>127</v>
      </c>
      <c r="C238" s="42" t="s">
        <v>119</v>
      </c>
      <c r="D238" s="28">
        <f t="shared" si="296"/>
        <v>0.26268310258290867</v>
      </c>
      <c r="E238" s="201">
        <f t="shared" si="297"/>
        <v>0.43444846496021133</v>
      </c>
      <c r="F238" s="30">
        <f t="shared" si="298"/>
        <v>0.17176536237730269</v>
      </c>
      <c r="G238" s="30">
        <f t="shared" si="299"/>
        <v>0.14285714285714285</v>
      </c>
      <c r="H238" s="35">
        <v>2000</v>
      </c>
      <c r="I238" s="35">
        <f t="shared" si="300"/>
        <v>280</v>
      </c>
      <c r="J238" s="35">
        <f t="shared" si="301"/>
        <v>560</v>
      </c>
      <c r="K238" s="328">
        <v>1048</v>
      </c>
      <c r="L238" s="39">
        <f>311+240+1</f>
        <v>552</v>
      </c>
      <c r="M238" s="210"/>
      <c r="N238" s="44">
        <v>40</v>
      </c>
      <c r="O238" s="202">
        <v>90</v>
      </c>
      <c r="P238" s="31">
        <f t="shared" si="302"/>
        <v>90</v>
      </c>
      <c r="Q238" s="202">
        <v>10</v>
      </c>
      <c r="R238" s="203">
        <v>57</v>
      </c>
      <c r="S238" s="36"/>
      <c r="T238" s="34">
        <f t="shared" si="303"/>
        <v>2231100</v>
      </c>
      <c r="U238" s="31">
        <f t="shared" si="304"/>
        <v>0</v>
      </c>
      <c r="V238" s="34">
        <f t="shared" si="305"/>
        <v>2231100</v>
      </c>
      <c r="W238" s="43">
        <v>24790</v>
      </c>
      <c r="X238" s="34">
        <f>SUMIF(헤몬팜마진!$B$7:$B$32,$C238,헤몬팜마진!$R$7:$R$32)</f>
        <v>6859.4164999999994</v>
      </c>
      <c r="Y238" s="34">
        <f t="shared" si="306"/>
        <v>652825.62899999984</v>
      </c>
      <c r="Z238" s="34">
        <f t="shared" si="307"/>
        <v>383225.7</v>
      </c>
      <c r="AA238" s="49">
        <v>348387</v>
      </c>
      <c r="AB238" s="209"/>
      <c r="AC238" s="204">
        <f t="shared" si="314"/>
        <v>23100</v>
      </c>
      <c r="AD238" s="152">
        <v>0.108</v>
      </c>
      <c r="AE238" s="31">
        <f>3150*(P238)</f>
        <v>283500</v>
      </c>
      <c r="AF238" s="28">
        <f t="shared" si="309"/>
        <v>0.23506736587333604</v>
      </c>
      <c r="AG238" s="34">
        <f t="shared" si="310"/>
        <v>524458.83000000007</v>
      </c>
      <c r="AH238" s="34">
        <f t="shared" si="311"/>
        <v>84517.570827272721</v>
      </c>
      <c r="AI238" s="34">
        <f>SUMIF(헤몬팜마진!$B$7:$B$32,$C238,헤몬팜마진!$V$7:$V$32)</f>
        <v>7253.6180999999988</v>
      </c>
      <c r="AJ238" s="34">
        <f t="shared" si="312"/>
        <v>969297.97017272748</v>
      </c>
      <c r="AK238" s="206">
        <f t="shared" si="313"/>
        <v>586072.27017272753</v>
      </c>
      <c r="AL238" s="40">
        <f>SUMIF(헤몬팜마진!$B$7:$B$32,$C238,헤몬팜마진!$T$7:$T$32)</f>
        <v>64.584000000000003</v>
      </c>
      <c r="AM238" s="41">
        <f>SUMIF(헤몬팜마진!$B$7:$B$32,$C238,헤몬팜마진!$U$7:$U$32)</f>
        <v>329.61759999999998</v>
      </c>
      <c r="AN238" s="36"/>
      <c r="AO238" s="202">
        <v>77345</v>
      </c>
      <c r="AP238" s="205">
        <v>399</v>
      </c>
      <c r="AQ238" s="126"/>
      <c r="AR238" s="126"/>
      <c r="AS238" s="126"/>
      <c r="AT238" s="118"/>
      <c r="AU238" s="118"/>
      <c r="AV238" s="118"/>
      <c r="AW238" s="118"/>
      <c r="AX238" s="118"/>
      <c r="AY238" s="118"/>
      <c r="AZ238" s="118"/>
      <c r="BA238" s="118"/>
      <c r="BB238" s="118"/>
      <c r="BC238" s="118"/>
      <c r="BD238" s="118"/>
      <c r="BE238" s="118"/>
      <c r="BF238" s="118"/>
      <c r="BG238" s="47"/>
      <c r="BH238" s="47"/>
      <c r="BI238" s="47"/>
      <c r="BJ238" s="47"/>
      <c r="BK238" s="47"/>
    </row>
    <row r="239" spans="1:63" ht="28.5" customHeight="1">
      <c r="A239" s="318"/>
      <c r="B239" s="214" t="s">
        <v>128</v>
      </c>
      <c r="C239" s="42" t="s">
        <v>120</v>
      </c>
      <c r="D239" s="28" t="e">
        <f t="shared" si="296"/>
        <v>#DIV/0!</v>
      </c>
      <c r="E239" s="201" t="e">
        <f t="shared" si="297"/>
        <v>#DIV/0!</v>
      </c>
      <c r="F239" s="30" t="e">
        <f t="shared" si="298"/>
        <v>#DIV/0!</v>
      </c>
      <c r="G239" s="30">
        <f t="shared" si="299"/>
        <v>3.2894736842105261E-3</v>
      </c>
      <c r="H239" s="35">
        <v>0</v>
      </c>
      <c r="I239" s="35">
        <f t="shared" si="300"/>
        <v>105</v>
      </c>
      <c r="J239" s="35">
        <f t="shared" si="301"/>
        <v>210</v>
      </c>
      <c r="K239" s="310"/>
      <c r="L239" s="39">
        <f>22+3</f>
        <v>25</v>
      </c>
      <c r="M239" s="210"/>
      <c r="N239" s="44">
        <v>15</v>
      </c>
      <c r="O239" s="36"/>
      <c r="P239" s="31">
        <f t="shared" si="302"/>
        <v>0</v>
      </c>
      <c r="Q239" s="36"/>
      <c r="R239" s="167">
        <v>1</v>
      </c>
      <c r="S239" s="36"/>
      <c r="T239" s="34">
        <f t="shared" si="303"/>
        <v>0</v>
      </c>
      <c r="U239" s="31">
        <f t="shared" si="304"/>
        <v>0</v>
      </c>
      <c r="V239" s="34">
        <f t="shared" si="305"/>
        <v>0</v>
      </c>
      <c r="W239" s="43">
        <v>39800</v>
      </c>
      <c r="X239" s="34">
        <f>SUMIF(헤몬팜마진!$B$7:$B$32,$C239,헤몬팜마진!$R$7:$R$32)</f>
        <v>13718.832999999999</v>
      </c>
      <c r="Y239" s="34">
        <f t="shared" si="306"/>
        <v>0</v>
      </c>
      <c r="Z239" s="34">
        <f t="shared" si="307"/>
        <v>122114.3</v>
      </c>
      <c r="AA239" s="49">
        <v>111013</v>
      </c>
      <c r="AB239" s="209"/>
      <c r="AC239" s="204">
        <f t="shared" si="314"/>
        <v>0</v>
      </c>
      <c r="AD239" s="152">
        <v>0.108</v>
      </c>
      <c r="AE239" s="31">
        <f>3550*(P239)</f>
        <v>0</v>
      </c>
      <c r="AF239" s="28" t="e">
        <f t="shared" si="309"/>
        <v>#DIV/0!</v>
      </c>
      <c r="AG239" s="34">
        <f t="shared" si="310"/>
        <v>0</v>
      </c>
      <c r="AH239" s="34">
        <f t="shared" si="311"/>
        <v>0</v>
      </c>
      <c r="AI239" s="34">
        <f>SUMIF(헤몬팜마진!$B$7:$B$32,$C239,헤몬팜마진!$V$7:$V$32)</f>
        <v>14113.034599999999</v>
      </c>
      <c r="AJ239" s="34">
        <f t="shared" si="312"/>
        <v>0</v>
      </c>
      <c r="AK239" s="206">
        <f t="shared" si="313"/>
        <v>-122114.3</v>
      </c>
      <c r="AL239" s="40">
        <f>SUMIF(헤몬팜마진!$B$7:$B$32,$C239,헤몬팜마진!$T$7:$T$32)</f>
        <v>64.584000000000003</v>
      </c>
      <c r="AM239" s="41">
        <f>SUMIF(헤몬팜마진!$B$7:$B$32,$C239,헤몬팜마진!$U$7:$U$32)</f>
        <v>329.61759999999998</v>
      </c>
      <c r="AN239" s="36"/>
      <c r="AO239" s="202">
        <v>119900</v>
      </c>
      <c r="AP239" s="205">
        <v>304</v>
      </c>
      <c r="AQ239" s="126"/>
      <c r="AR239" s="126"/>
      <c r="AS239" s="126"/>
      <c r="AT239" s="118"/>
      <c r="AU239" s="118"/>
      <c r="AV239" s="118"/>
      <c r="AW239" s="118"/>
      <c r="AX239" s="118"/>
      <c r="AY239" s="118"/>
      <c r="AZ239" s="118"/>
      <c r="BA239" s="118"/>
      <c r="BB239" s="118"/>
      <c r="BC239" s="118"/>
      <c r="BD239" s="118"/>
      <c r="BE239" s="118"/>
      <c r="BF239" s="118"/>
      <c r="BG239" s="47"/>
      <c r="BH239" s="47"/>
      <c r="BI239" s="47"/>
      <c r="BJ239" s="47"/>
      <c r="BK239" s="47"/>
    </row>
    <row r="240" spans="1:63" ht="28.5" customHeight="1">
      <c r="A240" s="12"/>
      <c r="B240" s="216"/>
      <c r="C240" s="217"/>
      <c r="D240" s="51" t="e">
        <f t="shared" si="296"/>
        <v>#REF!</v>
      </c>
      <c r="E240" s="218" t="e">
        <f t="shared" si="297"/>
        <v>#REF!</v>
      </c>
      <c r="F240" s="53">
        <f t="shared" si="298"/>
        <v>0.2316764792297609</v>
      </c>
      <c r="G240" s="219"/>
      <c r="H240" s="55"/>
      <c r="I240" s="55"/>
      <c r="J240" s="55"/>
      <c r="K240" s="55"/>
      <c r="L240" s="55"/>
      <c r="M240" s="55"/>
      <c r="N240" s="55"/>
      <c r="O240" s="130">
        <f t="shared" ref="O240:V240" si="319">SUM(O223:O239)</f>
        <v>911</v>
      </c>
      <c r="P240" s="220">
        <f t="shared" si="319"/>
        <v>896</v>
      </c>
      <c r="Q240" s="130">
        <f t="shared" si="319"/>
        <v>93</v>
      </c>
      <c r="R240" s="130">
        <f t="shared" si="319"/>
        <v>657</v>
      </c>
      <c r="S240" s="130">
        <f t="shared" si="319"/>
        <v>15</v>
      </c>
      <c r="T240" s="130">
        <f t="shared" si="319"/>
        <v>25074760</v>
      </c>
      <c r="U240" s="130">
        <f t="shared" si="319"/>
        <v>297000</v>
      </c>
      <c r="V240" s="220">
        <f t="shared" si="319"/>
        <v>24777760</v>
      </c>
      <c r="W240" s="55"/>
      <c r="X240" s="130">
        <f t="shared" ref="X240:AC240" si="320">SUM(X223:X239)</f>
        <v>153584.54814999999</v>
      </c>
      <c r="Y240" s="220" t="e">
        <f t="shared" si="320"/>
        <v>#REF!</v>
      </c>
      <c r="Z240" s="130">
        <f t="shared" si="320"/>
        <v>5583156.7000000002</v>
      </c>
      <c r="AA240" s="130">
        <f t="shared" si="320"/>
        <v>5075597</v>
      </c>
      <c r="AB240" s="130">
        <f t="shared" si="320"/>
        <v>157267.5</v>
      </c>
      <c r="AC240" s="130">
        <f t="shared" si="320"/>
        <v>209034</v>
      </c>
      <c r="AD240" s="154">
        <v>0.09</v>
      </c>
      <c r="AE240" s="220">
        <f>SUM(AE223:AE239)</f>
        <v>2778700</v>
      </c>
      <c r="AF240" s="53">
        <f t="shared" si="309"/>
        <v>0.20214492351205274</v>
      </c>
      <c r="AG240" s="56">
        <f t="shared" ref="AG240:AI240" si="321">SUM(AG223:AG239)</f>
        <v>5157819.93</v>
      </c>
      <c r="AH240" s="56" t="e">
        <f t="shared" si="321"/>
        <v>#REF!</v>
      </c>
      <c r="AI240" s="56" t="e">
        <f t="shared" si="321"/>
        <v>#REF!</v>
      </c>
      <c r="AJ240" s="56" t="e">
        <f t="shared" si="312"/>
        <v>#REF!</v>
      </c>
      <c r="AK240" s="221" t="e">
        <f t="shared" si="313"/>
        <v>#REF!</v>
      </c>
      <c r="AL240" s="54"/>
      <c r="AM240" s="222"/>
      <c r="AN240" s="57"/>
      <c r="AO240" s="131">
        <f t="shared" ref="AO240:AP240" si="322">SUM(AO223:AO224)</f>
        <v>1614243</v>
      </c>
      <c r="AP240" s="132">
        <f t="shared" si="322"/>
        <v>6204</v>
      </c>
      <c r="AQ240" s="126"/>
      <c r="AR240" s="126"/>
      <c r="AS240" s="126"/>
      <c r="AT240" s="118"/>
      <c r="AU240" s="118"/>
      <c r="AV240" s="118"/>
      <c r="AW240" s="118"/>
      <c r="AX240" s="118"/>
      <c r="AY240" s="118"/>
      <c r="AZ240" s="118"/>
      <c r="BA240" s="118"/>
      <c r="BB240" s="118"/>
      <c r="BC240" s="118"/>
      <c r="BD240" s="118"/>
      <c r="BE240" s="118"/>
      <c r="BF240" s="118"/>
      <c r="BG240" s="47"/>
      <c r="BH240" s="47"/>
      <c r="BI240" s="47"/>
      <c r="BJ240" s="47"/>
      <c r="BK240" s="47"/>
    </row>
    <row r="241" spans="1:63" ht="28.5" customHeight="1">
      <c r="A241" s="3"/>
      <c r="B241" s="120"/>
      <c r="C241" s="229"/>
      <c r="D241" s="230"/>
      <c r="E241" s="230"/>
      <c r="F241" s="230"/>
      <c r="G241" s="230"/>
      <c r="H241" s="231"/>
      <c r="I241" s="231"/>
      <c r="J241" s="231"/>
      <c r="K241" s="231"/>
      <c r="L241" s="231"/>
      <c r="M241" s="231"/>
      <c r="N241" s="231"/>
      <c r="O241" s="231"/>
      <c r="P241" s="232"/>
      <c r="Q241" s="231"/>
      <c r="R241" s="231"/>
      <c r="S241" s="231"/>
      <c r="T241" s="231"/>
      <c r="U241" s="231"/>
      <c r="V241" s="231"/>
      <c r="W241" s="231"/>
      <c r="X241" s="231"/>
      <c r="Y241" s="231"/>
      <c r="Z241" s="231"/>
      <c r="AA241" s="133"/>
      <c r="AB241" s="61"/>
      <c r="AC241" s="148"/>
      <c r="AD241" s="148"/>
      <c r="AE241" s="148"/>
      <c r="AF241" s="148"/>
      <c r="AG241" s="61"/>
      <c r="AH241" s="61"/>
      <c r="AI241" s="187"/>
      <c r="AJ241" s="118"/>
      <c r="AK241" s="126"/>
      <c r="AL241" s="126"/>
      <c r="AM241" s="126"/>
      <c r="AN241" s="118"/>
      <c r="AO241" s="118"/>
      <c r="AP241" s="118"/>
      <c r="AQ241" s="126"/>
      <c r="AR241" s="126"/>
      <c r="AS241" s="126"/>
      <c r="AT241" s="118"/>
      <c r="AU241" s="118"/>
      <c r="AV241" s="118"/>
      <c r="AW241" s="118"/>
      <c r="AX241" s="118"/>
      <c r="AY241" s="118"/>
      <c r="AZ241" s="118"/>
      <c r="BA241" s="118"/>
      <c r="BB241" s="118"/>
      <c r="BC241" s="118"/>
      <c r="BD241" s="118"/>
      <c r="BE241" s="118"/>
      <c r="BF241" s="118"/>
      <c r="BG241" s="47"/>
      <c r="BH241" s="47"/>
      <c r="BI241" s="47"/>
      <c r="BJ241" s="47"/>
      <c r="BK241" s="47"/>
    </row>
    <row r="242" spans="1:63" ht="28.5" customHeight="1">
      <c r="A242" s="12"/>
      <c r="B242" s="189"/>
      <c r="C242" s="134">
        <v>45943</v>
      </c>
      <c r="D242" s="122" t="s">
        <v>0</v>
      </c>
      <c r="E242" s="122" t="s">
        <v>1</v>
      </c>
      <c r="F242" s="122" t="s">
        <v>2</v>
      </c>
      <c r="G242" s="190" t="s">
        <v>3</v>
      </c>
      <c r="H242" s="191" t="s">
        <v>4</v>
      </c>
      <c r="I242" s="192" t="s">
        <v>5</v>
      </c>
      <c r="J242" s="192" t="s">
        <v>90</v>
      </c>
      <c r="K242" s="193" t="s">
        <v>6</v>
      </c>
      <c r="L242" s="194" t="s">
        <v>7</v>
      </c>
      <c r="M242" s="15" t="s">
        <v>91</v>
      </c>
      <c r="N242" s="123" t="s">
        <v>125</v>
      </c>
      <c r="O242" s="123" t="s">
        <v>8</v>
      </c>
      <c r="P242" s="123" t="s">
        <v>9</v>
      </c>
      <c r="Q242" s="195" t="s">
        <v>10</v>
      </c>
      <c r="R242" s="123" t="s">
        <v>92</v>
      </c>
      <c r="S242" s="196" t="s">
        <v>11</v>
      </c>
      <c r="T242" s="17" t="s">
        <v>12</v>
      </c>
      <c r="U242" s="17" t="s">
        <v>13</v>
      </c>
      <c r="V242" s="17" t="s">
        <v>14</v>
      </c>
      <c r="W242" s="17" t="s">
        <v>15</v>
      </c>
      <c r="X242" s="15" t="s">
        <v>16</v>
      </c>
      <c r="Y242" s="15" t="s">
        <v>17</v>
      </c>
      <c r="Z242" s="19" t="s">
        <v>18</v>
      </c>
      <c r="AA242" s="19" t="s">
        <v>19</v>
      </c>
      <c r="AB242" s="20" t="s">
        <v>20</v>
      </c>
      <c r="AC242" s="22" t="s">
        <v>93</v>
      </c>
      <c r="AD242" s="197" t="s">
        <v>21</v>
      </c>
      <c r="AE242" s="122" t="s">
        <v>22</v>
      </c>
      <c r="AF242" s="21" t="s">
        <v>23</v>
      </c>
      <c r="AG242" s="21" t="s">
        <v>21</v>
      </c>
      <c r="AH242" s="122" t="s">
        <v>24</v>
      </c>
      <c r="AI242" s="15" t="s">
        <v>25</v>
      </c>
      <c r="AJ242" s="15" t="s">
        <v>26</v>
      </c>
      <c r="AK242" s="122" t="s">
        <v>27</v>
      </c>
      <c r="AL242" s="198" t="s">
        <v>28</v>
      </c>
      <c r="AM242" s="199" t="s">
        <v>29</v>
      </c>
      <c r="AN242" s="124" t="s">
        <v>30</v>
      </c>
      <c r="AO242" s="124" t="s">
        <v>94</v>
      </c>
      <c r="AP242" s="125" t="s">
        <v>95</v>
      </c>
      <c r="AQ242" s="126"/>
      <c r="AR242" s="126"/>
      <c r="AS242" s="126"/>
      <c r="AT242" s="118"/>
      <c r="AU242" s="118"/>
      <c r="AV242" s="118"/>
      <c r="AW242" s="118"/>
      <c r="AX242" s="118"/>
      <c r="AY242" s="118"/>
      <c r="AZ242" s="118"/>
      <c r="BA242" s="118"/>
      <c r="BB242" s="118"/>
      <c r="BC242" s="118"/>
      <c r="BD242" s="118"/>
      <c r="BE242" s="118"/>
      <c r="BF242" s="118"/>
      <c r="BG242" s="47"/>
      <c r="BH242" s="47"/>
      <c r="BI242" s="47"/>
      <c r="BJ242" s="47"/>
      <c r="BK242" s="47"/>
    </row>
    <row r="243" spans="1:63" ht="28.5" customHeight="1">
      <c r="A243" s="12" t="s">
        <v>129</v>
      </c>
      <c r="B243" s="200"/>
      <c r="C243" s="42" t="s">
        <v>107</v>
      </c>
      <c r="D243" s="28">
        <f t="shared" ref="D243:D260" si="323">AK243/V243</f>
        <v>0.21458885762971919</v>
      </c>
      <c r="E243" s="201">
        <f t="shared" ref="E243:E260" si="324">AJ243/V243</f>
        <v>0.42270749751896841</v>
      </c>
      <c r="F243" s="30">
        <f t="shared" ref="F243:F260" si="325">(Z243+AB243)/V243</f>
        <v>0.20811863988924922</v>
      </c>
      <c r="G243" s="30">
        <f t="shared" ref="G243:G259" si="326">R243/AP243</f>
        <v>8.0193756727664156E-2</v>
      </c>
      <c r="H243" s="35">
        <v>7410</v>
      </c>
      <c r="I243" s="35">
        <f t="shared" ref="I243:I259" si="327">N243*7</f>
        <v>1400</v>
      </c>
      <c r="J243" s="35">
        <f t="shared" ref="J243:J259" si="328">N243*14</f>
        <v>2800</v>
      </c>
      <c r="K243" s="49">
        <v>76</v>
      </c>
      <c r="L243" s="49">
        <f>1906+1320</f>
        <v>3226</v>
      </c>
      <c r="M243" s="48"/>
      <c r="N243" s="44">
        <v>200</v>
      </c>
      <c r="O243" s="227">
        <v>189</v>
      </c>
      <c r="P243" s="31">
        <f t="shared" ref="P243:P259" si="329">O243-S243</f>
        <v>189</v>
      </c>
      <c r="Q243" s="227">
        <v>27</v>
      </c>
      <c r="R243" s="233">
        <v>149</v>
      </c>
      <c r="S243" s="36"/>
      <c r="T243" s="34">
        <f t="shared" ref="T243:T259" si="330">W243*O243</f>
        <v>5273100</v>
      </c>
      <c r="U243" s="31">
        <f t="shared" ref="U243:U259" si="331">W243*S243</f>
        <v>0</v>
      </c>
      <c r="V243" s="34">
        <f t="shared" ref="V243:V259" si="332">T243-U243</f>
        <v>5273100</v>
      </c>
      <c r="W243" s="34">
        <v>27900</v>
      </c>
      <c r="X243" s="34">
        <f>SUMIF(헤몬팜마진!$B$7:$B$32,$C243,헤몬팜마진!$R$7:$R$32)</f>
        <v>8850.86</v>
      </c>
      <c r="Y243" s="34">
        <f t="shared" ref="Y243:Y259" si="333">AI243*P243</f>
        <v>1747316.6424000002</v>
      </c>
      <c r="Z243" s="34">
        <f t="shared" ref="Z243:Z259" si="334">AA243*1.1</f>
        <v>1097430.4000000001</v>
      </c>
      <c r="AA243" s="49">
        <v>997664</v>
      </c>
      <c r="AB243" s="36"/>
      <c r="AC243" s="204">
        <f t="shared" ref="AC243:AC244" si="335">(1072+1100)*Q243</f>
        <v>58644</v>
      </c>
      <c r="AD243" s="152">
        <v>0.1</v>
      </c>
      <c r="AE243" s="31">
        <f>3050*(P243)</f>
        <v>576450</v>
      </c>
      <c r="AF243" s="28">
        <f t="shared" ref="AF243:AF260" si="336">AD243+(AE243/V243)</f>
        <v>0.20931899641577062</v>
      </c>
      <c r="AG243" s="34">
        <f t="shared" ref="AG243:AG259" si="337">IFERROR(V243*AF243+3%,0)</f>
        <v>1103760.03</v>
      </c>
      <c r="AH243" s="34">
        <f t="shared" ref="AH243:AH259" si="338">V243/1.1*10%-((AI243*P243)+AG243+(AN243*P243)+(AL243*P243))*10%</f>
        <v>193044.42243272724</v>
      </c>
      <c r="AI243" s="34">
        <f>SUMIF(헤몬팜마진!$B$7:$B$32,$C243,헤몬팜마진!$V$7:$V$32)</f>
        <v>9245.0616000000009</v>
      </c>
      <c r="AJ243" s="34">
        <f t="shared" ref="AJ243:AJ260" si="339">V243-(Y243+AG243+AH243+(AN243*P243))</f>
        <v>2228978.9051672723</v>
      </c>
      <c r="AK243" s="46">
        <f t="shared" ref="AK243:AK260" si="340">AJ243-Z243-AB243</f>
        <v>1131548.5051672722</v>
      </c>
      <c r="AL243" s="40">
        <f>SUMIF(헤몬팜마진!$B$7:$B$32,$C243,헤몬팜마진!$T$7:$T$32)</f>
        <v>64.584000000000003</v>
      </c>
      <c r="AM243" s="41">
        <f>SUMIF(헤몬팜마진!$B$7:$B$32,$C243,헤몬팜마진!$U$7:$U$32)</f>
        <v>329.61759999999998</v>
      </c>
      <c r="AN243" s="36"/>
      <c r="AO243" s="202">
        <v>469467</v>
      </c>
      <c r="AP243" s="205">
        <v>1858</v>
      </c>
      <c r="AQ243" s="126"/>
      <c r="AR243" s="126"/>
      <c r="AS243" s="126"/>
      <c r="AT243" s="118"/>
      <c r="AU243" s="118"/>
      <c r="AV243" s="118"/>
      <c r="AW243" s="118"/>
      <c r="AX243" s="118"/>
      <c r="AY243" s="118"/>
      <c r="AZ243" s="118"/>
      <c r="BA243" s="118"/>
      <c r="BB243" s="118"/>
      <c r="BC243" s="118"/>
      <c r="BD243" s="118"/>
      <c r="BE243" s="118"/>
      <c r="BF243" s="118"/>
      <c r="BG243" s="47"/>
      <c r="BH243" s="47"/>
      <c r="BI243" s="47"/>
      <c r="BJ243" s="47"/>
      <c r="BK243" s="47"/>
    </row>
    <row r="244" spans="1:63" ht="28.5" customHeight="1">
      <c r="A244" s="228" t="s">
        <v>130</v>
      </c>
      <c r="B244" s="200"/>
      <c r="C244" s="42" t="s">
        <v>108</v>
      </c>
      <c r="D244" s="28">
        <f t="shared" si="323"/>
        <v>0.15583266239487384</v>
      </c>
      <c r="E244" s="201">
        <f t="shared" si="324"/>
        <v>0.40985028354024833</v>
      </c>
      <c r="F244" s="30">
        <f t="shared" si="325"/>
        <v>0.25401762114537446</v>
      </c>
      <c r="G244" s="30" t="e">
        <f t="shared" si="326"/>
        <v>#DIV/0!</v>
      </c>
      <c r="H244" s="35">
        <v>1460</v>
      </c>
      <c r="I244" s="35">
        <f t="shared" si="327"/>
        <v>140</v>
      </c>
      <c r="J244" s="35">
        <f t="shared" si="328"/>
        <v>280</v>
      </c>
      <c r="K244" s="39">
        <v>325</v>
      </c>
      <c r="L244" s="39">
        <v>0</v>
      </c>
      <c r="M244" s="210"/>
      <c r="N244" s="44">
        <v>20</v>
      </c>
      <c r="O244" s="202">
        <v>1</v>
      </c>
      <c r="P244" s="31">
        <f t="shared" si="329"/>
        <v>1</v>
      </c>
      <c r="Q244" s="36"/>
      <c r="R244" s="167"/>
      <c r="S244" s="36"/>
      <c r="T244" s="34">
        <f t="shared" si="330"/>
        <v>22700</v>
      </c>
      <c r="U244" s="31">
        <f t="shared" si="331"/>
        <v>0</v>
      </c>
      <c r="V244" s="34">
        <f t="shared" si="332"/>
        <v>22700</v>
      </c>
      <c r="W244" s="43">
        <v>22700</v>
      </c>
      <c r="X244" s="34">
        <f>SUMIF(헤몬팜마진!$B$7:$B$32,$C244,헤몬팜마진!$R$7:$R$32)</f>
        <v>7080.6879999999992</v>
      </c>
      <c r="Y244" s="34">
        <f t="shared" si="333"/>
        <v>7377.3279999999995</v>
      </c>
      <c r="Z244" s="34">
        <f t="shared" si="334"/>
        <v>5766.2000000000007</v>
      </c>
      <c r="AA244" s="49">
        <v>5242</v>
      </c>
      <c r="AB244" s="36"/>
      <c r="AC244" s="204">
        <f t="shared" si="335"/>
        <v>0</v>
      </c>
      <c r="AD244" s="152">
        <v>0.1</v>
      </c>
      <c r="AE244" s="31">
        <f>2950*(P244)</f>
        <v>2950</v>
      </c>
      <c r="AF244" s="28">
        <f t="shared" si="336"/>
        <v>0.22995594713656389</v>
      </c>
      <c r="AG244" s="34">
        <f t="shared" si="337"/>
        <v>5220.03</v>
      </c>
      <c r="AH244" s="34">
        <f t="shared" si="338"/>
        <v>799.04056363636346</v>
      </c>
      <c r="AI244" s="34">
        <f>SUMIF(헤몬팜마진!$B$7:$B$32,$C244,헤몬팜마진!$V$7:$V$32)</f>
        <v>7377.3279999999995</v>
      </c>
      <c r="AJ244" s="34">
        <f t="shared" si="339"/>
        <v>9303.6014363636368</v>
      </c>
      <c r="AK244" s="46">
        <f t="shared" si="340"/>
        <v>3537.4014363636361</v>
      </c>
      <c r="AL244" s="40">
        <f>SUMIF(헤몬팜마진!$B$7:$B$32,$C244,헤몬팜마진!$T$7:$T$32)</f>
        <v>48.6</v>
      </c>
      <c r="AM244" s="41">
        <f>SUMIF(헤몬팜마진!$B$7:$B$32,$C244,헤몬팜마진!$U$7:$U$32)</f>
        <v>248.04000000000002</v>
      </c>
      <c r="AN244" s="36"/>
      <c r="AO244" s="235"/>
      <c r="AP244" s="235"/>
      <c r="AQ244" s="126"/>
      <c r="AR244" s="126"/>
      <c r="AS244" s="126"/>
      <c r="AT244" s="118"/>
      <c r="AU244" s="118"/>
      <c r="AV244" s="118"/>
      <c r="AW244" s="118"/>
      <c r="AX244" s="118"/>
      <c r="AY244" s="118"/>
      <c r="AZ244" s="118"/>
      <c r="BA244" s="118"/>
      <c r="BB244" s="118"/>
      <c r="BC244" s="118"/>
      <c r="BD244" s="118"/>
      <c r="BE244" s="118"/>
      <c r="BF244" s="118"/>
      <c r="BG244" s="47"/>
      <c r="BH244" s="47"/>
      <c r="BI244" s="47"/>
      <c r="BJ244" s="47"/>
      <c r="BK244" s="47"/>
    </row>
    <row r="245" spans="1:63" ht="28.5" customHeight="1">
      <c r="A245" s="327" t="s">
        <v>131</v>
      </c>
      <c r="B245" s="323"/>
      <c r="C245" s="42" t="s">
        <v>109</v>
      </c>
      <c r="D245" s="28" t="e">
        <f t="shared" si="323"/>
        <v>#REF!</v>
      </c>
      <c r="E245" s="201" t="e">
        <f t="shared" si="324"/>
        <v>#REF!</v>
      </c>
      <c r="F245" s="30">
        <f t="shared" si="325"/>
        <v>0.6418788209606987</v>
      </c>
      <c r="G245" s="30">
        <f t="shared" si="326"/>
        <v>1.1494252873563218E-2</v>
      </c>
      <c r="H245" s="35">
        <v>0</v>
      </c>
      <c r="I245" s="35">
        <f t="shared" si="327"/>
        <v>105</v>
      </c>
      <c r="J245" s="35">
        <f t="shared" si="328"/>
        <v>210</v>
      </c>
      <c r="K245" s="325">
        <v>430</v>
      </c>
      <c r="L245" s="49">
        <f>40+3+3</f>
        <v>46</v>
      </c>
      <c r="M245" s="48"/>
      <c r="N245" s="44">
        <v>15</v>
      </c>
      <c r="O245" s="202">
        <v>2</v>
      </c>
      <c r="P245" s="31">
        <f t="shared" si="329"/>
        <v>2</v>
      </c>
      <c r="Q245" s="36"/>
      <c r="R245" s="203">
        <v>2</v>
      </c>
      <c r="S245" s="36"/>
      <c r="T245" s="34">
        <f t="shared" si="330"/>
        <v>91600</v>
      </c>
      <c r="U245" s="31">
        <f t="shared" si="331"/>
        <v>0</v>
      </c>
      <c r="V245" s="34">
        <f t="shared" si="332"/>
        <v>91600</v>
      </c>
      <c r="W245" s="43">
        <v>45800</v>
      </c>
      <c r="X245" s="34">
        <f>SUMIF(헤몬팜마진!$B$7:$B$32,$C245,헤몬팜마진!$R$7:$R$32)</f>
        <v>9990.4082249999992</v>
      </c>
      <c r="Y245" s="34" t="e">
        <f t="shared" si="333"/>
        <v>#REF!</v>
      </c>
      <c r="Z245" s="34">
        <f t="shared" si="334"/>
        <v>58796.100000000006</v>
      </c>
      <c r="AA245" s="49">
        <v>53451</v>
      </c>
      <c r="AB245" s="36"/>
      <c r="AC245" s="204">
        <f t="shared" ref="AC245:AC259" si="341">(1210+1100)*Q245</f>
        <v>0</v>
      </c>
      <c r="AD245" s="152">
        <v>0.11</v>
      </c>
      <c r="AE245" s="31">
        <f t="shared" ref="AE245:AE246" si="342">4150*(P245)</f>
        <v>8300</v>
      </c>
      <c r="AF245" s="28">
        <f t="shared" si="336"/>
        <v>0.2006113537117904</v>
      </c>
      <c r="AG245" s="34">
        <f t="shared" si="337"/>
        <v>18376.03</v>
      </c>
      <c r="AH245" s="34" t="e">
        <f t="shared" si="338"/>
        <v>#REF!</v>
      </c>
      <c r="AI245" s="34" t="e">
        <f>SUMIF(헤몬팜마진!$B$7:$B$32,$C245,헤몬팜마진!$V$7:$V$32)</f>
        <v>#REF!</v>
      </c>
      <c r="AJ245" s="34" t="e">
        <f t="shared" si="339"/>
        <v>#REF!</v>
      </c>
      <c r="AK245" s="46" t="e">
        <f t="shared" si="340"/>
        <v>#REF!</v>
      </c>
      <c r="AL245" s="40">
        <f>SUMIF(헤몬팜마진!$B$7:$B$32,$C245,헤몬팜마진!$T$7:$T$32)</f>
        <v>162</v>
      </c>
      <c r="AM245" s="41">
        <f>SUMIF(헤몬팜마진!$B$7:$B$32,$C245,헤몬팜마진!$U$7:$U$32)</f>
        <v>826.80000000000007</v>
      </c>
      <c r="AN245" s="36"/>
      <c r="AO245" s="202">
        <v>102682</v>
      </c>
      <c r="AP245" s="205">
        <v>174</v>
      </c>
      <c r="AQ245" s="126"/>
      <c r="AR245" s="126"/>
      <c r="AS245" s="126"/>
      <c r="AT245" s="118"/>
      <c r="AU245" s="118"/>
      <c r="AV245" s="118"/>
      <c r="AW245" s="118"/>
      <c r="AX245" s="118"/>
      <c r="AY245" s="118"/>
      <c r="AZ245" s="118"/>
      <c r="BA245" s="118"/>
      <c r="BB245" s="118"/>
      <c r="BC245" s="118"/>
      <c r="BD245" s="118"/>
      <c r="BE245" s="118"/>
      <c r="BF245" s="118"/>
      <c r="BG245" s="47"/>
      <c r="BH245" s="47"/>
      <c r="BI245" s="47"/>
      <c r="BJ245" s="47"/>
      <c r="BK245" s="47"/>
    </row>
    <row r="246" spans="1:63" ht="28.5" customHeight="1">
      <c r="A246" s="318"/>
      <c r="B246" s="324"/>
      <c r="C246" s="42" t="s">
        <v>110</v>
      </c>
      <c r="D246" s="28" t="e">
        <f t="shared" si="323"/>
        <v>#REF!</v>
      </c>
      <c r="E246" s="201" t="e">
        <f t="shared" si="324"/>
        <v>#REF!</v>
      </c>
      <c r="F246" s="30">
        <f t="shared" si="325"/>
        <v>0.11866524216524219</v>
      </c>
      <c r="G246" s="30">
        <f t="shared" si="326"/>
        <v>0</v>
      </c>
      <c r="H246" s="35">
        <v>0</v>
      </c>
      <c r="I246" s="35">
        <f t="shared" si="327"/>
        <v>105</v>
      </c>
      <c r="J246" s="35">
        <f t="shared" si="328"/>
        <v>210</v>
      </c>
      <c r="K246" s="310"/>
      <c r="L246" s="49">
        <f>13+2</f>
        <v>15</v>
      </c>
      <c r="M246" s="48"/>
      <c r="N246" s="44">
        <v>15</v>
      </c>
      <c r="O246" s="202">
        <v>3</v>
      </c>
      <c r="P246" s="31">
        <f t="shared" si="329"/>
        <v>3</v>
      </c>
      <c r="Q246" s="202"/>
      <c r="R246" s="203"/>
      <c r="S246" s="36"/>
      <c r="T246" s="34">
        <f t="shared" si="330"/>
        <v>140400</v>
      </c>
      <c r="U246" s="31">
        <f t="shared" si="331"/>
        <v>0</v>
      </c>
      <c r="V246" s="34">
        <f t="shared" si="332"/>
        <v>140400</v>
      </c>
      <c r="W246" s="43">
        <v>46800</v>
      </c>
      <c r="X246" s="34">
        <f>SUMIF(헤몬팜마진!$B$7:$B$32,$C246,헤몬팜마진!$R$7:$R$32)</f>
        <v>9990.4082249999992</v>
      </c>
      <c r="Y246" s="34" t="e">
        <f t="shared" si="333"/>
        <v>#REF!</v>
      </c>
      <c r="Z246" s="34">
        <f t="shared" si="334"/>
        <v>16660.600000000002</v>
      </c>
      <c r="AA246" s="49">
        <v>15146</v>
      </c>
      <c r="AB246" s="36"/>
      <c r="AC246" s="204">
        <f t="shared" si="341"/>
        <v>0</v>
      </c>
      <c r="AD246" s="152">
        <v>0.11</v>
      </c>
      <c r="AE246" s="31">
        <f t="shared" si="342"/>
        <v>12450</v>
      </c>
      <c r="AF246" s="28">
        <f t="shared" si="336"/>
        <v>0.19867521367521368</v>
      </c>
      <c r="AG246" s="34">
        <f t="shared" si="337"/>
        <v>27894.03</v>
      </c>
      <c r="AH246" s="34" t="e">
        <f t="shared" si="338"/>
        <v>#REF!</v>
      </c>
      <c r="AI246" s="34" t="e">
        <f>SUMIF(헤몬팜마진!$B$7:$B$32,$C246,헤몬팜마진!$V$7:$V$32)</f>
        <v>#REF!</v>
      </c>
      <c r="AJ246" s="34" t="e">
        <f t="shared" si="339"/>
        <v>#REF!</v>
      </c>
      <c r="AK246" s="206" t="e">
        <f t="shared" si="340"/>
        <v>#REF!</v>
      </c>
      <c r="AL246" s="40">
        <f>SUMIF(헤몬팜마진!$B$7:$B$32,$C246,헤몬팜마진!$T$7:$T$32)</f>
        <v>162</v>
      </c>
      <c r="AM246" s="41">
        <f>SUMIF(헤몬팜마진!$B$7:$B$32,$C246,헤몬팜마진!$U$7:$U$32)</f>
        <v>826.80000000000007</v>
      </c>
      <c r="AN246" s="36"/>
      <c r="AO246" s="202">
        <v>19094</v>
      </c>
      <c r="AP246" s="205">
        <v>102</v>
      </c>
      <c r="AQ246" s="126"/>
      <c r="AR246" s="126"/>
      <c r="AS246" s="126"/>
      <c r="AT246" s="118"/>
      <c r="AU246" s="118"/>
      <c r="AV246" s="118"/>
      <c r="AW246" s="118"/>
      <c r="AX246" s="118"/>
      <c r="AY246" s="118"/>
      <c r="AZ246" s="118"/>
      <c r="BA246" s="118"/>
      <c r="BB246" s="118"/>
      <c r="BC246" s="118"/>
      <c r="BD246" s="118"/>
      <c r="BE246" s="118"/>
      <c r="BF246" s="118"/>
      <c r="BG246" s="47"/>
      <c r="BH246" s="47"/>
      <c r="BI246" s="47"/>
      <c r="BJ246" s="47"/>
      <c r="BK246" s="47"/>
    </row>
    <row r="247" spans="1:63" ht="28.5" customHeight="1">
      <c r="A247" s="12" t="s">
        <v>132</v>
      </c>
      <c r="B247" s="323"/>
      <c r="C247" s="42" t="s">
        <v>32</v>
      </c>
      <c r="D247" s="28" t="e">
        <f t="shared" si="323"/>
        <v>#REF!</v>
      </c>
      <c r="E247" s="201" t="e">
        <f t="shared" si="324"/>
        <v>#REF!</v>
      </c>
      <c r="F247" s="30">
        <f t="shared" si="325"/>
        <v>0.19010869565217395</v>
      </c>
      <c r="G247" s="30">
        <f t="shared" si="326"/>
        <v>3.125E-2</v>
      </c>
      <c r="H247" s="37">
        <v>3504</v>
      </c>
      <c r="I247" s="35">
        <f t="shared" si="327"/>
        <v>210</v>
      </c>
      <c r="J247" s="35">
        <f t="shared" si="328"/>
        <v>420</v>
      </c>
      <c r="K247" s="325">
        <v>626</v>
      </c>
      <c r="L247" s="39">
        <f>30+13+6</f>
        <v>49</v>
      </c>
      <c r="M247" s="210"/>
      <c r="N247" s="208">
        <v>30</v>
      </c>
      <c r="O247" s="202">
        <v>2</v>
      </c>
      <c r="P247" s="31">
        <f t="shared" si="329"/>
        <v>2</v>
      </c>
      <c r="Q247" s="36"/>
      <c r="R247" s="203">
        <v>1</v>
      </c>
      <c r="S247" s="36"/>
      <c r="T247" s="34">
        <f t="shared" si="330"/>
        <v>119600</v>
      </c>
      <c r="U247" s="31">
        <f t="shared" si="331"/>
        <v>0</v>
      </c>
      <c r="V247" s="34">
        <f t="shared" si="332"/>
        <v>119600</v>
      </c>
      <c r="W247" s="43">
        <v>59800</v>
      </c>
      <c r="X247" s="34">
        <f>SUMIF(헤몬팜마진!$B$7:$B$32,$C247,헤몬팜마진!$R$7:$R$32)</f>
        <v>13276.289999999999</v>
      </c>
      <c r="Y247" s="34" t="e">
        <f t="shared" si="333"/>
        <v>#REF!</v>
      </c>
      <c r="Z247" s="34">
        <f t="shared" si="334"/>
        <v>22737.000000000004</v>
      </c>
      <c r="AA247" s="49">
        <v>20670</v>
      </c>
      <c r="AB247" s="209"/>
      <c r="AC247" s="204">
        <f t="shared" si="341"/>
        <v>0</v>
      </c>
      <c r="AD247" s="152">
        <v>0.108</v>
      </c>
      <c r="AE247" s="31">
        <f t="shared" ref="AE247:AE248" si="343">4825*(P247)</f>
        <v>9650</v>
      </c>
      <c r="AF247" s="28">
        <f t="shared" si="336"/>
        <v>0.188685618729097</v>
      </c>
      <c r="AG247" s="34">
        <f t="shared" si="337"/>
        <v>22566.83</v>
      </c>
      <c r="AH247" s="34" t="e">
        <f t="shared" si="338"/>
        <v>#REF!</v>
      </c>
      <c r="AI247" s="34" t="e">
        <f>SUMIF(헤몬팜마진!$B$7:$B$32,$C247,헤몬팜마진!$V$7:$V$32)</f>
        <v>#REF!</v>
      </c>
      <c r="AJ247" s="34" t="e">
        <f t="shared" si="339"/>
        <v>#REF!</v>
      </c>
      <c r="AK247" s="46" t="e">
        <f t="shared" si="340"/>
        <v>#REF!</v>
      </c>
      <c r="AL247" s="40">
        <f>SUMIF(헤몬팜마진!$B$7:$B$32,$C247,헤몬팜마진!$T$7:$T$32)</f>
        <v>371.52</v>
      </c>
      <c r="AM247" s="41">
        <f>SUMIF(헤몬팜마진!$B$7:$B$32,$C247,헤몬팜마진!$U$7:$U$32)</f>
        <v>1896.1279999999999</v>
      </c>
      <c r="AN247" s="36"/>
      <c r="AO247" s="202">
        <v>13873</v>
      </c>
      <c r="AP247" s="205">
        <v>32</v>
      </c>
      <c r="AQ247" s="126"/>
      <c r="AR247" s="126"/>
      <c r="AS247" s="126"/>
      <c r="AT247" s="118"/>
      <c r="AU247" s="118"/>
      <c r="AV247" s="118"/>
      <c r="AW247" s="118"/>
      <c r="AX247" s="118"/>
      <c r="AY247" s="118"/>
      <c r="AZ247" s="118"/>
      <c r="BA247" s="118"/>
      <c r="BB247" s="118"/>
      <c r="BC247" s="118"/>
      <c r="BD247" s="118"/>
      <c r="BE247" s="118"/>
      <c r="BF247" s="118"/>
      <c r="BG247" s="47"/>
      <c r="BH247" s="47"/>
      <c r="BI247" s="47"/>
      <c r="BJ247" s="47"/>
      <c r="BK247" s="47"/>
    </row>
    <row r="248" spans="1:63" ht="28.5" customHeight="1">
      <c r="A248" s="12" t="s">
        <v>132</v>
      </c>
      <c r="B248" s="324"/>
      <c r="C248" s="42" t="s">
        <v>33</v>
      </c>
      <c r="D248" s="28" t="e">
        <f t="shared" si="323"/>
        <v>#REF!</v>
      </c>
      <c r="E248" s="201" t="e">
        <f t="shared" si="324"/>
        <v>#REF!</v>
      </c>
      <c r="F248" s="30">
        <f t="shared" si="325"/>
        <v>0.79873746059042705</v>
      </c>
      <c r="G248" s="30">
        <f t="shared" si="326"/>
        <v>2.0408163265306121E-2</v>
      </c>
      <c r="H248" s="35">
        <v>0</v>
      </c>
      <c r="I248" s="35">
        <f t="shared" si="327"/>
        <v>210</v>
      </c>
      <c r="J248" s="35">
        <f t="shared" si="328"/>
        <v>420</v>
      </c>
      <c r="K248" s="310"/>
      <c r="L248" s="39">
        <f>4+11+18+38+129</f>
        <v>200</v>
      </c>
      <c r="M248" s="210"/>
      <c r="N248" s="44">
        <v>30</v>
      </c>
      <c r="O248" s="202">
        <v>1</v>
      </c>
      <c r="P248" s="31">
        <f t="shared" si="329"/>
        <v>1</v>
      </c>
      <c r="Q248" s="36"/>
      <c r="R248" s="203">
        <v>1</v>
      </c>
      <c r="S248" s="36"/>
      <c r="T248" s="34">
        <f t="shared" si="330"/>
        <v>69780</v>
      </c>
      <c r="U248" s="31">
        <f t="shared" si="331"/>
        <v>0</v>
      </c>
      <c r="V248" s="34">
        <f t="shared" si="332"/>
        <v>69780</v>
      </c>
      <c r="W248" s="43">
        <v>69780</v>
      </c>
      <c r="X248" s="34">
        <f>SUMIF(헤몬팜마진!$B$7:$B$32,$C248,헤몬팜마진!$R$7:$R$32)</f>
        <v>13276.289999999999</v>
      </c>
      <c r="Y248" s="34" t="e">
        <f t="shared" si="333"/>
        <v>#REF!</v>
      </c>
      <c r="Z248" s="34">
        <f t="shared" si="334"/>
        <v>55735.9</v>
      </c>
      <c r="AA248" s="49">
        <v>50669</v>
      </c>
      <c r="AB248" s="36"/>
      <c r="AC248" s="204">
        <f t="shared" si="341"/>
        <v>0</v>
      </c>
      <c r="AD248" s="152">
        <v>0.108</v>
      </c>
      <c r="AE248" s="31">
        <f t="shared" si="343"/>
        <v>4825</v>
      </c>
      <c r="AF248" s="28">
        <f t="shared" si="336"/>
        <v>0.17714588707366008</v>
      </c>
      <c r="AG248" s="34">
        <f t="shared" si="337"/>
        <v>12361.27</v>
      </c>
      <c r="AH248" s="34" t="e">
        <f t="shared" si="338"/>
        <v>#REF!</v>
      </c>
      <c r="AI248" s="34" t="e">
        <f>SUMIF(헤몬팜마진!$B$7:$B$32,$C248,헤몬팜마진!$V$7:$V$32)</f>
        <v>#REF!</v>
      </c>
      <c r="AJ248" s="34" t="e">
        <f t="shared" si="339"/>
        <v>#REF!</v>
      </c>
      <c r="AK248" s="46" t="e">
        <f t="shared" si="340"/>
        <v>#REF!</v>
      </c>
      <c r="AL248" s="40">
        <f>SUMIF(헤몬팜마진!$B$7:$B$32,$C248,헤몬팜마진!$T$7:$T$32)</f>
        <v>371.52</v>
      </c>
      <c r="AM248" s="41">
        <f>SUMIF(헤몬팜마진!$B$7:$B$32,$C248,헤몬팜마진!$U$7:$U$32)</f>
        <v>1896.1279999999999</v>
      </c>
      <c r="AN248" s="36"/>
      <c r="AO248" s="202">
        <v>19922</v>
      </c>
      <c r="AP248" s="205">
        <v>49</v>
      </c>
      <c r="AQ248" s="126"/>
      <c r="AR248" s="126"/>
      <c r="AS248" s="126"/>
      <c r="AT248" s="118"/>
      <c r="AU248" s="118"/>
      <c r="AV248" s="118"/>
      <c r="AW248" s="118"/>
      <c r="AX248" s="118"/>
      <c r="AY248" s="118"/>
      <c r="AZ248" s="118"/>
      <c r="BA248" s="118"/>
      <c r="BB248" s="118"/>
      <c r="BC248" s="118"/>
      <c r="BD248" s="118"/>
      <c r="BE248" s="118"/>
      <c r="BF248" s="118"/>
      <c r="BG248" s="47"/>
      <c r="BH248" s="47"/>
      <c r="BI248" s="47"/>
      <c r="BJ248" s="47"/>
      <c r="BK248" s="47"/>
    </row>
    <row r="249" spans="1:63" ht="28.5" customHeight="1">
      <c r="A249" s="228" t="s">
        <v>133</v>
      </c>
      <c r="B249" s="200"/>
      <c r="C249" s="42" t="s">
        <v>111</v>
      </c>
      <c r="D249" s="28" t="e">
        <f t="shared" si="323"/>
        <v>#DIV/0!</v>
      </c>
      <c r="E249" s="201" t="e">
        <f t="shared" si="324"/>
        <v>#DIV/0!</v>
      </c>
      <c r="F249" s="30" t="e">
        <f t="shared" si="325"/>
        <v>#DIV/0!</v>
      </c>
      <c r="G249" s="30">
        <f t="shared" si="326"/>
        <v>1.5384615384615385E-2</v>
      </c>
      <c r="H249" s="35">
        <v>500</v>
      </c>
      <c r="I249" s="35">
        <f t="shared" si="327"/>
        <v>105</v>
      </c>
      <c r="J249" s="35">
        <f t="shared" si="328"/>
        <v>210</v>
      </c>
      <c r="K249" s="39">
        <v>577</v>
      </c>
      <c r="L249" s="39">
        <v>211</v>
      </c>
      <c r="M249" s="210"/>
      <c r="N249" s="44">
        <v>15</v>
      </c>
      <c r="O249" s="202"/>
      <c r="P249" s="31">
        <f t="shared" si="329"/>
        <v>0</v>
      </c>
      <c r="Q249" s="202">
        <v>1</v>
      </c>
      <c r="R249" s="203">
        <v>1</v>
      </c>
      <c r="S249" s="202"/>
      <c r="T249" s="34">
        <f t="shared" si="330"/>
        <v>0</v>
      </c>
      <c r="U249" s="31">
        <f t="shared" si="331"/>
        <v>0</v>
      </c>
      <c r="V249" s="34">
        <f t="shared" si="332"/>
        <v>0</v>
      </c>
      <c r="W249" s="43">
        <v>16120</v>
      </c>
      <c r="X249" s="34">
        <f>SUMIF(헤몬팜마진!$B$7:$B$32,$C249,헤몬팜마진!$R$7:$R$32)</f>
        <v>5089.2444999999998</v>
      </c>
      <c r="Y249" s="34">
        <f t="shared" si="333"/>
        <v>0</v>
      </c>
      <c r="Z249" s="34">
        <f t="shared" si="334"/>
        <v>14363.800000000001</v>
      </c>
      <c r="AA249" s="49">
        <v>13058</v>
      </c>
      <c r="AB249" s="211"/>
      <c r="AC249" s="204">
        <f t="shared" si="341"/>
        <v>2310</v>
      </c>
      <c r="AD249" s="152">
        <v>7.8E-2</v>
      </c>
      <c r="AE249" s="31">
        <f>2900*(P249)</f>
        <v>0</v>
      </c>
      <c r="AF249" s="28" t="e">
        <f t="shared" si="336"/>
        <v>#DIV/0!</v>
      </c>
      <c r="AG249" s="34">
        <f t="shared" si="337"/>
        <v>0</v>
      </c>
      <c r="AH249" s="34">
        <f t="shared" si="338"/>
        <v>0</v>
      </c>
      <c r="AI249" s="34">
        <f>SUMIF(헤몬팜마진!$B$7:$B$32,$C249,헤몬팜마진!$V$7:$V$32)</f>
        <v>5126.3244999999997</v>
      </c>
      <c r="AJ249" s="34">
        <f t="shared" si="339"/>
        <v>0</v>
      </c>
      <c r="AK249" s="206">
        <f t="shared" si="340"/>
        <v>-14363.800000000001</v>
      </c>
      <c r="AL249" s="40">
        <f>SUMIF(헤몬팜마진!$B$7:$B$32,$C249,헤몬팜마진!$T$7:$T$32)</f>
        <v>6.0750000000000002</v>
      </c>
      <c r="AM249" s="41">
        <f>SUMIF(헤몬팜마진!$B$7:$B$32,$C249,헤몬팜마진!$U$7:$U$32)</f>
        <v>31.005000000000003</v>
      </c>
      <c r="AN249" s="36"/>
      <c r="AO249" s="202">
        <v>42033</v>
      </c>
      <c r="AP249" s="205">
        <v>65</v>
      </c>
      <c r="AQ249" s="126"/>
      <c r="AR249" s="126"/>
      <c r="AS249" s="126"/>
      <c r="AT249" s="118"/>
      <c r="AU249" s="118"/>
      <c r="AV249" s="118"/>
      <c r="AW249" s="118"/>
      <c r="AX249" s="118"/>
      <c r="AY249" s="118"/>
      <c r="AZ249" s="118"/>
      <c r="BA249" s="118"/>
      <c r="BB249" s="118"/>
      <c r="BC249" s="118"/>
      <c r="BD249" s="118"/>
      <c r="BE249" s="118"/>
      <c r="BF249" s="118"/>
      <c r="BG249" s="47"/>
      <c r="BH249" s="47"/>
      <c r="BI249" s="47"/>
      <c r="BJ249" s="47"/>
      <c r="BK249" s="47"/>
    </row>
    <row r="250" spans="1:63" ht="28.5" customHeight="1">
      <c r="A250" s="327" t="s">
        <v>134</v>
      </c>
      <c r="B250" s="323"/>
      <c r="C250" s="42" t="s">
        <v>112</v>
      </c>
      <c r="D250" s="29" t="e">
        <f t="shared" si="323"/>
        <v>#REF!</v>
      </c>
      <c r="E250" s="201" t="e">
        <f t="shared" si="324"/>
        <v>#REF!</v>
      </c>
      <c r="F250" s="30">
        <f t="shared" si="325"/>
        <v>0.21062670495333813</v>
      </c>
      <c r="G250" s="30">
        <f t="shared" si="326"/>
        <v>2.6315789473684209E-2</v>
      </c>
      <c r="H250" s="312">
        <v>0</v>
      </c>
      <c r="I250" s="35">
        <f t="shared" si="327"/>
        <v>140</v>
      </c>
      <c r="J250" s="35">
        <f t="shared" si="328"/>
        <v>280</v>
      </c>
      <c r="K250" s="325">
        <v>343</v>
      </c>
      <c r="L250" s="39">
        <f>97+42+48+31+19+10</f>
        <v>247</v>
      </c>
      <c r="M250" s="210"/>
      <c r="N250" s="44">
        <v>20</v>
      </c>
      <c r="O250" s="202">
        <v>7</v>
      </c>
      <c r="P250" s="31">
        <f t="shared" si="329"/>
        <v>7</v>
      </c>
      <c r="Q250" s="202">
        <v>1</v>
      </c>
      <c r="R250" s="233">
        <v>5</v>
      </c>
      <c r="S250" s="36"/>
      <c r="T250" s="34">
        <f t="shared" si="330"/>
        <v>278600</v>
      </c>
      <c r="U250" s="31">
        <f t="shared" si="331"/>
        <v>0</v>
      </c>
      <c r="V250" s="34">
        <f t="shared" si="332"/>
        <v>278600</v>
      </c>
      <c r="W250" s="43">
        <v>39800</v>
      </c>
      <c r="X250" s="34">
        <f>SUMIF(헤몬팜마진!$B$7:$B$32,$C250,헤몬팜마진!$R$7:$R$32)</f>
        <v>7855.1382499999991</v>
      </c>
      <c r="Y250" s="34" t="e">
        <f t="shared" si="333"/>
        <v>#REF!</v>
      </c>
      <c r="Z250" s="34">
        <f t="shared" si="334"/>
        <v>58680.600000000006</v>
      </c>
      <c r="AA250" s="49">
        <v>53346</v>
      </c>
      <c r="AB250" s="209"/>
      <c r="AC250" s="204">
        <f t="shared" si="341"/>
        <v>2310</v>
      </c>
      <c r="AD250" s="152">
        <v>0.08</v>
      </c>
      <c r="AE250" s="31">
        <f>4150*(P250)</f>
        <v>29050</v>
      </c>
      <c r="AF250" s="28">
        <f t="shared" si="336"/>
        <v>0.18427135678391959</v>
      </c>
      <c r="AG250" s="34">
        <f t="shared" si="337"/>
        <v>51338.03</v>
      </c>
      <c r="AH250" s="34" t="e">
        <f t="shared" si="338"/>
        <v>#REF!</v>
      </c>
      <c r="AI250" s="34" t="e">
        <f>SUMIF(헤몬팜마진!$B$7:$B$32,$C250,헤몬팜마진!$V$7:$V$32)</f>
        <v>#REF!</v>
      </c>
      <c r="AJ250" s="34" t="e">
        <f t="shared" si="339"/>
        <v>#REF!</v>
      </c>
      <c r="AK250" s="46" t="e">
        <f t="shared" si="340"/>
        <v>#REF!</v>
      </c>
      <c r="AL250" s="40">
        <f>SUMIF(헤몬팜마진!$B$7:$B$32,$C250,헤몬팜마진!$T$7:$T$32)</f>
        <v>176.41799999999998</v>
      </c>
      <c r="AM250" s="41">
        <f>SUMIF(헤몬팜마진!$B$7:$B$32,$C250,헤몬팜마진!$U$7:$U$32)</f>
        <v>900.38519999999994</v>
      </c>
      <c r="AN250" s="36"/>
      <c r="AO250" s="202">
        <v>59853</v>
      </c>
      <c r="AP250" s="205">
        <v>190</v>
      </c>
      <c r="AQ250" s="126"/>
      <c r="AR250" s="126"/>
      <c r="AS250" s="126"/>
      <c r="AT250" s="118"/>
      <c r="AU250" s="118"/>
      <c r="AV250" s="118"/>
      <c r="AW250" s="118"/>
      <c r="AX250" s="118"/>
      <c r="AY250" s="118"/>
      <c r="AZ250" s="118"/>
      <c r="BA250" s="118"/>
      <c r="BB250" s="118"/>
      <c r="BC250" s="118"/>
      <c r="BD250" s="118"/>
      <c r="BE250" s="118"/>
      <c r="BF250" s="118"/>
      <c r="BG250" s="47"/>
      <c r="BH250" s="47"/>
      <c r="BI250" s="47"/>
      <c r="BJ250" s="47"/>
      <c r="BK250" s="47"/>
    </row>
    <row r="251" spans="1:63" ht="28.5" customHeight="1">
      <c r="A251" s="318"/>
      <c r="B251" s="324"/>
      <c r="C251" s="42" t="s">
        <v>113</v>
      </c>
      <c r="D251" s="28" t="e">
        <f t="shared" si="323"/>
        <v>#REF!</v>
      </c>
      <c r="E251" s="201" t="e">
        <f t="shared" si="324"/>
        <v>#REF!</v>
      </c>
      <c r="F251" s="30" t="e">
        <f t="shared" si="325"/>
        <v>#DIV/0!</v>
      </c>
      <c r="G251" s="30">
        <f t="shared" si="326"/>
        <v>0</v>
      </c>
      <c r="H251" s="310"/>
      <c r="I251" s="35">
        <f t="shared" si="327"/>
        <v>105</v>
      </c>
      <c r="J251" s="35">
        <f t="shared" si="328"/>
        <v>210</v>
      </c>
      <c r="K251" s="310"/>
      <c r="L251" s="39">
        <f>74+42+48+18+8+2</f>
        <v>192</v>
      </c>
      <c r="M251" s="210"/>
      <c r="N251" s="44">
        <v>15</v>
      </c>
      <c r="O251" s="36"/>
      <c r="P251" s="31">
        <f t="shared" si="329"/>
        <v>0</v>
      </c>
      <c r="Q251" s="36">
        <v>1</v>
      </c>
      <c r="R251" s="167"/>
      <c r="S251" s="36"/>
      <c r="T251" s="34">
        <f t="shared" si="330"/>
        <v>0</v>
      </c>
      <c r="U251" s="31">
        <f t="shared" si="331"/>
        <v>0</v>
      </c>
      <c r="V251" s="34">
        <f t="shared" si="332"/>
        <v>0</v>
      </c>
      <c r="W251" s="43">
        <v>42900</v>
      </c>
      <c r="X251" s="34">
        <f>SUMIF(헤몬팜마진!$B$7:$B$32,$C251,헤몬팜마진!$R$7:$R$32)</f>
        <v>7855.1382499999991</v>
      </c>
      <c r="Y251" s="34" t="e">
        <f t="shared" si="333"/>
        <v>#REF!</v>
      </c>
      <c r="Z251" s="34">
        <f t="shared" si="334"/>
        <v>13722.500000000002</v>
      </c>
      <c r="AA251" s="49">
        <v>12475</v>
      </c>
      <c r="AB251" s="36"/>
      <c r="AC251" s="204">
        <f t="shared" si="341"/>
        <v>2310</v>
      </c>
      <c r="AD251" s="152">
        <v>7.8E-2</v>
      </c>
      <c r="AE251" s="31">
        <f>1900*(P251)</f>
        <v>0</v>
      </c>
      <c r="AF251" s="28" t="e">
        <f t="shared" si="336"/>
        <v>#DIV/0!</v>
      </c>
      <c r="AG251" s="34">
        <f t="shared" si="337"/>
        <v>0</v>
      </c>
      <c r="AH251" s="34" t="e">
        <f t="shared" si="338"/>
        <v>#REF!</v>
      </c>
      <c r="AI251" s="34" t="e">
        <f>SUMIF(헤몬팜마진!$B$7:$B$32,$C251,헤몬팜마진!$V$7:$V$32)</f>
        <v>#REF!</v>
      </c>
      <c r="AJ251" s="34" t="e">
        <f t="shared" si="339"/>
        <v>#REF!</v>
      </c>
      <c r="AK251" s="206" t="e">
        <f t="shared" si="340"/>
        <v>#REF!</v>
      </c>
      <c r="AL251" s="40">
        <f>SUMIF(헤몬팜마진!$B$7:$B$32,$C251,헤몬팜마진!$T$7:$T$32)</f>
        <v>176.41799999999998</v>
      </c>
      <c r="AM251" s="41">
        <f>SUMIF(헤몬팜마진!$B$7:$B$32,$C251,헤몬팜마진!$U$7:$U$32)</f>
        <v>900.38519999999994</v>
      </c>
      <c r="AN251" s="36"/>
      <c r="AO251" s="202">
        <v>10300</v>
      </c>
      <c r="AP251" s="205">
        <v>48</v>
      </c>
      <c r="AQ251" s="126"/>
      <c r="AR251" s="126"/>
      <c r="AS251" s="126"/>
      <c r="AT251" s="118"/>
      <c r="AU251" s="118"/>
      <c r="AV251" s="118"/>
      <c r="AW251" s="118"/>
      <c r="AX251" s="118"/>
      <c r="AY251" s="118"/>
      <c r="AZ251" s="118"/>
      <c r="BA251" s="118"/>
      <c r="BB251" s="118"/>
      <c r="BC251" s="118"/>
      <c r="BD251" s="118"/>
      <c r="BE251" s="118"/>
      <c r="BF251" s="118"/>
      <c r="BG251" s="47"/>
      <c r="BH251" s="47"/>
      <c r="BI251" s="47"/>
      <c r="BJ251" s="47"/>
      <c r="BK251" s="47"/>
    </row>
    <row r="252" spans="1:63" ht="28.5" customHeight="1">
      <c r="A252" s="228" t="s">
        <v>135</v>
      </c>
      <c r="B252" s="200"/>
      <c r="C252" s="42" t="s">
        <v>114</v>
      </c>
      <c r="D252" s="28">
        <f t="shared" si="323"/>
        <v>0.33402961141934051</v>
      </c>
      <c r="E252" s="201">
        <f t="shared" si="324"/>
        <v>0.36298886387032092</v>
      </c>
      <c r="F252" s="30">
        <f t="shared" si="325"/>
        <v>2.8959252450980397E-2</v>
      </c>
      <c r="G252" s="30">
        <f t="shared" si="326"/>
        <v>6.6666666666666666E-2</v>
      </c>
      <c r="H252" s="35">
        <v>1750</v>
      </c>
      <c r="I252" s="35">
        <f t="shared" si="327"/>
        <v>350</v>
      </c>
      <c r="J252" s="35">
        <f t="shared" si="328"/>
        <v>700</v>
      </c>
      <c r="K252" s="39">
        <v>1449</v>
      </c>
      <c r="L252" s="39">
        <v>1217</v>
      </c>
      <c r="M252" s="210"/>
      <c r="N252" s="44">
        <v>50</v>
      </c>
      <c r="O252" s="202">
        <v>17</v>
      </c>
      <c r="P252" s="31">
        <f t="shared" si="329"/>
        <v>17</v>
      </c>
      <c r="Q252" s="36">
        <v>1</v>
      </c>
      <c r="R252" s="203">
        <v>4</v>
      </c>
      <c r="S252" s="36"/>
      <c r="T252" s="34">
        <f t="shared" si="330"/>
        <v>326400</v>
      </c>
      <c r="U252" s="31">
        <f t="shared" si="331"/>
        <v>0</v>
      </c>
      <c r="V252" s="34">
        <f t="shared" si="332"/>
        <v>326400</v>
      </c>
      <c r="W252" s="43">
        <v>19200</v>
      </c>
      <c r="X252" s="34">
        <f>SUMIF(헤몬팜마진!$B$7:$B$32,$C252,헤몬팜마진!$R$7:$R$32)</f>
        <v>6372.6191999999992</v>
      </c>
      <c r="Y252" s="34">
        <f t="shared" si="333"/>
        <v>115114.39839999998</v>
      </c>
      <c r="Z252" s="34">
        <f t="shared" si="334"/>
        <v>9452.3000000000011</v>
      </c>
      <c r="AA252" s="49">
        <v>8593</v>
      </c>
      <c r="AB252" s="36"/>
      <c r="AC252" s="204">
        <f t="shared" si="341"/>
        <v>2310</v>
      </c>
      <c r="AD252" s="152">
        <v>0.08</v>
      </c>
      <c r="AE252" s="31">
        <f>3350*(P252)</f>
        <v>56950</v>
      </c>
      <c r="AF252" s="28">
        <f t="shared" si="336"/>
        <v>0.25447916666666665</v>
      </c>
      <c r="AG252" s="34">
        <f t="shared" si="337"/>
        <v>83062.03</v>
      </c>
      <c r="AH252" s="34">
        <f t="shared" si="338"/>
        <v>9744.0064327272739</v>
      </c>
      <c r="AI252" s="34">
        <f>SUMIF(헤몬팜마진!$B$7:$B$32,$C252,헤몬팜마진!$V$7:$V$32)</f>
        <v>6771.435199999999</v>
      </c>
      <c r="AJ252" s="34">
        <f t="shared" si="339"/>
        <v>118479.56516727275</v>
      </c>
      <c r="AK252" s="46">
        <f t="shared" si="340"/>
        <v>109027.26516727275</v>
      </c>
      <c r="AL252" s="40">
        <f>SUMIF(헤몬팜마진!$B$7:$B$32,$C252,헤몬팜마진!$T$7:$T$32)</f>
        <v>65.34</v>
      </c>
      <c r="AM252" s="41">
        <f>SUMIF(헤몬팜마진!$B$7:$B$32,$C252,헤몬팜마진!$U$7:$U$32)</f>
        <v>333.476</v>
      </c>
      <c r="AN252" s="36"/>
      <c r="AO252" s="235">
        <v>16961</v>
      </c>
      <c r="AP252" s="235">
        <v>60</v>
      </c>
      <c r="AQ252" s="126"/>
      <c r="AR252" s="126"/>
      <c r="AS252" s="126"/>
      <c r="AT252" s="118"/>
      <c r="AU252" s="118"/>
      <c r="AV252" s="118"/>
      <c r="AW252" s="118"/>
      <c r="AX252" s="118"/>
      <c r="AY252" s="118"/>
      <c r="AZ252" s="118"/>
      <c r="BA252" s="118"/>
      <c r="BB252" s="118"/>
      <c r="BC252" s="118"/>
      <c r="BD252" s="118"/>
      <c r="BE252" s="118"/>
      <c r="BF252" s="118"/>
      <c r="BG252" s="47"/>
      <c r="BH252" s="47"/>
      <c r="BI252" s="47"/>
      <c r="BJ252" s="47"/>
      <c r="BK252" s="47"/>
    </row>
    <row r="253" spans="1:63" ht="28.5" customHeight="1">
      <c r="A253" s="327" t="s">
        <v>136</v>
      </c>
      <c r="B253" s="326"/>
      <c r="C253" s="42" t="s">
        <v>115</v>
      </c>
      <c r="D253" s="28" t="e">
        <f t="shared" si="323"/>
        <v>#REF!</v>
      </c>
      <c r="E253" s="201" t="e">
        <f t="shared" si="324"/>
        <v>#REF!</v>
      </c>
      <c r="F253" s="30">
        <f t="shared" si="325"/>
        <v>0.77653946575617594</v>
      </c>
      <c r="G253" s="30">
        <f t="shared" si="326"/>
        <v>2.8037383177570093E-2</v>
      </c>
      <c r="H253" s="35">
        <v>0</v>
      </c>
      <c r="I253" s="35">
        <f t="shared" si="327"/>
        <v>70</v>
      </c>
      <c r="J253" s="35">
        <f t="shared" si="328"/>
        <v>140</v>
      </c>
      <c r="K253" s="328">
        <v>494</v>
      </c>
      <c r="L253" s="39">
        <v>0</v>
      </c>
      <c r="M253" s="210"/>
      <c r="N253" s="44">
        <v>10</v>
      </c>
      <c r="O253" s="36">
        <v>2</v>
      </c>
      <c r="P253" s="31">
        <f t="shared" si="329"/>
        <v>2</v>
      </c>
      <c r="Q253" s="36">
        <v>3</v>
      </c>
      <c r="R253" s="233">
        <v>3</v>
      </c>
      <c r="S253" s="36"/>
      <c r="T253" s="34">
        <f t="shared" si="330"/>
        <v>99580</v>
      </c>
      <c r="U253" s="31">
        <f t="shared" si="331"/>
        <v>0</v>
      </c>
      <c r="V253" s="34">
        <f t="shared" si="332"/>
        <v>99580</v>
      </c>
      <c r="W253" s="43">
        <v>49790</v>
      </c>
      <c r="X253" s="34">
        <f>SUMIF(헤몬팜마진!$B$7:$B$32,$C253,헤몬팜마진!$R$7:$R$32)</f>
        <v>12169.932499999999</v>
      </c>
      <c r="Y253" s="34" t="e">
        <f t="shared" si="333"/>
        <v>#REF!</v>
      </c>
      <c r="Z253" s="34">
        <f t="shared" si="334"/>
        <v>77327.8</v>
      </c>
      <c r="AA253" s="49">
        <v>70298</v>
      </c>
      <c r="AB253" s="36"/>
      <c r="AC253" s="204">
        <f t="shared" si="341"/>
        <v>6930</v>
      </c>
      <c r="AD253" s="152">
        <v>7.8E-2</v>
      </c>
      <c r="AE253" s="31">
        <f t="shared" ref="AE253:AE254" si="344">4825*(P253)</f>
        <v>9650</v>
      </c>
      <c r="AF253" s="28">
        <f t="shared" si="336"/>
        <v>0.17490700943964652</v>
      </c>
      <c r="AG253" s="34">
        <f t="shared" si="337"/>
        <v>17417.27</v>
      </c>
      <c r="AH253" s="34" t="e">
        <f t="shared" si="338"/>
        <v>#REF!</v>
      </c>
      <c r="AI253" s="34" t="e">
        <f>SUMIF(헤몬팜마진!$B$7:$B$32,$C253,헤몬팜마진!$V$7:$V$32)</f>
        <v>#REF!</v>
      </c>
      <c r="AJ253" s="34" t="e">
        <f t="shared" si="339"/>
        <v>#REF!</v>
      </c>
      <c r="AK253" s="206" t="e">
        <f t="shared" si="340"/>
        <v>#REF!</v>
      </c>
      <c r="AL253" s="40">
        <f>SUMIF(헤몬팜마진!$B$7:$B$32,$C253,헤몬팜마진!$T$7:$T$32)</f>
        <v>181.44000000000003</v>
      </c>
      <c r="AM253" s="41">
        <f>SUMIF(헤몬팜마진!$B$7:$B$32,$C253,헤몬팜마진!$U$7:$U$32)</f>
        <v>926.01600000000019</v>
      </c>
      <c r="AN253" s="36"/>
      <c r="AO253" s="202">
        <v>25017</v>
      </c>
      <c r="AP253" s="205">
        <v>107</v>
      </c>
      <c r="AQ253" s="126"/>
      <c r="AR253" s="126"/>
      <c r="AS253" s="126"/>
      <c r="AT253" s="118"/>
      <c r="AU253" s="118"/>
      <c r="AV253" s="118"/>
      <c r="AW253" s="118"/>
      <c r="AX253" s="118"/>
      <c r="AY253" s="118"/>
      <c r="AZ253" s="118"/>
      <c r="BA253" s="118"/>
      <c r="BB253" s="118"/>
      <c r="BC253" s="118"/>
      <c r="BD253" s="118"/>
      <c r="BE253" s="118"/>
      <c r="BF253" s="118"/>
      <c r="BG253" s="47"/>
      <c r="BH253" s="47"/>
      <c r="BI253" s="47"/>
      <c r="BJ253" s="47"/>
      <c r="BK253" s="47"/>
    </row>
    <row r="254" spans="1:63" ht="28.5" customHeight="1">
      <c r="A254" s="318"/>
      <c r="B254" s="324"/>
      <c r="C254" s="42" t="s">
        <v>116</v>
      </c>
      <c r="D254" s="28" t="e">
        <f t="shared" si="323"/>
        <v>#REF!</v>
      </c>
      <c r="E254" s="201" t="e">
        <f t="shared" si="324"/>
        <v>#REF!</v>
      </c>
      <c r="F254" s="30">
        <f t="shared" si="325"/>
        <v>0.16578764493588269</v>
      </c>
      <c r="G254" s="30">
        <f t="shared" si="326"/>
        <v>2.5000000000000001E-2</v>
      </c>
      <c r="H254" s="35">
        <v>0</v>
      </c>
      <c r="I254" s="35">
        <f t="shared" si="327"/>
        <v>70</v>
      </c>
      <c r="J254" s="35">
        <f t="shared" si="328"/>
        <v>140</v>
      </c>
      <c r="K254" s="310"/>
      <c r="L254" s="39">
        <v>1</v>
      </c>
      <c r="M254" s="210"/>
      <c r="N254" s="44">
        <v>10</v>
      </c>
      <c r="O254" s="202">
        <v>9</v>
      </c>
      <c r="P254" s="31">
        <f t="shared" si="329"/>
        <v>9</v>
      </c>
      <c r="Q254" s="202"/>
      <c r="R254" s="203">
        <v>4</v>
      </c>
      <c r="S254" s="36"/>
      <c r="T254" s="34">
        <f t="shared" si="330"/>
        <v>520920</v>
      </c>
      <c r="U254" s="31">
        <f t="shared" si="331"/>
        <v>0</v>
      </c>
      <c r="V254" s="34">
        <f t="shared" si="332"/>
        <v>520920</v>
      </c>
      <c r="W254" s="43">
        <v>57880</v>
      </c>
      <c r="X254" s="34">
        <f>SUMIF(헤몬팜마진!$B$7:$B$32,$C254,헤몬팜마진!$R$7:$R$32)</f>
        <v>12169.932499999999</v>
      </c>
      <c r="Y254" s="34" t="e">
        <f t="shared" si="333"/>
        <v>#REF!</v>
      </c>
      <c r="Z254" s="34">
        <f t="shared" si="334"/>
        <v>86362.1</v>
      </c>
      <c r="AA254" s="49">
        <v>78511</v>
      </c>
      <c r="AB254" s="36"/>
      <c r="AC254" s="204">
        <f t="shared" si="341"/>
        <v>0</v>
      </c>
      <c r="AD254" s="152">
        <v>7.8E-2</v>
      </c>
      <c r="AE254" s="31">
        <f t="shared" si="344"/>
        <v>43425</v>
      </c>
      <c r="AF254" s="28">
        <f t="shared" si="336"/>
        <v>0.16136212854181065</v>
      </c>
      <c r="AG254" s="34">
        <f t="shared" si="337"/>
        <v>84056.79</v>
      </c>
      <c r="AH254" s="34" t="e">
        <f t="shared" si="338"/>
        <v>#REF!</v>
      </c>
      <c r="AI254" s="34" t="e">
        <f>SUMIF(헤몬팜마진!$B$7:$B$32,$C254,헤몬팜마진!$V$7:$V$32)</f>
        <v>#REF!</v>
      </c>
      <c r="AJ254" s="34" t="e">
        <f t="shared" si="339"/>
        <v>#REF!</v>
      </c>
      <c r="AK254" s="46" t="e">
        <f t="shared" si="340"/>
        <v>#REF!</v>
      </c>
      <c r="AL254" s="40">
        <f>SUMIF(헤몬팜마진!$B$7:$B$32,$C254,헤몬팜마진!$T$7:$T$32)</f>
        <v>181.44000000000003</v>
      </c>
      <c r="AM254" s="41">
        <f>SUMIF(헤몬팜마진!$B$7:$B$32,$C254,헤몬팜마진!$U$7:$U$32)</f>
        <v>926.01600000000019</v>
      </c>
      <c r="AN254" s="36"/>
      <c r="AO254" s="202">
        <v>35517</v>
      </c>
      <c r="AP254" s="205">
        <v>160</v>
      </c>
      <c r="AQ254" s="126"/>
      <c r="AR254" s="126"/>
      <c r="AS254" s="126"/>
      <c r="AT254" s="118"/>
      <c r="AU254" s="118"/>
      <c r="AV254" s="118"/>
      <c r="AW254" s="118"/>
      <c r="AX254" s="118"/>
      <c r="AY254" s="118"/>
      <c r="AZ254" s="118"/>
      <c r="BA254" s="118"/>
      <c r="BB254" s="118"/>
      <c r="BC254" s="118"/>
      <c r="BD254" s="118"/>
      <c r="BE254" s="118"/>
      <c r="BF254" s="118"/>
      <c r="BG254" s="47"/>
      <c r="BH254" s="47"/>
      <c r="BI254" s="47"/>
      <c r="BJ254" s="47"/>
      <c r="BK254" s="47"/>
    </row>
    <row r="255" spans="1:63" ht="28.5" customHeight="1">
      <c r="A255" s="228" t="s">
        <v>137</v>
      </c>
      <c r="B255" s="200"/>
      <c r="C255" s="42" t="s">
        <v>117</v>
      </c>
      <c r="D255" s="28">
        <f t="shared" si="323"/>
        <v>0.4097179955088488</v>
      </c>
      <c r="E255" s="201">
        <f t="shared" si="324"/>
        <v>0.49826627204625579</v>
      </c>
      <c r="F255" s="30">
        <f t="shared" si="325"/>
        <v>8.8548276537406989E-2</v>
      </c>
      <c r="G255" s="30">
        <f t="shared" si="326"/>
        <v>3.4146341463414637E-2</v>
      </c>
      <c r="H255" s="35">
        <v>2000</v>
      </c>
      <c r="I255" s="35">
        <f t="shared" si="327"/>
        <v>700</v>
      </c>
      <c r="J255" s="35">
        <f t="shared" si="328"/>
        <v>1400</v>
      </c>
      <c r="K255" s="39">
        <v>2373</v>
      </c>
      <c r="L255" s="39">
        <v>3</v>
      </c>
      <c r="M255" s="210"/>
      <c r="N255" s="44">
        <v>100</v>
      </c>
      <c r="O255" s="202">
        <v>23</v>
      </c>
      <c r="P255" s="31">
        <f t="shared" si="329"/>
        <v>23</v>
      </c>
      <c r="Q255" s="202">
        <v>7</v>
      </c>
      <c r="R255" s="203">
        <v>14</v>
      </c>
      <c r="S255" s="36"/>
      <c r="T255" s="34">
        <f t="shared" si="330"/>
        <v>408480</v>
      </c>
      <c r="U255" s="31">
        <f t="shared" si="331"/>
        <v>0</v>
      </c>
      <c r="V255" s="34">
        <f t="shared" si="332"/>
        <v>408480</v>
      </c>
      <c r="W255" s="43">
        <v>17760</v>
      </c>
      <c r="X255" s="34">
        <f>SUMIF(헤몬팜마진!$B$7:$B$32,$C255,헤몬팜마진!$R$7:$R$32)</f>
        <v>3982.8869999999997</v>
      </c>
      <c r="Y255" s="34">
        <f t="shared" si="333"/>
        <v>111255.83459999999</v>
      </c>
      <c r="Z255" s="34">
        <f t="shared" si="334"/>
        <v>36170.200000000004</v>
      </c>
      <c r="AA255" s="49">
        <v>32882</v>
      </c>
      <c r="AB255" s="36"/>
      <c r="AC255" s="204">
        <f t="shared" si="341"/>
        <v>16170</v>
      </c>
      <c r="AD255" s="152">
        <v>7.8E-2</v>
      </c>
      <c r="AE255" s="31">
        <f t="shared" ref="AE255:AE256" si="345">1900*(P255)</f>
        <v>43700</v>
      </c>
      <c r="AF255" s="28">
        <f t="shared" si="336"/>
        <v>0.18498198198198199</v>
      </c>
      <c r="AG255" s="34">
        <f t="shared" si="337"/>
        <v>75561.47</v>
      </c>
      <c r="AH255" s="34">
        <f t="shared" si="338"/>
        <v>18130.888594545457</v>
      </c>
      <c r="AI255" s="34">
        <f>SUMIF(헤몬팜마진!$B$7:$B$32,$C255,헤몬팜마진!$V$7:$V$32)</f>
        <v>4837.2101999999995</v>
      </c>
      <c r="AJ255" s="34">
        <f t="shared" si="339"/>
        <v>203531.80680545457</v>
      </c>
      <c r="AK255" s="46">
        <f t="shared" si="340"/>
        <v>167361.60680545456</v>
      </c>
      <c r="AL255" s="40">
        <f>SUMIF(헤몬팜마진!$B$7:$B$32,$C255,헤몬팜마진!$T$7:$T$32)</f>
        <v>139.96800000000002</v>
      </c>
      <c r="AM255" s="41">
        <f>SUMIF(헤몬팜마진!$B$7:$B$32,$C255,헤몬팜마진!$U$7:$U$32)</f>
        <v>714.35519999999997</v>
      </c>
      <c r="AN255" s="36"/>
      <c r="AO255" s="202">
        <v>49611</v>
      </c>
      <c r="AP255" s="205">
        <v>410</v>
      </c>
      <c r="AQ255" s="126"/>
      <c r="AR255" s="126"/>
      <c r="AS255" s="126"/>
      <c r="AT255" s="118"/>
      <c r="AU255" s="118"/>
      <c r="AV255" s="118"/>
      <c r="AW255" s="118"/>
      <c r="AX255" s="118"/>
      <c r="AY255" s="118"/>
      <c r="AZ255" s="118"/>
      <c r="BA255" s="118"/>
      <c r="BB255" s="118"/>
      <c r="BC255" s="118"/>
      <c r="BD255" s="118"/>
      <c r="BE255" s="118"/>
      <c r="BF255" s="118"/>
      <c r="BG255" s="47"/>
      <c r="BH255" s="47"/>
      <c r="BI255" s="47"/>
      <c r="BJ255" s="47"/>
      <c r="BK255" s="47"/>
    </row>
    <row r="256" spans="1:63" ht="28.5" customHeight="1">
      <c r="A256" s="228" t="s">
        <v>138</v>
      </c>
      <c r="B256" s="200"/>
      <c r="C256" s="42" t="s">
        <v>118</v>
      </c>
      <c r="D256" s="28">
        <f t="shared" si="323"/>
        <v>-0.22250533486070384</v>
      </c>
      <c r="E256" s="201">
        <f t="shared" si="324"/>
        <v>0.43889184255865105</v>
      </c>
      <c r="F256" s="30">
        <f t="shared" si="325"/>
        <v>0.66139717741935489</v>
      </c>
      <c r="G256" s="30">
        <f t="shared" si="326"/>
        <v>1.1695906432748537E-2</v>
      </c>
      <c r="H256" s="35">
        <v>0</v>
      </c>
      <c r="I256" s="35">
        <f t="shared" si="327"/>
        <v>350</v>
      </c>
      <c r="J256" s="35">
        <f t="shared" si="328"/>
        <v>700</v>
      </c>
      <c r="K256" s="39">
        <v>87</v>
      </c>
      <c r="L256" s="39">
        <v>0</v>
      </c>
      <c r="M256" s="210"/>
      <c r="N256" s="44">
        <v>50</v>
      </c>
      <c r="O256" s="202">
        <v>4</v>
      </c>
      <c r="P256" s="31">
        <f t="shared" si="329"/>
        <v>4</v>
      </c>
      <c r="Q256" s="36"/>
      <c r="R256" s="203">
        <v>2</v>
      </c>
      <c r="S256" s="36"/>
      <c r="T256" s="34">
        <f t="shared" si="330"/>
        <v>99200</v>
      </c>
      <c r="U256" s="31">
        <f t="shared" si="331"/>
        <v>0</v>
      </c>
      <c r="V256" s="34">
        <f t="shared" si="332"/>
        <v>99200</v>
      </c>
      <c r="W256" s="43">
        <v>24800</v>
      </c>
      <c r="X256" s="34">
        <f>SUMIF(헤몬팜마진!$B$7:$B$32,$C256,헤몬팜마진!$R$7:$R$32)</f>
        <v>8408.3169999999991</v>
      </c>
      <c r="Y256" s="34">
        <f t="shared" si="333"/>
        <v>34318.835999999996</v>
      </c>
      <c r="Z256" s="34">
        <f t="shared" si="334"/>
        <v>65610.600000000006</v>
      </c>
      <c r="AA256" s="49">
        <f>39537+20109</f>
        <v>59646</v>
      </c>
      <c r="AB256" s="209"/>
      <c r="AC256" s="204">
        <f t="shared" si="341"/>
        <v>0</v>
      </c>
      <c r="AD256" s="152">
        <v>0.1</v>
      </c>
      <c r="AE256" s="31">
        <f t="shared" si="345"/>
        <v>7600</v>
      </c>
      <c r="AF256" s="28">
        <f t="shared" si="336"/>
        <v>0.17661290322580647</v>
      </c>
      <c r="AG256" s="34">
        <f t="shared" si="337"/>
        <v>17520.030000000002</v>
      </c>
      <c r="AH256" s="34">
        <f t="shared" si="338"/>
        <v>3823.0632181818182</v>
      </c>
      <c r="AI256" s="34">
        <f>SUMIF(헤몬팜마진!$B$7:$B$32,$C256,헤몬팜마진!$V$7:$V$32)</f>
        <v>8579.7089999999989</v>
      </c>
      <c r="AJ256" s="34">
        <f t="shared" si="339"/>
        <v>43538.070781818184</v>
      </c>
      <c r="AK256" s="206">
        <f t="shared" si="340"/>
        <v>-22072.529218181822</v>
      </c>
      <c r="AL256" s="40">
        <f>SUMIF(헤몬팜마진!$B$7:$B$32,$C256,헤몬팜마진!$T$7:$T$32)</f>
        <v>28.079999999999995</v>
      </c>
      <c r="AM256" s="41">
        <f>SUMIF(헤몬팜마진!$B$7:$B$32,$C256,헤몬팜마진!$U$7:$U$32)</f>
        <v>143.31199999999998</v>
      </c>
      <c r="AN256" s="36"/>
      <c r="AO256" s="202">
        <v>69988</v>
      </c>
      <c r="AP256" s="205">
        <v>171</v>
      </c>
      <c r="AQ256" s="126"/>
      <c r="AR256" s="126"/>
      <c r="AS256" s="126"/>
      <c r="AT256" s="118"/>
      <c r="AU256" s="118"/>
      <c r="AV256" s="118"/>
      <c r="AW256" s="118"/>
      <c r="AX256" s="118"/>
      <c r="AY256" s="118"/>
      <c r="AZ256" s="118"/>
      <c r="BA256" s="118"/>
      <c r="BB256" s="118"/>
      <c r="BC256" s="118"/>
      <c r="BD256" s="118"/>
      <c r="BE256" s="118"/>
      <c r="BF256" s="118"/>
      <c r="BG256" s="47"/>
      <c r="BH256" s="47"/>
      <c r="BI256" s="47"/>
      <c r="BJ256" s="47"/>
      <c r="BK256" s="47"/>
    </row>
    <row r="257" spans="1:63" ht="28.5" customHeight="1">
      <c r="A257" s="12"/>
      <c r="B257" s="214" t="s">
        <v>126</v>
      </c>
      <c r="C257" s="42" t="s">
        <v>31</v>
      </c>
      <c r="D257" s="28">
        <f t="shared" si="323"/>
        <v>-0.21082677949055775</v>
      </c>
      <c r="E257" s="201">
        <f t="shared" si="324"/>
        <v>0.37869342252964427</v>
      </c>
      <c r="F257" s="30">
        <f t="shared" si="325"/>
        <v>0.58952020202020206</v>
      </c>
      <c r="G257" s="30">
        <f t="shared" si="326"/>
        <v>4.7353760445682451E-2</v>
      </c>
      <c r="H257" s="35">
        <v>700</v>
      </c>
      <c r="I257" s="35">
        <f t="shared" si="327"/>
        <v>210</v>
      </c>
      <c r="J257" s="35">
        <f t="shared" si="328"/>
        <v>420</v>
      </c>
      <c r="K257" s="39">
        <v>954</v>
      </c>
      <c r="L257" s="39">
        <v>2</v>
      </c>
      <c r="M257" s="210"/>
      <c r="N257" s="44">
        <v>30</v>
      </c>
      <c r="O257" s="36">
        <v>35</v>
      </c>
      <c r="P257" s="31">
        <f t="shared" si="329"/>
        <v>23</v>
      </c>
      <c r="Q257" s="36">
        <v>2</v>
      </c>
      <c r="R257" s="167">
        <v>17</v>
      </c>
      <c r="S257" s="36">
        <v>12</v>
      </c>
      <c r="T257" s="34">
        <f t="shared" si="330"/>
        <v>693000</v>
      </c>
      <c r="U257" s="31">
        <f t="shared" si="331"/>
        <v>237600</v>
      </c>
      <c r="V257" s="34">
        <f t="shared" si="332"/>
        <v>455400</v>
      </c>
      <c r="W257" s="43">
        <v>19800</v>
      </c>
      <c r="X257" s="34">
        <f>SUMIF(헤몬팜마진!$B$7:$B$32,$C257,헤몬팜마진!$R$7:$R$32)</f>
        <v>6638.1449999999995</v>
      </c>
      <c r="Y257" s="34">
        <f t="shared" si="333"/>
        <v>153768.97019999998</v>
      </c>
      <c r="Z257" s="34">
        <f t="shared" si="334"/>
        <v>142653.5</v>
      </c>
      <c r="AA257" s="48">
        <v>129685</v>
      </c>
      <c r="AB257" s="211">
        <f>((20900*0.015)+(20900*0.19)+2100+2200+1900)*12</f>
        <v>125814</v>
      </c>
      <c r="AC257" s="204">
        <f t="shared" si="341"/>
        <v>4620</v>
      </c>
      <c r="AD257" s="152">
        <v>0.08</v>
      </c>
      <c r="AE257" s="31">
        <f>3400*(P257)</f>
        <v>78200</v>
      </c>
      <c r="AF257" s="28">
        <f t="shared" si="336"/>
        <v>0.25171717171717173</v>
      </c>
      <c r="AG257" s="34">
        <f t="shared" si="337"/>
        <v>114632.03</v>
      </c>
      <c r="AH257" s="34">
        <f t="shared" si="338"/>
        <v>14542.015179999999</v>
      </c>
      <c r="AI257" s="34">
        <f>SUMIF(헤몬팜마진!$B$7:$B$32,$C257,헤몬팜마진!$V$7:$V$32)</f>
        <v>6685.607399999999</v>
      </c>
      <c r="AJ257" s="34">
        <f t="shared" si="339"/>
        <v>172456.98462</v>
      </c>
      <c r="AK257" s="206">
        <f t="shared" si="340"/>
        <v>-96010.515379999997</v>
      </c>
      <c r="AL257" s="40">
        <f>SUMIF(헤몬팜마진!$B$7:$B$32,$C257,헤몬팜마진!$T$7:$T$32)</f>
        <v>7.7759999999999998</v>
      </c>
      <c r="AM257" s="41">
        <f>SUMIF(헤몬팜마진!$B$7:$B$32,$C257,헤몬팜마진!$U$7:$U$32)</f>
        <v>39.686400000000006</v>
      </c>
      <c r="AN257" s="36"/>
      <c r="AO257" s="202">
        <v>228527</v>
      </c>
      <c r="AP257" s="205">
        <v>359</v>
      </c>
      <c r="AQ257" s="126"/>
      <c r="AR257" s="126"/>
      <c r="AS257" s="126"/>
      <c r="AT257" s="118"/>
      <c r="AU257" s="118"/>
      <c r="AV257" s="118"/>
      <c r="AW257" s="118"/>
      <c r="AX257" s="118"/>
      <c r="AY257" s="118"/>
      <c r="AZ257" s="118"/>
      <c r="BA257" s="118"/>
      <c r="BB257" s="118"/>
      <c r="BC257" s="118"/>
      <c r="BD257" s="118"/>
      <c r="BE257" s="118"/>
      <c r="BF257" s="118"/>
      <c r="BG257" s="47"/>
      <c r="BH257" s="47"/>
      <c r="BI257" s="47"/>
      <c r="BJ257" s="47"/>
      <c r="BK257" s="47"/>
    </row>
    <row r="258" spans="1:63" ht="28.5" customHeight="1">
      <c r="A258" s="327" t="s">
        <v>139</v>
      </c>
      <c r="B258" s="127" t="s">
        <v>127</v>
      </c>
      <c r="C258" s="42" t="s">
        <v>119</v>
      </c>
      <c r="D258" s="28">
        <f t="shared" si="323"/>
        <v>0.20597321284242179</v>
      </c>
      <c r="E258" s="201">
        <f t="shared" si="324"/>
        <v>0.43444840445194177</v>
      </c>
      <c r="F258" s="30">
        <f t="shared" si="325"/>
        <v>0.22847519160951996</v>
      </c>
      <c r="G258" s="30">
        <f t="shared" si="326"/>
        <v>9.6491228070175433E-2</v>
      </c>
      <c r="H258" s="35">
        <v>2000</v>
      </c>
      <c r="I258" s="35">
        <f t="shared" si="327"/>
        <v>280</v>
      </c>
      <c r="J258" s="35">
        <f t="shared" si="328"/>
        <v>560</v>
      </c>
      <c r="K258" s="328">
        <v>1048</v>
      </c>
      <c r="L258" s="39">
        <f>311+240+1</f>
        <v>552</v>
      </c>
      <c r="M258" s="210"/>
      <c r="N258" s="44">
        <v>40</v>
      </c>
      <c r="O258" s="202">
        <v>15</v>
      </c>
      <c r="P258" s="31">
        <f t="shared" si="329"/>
        <v>15</v>
      </c>
      <c r="Q258" s="202">
        <v>10</v>
      </c>
      <c r="R258" s="203">
        <v>11</v>
      </c>
      <c r="S258" s="36"/>
      <c r="T258" s="34">
        <f t="shared" si="330"/>
        <v>371850</v>
      </c>
      <c r="U258" s="31">
        <f t="shared" si="331"/>
        <v>0</v>
      </c>
      <c r="V258" s="34">
        <f t="shared" si="332"/>
        <v>371850</v>
      </c>
      <c r="W258" s="43">
        <v>24790</v>
      </c>
      <c r="X258" s="34">
        <f>SUMIF(헤몬팜마진!$B$7:$B$32,$C258,헤몬팜마진!$R$7:$R$32)</f>
        <v>6859.4164999999994</v>
      </c>
      <c r="Y258" s="34">
        <f t="shared" si="333"/>
        <v>108804.27149999999</v>
      </c>
      <c r="Z258" s="34">
        <f t="shared" si="334"/>
        <v>84958.5</v>
      </c>
      <c r="AA258" s="49">
        <v>77235</v>
      </c>
      <c r="AB258" s="209"/>
      <c r="AC258" s="204">
        <f t="shared" si="341"/>
        <v>23100</v>
      </c>
      <c r="AD258" s="152">
        <v>0.108</v>
      </c>
      <c r="AE258" s="31">
        <f>3150*(P258)</f>
        <v>47250</v>
      </c>
      <c r="AF258" s="28">
        <f t="shared" si="336"/>
        <v>0.23506736587333604</v>
      </c>
      <c r="AG258" s="34">
        <f t="shared" si="337"/>
        <v>87409.83</v>
      </c>
      <c r="AH258" s="34">
        <f t="shared" si="338"/>
        <v>14086.259304545456</v>
      </c>
      <c r="AI258" s="34">
        <f>SUMIF(헤몬팜마진!$B$7:$B$32,$C258,헤몬팜마진!$V$7:$V$32)</f>
        <v>7253.6180999999988</v>
      </c>
      <c r="AJ258" s="34">
        <f t="shared" si="339"/>
        <v>161549.63919545454</v>
      </c>
      <c r="AK258" s="206">
        <f t="shared" si="340"/>
        <v>76591.13919545454</v>
      </c>
      <c r="AL258" s="40">
        <f>SUMIF(헤몬팜마진!$B$7:$B$32,$C258,헤몬팜마진!$T$7:$T$32)</f>
        <v>64.584000000000003</v>
      </c>
      <c r="AM258" s="41">
        <f>SUMIF(헤몬팜마진!$B$7:$B$32,$C258,헤몬팜마진!$U$7:$U$32)</f>
        <v>329.61759999999998</v>
      </c>
      <c r="AN258" s="36"/>
      <c r="AO258" s="202">
        <v>20941</v>
      </c>
      <c r="AP258" s="205">
        <v>114</v>
      </c>
      <c r="AQ258" s="126"/>
      <c r="AR258" s="126"/>
      <c r="AS258" s="126"/>
      <c r="AT258" s="118"/>
      <c r="AU258" s="118"/>
      <c r="AV258" s="118"/>
      <c r="AW258" s="118"/>
      <c r="AX258" s="118"/>
      <c r="AY258" s="118"/>
      <c r="AZ258" s="118"/>
      <c r="BA258" s="118"/>
      <c r="BB258" s="118"/>
      <c r="BC258" s="118"/>
      <c r="BD258" s="118"/>
      <c r="BE258" s="118"/>
      <c r="BF258" s="118"/>
      <c r="BG258" s="47"/>
      <c r="BH258" s="47"/>
      <c r="BI258" s="47"/>
      <c r="BJ258" s="47"/>
      <c r="BK258" s="47"/>
    </row>
    <row r="259" spans="1:63" ht="28.5" customHeight="1">
      <c r="A259" s="318"/>
      <c r="B259" s="214" t="s">
        <v>128</v>
      </c>
      <c r="C259" s="42" t="s">
        <v>120</v>
      </c>
      <c r="D259" s="28" t="e">
        <f t="shared" si="323"/>
        <v>#DIV/0!</v>
      </c>
      <c r="E259" s="201" t="e">
        <f t="shared" si="324"/>
        <v>#DIV/0!</v>
      </c>
      <c r="F259" s="30" t="e">
        <f t="shared" si="325"/>
        <v>#DIV/0!</v>
      </c>
      <c r="G259" s="30">
        <f t="shared" si="326"/>
        <v>0</v>
      </c>
      <c r="H259" s="35">
        <v>0</v>
      </c>
      <c r="I259" s="35">
        <f t="shared" si="327"/>
        <v>105</v>
      </c>
      <c r="J259" s="35">
        <f t="shared" si="328"/>
        <v>210</v>
      </c>
      <c r="K259" s="310"/>
      <c r="L259" s="39">
        <f>22+3</f>
        <v>25</v>
      </c>
      <c r="M259" s="210"/>
      <c r="N259" s="44">
        <v>15</v>
      </c>
      <c r="O259" s="36">
        <v>0</v>
      </c>
      <c r="P259" s="31">
        <f t="shared" si="329"/>
        <v>0</v>
      </c>
      <c r="Q259" s="36"/>
      <c r="R259" s="167"/>
      <c r="S259" s="36"/>
      <c r="T259" s="34">
        <f t="shared" si="330"/>
        <v>0</v>
      </c>
      <c r="U259" s="31">
        <f t="shared" si="331"/>
        <v>0</v>
      </c>
      <c r="V259" s="34">
        <f t="shared" si="332"/>
        <v>0</v>
      </c>
      <c r="W259" s="43">
        <v>39800</v>
      </c>
      <c r="X259" s="34">
        <f>SUMIF(헤몬팜마진!$B$7:$B$32,$C259,헤몬팜마진!$R$7:$R$32)</f>
        <v>13718.832999999999</v>
      </c>
      <c r="Y259" s="34">
        <f t="shared" si="333"/>
        <v>0</v>
      </c>
      <c r="Z259" s="34">
        <f t="shared" si="334"/>
        <v>30890.2</v>
      </c>
      <c r="AA259" s="49">
        <v>28082</v>
      </c>
      <c r="AB259" s="209"/>
      <c r="AC259" s="204">
        <f t="shared" si="341"/>
        <v>0</v>
      </c>
      <c r="AD259" s="152">
        <v>0.108</v>
      </c>
      <c r="AE259" s="31">
        <f>3550*(P259)</f>
        <v>0</v>
      </c>
      <c r="AF259" s="28" t="e">
        <f t="shared" si="336"/>
        <v>#DIV/0!</v>
      </c>
      <c r="AG259" s="34">
        <f t="shared" si="337"/>
        <v>0</v>
      </c>
      <c r="AH259" s="34">
        <f t="shared" si="338"/>
        <v>0</v>
      </c>
      <c r="AI259" s="34">
        <f>SUMIF(헤몬팜마진!$B$7:$B$32,$C259,헤몬팜마진!$V$7:$V$32)</f>
        <v>14113.034599999999</v>
      </c>
      <c r="AJ259" s="34">
        <f t="shared" si="339"/>
        <v>0</v>
      </c>
      <c r="AK259" s="206">
        <f t="shared" si="340"/>
        <v>-30890.2</v>
      </c>
      <c r="AL259" s="40">
        <f>SUMIF(헤몬팜마진!$B$7:$B$32,$C259,헤몬팜마진!$T$7:$T$32)</f>
        <v>64.584000000000003</v>
      </c>
      <c r="AM259" s="41">
        <f>SUMIF(헤몬팜마진!$B$7:$B$32,$C259,헤몬팜마진!$U$7:$U$32)</f>
        <v>329.61759999999998</v>
      </c>
      <c r="AN259" s="36"/>
      <c r="AO259" s="235">
        <v>29791</v>
      </c>
      <c r="AP259" s="235">
        <v>127</v>
      </c>
      <c r="AQ259" s="126"/>
      <c r="AR259" s="126"/>
      <c r="AS259" s="126"/>
      <c r="AT259" s="118"/>
      <c r="AU259" s="118"/>
      <c r="AV259" s="118"/>
      <c r="AW259" s="118"/>
      <c r="AX259" s="118"/>
      <c r="AY259" s="118"/>
      <c r="AZ259" s="118"/>
      <c r="BA259" s="118"/>
      <c r="BB259" s="118"/>
      <c r="BC259" s="118"/>
      <c r="BD259" s="118"/>
      <c r="BE259" s="118"/>
      <c r="BF259" s="118"/>
      <c r="BG259" s="47"/>
      <c r="BH259" s="47"/>
      <c r="BI259" s="47"/>
      <c r="BJ259" s="47"/>
      <c r="BK259" s="47"/>
    </row>
    <row r="260" spans="1:63" ht="28.5" customHeight="1">
      <c r="A260" s="12"/>
      <c r="B260" s="216"/>
      <c r="C260" s="217"/>
      <c r="D260" s="51" t="e">
        <f t="shared" si="323"/>
        <v>#REF!</v>
      </c>
      <c r="E260" s="218" t="e">
        <f t="shared" si="324"/>
        <v>#REF!</v>
      </c>
      <c r="F260" s="53">
        <f t="shared" si="325"/>
        <v>0.24199404175843034</v>
      </c>
      <c r="G260" s="219"/>
      <c r="H260" s="55"/>
      <c r="I260" s="55"/>
      <c r="J260" s="55"/>
      <c r="K260" s="55"/>
      <c r="L260" s="55"/>
      <c r="M260" s="55"/>
      <c r="N260" s="55"/>
      <c r="O260" s="130">
        <f t="shared" ref="O260:V260" si="346">SUM(O243:O259)</f>
        <v>310</v>
      </c>
      <c r="P260" s="220">
        <f t="shared" si="346"/>
        <v>298</v>
      </c>
      <c r="Q260" s="130">
        <f t="shared" si="346"/>
        <v>53</v>
      </c>
      <c r="R260" s="130">
        <f t="shared" si="346"/>
        <v>214</v>
      </c>
      <c r="S260" s="130">
        <f t="shared" si="346"/>
        <v>12</v>
      </c>
      <c r="T260" s="130">
        <f t="shared" si="346"/>
        <v>8515210</v>
      </c>
      <c r="U260" s="130">
        <f t="shared" si="346"/>
        <v>237600</v>
      </c>
      <c r="V260" s="220">
        <f t="shared" si="346"/>
        <v>8277610</v>
      </c>
      <c r="W260" s="55"/>
      <c r="X260" s="130">
        <f t="shared" ref="X260:AC260" si="347">SUM(X243:X259)</f>
        <v>153584.54814999999</v>
      </c>
      <c r="Y260" s="220" t="e">
        <f t="shared" si="347"/>
        <v>#REF!</v>
      </c>
      <c r="Z260" s="130">
        <f t="shared" si="347"/>
        <v>1877318.3000000005</v>
      </c>
      <c r="AA260" s="130">
        <f t="shared" si="347"/>
        <v>1706653</v>
      </c>
      <c r="AB260" s="130">
        <f t="shared" si="347"/>
        <v>125814</v>
      </c>
      <c r="AC260" s="130">
        <f t="shared" si="347"/>
        <v>118704</v>
      </c>
      <c r="AD260" s="154">
        <v>0.09</v>
      </c>
      <c r="AE260" s="220">
        <f>SUM(AE243:AE259)</f>
        <v>930450</v>
      </c>
      <c r="AF260" s="53">
        <f t="shared" si="336"/>
        <v>0.20240563399338696</v>
      </c>
      <c r="AG260" s="56">
        <f t="shared" ref="AG260:AI260" si="348">SUM(AG243:AG259)</f>
        <v>1721175.7000000004</v>
      </c>
      <c r="AH260" s="56" t="e">
        <f t="shared" si="348"/>
        <v>#REF!</v>
      </c>
      <c r="AI260" s="56" t="e">
        <f t="shared" si="348"/>
        <v>#REF!</v>
      </c>
      <c r="AJ260" s="56" t="e">
        <f t="shared" si="339"/>
        <v>#REF!</v>
      </c>
      <c r="AK260" s="221" t="e">
        <f t="shared" si="340"/>
        <v>#REF!</v>
      </c>
      <c r="AL260" s="54"/>
      <c r="AM260" s="222"/>
      <c r="AN260" s="57"/>
      <c r="AO260" s="131">
        <f t="shared" ref="AO260:AP260" si="349">SUM(AO243:AO244)</f>
        <v>469467</v>
      </c>
      <c r="AP260" s="132">
        <f t="shared" si="349"/>
        <v>1858</v>
      </c>
      <c r="AQ260" s="126"/>
      <c r="AR260" s="126"/>
      <c r="AS260" s="126"/>
      <c r="AT260" s="118"/>
      <c r="AU260" s="118"/>
      <c r="AV260" s="118"/>
      <c r="AW260" s="118"/>
      <c r="AX260" s="118"/>
      <c r="AY260" s="118"/>
      <c r="AZ260" s="118"/>
      <c r="BA260" s="118"/>
      <c r="BB260" s="118"/>
      <c r="BC260" s="118"/>
      <c r="BD260" s="118"/>
      <c r="BE260" s="118"/>
      <c r="BF260" s="118"/>
      <c r="BG260" s="47"/>
      <c r="BH260" s="47"/>
      <c r="BI260" s="47"/>
      <c r="BJ260" s="47"/>
      <c r="BK260" s="47"/>
    </row>
    <row r="261" spans="1:63" ht="28.5" customHeight="1">
      <c r="A261" s="3"/>
      <c r="B261" s="120"/>
      <c r="C261" s="229"/>
      <c r="D261" s="230"/>
      <c r="E261" s="230"/>
      <c r="F261" s="230"/>
      <c r="G261" s="230"/>
      <c r="H261" s="231"/>
      <c r="I261" s="231"/>
      <c r="J261" s="231"/>
      <c r="K261" s="231"/>
      <c r="L261" s="231"/>
      <c r="M261" s="231"/>
      <c r="N261" s="231"/>
      <c r="O261" s="231"/>
      <c r="P261" s="232"/>
      <c r="Q261" s="231"/>
      <c r="R261" s="231"/>
      <c r="S261" s="231"/>
      <c r="T261" s="231"/>
      <c r="U261" s="231"/>
      <c r="V261" s="231"/>
      <c r="W261" s="231"/>
      <c r="X261" s="231"/>
      <c r="Y261" s="231"/>
      <c r="Z261" s="231"/>
      <c r="AA261" s="133"/>
      <c r="AB261" s="61"/>
      <c r="AC261" s="148"/>
      <c r="AD261" s="148"/>
      <c r="AE261" s="148"/>
      <c r="AF261" s="148"/>
      <c r="AG261" s="61"/>
      <c r="AH261" s="61"/>
      <c r="AI261" s="187"/>
      <c r="AJ261" s="118"/>
      <c r="AK261" s="126"/>
      <c r="AL261" s="126"/>
      <c r="AM261" s="126"/>
      <c r="AN261" s="118"/>
      <c r="AO261" s="118"/>
      <c r="AP261" s="118"/>
      <c r="AQ261" s="126"/>
      <c r="AR261" s="126"/>
      <c r="AS261" s="126"/>
      <c r="AT261" s="118"/>
      <c r="AU261" s="118"/>
      <c r="AV261" s="118"/>
      <c r="AW261" s="118"/>
      <c r="AX261" s="118"/>
      <c r="AY261" s="118"/>
      <c r="AZ261" s="118"/>
      <c r="BA261" s="118"/>
      <c r="BB261" s="118"/>
      <c r="BC261" s="118"/>
      <c r="BD261" s="118"/>
      <c r="BE261" s="118"/>
      <c r="BF261" s="118"/>
      <c r="BG261" s="47"/>
      <c r="BH261" s="47"/>
      <c r="BI261" s="47"/>
      <c r="BJ261" s="47"/>
      <c r="BK261" s="47"/>
    </row>
    <row r="262" spans="1:63" ht="28.5" customHeight="1">
      <c r="A262" s="12"/>
      <c r="B262" s="189"/>
      <c r="C262" s="134">
        <v>45944</v>
      </c>
      <c r="D262" s="122" t="s">
        <v>0</v>
      </c>
      <c r="E262" s="122" t="s">
        <v>1</v>
      </c>
      <c r="F262" s="122" t="s">
        <v>2</v>
      </c>
      <c r="G262" s="190" t="s">
        <v>3</v>
      </c>
      <c r="H262" s="191" t="s">
        <v>4</v>
      </c>
      <c r="I262" s="192" t="s">
        <v>5</v>
      </c>
      <c r="J262" s="192" t="s">
        <v>90</v>
      </c>
      <c r="K262" s="193" t="s">
        <v>6</v>
      </c>
      <c r="L262" s="194" t="s">
        <v>7</v>
      </c>
      <c r="M262" s="15" t="s">
        <v>91</v>
      </c>
      <c r="N262" s="123" t="s">
        <v>125</v>
      </c>
      <c r="O262" s="123" t="s">
        <v>8</v>
      </c>
      <c r="P262" s="123" t="s">
        <v>9</v>
      </c>
      <c r="Q262" s="195" t="s">
        <v>10</v>
      </c>
      <c r="R262" s="123" t="s">
        <v>92</v>
      </c>
      <c r="S262" s="196" t="s">
        <v>11</v>
      </c>
      <c r="T262" s="17" t="s">
        <v>12</v>
      </c>
      <c r="U262" s="17" t="s">
        <v>13</v>
      </c>
      <c r="V262" s="17" t="s">
        <v>14</v>
      </c>
      <c r="W262" s="17" t="s">
        <v>15</v>
      </c>
      <c r="X262" s="15" t="s">
        <v>16</v>
      </c>
      <c r="Y262" s="15" t="s">
        <v>17</v>
      </c>
      <c r="Z262" s="19" t="s">
        <v>18</v>
      </c>
      <c r="AA262" s="19" t="s">
        <v>19</v>
      </c>
      <c r="AB262" s="20" t="s">
        <v>20</v>
      </c>
      <c r="AC262" s="22" t="s">
        <v>93</v>
      </c>
      <c r="AD262" s="197" t="s">
        <v>21</v>
      </c>
      <c r="AE262" s="122" t="s">
        <v>22</v>
      </c>
      <c r="AF262" s="21" t="s">
        <v>23</v>
      </c>
      <c r="AG262" s="21" t="s">
        <v>21</v>
      </c>
      <c r="AH262" s="122" t="s">
        <v>24</v>
      </c>
      <c r="AI262" s="15" t="s">
        <v>25</v>
      </c>
      <c r="AJ262" s="15" t="s">
        <v>26</v>
      </c>
      <c r="AK262" s="122" t="s">
        <v>27</v>
      </c>
      <c r="AL262" s="198" t="s">
        <v>28</v>
      </c>
      <c r="AM262" s="199" t="s">
        <v>29</v>
      </c>
      <c r="AN262" s="124" t="s">
        <v>30</v>
      </c>
      <c r="AO262" s="124" t="s">
        <v>94</v>
      </c>
      <c r="AP262" s="125" t="s">
        <v>95</v>
      </c>
      <c r="AQ262" s="126"/>
      <c r="AR262" s="126"/>
      <c r="AS262" s="126"/>
      <c r="AT262" s="118"/>
      <c r="AU262" s="118"/>
      <c r="AV262" s="118"/>
      <c r="AW262" s="118"/>
      <c r="AX262" s="118"/>
      <c r="AY262" s="118"/>
      <c r="AZ262" s="118"/>
      <c r="BA262" s="118"/>
      <c r="BB262" s="118"/>
      <c r="BC262" s="118"/>
      <c r="BD262" s="118"/>
      <c r="BE262" s="118"/>
      <c r="BF262" s="118"/>
      <c r="BG262" s="47"/>
      <c r="BH262" s="47"/>
      <c r="BI262" s="47"/>
      <c r="BJ262" s="47"/>
      <c r="BK262" s="47"/>
    </row>
    <row r="263" spans="1:63" ht="28.5" customHeight="1">
      <c r="A263" s="12" t="s">
        <v>129</v>
      </c>
      <c r="B263" s="200"/>
      <c r="C263" s="42" t="s">
        <v>107</v>
      </c>
      <c r="D263" s="28">
        <f t="shared" ref="D263:D280" si="350">AK263/V263</f>
        <v>0.18237087626869949</v>
      </c>
      <c r="E263" s="201">
        <f t="shared" ref="E263:E280" si="351">AJ263/V263</f>
        <v>0.42270749691301251</v>
      </c>
      <c r="F263" s="30">
        <f t="shared" ref="F263:F280" si="352">(Z263+AB263)/V263</f>
        <v>0.24033662064431299</v>
      </c>
      <c r="G263" s="30">
        <f t="shared" ref="G263:G279" si="353">R263/AP263</f>
        <v>6.8546426835196891E-2</v>
      </c>
      <c r="H263" s="35">
        <v>7410</v>
      </c>
      <c r="I263" s="35">
        <f t="shared" ref="I263:I279" si="354">N263*7</f>
        <v>1400</v>
      </c>
      <c r="J263" s="35">
        <f t="shared" ref="J263:J279" si="355">N263*14</f>
        <v>2800</v>
      </c>
      <c r="K263" s="49">
        <v>76</v>
      </c>
      <c r="L263" s="49">
        <f>1906+1320</f>
        <v>3226</v>
      </c>
      <c r="M263" s="48"/>
      <c r="N263" s="44">
        <v>200</v>
      </c>
      <c r="O263" s="227">
        <v>169</v>
      </c>
      <c r="P263" s="31">
        <f t="shared" ref="P263:P279" si="356">O263-S263</f>
        <v>169</v>
      </c>
      <c r="Q263" s="227">
        <v>8</v>
      </c>
      <c r="R263" s="233">
        <v>141</v>
      </c>
      <c r="S263" s="36"/>
      <c r="T263" s="34">
        <f t="shared" ref="T263:T279" si="357">W263*O263</f>
        <v>4715100</v>
      </c>
      <c r="U263" s="31">
        <f t="shared" ref="U263:U279" si="358">W263*S263</f>
        <v>0</v>
      </c>
      <c r="V263" s="34">
        <f t="shared" ref="V263:V279" si="359">T263-U263</f>
        <v>4715100</v>
      </c>
      <c r="W263" s="34">
        <v>27900</v>
      </c>
      <c r="X263" s="34">
        <f>SUMIF(헤몬팜마진!$B$7:$B$32,$C263,헤몬팜마진!$R$7:$R$32)</f>
        <v>8850.86</v>
      </c>
      <c r="Y263" s="34">
        <f t="shared" ref="Y263:Y279" si="360">AI263*P263</f>
        <v>1562415.4104000002</v>
      </c>
      <c r="Z263" s="34">
        <f t="shared" ref="Z263:Z279" si="361">AA263*1.1</f>
        <v>1133211.2000000002</v>
      </c>
      <c r="AA263" s="49">
        <v>1030192</v>
      </c>
      <c r="AB263" s="36"/>
      <c r="AC263" s="204">
        <f t="shared" ref="AC263:AC264" si="362">(1072+1100)*Q263</f>
        <v>17376</v>
      </c>
      <c r="AD263" s="152">
        <v>0.1</v>
      </c>
      <c r="AE263" s="31">
        <f>3050*(P263)</f>
        <v>515450</v>
      </c>
      <c r="AF263" s="28">
        <f t="shared" ref="AF263:AF280" si="363">AD263+(AE263/V263)</f>
        <v>0.20931899641577062</v>
      </c>
      <c r="AG263" s="34">
        <f t="shared" ref="AG263:AG279" si="364">IFERROR(V263*AF263+3%,0)</f>
        <v>986960.03</v>
      </c>
      <c r="AH263" s="34">
        <f t="shared" ref="AH263:AH279" si="365">V263/1.1*10%-((AI263*P263)+AG263+(AN263*P263)+(AL263*P263))*10%</f>
        <v>172616.44090545451</v>
      </c>
      <c r="AI263" s="34">
        <f>SUMIF(헤몬팜마진!$B$7:$B$32,$C263,헤몬팜마진!$V$7:$V$32)</f>
        <v>9245.0616000000009</v>
      </c>
      <c r="AJ263" s="34">
        <f t="shared" ref="AJ263:AJ280" si="366">V263-(Y263+AG263+AH263+(AN263*P263))</f>
        <v>1993108.1186945452</v>
      </c>
      <c r="AK263" s="46">
        <f t="shared" ref="AK263:AK280" si="367">AJ263-Z263-AB263</f>
        <v>859896.91869454505</v>
      </c>
      <c r="AL263" s="40">
        <f>SUMIF(헤몬팜마진!$B$7:$B$32,$C263,헤몬팜마진!$T$7:$T$32)</f>
        <v>64.584000000000003</v>
      </c>
      <c r="AM263" s="41">
        <f>SUMIF(헤몬팜마진!$B$7:$B$32,$C263,헤몬팜마진!$U$7:$U$32)</f>
        <v>329.61759999999998</v>
      </c>
      <c r="AN263" s="36"/>
      <c r="AO263" s="202">
        <v>500274</v>
      </c>
      <c r="AP263" s="205">
        <v>2057</v>
      </c>
      <c r="AQ263" s="126"/>
      <c r="AR263" s="126"/>
      <c r="AS263" s="126"/>
      <c r="AT263" s="118"/>
      <c r="AU263" s="118"/>
      <c r="AV263" s="118"/>
      <c r="AW263" s="118"/>
      <c r="AX263" s="118"/>
      <c r="AY263" s="118"/>
      <c r="AZ263" s="118"/>
      <c r="BA263" s="118"/>
      <c r="BB263" s="118"/>
      <c r="BC263" s="118"/>
      <c r="BD263" s="118"/>
      <c r="BE263" s="118"/>
      <c r="BF263" s="118"/>
      <c r="BG263" s="47"/>
      <c r="BH263" s="47"/>
      <c r="BI263" s="47"/>
      <c r="BJ263" s="47"/>
      <c r="BK263" s="47"/>
    </row>
    <row r="264" spans="1:63" ht="28.5" customHeight="1">
      <c r="A264" s="228" t="s">
        <v>130</v>
      </c>
      <c r="B264" s="200"/>
      <c r="C264" s="42" t="s">
        <v>108</v>
      </c>
      <c r="D264" s="28" t="e">
        <f t="shared" si="350"/>
        <v>#DIV/0!</v>
      </c>
      <c r="E264" s="201" t="e">
        <f t="shared" si="351"/>
        <v>#DIV/0!</v>
      </c>
      <c r="F264" s="30" t="e">
        <f t="shared" si="352"/>
        <v>#DIV/0!</v>
      </c>
      <c r="G264" s="30">
        <f t="shared" si="353"/>
        <v>0</v>
      </c>
      <c r="H264" s="35">
        <v>1460</v>
      </c>
      <c r="I264" s="35">
        <f t="shared" si="354"/>
        <v>140</v>
      </c>
      <c r="J264" s="35">
        <f t="shared" si="355"/>
        <v>280</v>
      </c>
      <c r="K264" s="39">
        <v>325</v>
      </c>
      <c r="L264" s="39">
        <v>0</v>
      </c>
      <c r="M264" s="210"/>
      <c r="N264" s="44">
        <v>20</v>
      </c>
      <c r="O264" s="202">
        <v>0</v>
      </c>
      <c r="P264" s="31">
        <f t="shared" si="356"/>
        <v>0</v>
      </c>
      <c r="Q264" s="36"/>
      <c r="R264" s="167"/>
      <c r="S264" s="36"/>
      <c r="T264" s="34">
        <f t="shared" si="357"/>
        <v>0</v>
      </c>
      <c r="U264" s="31">
        <f t="shared" si="358"/>
        <v>0</v>
      </c>
      <c r="V264" s="34">
        <f t="shared" si="359"/>
        <v>0</v>
      </c>
      <c r="W264" s="43">
        <v>22700</v>
      </c>
      <c r="X264" s="34">
        <f>SUMIF(헤몬팜마진!$B$7:$B$32,$C264,헤몬팜마진!$R$7:$R$32)</f>
        <v>7080.6879999999992</v>
      </c>
      <c r="Y264" s="34">
        <f t="shared" si="360"/>
        <v>0</v>
      </c>
      <c r="Z264" s="34">
        <f t="shared" si="361"/>
        <v>5955.4000000000005</v>
      </c>
      <c r="AA264" s="49">
        <v>5414</v>
      </c>
      <c r="AB264" s="36"/>
      <c r="AC264" s="204">
        <f t="shared" si="362"/>
        <v>0</v>
      </c>
      <c r="AD264" s="152">
        <v>0.1</v>
      </c>
      <c r="AE264" s="31">
        <f>2950*(P264)</f>
        <v>0</v>
      </c>
      <c r="AF264" s="28" t="e">
        <f t="shared" si="363"/>
        <v>#DIV/0!</v>
      </c>
      <c r="AG264" s="34">
        <f t="shared" si="364"/>
        <v>0</v>
      </c>
      <c r="AH264" s="34">
        <f t="shared" si="365"/>
        <v>0</v>
      </c>
      <c r="AI264" s="34">
        <f>SUMIF(헤몬팜마진!$B$7:$B$32,$C264,헤몬팜마진!$V$7:$V$32)</f>
        <v>7377.3279999999995</v>
      </c>
      <c r="AJ264" s="34">
        <f t="shared" si="366"/>
        <v>0</v>
      </c>
      <c r="AK264" s="46">
        <f t="shared" si="367"/>
        <v>-5955.4000000000005</v>
      </c>
      <c r="AL264" s="40">
        <f>SUMIF(헤몬팜마진!$B$7:$B$32,$C264,헤몬팜마진!$T$7:$T$32)</f>
        <v>48.6</v>
      </c>
      <c r="AM264" s="41">
        <f>SUMIF(헤몬팜마진!$B$7:$B$32,$C264,헤몬팜마진!$U$7:$U$32)</f>
        <v>248.04000000000002</v>
      </c>
      <c r="AN264" s="36"/>
      <c r="AO264" s="235">
        <v>40969</v>
      </c>
      <c r="AP264" s="235">
        <v>14</v>
      </c>
      <c r="AQ264" s="126"/>
      <c r="AR264" s="126"/>
      <c r="AS264" s="126"/>
      <c r="AT264" s="118"/>
      <c r="AU264" s="118"/>
      <c r="AV264" s="118"/>
      <c r="AW264" s="118"/>
      <c r="AX264" s="118"/>
      <c r="AY264" s="118"/>
      <c r="AZ264" s="118"/>
      <c r="BA264" s="118"/>
      <c r="BB264" s="118"/>
      <c r="BC264" s="118"/>
      <c r="BD264" s="118"/>
      <c r="BE264" s="118"/>
      <c r="BF264" s="118"/>
      <c r="BG264" s="47"/>
      <c r="BH264" s="47"/>
      <c r="BI264" s="47"/>
      <c r="BJ264" s="47"/>
      <c r="BK264" s="47"/>
    </row>
    <row r="265" spans="1:63" ht="28.5" customHeight="1">
      <c r="A265" s="327" t="s">
        <v>131</v>
      </c>
      <c r="B265" s="323"/>
      <c r="C265" s="42" t="s">
        <v>109</v>
      </c>
      <c r="D265" s="28" t="e">
        <f t="shared" si="350"/>
        <v>#REF!</v>
      </c>
      <c r="E265" s="201" t="e">
        <f t="shared" si="351"/>
        <v>#REF!</v>
      </c>
      <c r="F265" s="30">
        <f t="shared" si="352"/>
        <v>0.1724694323144105</v>
      </c>
      <c r="G265" s="30">
        <f t="shared" si="353"/>
        <v>1.5748031496062992E-2</v>
      </c>
      <c r="H265" s="35">
        <v>0</v>
      </c>
      <c r="I265" s="35">
        <f t="shared" si="354"/>
        <v>105</v>
      </c>
      <c r="J265" s="35">
        <f t="shared" si="355"/>
        <v>210</v>
      </c>
      <c r="K265" s="325">
        <v>430</v>
      </c>
      <c r="L265" s="49">
        <f>40+3+3</f>
        <v>46</v>
      </c>
      <c r="M265" s="48"/>
      <c r="N265" s="44">
        <v>15</v>
      </c>
      <c r="O265" s="202">
        <v>3</v>
      </c>
      <c r="P265" s="31">
        <f t="shared" si="356"/>
        <v>3</v>
      </c>
      <c r="Q265" s="36"/>
      <c r="R265" s="203">
        <v>2</v>
      </c>
      <c r="S265" s="36"/>
      <c r="T265" s="34">
        <f t="shared" si="357"/>
        <v>137400</v>
      </c>
      <c r="U265" s="31">
        <f t="shared" si="358"/>
        <v>0</v>
      </c>
      <c r="V265" s="34">
        <f t="shared" si="359"/>
        <v>137400</v>
      </c>
      <c r="W265" s="43">
        <v>45800</v>
      </c>
      <c r="X265" s="34">
        <f>SUMIF(헤몬팜마진!$B$7:$B$32,$C265,헤몬팜마진!$R$7:$R$32)</f>
        <v>9990.4082249999992</v>
      </c>
      <c r="Y265" s="34" t="e">
        <f t="shared" si="360"/>
        <v>#REF!</v>
      </c>
      <c r="Z265" s="34">
        <f t="shared" si="361"/>
        <v>23697.300000000003</v>
      </c>
      <c r="AA265" s="49">
        <v>21543</v>
      </c>
      <c r="AB265" s="36"/>
      <c r="AC265" s="204">
        <f t="shared" ref="AC265:AC279" si="368">(1210+1100)*Q265</f>
        <v>0</v>
      </c>
      <c r="AD265" s="152">
        <v>0.11</v>
      </c>
      <c r="AE265" s="31">
        <f t="shared" ref="AE265:AE266" si="369">4150*(P265)</f>
        <v>12450</v>
      </c>
      <c r="AF265" s="28">
        <f t="shared" si="363"/>
        <v>0.2006113537117904</v>
      </c>
      <c r="AG265" s="34">
        <f t="shared" si="364"/>
        <v>27564.03</v>
      </c>
      <c r="AH265" s="34" t="e">
        <f t="shared" si="365"/>
        <v>#REF!</v>
      </c>
      <c r="AI265" s="34" t="e">
        <f>SUMIF(헤몬팜마진!$B$7:$B$32,$C265,헤몬팜마진!$V$7:$V$32)</f>
        <v>#REF!</v>
      </c>
      <c r="AJ265" s="34" t="e">
        <f t="shared" si="366"/>
        <v>#REF!</v>
      </c>
      <c r="AK265" s="46" t="e">
        <f t="shared" si="367"/>
        <v>#REF!</v>
      </c>
      <c r="AL265" s="40">
        <f>SUMIF(헤몬팜마진!$B$7:$B$32,$C265,헤몬팜마진!$T$7:$T$32)</f>
        <v>162</v>
      </c>
      <c r="AM265" s="41">
        <f>SUMIF(헤몬팜마진!$B$7:$B$32,$C265,헤몬팜마진!$U$7:$U$32)</f>
        <v>826.80000000000007</v>
      </c>
      <c r="AN265" s="36"/>
      <c r="AO265" s="202">
        <v>55987</v>
      </c>
      <c r="AP265" s="205">
        <v>127</v>
      </c>
      <c r="AQ265" s="126"/>
      <c r="AR265" s="126"/>
      <c r="AS265" s="126"/>
      <c r="AT265" s="118"/>
      <c r="AU265" s="118"/>
      <c r="AV265" s="118"/>
      <c r="AW265" s="118"/>
      <c r="AX265" s="118"/>
      <c r="AY265" s="118"/>
      <c r="AZ265" s="118"/>
      <c r="BA265" s="118"/>
      <c r="BB265" s="118"/>
      <c r="BC265" s="118"/>
      <c r="BD265" s="118"/>
      <c r="BE265" s="118"/>
      <c r="BF265" s="118"/>
      <c r="BG265" s="47"/>
      <c r="BH265" s="47"/>
      <c r="BI265" s="47"/>
      <c r="BJ265" s="47"/>
      <c r="BK265" s="47"/>
    </row>
    <row r="266" spans="1:63" ht="28.5" customHeight="1">
      <c r="A266" s="318"/>
      <c r="B266" s="324"/>
      <c r="C266" s="42" t="s">
        <v>110</v>
      </c>
      <c r="D266" s="28" t="e">
        <f t="shared" si="350"/>
        <v>#REF!</v>
      </c>
      <c r="E266" s="201" t="e">
        <f t="shared" si="351"/>
        <v>#REF!</v>
      </c>
      <c r="F266" s="30">
        <f t="shared" si="352"/>
        <v>6.5994776828110169E-2</v>
      </c>
      <c r="G266" s="30">
        <f t="shared" si="353"/>
        <v>5.737704918032787E-2</v>
      </c>
      <c r="H266" s="35">
        <v>0</v>
      </c>
      <c r="I266" s="35">
        <f t="shared" si="354"/>
        <v>105</v>
      </c>
      <c r="J266" s="35">
        <f t="shared" si="355"/>
        <v>210</v>
      </c>
      <c r="K266" s="310"/>
      <c r="L266" s="49">
        <f>13+2</f>
        <v>15</v>
      </c>
      <c r="M266" s="48"/>
      <c r="N266" s="44">
        <v>15</v>
      </c>
      <c r="O266" s="202">
        <v>9</v>
      </c>
      <c r="P266" s="31">
        <f t="shared" si="356"/>
        <v>9</v>
      </c>
      <c r="Q266" s="202"/>
      <c r="R266" s="203">
        <v>7</v>
      </c>
      <c r="S266" s="36"/>
      <c r="T266" s="34">
        <f t="shared" si="357"/>
        <v>421200</v>
      </c>
      <c r="U266" s="31">
        <f t="shared" si="358"/>
        <v>0</v>
      </c>
      <c r="V266" s="34">
        <f t="shared" si="359"/>
        <v>421200</v>
      </c>
      <c r="W266" s="43">
        <v>46800</v>
      </c>
      <c r="X266" s="34">
        <f>SUMIF(헤몬팜마진!$B$7:$B$32,$C266,헤몬팜마진!$R$7:$R$32)</f>
        <v>9990.4082249999992</v>
      </c>
      <c r="Y266" s="34" t="e">
        <f t="shared" si="360"/>
        <v>#REF!</v>
      </c>
      <c r="Z266" s="34">
        <f t="shared" si="361"/>
        <v>27797.000000000004</v>
      </c>
      <c r="AA266" s="49">
        <v>25270</v>
      </c>
      <c r="AB266" s="36"/>
      <c r="AC266" s="204">
        <f t="shared" si="368"/>
        <v>0</v>
      </c>
      <c r="AD266" s="152">
        <v>0.11</v>
      </c>
      <c r="AE266" s="31">
        <f t="shared" si="369"/>
        <v>37350</v>
      </c>
      <c r="AF266" s="28">
        <f t="shared" si="363"/>
        <v>0.19867521367521368</v>
      </c>
      <c r="AG266" s="34">
        <f t="shared" si="364"/>
        <v>83682.03</v>
      </c>
      <c r="AH266" s="34" t="e">
        <f t="shared" si="365"/>
        <v>#REF!</v>
      </c>
      <c r="AI266" s="34" t="e">
        <f>SUMIF(헤몬팜마진!$B$7:$B$32,$C266,헤몬팜마진!$V$7:$V$32)</f>
        <v>#REF!</v>
      </c>
      <c r="AJ266" s="34" t="e">
        <f t="shared" si="366"/>
        <v>#REF!</v>
      </c>
      <c r="AK266" s="206" t="e">
        <f t="shared" si="367"/>
        <v>#REF!</v>
      </c>
      <c r="AL266" s="40">
        <f>SUMIF(헤몬팜마진!$B$7:$B$32,$C266,헤몬팜마진!$T$7:$T$32)</f>
        <v>162</v>
      </c>
      <c r="AM266" s="41">
        <f>SUMIF(헤몬팜마진!$B$7:$B$32,$C266,헤몬팜마진!$U$7:$U$32)</f>
        <v>826.80000000000007</v>
      </c>
      <c r="AN266" s="36"/>
      <c r="AO266" s="202">
        <v>54603</v>
      </c>
      <c r="AP266" s="205">
        <v>122</v>
      </c>
      <c r="AQ266" s="126"/>
      <c r="AR266" s="126"/>
      <c r="AS266" s="126"/>
      <c r="AT266" s="118"/>
      <c r="AU266" s="118"/>
      <c r="AV266" s="118"/>
      <c r="AW266" s="118"/>
      <c r="AX266" s="118"/>
      <c r="AY266" s="118"/>
      <c r="AZ266" s="118"/>
      <c r="BA266" s="118"/>
      <c r="BB266" s="118"/>
      <c r="BC266" s="118"/>
      <c r="BD266" s="118"/>
      <c r="BE266" s="118"/>
      <c r="BF266" s="118"/>
      <c r="BG266" s="47"/>
      <c r="BH266" s="47"/>
      <c r="BI266" s="47"/>
      <c r="BJ266" s="47"/>
      <c r="BK266" s="47"/>
    </row>
    <row r="267" spans="1:63" ht="28.5" customHeight="1">
      <c r="A267" s="12" t="s">
        <v>132</v>
      </c>
      <c r="B267" s="323"/>
      <c r="C267" s="42" t="s">
        <v>32</v>
      </c>
      <c r="D267" s="28" t="e">
        <f t="shared" si="350"/>
        <v>#REF!</v>
      </c>
      <c r="E267" s="201" t="e">
        <f t="shared" si="351"/>
        <v>#REF!</v>
      </c>
      <c r="F267" s="30" t="e">
        <f t="shared" si="352"/>
        <v>#DIV/0!</v>
      </c>
      <c r="G267" s="30">
        <f t="shared" si="353"/>
        <v>0</v>
      </c>
      <c r="H267" s="37">
        <v>3504</v>
      </c>
      <c r="I267" s="35">
        <f t="shared" si="354"/>
        <v>210</v>
      </c>
      <c r="J267" s="35">
        <f t="shared" si="355"/>
        <v>420</v>
      </c>
      <c r="K267" s="325">
        <v>626</v>
      </c>
      <c r="L267" s="39">
        <f>30+13+6</f>
        <v>49</v>
      </c>
      <c r="M267" s="210"/>
      <c r="N267" s="208">
        <v>30</v>
      </c>
      <c r="O267" s="202"/>
      <c r="P267" s="31">
        <f t="shared" si="356"/>
        <v>0</v>
      </c>
      <c r="Q267" s="36"/>
      <c r="R267" s="203"/>
      <c r="S267" s="36"/>
      <c r="T267" s="34">
        <f t="shared" si="357"/>
        <v>0</v>
      </c>
      <c r="U267" s="31">
        <f t="shared" si="358"/>
        <v>0</v>
      </c>
      <c r="V267" s="34">
        <f t="shared" si="359"/>
        <v>0</v>
      </c>
      <c r="W267" s="43">
        <v>59800</v>
      </c>
      <c r="X267" s="34">
        <f>SUMIF(헤몬팜마진!$B$7:$B$32,$C267,헤몬팜마진!$R$7:$R$32)</f>
        <v>13276.289999999999</v>
      </c>
      <c r="Y267" s="34" t="e">
        <f t="shared" si="360"/>
        <v>#REF!</v>
      </c>
      <c r="Z267" s="34">
        <f t="shared" si="361"/>
        <v>14126.2</v>
      </c>
      <c r="AA267" s="49">
        <v>12842</v>
      </c>
      <c r="AB267" s="209"/>
      <c r="AC267" s="204">
        <f t="shared" si="368"/>
        <v>0</v>
      </c>
      <c r="AD267" s="152">
        <v>0.108</v>
      </c>
      <c r="AE267" s="31">
        <f t="shared" ref="AE267:AE268" si="370">4825*(P267)</f>
        <v>0</v>
      </c>
      <c r="AF267" s="28" t="e">
        <f t="shared" si="363"/>
        <v>#DIV/0!</v>
      </c>
      <c r="AG267" s="34">
        <f t="shared" si="364"/>
        <v>0</v>
      </c>
      <c r="AH267" s="34" t="e">
        <f t="shared" si="365"/>
        <v>#REF!</v>
      </c>
      <c r="AI267" s="34" t="e">
        <f>SUMIF(헤몬팜마진!$B$7:$B$32,$C267,헤몬팜마진!$V$7:$V$32)</f>
        <v>#REF!</v>
      </c>
      <c r="AJ267" s="34" t="e">
        <f t="shared" si="366"/>
        <v>#REF!</v>
      </c>
      <c r="AK267" s="46" t="e">
        <f t="shared" si="367"/>
        <v>#REF!</v>
      </c>
      <c r="AL267" s="40">
        <f>SUMIF(헤몬팜마진!$B$7:$B$32,$C267,헤몬팜마진!$T$7:$T$32)</f>
        <v>371.52</v>
      </c>
      <c r="AM267" s="41">
        <f>SUMIF(헤몬팜마진!$B$7:$B$32,$C267,헤몬팜마진!$U$7:$U$32)</f>
        <v>1896.1279999999999</v>
      </c>
      <c r="AN267" s="36"/>
      <c r="AO267" s="202">
        <v>14474</v>
      </c>
      <c r="AP267" s="205">
        <v>29</v>
      </c>
      <c r="AQ267" s="126"/>
      <c r="AR267" s="126"/>
      <c r="AS267" s="126"/>
      <c r="AT267" s="118"/>
      <c r="AU267" s="118"/>
      <c r="AV267" s="118"/>
      <c r="AW267" s="118"/>
      <c r="AX267" s="118"/>
      <c r="AY267" s="118"/>
      <c r="AZ267" s="118"/>
      <c r="BA267" s="118"/>
      <c r="BB267" s="118"/>
      <c r="BC267" s="118"/>
      <c r="BD267" s="118"/>
      <c r="BE267" s="118"/>
      <c r="BF267" s="118"/>
      <c r="BG267" s="47"/>
      <c r="BH267" s="47"/>
      <c r="BI267" s="47"/>
      <c r="BJ267" s="47"/>
      <c r="BK267" s="47"/>
    </row>
    <row r="268" spans="1:63" ht="28.5" customHeight="1">
      <c r="A268" s="12" t="s">
        <v>132</v>
      </c>
      <c r="B268" s="324"/>
      <c r="C268" s="42" t="s">
        <v>33</v>
      </c>
      <c r="D268" s="28" t="e">
        <f t="shared" si="350"/>
        <v>#REF!</v>
      </c>
      <c r="E268" s="201" t="e">
        <f t="shared" si="351"/>
        <v>#REF!</v>
      </c>
      <c r="F268" s="30" t="e">
        <f t="shared" si="352"/>
        <v>#DIV/0!</v>
      </c>
      <c r="G268" s="30">
        <f t="shared" si="353"/>
        <v>0</v>
      </c>
      <c r="H268" s="35">
        <v>0</v>
      </c>
      <c r="I268" s="35">
        <f t="shared" si="354"/>
        <v>210</v>
      </c>
      <c r="J268" s="35">
        <f t="shared" si="355"/>
        <v>420</v>
      </c>
      <c r="K268" s="310"/>
      <c r="L268" s="39">
        <f>4+11+18+38+129</f>
        <v>200</v>
      </c>
      <c r="M268" s="210"/>
      <c r="N268" s="44">
        <v>30</v>
      </c>
      <c r="O268" s="202"/>
      <c r="P268" s="31">
        <f t="shared" si="356"/>
        <v>0</v>
      </c>
      <c r="Q268" s="36"/>
      <c r="R268" s="203"/>
      <c r="S268" s="36"/>
      <c r="T268" s="34">
        <f t="shared" si="357"/>
        <v>0</v>
      </c>
      <c r="U268" s="31">
        <f t="shared" si="358"/>
        <v>0</v>
      </c>
      <c r="V268" s="34">
        <f t="shared" si="359"/>
        <v>0</v>
      </c>
      <c r="W268" s="43">
        <v>69780</v>
      </c>
      <c r="X268" s="34">
        <f>SUMIF(헤몬팜마진!$B$7:$B$32,$C268,헤몬팜마진!$R$7:$R$32)</f>
        <v>13276.289999999999</v>
      </c>
      <c r="Y268" s="34" t="e">
        <f t="shared" si="360"/>
        <v>#REF!</v>
      </c>
      <c r="Z268" s="34">
        <f t="shared" si="361"/>
        <v>28594.500000000004</v>
      </c>
      <c r="AA268" s="49">
        <v>25995</v>
      </c>
      <c r="AB268" s="36"/>
      <c r="AC268" s="204">
        <f t="shared" si="368"/>
        <v>0</v>
      </c>
      <c r="AD268" s="152">
        <v>0.108</v>
      </c>
      <c r="AE268" s="31">
        <f t="shared" si="370"/>
        <v>0</v>
      </c>
      <c r="AF268" s="28" t="e">
        <f t="shared" si="363"/>
        <v>#DIV/0!</v>
      </c>
      <c r="AG268" s="34">
        <f t="shared" si="364"/>
        <v>0</v>
      </c>
      <c r="AH268" s="34" t="e">
        <f t="shared" si="365"/>
        <v>#REF!</v>
      </c>
      <c r="AI268" s="34" t="e">
        <f>SUMIF(헤몬팜마진!$B$7:$B$32,$C268,헤몬팜마진!$V$7:$V$32)</f>
        <v>#REF!</v>
      </c>
      <c r="AJ268" s="34" t="e">
        <f t="shared" si="366"/>
        <v>#REF!</v>
      </c>
      <c r="AK268" s="46" t="e">
        <f t="shared" si="367"/>
        <v>#REF!</v>
      </c>
      <c r="AL268" s="40">
        <f>SUMIF(헤몬팜마진!$B$7:$B$32,$C268,헤몬팜마진!$T$7:$T$32)</f>
        <v>371.52</v>
      </c>
      <c r="AM268" s="41">
        <f>SUMIF(헤몬팜마진!$B$7:$B$32,$C268,헤몬팜마진!$U$7:$U$32)</f>
        <v>1896.1279999999999</v>
      </c>
      <c r="AN268" s="36"/>
      <c r="AO268" s="202">
        <v>22167</v>
      </c>
      <c r="AP268" s="205">
        <v>29</v>
      </c>
      <c r="AQ268" s="126"/>
      <c r="AR268" s="126"/>
      <c r="AS268" s="126"/>
      <c r="AT268" s="118"/>
      <c r="AU268" s="118"/>
      <c r="AV268" s="118"/>
      <c r="AW268" s="118"/>
      <c r="AX268" s="118"/>
      <c r="AY268" s="118"/>
      <c r="AZ268" s="118"/>
      <c r="BA268" s="118"/>
      <c r="BB268" s="118"/>
      <c r="BC268" s="118"/>
      <c r="BD268" s="118"/>
      <c r="BE268" s="118"/>
      <c r="BF268" s="118"/>
      <c r="BG268" s="47"/>
      <c r="BH268" s="47"/>
      <c r="BI268" s="47"/>
      <c r="BJ268" s="47"/>
      <c r="BK268" s="47"/>
    </row>
    <row r="269" spans="1:63" ht="28.5" customHeight="1">
      <c r="A269" s="228" t="s">
        <v>133</v>
      </c>
      <c r="B269" s="200"/>
      <c r="C269" s="42" t="s">
        <v>111</v>
      </c>
      <c r="D269" s="28">
        <f t="shared" si="350"/>
        <v>0.1407632881231671</v>
      </c>
      <c r="E269" s="201">
        <f t="shared" si="351"/>
        <v>0.3908085734829686</v>
      </c>
      <c r="F269" s="30">
        <f t="shared" si="352"/>
        <v>0.25004528535980153</v>
      </c>
      <c r="G269" s="30">
        <f t="shared" si="353"/>
        <v>1.2868540707483772E-4</v>
      </c>
      <c r="H269" s="35">
        <v>500</v>
      </c>
      <c r="I269" s="35">
        <f t="shared" si="354"/>
        <v>105</v>
      </c>
      <c r="J269" s="35">
        <f t="shared" si="355"/>
        <v>210</v>
      </c>
      <c r="K269" s="39">
        <v>577</v>
      </c>
      <c r="L269" s="39">
        <v>211</v>
      </c>
      <c r="M269" s="210"/>
      <c r="N269" s="44">
        <v>15</v>
      </c>
      <c r="O269" s="202">
        <v>10</v>
      </c>
      <c r="P269" s="31">
        <f t="shared" si="356"/>
        <v>10</v>
      </c>
      <c r="Q269" s="202"/>
      <c r="R269" s="203">
        <v>9</v>
      </c>
      <c r="S269" s="202"/>
      <c r="T269" s="34">
        <f t="shared" si="357"/>
        <v>161200</v>
      </c>
      <c r="U269" s="31">
        <f t="shared" si="358"/>
        <v>0</v>
      </c>
      <c r="V269" s="34">
        <f t="shared" si="359"/>
        <v>161200</v>
      </c>
      <c r="W269" s="43">
        <v>16120</v>
      </c>
      <c r="X269" s="34">
        <f>SUMIF(헤몬팜마진!$B$7:$B$32,$C269,헤몬팜마진!$R$7:$R$32)</f>
        <v>5089.2444999999998</v>
      </c>
      <c r="Y269" s="34">
        <f t="shared" si="360"/>
        <v>51263.244999999995</v>
      </c>
      <c r="Z269" s="34">
        <f t="shared" si="361"/>
        <v>40307.300000000003</v>
      </c>
      <c r="AA269" s="49">
        <v>36643</v>
      </c>
      <c r="AB269" s="211"/>
      <c r="AC269" s="204">
        <f t="shared" si="368"/>
        <v>0</v>
      </c>
      <c r="AD269" s="152">
        <v>7.8E-2</v>
      </c>
      <c r="AE269" s="31">
        <f>2900*(P269)</f>
        <v>29000</v>
      </c>
      <c r="AF269" s="28">
        <f t="shared" si="363"/>
        <v>0.25790074441687344</v>
      </c>
      <c r="AG269" s="34">
        <f t="shared" si="364"/>
        <v>41573.629999999997</v>
      </c>
      <c r="AH269" s="34">
        <f t="shared" si="365"/>
        <v>5364.7829545454533</v>
      </c>
      <c r="AI269" s="34">
        <f>SUMIF(헤몬팜마진!$B$7:$B$32,$C269,헤몬팜마진!$V$7:$V$32)</f>
        <v>5126.3244999999997</v>
      </c>
      <c r="AJ269" s="34">
        <f t="shared" si="366"/>
        <v>62998.342045454541</v>
      </c>
      <c r="AK269" s="206">
        <f t="shared" si="367"/>
        <v>22691.042045454538</v>
      </c>
      <c r="AL269" s="40">
        <f>SUMIF(헤몬팜마진!$B$7:$B$32,$C269,헤몬팜마진!$T$7:$T$32)</f>
        <v>6.0750000000000002</v>
      </c>
      <c r="AM269" s="41">
        <f>SUMIF(헤몬팜마진!$B$7:$B$32,$C269,헤몬팜마진!$U$7:$U$32)</f>
        <v>31.005000000000003</v>
      </c>
      <c r="AN269" s="36"/>
      <c r="AO269" s="202">
        <v>36643</v>
      </c>
      <c r="AP269" s="205">
        <v>69938</v>
      </c>
      <c r="AQ269" s="126"/>
      <c r="AR269" s="126"/>
      <c r="AS269" s="126"/>
      <c r="AT269" s="118"/>
      <c r="AU269" s="118"/>
      <c r="AV269" s="118"/>
      <c r="AW269" s="118"/>
      <c r="AX269" s="118"/>
      <c r="AY269" s="118"/>
      <c r="AZ269" s="118"/>
      <c r="BA269" s="118"/>
      <c r="BB269" s="118"/>
      <c r="BC269" s="118"/>
      <c r="BD269" s="118"/>
      <c r="BE269" s="118"/>
      <c r="BF269" s="118"/>
      <c r="BG269" s="47"/>
      <c r="BH269" s="47"/>
      <c r="BI269" s="47"/>
      <c r="BJ269" s="47"/>
      <c r="BK269" s="47"/>
    </row>
    <row r="270" spans="1:63" ht="28.5" customHeight="1">
      <c r="A270" s="327" t="s">
        <v>134</v>
      </c>
      <c r="B270" s="323"/>
      <c r="C270" s="42" t="s">
        <v>112</v>
      </c>
      <c r="D270" s="29" t="e">
        <f t="shared" si="350"/>
        <v>#REF!</v>
      </c>
      <c r="E270" s="201" t="e">
        <f t="shared" si="351"/>
        <v>#REF!</v>
      </c>
      <c r="F270" s="30">
        <f t="shared" si="352"/>
        <v>0.22837437185929649</v>
      </c>
      <c r="G270" s="30">
        <f t="shared" si="353"/>
        <v>4.6632124352331605E-2</v>
      </c>
      <c r="H270" s="312">
        <v>0</v>
      </c>
      <c r="I270" s="35">
        <f t="shared" si="354"/>
        <v>140</v>
      </c>
      <c r="J270" s="35">
        <f t="shared" si="355"/>
        <v>280</v>
      </c>
      <c r="K270" s="325">
        <v>343</v>
      </c>
      <c r="L270" s="39">
        <f>97+42+48+31+19+10</f>
        <v>247</v>
      </c>
      <c r="M270" s="210"/>
      <c r="N270" s="44">
        <v>20</v>
      </c>
      <c r="O270" s="202">
        <v>11</v>
      </c>
      <c r="P270" s="31">
        <f t="shared" si="356"/>
        <v>11</v>
      </c>
      <c r="Q270" s="202"/>
      <c r="R270" s="167">
        <v>9</v>
      </c>
      <c r="S270" s="36"/>
      <c r="T270" s="34">
        <f t="shared" si="357"/>
        <v>437800</v>
      </c>
      <c r="U270" s="31">
        <f t="shared" si="358"/>
        <v>0</v>
      </c>
      <c r="V270" s="34">
        <f t="shared" si="359"/>
        <v>437800</v>
      </c>
      <c r="W270" s="43">
        <v>39800</v>
      </c>
      <c r="X270" s="34">
        <f>SUMIF(헤몬팜마진!$B$7:$B$32,$C270,헤몬팜마진!$R$7:$R$32)</f>
        <v>7855.1382499999991</v>
      </c>
      <c r="Y270" s="34" t="e">
        <f t="shared" si="360"/>
        <v>#REF!</v>
      </c>
      <c r="Z270" s="34">
        <f t="shared" si="361"/>
        <v>99982.3</v>
      </c>
      <c r="AA270" s="49">
        <v>90893</v>
      </c>
      <c r="AB270" s="209"/>
      <c r="AC270" s="204">
        <f t="shared" si="368"/>
        <v>0</v>
      </c>
      <c r="AD270" s="152">
        <v>0.08</v>
      </c>
      <c r="AE270" s="31">
        <f>4150*(P270)</f>
        <v>45650</v>
      </c>
      <c r="AF270" s="28">
        <f t="shared" si="363"/>
        <v>0.18427135678391959</v>
      </c>
      <c r="AG270" s="34">
        <f t="shared" si="364"/>
        <v>80674.03</v>
      </c>
      <c r="AH270" s="34" t="e">
        <f t="shared" si="365"/>
        <v>#REF!</v>
      </c>
      <c r="AI270" s="34" t="e">
        <f>SUMIF(헤몬팜마진!$B$7:$B$32,$C270,헤몬팜마진!$V$7:$V$32)</f>
        <v>#REF!</v>
      </c>
      <c r="AJ270" s="34" t="e">
        <f t="shared" si="366"/>
        <v>#REF!</v>
      </c>
      <c r="AK270" s="46" t="e">
        <f t="shared" si="367"/>
        <v>#REF!</v>
      </c>
      <c r="AL270" s="40">
        <f>SUMIF(헤몬팜마진!$B$7:$B$32,$C270,헤몬팜마진!$T$7:$T$32)</f>
        <v>176.41799999999998</v>
      </c>
      <c r="AM270" s="41">
        <f>SUMIF(헤몬팜마진!$B$7:$B$32,$C270,헤몬팜마진!$U$7:$U$32)</f>
        <v>900.38519999999994</v>
      </c>
      <c r="AN270" s="36"/>
      <c r="AO270" s="202">
        <v>60802</v>
      </c>
      <c r="AP270" s="205">
        <v>193</v>
      </c>
      <c r="AQ270" s="126"/>
      <c r="AR270" s="126"/>
      <c r="AS270" s="126"/>
      <c r="AT270" s="118"/>
      <c r="AU270" s="118"/>
      <c r="AV270" s="118"/>
      <c r="AW270" s="118"/>
      <c r="AX270" s="118"/>
      <c r="AY270" s="118"/>
      <c r="AZ270" s="118"/>
      <c r="BA270" s="118"/>
      <c r="BB270" s="118"/>
      <c r="BC270" s="118"/>
      <c r="BD270" s="118"/>
      <c r="BE270" s="118"/>
      <c r="BF270" s="118"/>
      <c r="BG270" s="47"/>
      <c r="BH270" s="47"/>
      <c r="BI270" s="47"/>
      <c r="BJ270" s="47"/>
      <c r="BK270" s="47"/>
    </row>
    <row r="271" spans="1:63" ht="28.5" customHeight="1">
      <c r="A271" s="318"/>
      <c r="B271" s="324"/>
      <c r="C271" s="42" t="s">
        <v>113</v>
      </c>
      <c r="D271" s="28" t="e">
        <f t="shared" si="350"/>
        <v>#REF!</v>
      </c>
      <c r="E271" s="201" t="e">
        <f t="shared" si="351"/>
        <v>#REF!</v>
      </c>
      <c r="F271" s="30">
        <f t="shared" si="352"/>
        <v>0.30712820512820516</v>
      </c>
      <c r="G271" s="30">
        <f t="shared" si="353"/>
        <v>0.01</v>
      </c>
      <c r="H271" s="310"/>
      <c r="I271" s="35">
        <f t="shared" si="354"/>
        <v>105</v>
      </c>
      <c r="J271" s="35">
        <f t="shared" si="355"/>
        <v>210</v>
      </c>
      <c r="K271" s="310"/>
      <c r="L271" s="39">
        <f>74+42+48+18+8+2</f>
        <v>192</v>
      </c>
      <c r="M271" s="210"/>
      <c r="N271" s="44">
        <v>15</v>
      </c>
      <c r="O271" s="36">
        <v>3</v>
      </c>
      <c r="P271" s="31">
        <f t="shared" si="356"/>
        <v>3</v>
      </c>
      <c r="Q271" s="36"/>
      <c r="R271" s="167">
        <v>1</v>
      </c>
      <c r="S271" s="36"/>
      <c r="T271" s="34">
        <f t="shared" si="357"/>
        <v>128700</v>
      </c>
      <c r="U271" s="31">
        <f t="shared" si="358"/>
        <v>0</v>
      </c>
      <c r="V271" s="34">
        <f t="shared" si="359"/>
        <v>128700</v>
      </c>
      <c r="W271" s="43">
        <v>42900</v>
      </c>
      <c r="X271" s="34">
        <f>SUMIF(헤몬팜마진!$B$7:$B$32,$C271,헤몬팜마진!$R$7:$R$32)</f>
        <v>7855.1382499999991</v>
      </c>
      <c r="Y271" s="34" t="e">
        <f t="shared" si="360"/>
        <v>#REF!</v>
      </c>
      <c r="Z271" s="34">
        <f t="shared" si="361"/>
        <v>39527.4</v>
      </c>
      <c r="AA271" s="49">
        <v>35934</v>
      </c>
      <c r="AB271" s="36"/>
      <c r="AC271" s="204">
        <f t="shared" si="368"/>
        <v>0</v>
      </c>
      <c r="AD271" s="152">
        <v>7.8E-2</v>
      </c>
      <c r="AE271" s="31">
        <f>1900*(P271)</f>
        <v>5700</v>
      </c>
      <c r="AF271" s="28">
        <f t="shared" si="363"/>
        <v>0.12228904428904429</v>
      </c>
      <c r="AG271" s="34">
        <f t="shared" si="364"/>
        <v>15738.630000000001</v>
      </c>
      <c r="AH271" s="34" t="e">
        <f t="shared" si="365"/>
        <v>#REF!</v>
      </c>
      <c r="AI271" s="34" t="e">
        <f>SUMIF(헤몬팜마진!$B$7:$B$32,$C271,헤몬팜마진!$V$7:$V$32)</f>
        <v>#REF!</v>
      </c>
      <c r="AJ271" s="34" t="e">
        <f t="shared" si="366"/>
        <v>#REF!</v>
      </c>
      <c r="AK271" s="206" t="e">
        <f t="shared" si="367"/>
        <v>#REF!</v>
      </c>
      <c r="AL271" s="40">
        <f>SUMIF(헤몬팜마진!$B$7:$B$32,$C271,헤몬팜마진!$T$7:$T$32)</f>
        <v>176.41799999999998</v>
      </c>
      <c r="AM271" s="41">
        <f>SUMIF(헤몬팜마진!$B$7:$B$32,$C271,헤몬팜마진!$U$7:$U$32)</f>
        <v>900.38519999999994</v>
      </c>
      <c r="AN271" s="36"/>
      <c r="AO271" s="202">
        <v>42810</v>
      </c>
      <c r="AP271" s="205">
        <v>100</v>
      </c>
      <c r="AQ271" s="126"/>
      <c r="AR271" s="126"/>
      <c r="AS271" s="126"/>
      <c r="AT271" s="118"/>
      <c r="AU271" s="118"/>
      <c r="AV271" s="118"/>
      <c r="AW271" s="118"/>
      <c r="AX271" s="118"/>
      <c r="AY271" s="118"/>
      <c r="AZ271" s="118"/>
      <c r="BA271" s="118"/>
      <c r="BB271" s="118"/>
      <c r="BC271" s="118"/>
      <c r="BD271" s="118"/>
      <c r="BE271" s="118"/>
      <c r="BF271" s="118"/>
      <c r="BG271" s="47"/>
      <c r="BH271" s="47"/>
      <c r="BI271" s="47"/>
      <c r="BJ271" s="47"/>
      <c r="BK271" s="47"/>
    </row>
    <row r="272" spans="1:63" ht="28.5" customHeight="1">
      <c r="A272" s="228" t="s">
        <v>135</v>
      </c>
      <c r="B272" s="200"/>
      <c r="C272" s="42" t="s">
        <v>114</v>
      </c>
      <c r="D272" s="28">
        <f t="shared" si="350"/>
        <v>4.530651429924247E-2</v>
      </c>
      <c r="E272" s="201">
        <f t="shared" si="351"/>
        <v>0.36298880596590916</v>
      </c>
      <c r="F272" s="30">
        <f t="shared" si="352"/>
        <v>0.31768229166666673</v>
      </c>
      <c r="G272" s="30">
        <f t="shared" si="353"/>
        <v>8.4210526315789472E-2</v>
      </c>
      <c r="H272" s="35">
        <v>1750</v>
      </c>
      <c r="I272" s="35">
        <f t="shared" si="354"/>
        <v>350</v>
      </c>
      <c r="J272" s="35">
        <f t="shared" si="355"/>
        <v>700</v>
      </c>
      <c r="K272" s="39">
        <v>1449</v>
      </c>
      <c r="L272" s="39">
        <v>1217</v>
      </c>
      <c r="M272" s="210"/>
      <c r="N272" s="44">
        <v>50</v>
      </c>
      <c r="O272" s="202">
        <v>10</v>
      </c>
      <c r="P272" s="31">
        <f t="shared" si="356"/>
        <v>10</v>
      </c>
      <c r="Q272" s="36">
        <v>3</v>
      </c>
      <c r="R272" s="203">
        <v>8</v>
      </c>
      <c r="S272" s="36"/>
      <c r="T272" s="34">
        <f t="shared" si="357"/>
        <v>192000</v>
      </c>
      <c r="U272" s="31">
        <f t="shared" si="358"/>
        <v>0</v>
      </c>
      <c r="V272" s="34">
        <f t="shared" si="359"/>
        <v>192000</v>
      </c>
      <c r="W272" s="43">
        <v>19200</v>
      </c>
      <c r="X272" s="34">
        <f>SUMIF(헤몬팜마진!$B$7:$B$32,$C272,헤몬팜마진!$R$7:$R$32)</f>
        <v>6372.6191999999992</v>
      </c>
      <c r="Y272" s="34">
        <f t="shared" si="360"/>
        <v>67714.351999999984</v>
      </c>
      <c r="Z272" s="34">
        <f t="shared" si="361"/>
        <v>60995.000000000007</v>
      </c>
      <c r="AA272" s="49">
        <v>55450</v>
      </c>
      <c r="AB272" s="36"/>
      <c r="AC272" s="204">
        <f t="shared" si="368"/>
        <v>6930</v>
      </c>
      <c r="AD272" s="152">
        <v>0.08</v>
      </c>
      <c r="AE272" s="31">
        <f>3350*(P272)</f>
        <v>33500</v>
      </c>
      <c r="AF272" s="28">
        <f t="shared" si="363"/>
        <v>0.25447916666666665</v>
      </c>
      <c r="AG272" s="34">
        <f t="shared" si="364"/>
        <v>48860.029999999992</v>
      </c>
      <c r="AH272" s="34">
        <f t="shared" si="365"/>
        <v>5731.7672545454534</v>
      </c>
      <c r="AI272" s="34">
        <f>SUMIF(헤몬팜마진!$B$7:$B$32,$C272,헤몬팜마진!$V$7:$V$32)</f>
        <v>6771.435199999999</v>
      </c>
      <c r="AJ272" s="34">
        <f t="shared" si="366"/>
        <v>69693.850745454562</v>
      </c>
      <c r="AK272" s="46">
        <f t="shared" si="367"/>
        <v>8698.8507454545543</v>
      </c>
      <c r="AL272" s="40">
        <f>SUMIF(헤몬팜마진!$B$7:$B$32,$C272,헤몬팜마진!$T$7:$T$32)</f>
        <v>65.34</v>
      </c>
      <c r="AM272" s="41">
        <f>SUMIF(헤몬팜마진!$B$7:$B$32,$C272,헤몬팜마진!$U$7:$U$32)</f>
        <v>333.476</v>
      </c>
      <c r="AN272" s="36"/>
      <c r="AO272" s="235">
        <v>49955</v>
      </c>
      <c r="AP272" s="235">
        <v>95</v>
      </c>
      <c r="AQ272" s="126"/>
      <c r="AR272" s="126"/>
      <c r="AS272" s="126"/>
      <c r="AT272" s="118"/>
      <c r="AU272" s="118"/>
      <c r="AV272" s="118"/>
      <c r="AW272" s="118"/>
      <c r="AX272" s="118"/>
      <c r="AY272" s="118"/>
      <c r="AZ272" s="118"/>
      <c r="BA272" s="118"/>
      <c r="BB272" s="118"/>
      <c r="BC272" s="118"/>
      <c r="BD272" s="118"/>
      <c r="BE272" s="118"/>
      <c r="BF272" s="118"/>
      <c r="BG272" s="47"/>
      <c r="BH272" s="47"/>
      <c r="BI272" s="47"/>
      <c r="BJ272" s="47"/>
      <c r="BK272" s="47"/>
    </row>
    <row r="273" spans="1:63" ht="28.5" customHeight="1">
      <c r="A273" s="327" t="s">
        <v>136</v>
      </c>
      <c r="B273" s="326"/>
      <c r="C273" s="42" t="s">
        <v>115</v>
      </c>
      <c r="D273" s="28" t="e">
        <f t="shared" si="350"/>
        <v>#REF!</v>
      </c>
      <c r="E273" s="201" t="e">
        <f t="shared" si="351"/>
        <v>#REF!</v>
      </c>
      <c r="F273" s="30">
        <f t="shared" si="352"/>
        <v>0.70114413871594039</v>
      </c>
      <c r="G273" s="30">
        <f t="shared" si="353"/>
        <v>3.3898305084745763E-2</v>
      </c>
      <c r="H273" s="35">
        <v>0</v>
      </c>
      <c r="I273" s="35">
        <f t="shared" si="354"/>
        <v>70</v>
      </c>
      <c r="J273" s="35">
        <f t="shared" si="355"/>
        <v>140</v>
      </c>
      <c r="K273" s="328">
        <v>494</v>
      </c>
      <c r="L273" s="39">
        <v>0</v>
      </c>
      <c r="M273" s="210"/>
      <c r="N273" s="44">
        <v>10</v>
      </c>
      <c r="O273" s="36">
        <v>3</v>
      </c>
      <c r="P273" s="31">
        <f t="shared" si="356"/>
        <v>3</v>
      </c>
      <c r="Q273" s="36">
        <v>1</v>
      </c>
      <c r="R273" s="167">
        <v>4</v>
      </c>
      <c r="S273" s="36"/>
      <c r="T273" s="34">
        <f t="shared" si="357"/>
        <v>149370</v>
      </c>
      <c r="U273" s="31">
        <f t="shared" si="358"/>
        <v>0</v>
      </c>
      <c r="V273" s="34">
        <f t="shared" si="359"/>
        <v>149370</v>
      </c>
      <c r="W273" s="43">
        <v>49790</v>
      </c>
      <c r="X273" s="34">
        <f>SUMIF(헤몬팜마진!$B$7:$B$32,$C273,헤몬팜마진!$R$7:$R$32)</f>
        <v>12169.932499999999</v>
      </c>
      <c r="Y273" s="34" t="e">
        <f t="shared" si="360"/>
        <v>#REF!</v>
      </c>
      <c r="Z273" s="34">
        <f t="shared" si="361"/>
        <v>104729.90000000001</v>
      </c>
      <c r="AA273" s="49">
        <v>95209</v>
      </c>
      <c r="AB273" s="36"/>
      <c r="AC273" s="204">
        <f t="shared" si="368"/>
        <v>2310</v>
      </c>
      <c r="AD273" s="152">
        <v>7.8E-2</v>
      </c>
      <c r="AE273" s="31">
        <f t="shared" ref="AE273:AE274" si="371">4825*(P273)</f>
        <v>14475</v>
      </c>
      <c r="AF273" s="28">
        <f t="shared" si="363"/>
        <v>0.17490700943964652</v>
      </c>
      <c r="AG273" s="34">
        <f t="shared" si="364"/>
        <v>26125.89</v>
      </c>
      <c r="AH273" s="34" t="e">
        <f t="shared" si="365"/>
        <v>#REF!</v>
      </c>
      <c r="AI273" s="34" t="e">
        <f>SUMIF(헤몬팜마진!$B$7:$B$32,$C273,헤몬팜마진!$V$7:$V$32)</f>
        <v>#REF!</v>
      </c>
      <c r="AJ273" s="34" t="e">
        <f t="shared" si="366"/>
        <v>#REF!</v>
      </c>
      <c r="AK273" s="206" t="e">
        <f t="shared" si="367"/>
        <v>#REF!</v>
      </c>
      <c r="AL273" s="40">
        <f>SUMIF(헤몬팜마진!$B$7:$B$32,$C273,헤몬팜마진!$T$7:$T$32)</f>
        <v>181.44000000000003</v>
      </c>
      <c r="AM273" s="41">
        <f>SUMIF(헤몬팜마진!$B$7:$B$32,$C273,헤몬팜마진!$U$7:$U$32)</f>
        <v>926.01600000000019</v>
      </c>
      <c r="AN273" s="36"/>
      <c r="AO273" s="202">
        <v>32377</v>
      </c>
      <c r="AP273" s="205">
        <v>118</v>
      </c>
      <c r="AQ273" s="126"/>
      <c r="AR273" s="126"/>
      <c r="AS273" s="126"/>
      <c r="AT273" s="118"/>
      <c r="AU273" s="118"/>
      <c r="AV273" s="118"/>
      <c r="AW273" s="118"/>
      <c r="AX273" s="118"/>
      <c r="AY273" s="118"/>
      <c r="AZ273" s="118"/>
      <c r="BA273" s="118"/>
      <c r="BB273" s="118"/>
      <c r="BC273" s="118"/>
      <c r="BD273" s="118"/>
      <c r="BE273" s="118"/>
      <c r="BF273" s="118"/>
      <c r="BG273" s="47"/>
      <c r="BH273" s="47"/>
      <c r="BI273" s="47"/>
      <c r="BJ273" s="47"/>
      <c r="BK273" s="47"/>
    </row>
    <row r="274" spans="1:63" ht="28.5" customHeight="1">
      <c r="A274" s="318"/>
      <c r="B274" s="324"/>
      <c r="C274" s="42" t="s">
        <v>116</v>
      </c>
      <c r="D274" s="28" t="e">
        <f t="shared" si="350"/>
        <v>#REF!</v>
      </c>
      <c r="E274" s="201" t="e">
        <f t="shared" si="351"/>
        <v>#REF!</v>
      </c>
      <c r="F274" s="30">
        <f t="shared" si="352"/>
        <v>0.22837570342580713</v>
      </c>
      <c r="G274" s="30">
        <f t="shared" si="353"/>
        <v>1.9867549668874173E-2</v>
      </c>
      <c r="H274" s="35">
        <v>0</v>
      </c>
      <c r="I274" s="35">
        <f t="shared" si="354"/>
        <v>70</v>
      </c>
      <c r="J274" s="35">
        <f t="shared" si="355"/>
        <v>140</v>
      </c>
      <c r="K274" s="310"/>
      <c r="L274" s="39">
        <v>1</v>
      </c>
      <c r="M274" s="210"/>
      <c r="N274" s="44">
        <v>10</v>
      </c>
      <c r="O274" s="202">
        <v>7</v>
      </c>
      <c r="P274" s="31">
        <f t="shared" si="356"/>
        <v>7</v>
      </c>
      <c r="Q274" s="202"/>
      <c r="R274" s="203">
        <v>3</v>
      </c>
      <c r="S274" s="36"/>
      <c r="T274" s="34">
        <f t="shared" si="357"/>
        <v>405160</v>
      </c>
      <c r="U274" s="31">
        <f t="shared" si="358"/>
        <v>0</v>
      </c>
      <c r="V274" s="34">
        <f t="shared" si="359"/>
        <v>405160</v>
      </c>
      <c r="W274" s="43">
        <v>57880</v>
      </c>
      <c r="X274" s="34">
        <f>SUMIF(헤몬팜마진!$B$7:$B$32,$C274,헤몬팜마진!$R$7:$R$32)</f>
        <v>12169.932499999999</v>
      </c>
      <c r="Y274" s="34" t="e">
        <f t="shared" si="360"/>
        <v>#REF!</v>
      </c>
      <c r="Z274" s="34">
        <f t="shared" si="361"/>
        <v>92528.700000000012</v>
      </c>
      <c r="AA274" s="49">
        <v>84117</v>
      </c>
      <c r="AB274" s="36"/>
      <c r="AC274" s="204">
        <f t="shared" si="368"/>
        <v>0</v>
      </c>
      <c r="AD274" s="152">
        <v>7.8E-2</v>
      </c>
      <c r="AE274" s="31">
        <f t="shared" si="371"/>
        <v>33775</v>
      </c>
      <c r="AF274" s="28">
        <f t="shared" si="363"/>
        <v>0.16136212854181065</v>
      </c>
      <c r="AG274" s="34">
        <f t="shared" si="364"/>
        <v>65377.51</v>
      </c>
      <c r="AH274" s="34" t="e">
        <f t="shared" si="365"/>
        <v>#REF!</v>
      </c>
      <c r="AI274" s="34" t="e">
        <f>SUMIF(헤몬팜마진!$B$7:$B$32,$C274,헤몬팜마진!$V$7:$V$32)</f>
        <v>#REF!</v>
      </c>
      <c r="AJ274" s="34" t="e">
        <f t="shared" si="366"/>
        <v>#REF!</v>
      </c>
      <c r="AK274" s="46" t="e">
        <f t="shared" si="367"/>
        <v>#REF!</v>
      </c>
      <c r="AL274" s="40">
        <f>SUMIF(헤몬팜마진!$B$7:$B$32,$C274,헤몬팜마진!$T$7:$T$32)</f>
        <v>181.44000000000003</v>
      </c>
      <c r="AM274" s="41">
        <f>SUMIF(헤몬팜마진!$B$7:$B$32,$C274,헤몬팜마진!$U$7:$U$32)</f>
        <v>926.01600000000019</v>
      </c>
      <c r="AN274" s="36"/>
      <c r="AO274" s="202">
        <v>41021</v>
      </c>
      <c r="AP274" s="205">
        <v>151</v>
      </c>
      <c r="AQ274" s="126"/>
      <c r="AR274" s="126"/>
      <c r="AS274" s="126"/>
      <c r="AT274" s="118"/>
      <c r="AU274" s="118"/>
      <c r="AV274" s="118"/>
      <c r="AW274" s="118"/>
      <c r="AX274" s="118"/>
      <c r="AY274" s="118"/>
      <c r="AZ274" s="118"/>
      <c r="BA274" s="118"/>
      <c r="BB274" s="118"/>
      <c r="BC274" s="118"/>
      <c r="BD274" s="118"/>
      <c r="BE274" s="118"/>
      <c r="BF274" s="118"/>
      <c r="BG274" s="47"/>
      <c r="BH274" s="47"/>
      <c r="BI274" s="47"/>
      <c r="BJ274" s="47"/>
      <c r="BK274" s="47"/>
    </row>
    <row r="275" spans="1:63" ht="28.5" customHeight="1">
      <c r="A275" s="228" t="s">
        <v>137</v>
      </c>
      <c r="B275" s="200"/>
      <c r="C275" s="42" t="s">
        <v>117</v>
      </c>
      <c r="D275" s="28">
        <f t="shared" si="350"/>
        <v>0.37312614169851677</v>
      </c>
      <c r="E275" s="201">
        <f t="shared" si="351"/>
        <v>0.4982662818386569</v>
      </c>
      <c r="F275" s="30">
        <f t="shared" si="352"/>
        <v>0.12514014014014016</v>
      </c>
      <c r="G275" s="30">
        <f t="shared" si="353"/>
        <v>2.7027027027027029E-2</v>
      </c>
      <c r="H275" s="35">
        <v>2000</v>
      </c>
      <c r="I275" s="35">
        <f t="shared" si="354"/>
        <v>700</v>
      </c>
      <c r="J275" s="35">
        <f t="shared" si="355"/>
        <v>1400</v>
      </c>
      <c r="K275" s="39">
        <v>2373</v>
      </c>
      <c r="L275" s="39">
        <v>3</v>
      </c>
      <c r="M275" s="210"/>
      <c r="N275" s="44">
        <v>100</v>
      </c>
      <c r="O275" s="202">
        <v>27</v>
      </c>
      <c r="P275" s="31">
        <f t="shared" si="356"/>
        <v>27</v>
      </c>
      <c r="Q275" s="202">
        <v>2</v>
      </c>
      <c r="R275" s="203">
        <v>9</v>
      </c>
      <c r="S275" s="36"/>
      <c r="T275" s="34">
        <f t="shared" si="357"/>
        <v>479520</v>
      </c>
      <c r="U275" s="31">
        <f t="shared" si="358"/>
        <v>0</v>
      </c>
      <c r="V275" s="34">
        <f t="shared" si="359"/>
        <v>479520</v>
      </c>
      <c r="W275" s="43">
        <v>17760</v>
      </c>
      <c r="X275" s="34">
        <f>SUMIF(헤몬팜마진!$B$7:$B$32,$C275,헤몬팜마진!$R$7:$R$32)</f>
        <v>3982.8869999999997</v>
      </c>
      <c r="Y275" s="34">
        <f t="shared" si="360"/>
        <v>130604.67539999999</v>
      </c>
      <c r="Z275" s="34">
        <f t="shared" si="361"/>
        <v>60007.200000000004</v>
      </c>
      <c r="AA275" s="49">
        <f>30307+24245</f>
        <v>54552</v>
      </c>
      <c r="AB275" s="36"/>
      <c r="AC275" s="204">
        <f t="shared" si="368"/>
        <v>4620</v>
      </c>
      <c r="AD275" s="152">
        <v>7.8E-2</v>
      </c>
      <c r="AE275" s="31">
        <f t="shared" ref="AE275:AE276" si="372">1900*(P275)</f>
        <v>51300</v>
      </c>
      <c r="AF275" s="28">
        <f t="shared" si="363"/>
        <v>0.18498198198198199</v>
      </c>
      <c r="AG275" s="34">
        <f t="shared" si="364"/>
        <v>88702.59</v>
      </c>
      <c r="AH275" s="34">
        <f t="shared" si="365"/>
        <v>21284.087132727273</v>
      </c>
      <c r="AI275" s="34">
        <f>SUMIF(헤몬팜마진!$B$7:$B$32,$C275,헤몬팜마진!$V$7:$V$32)</f>
        <v>4837.2101999999995</v>
      </c>
      <c r="AJ275" s="34">
        <f t="shared" si="366"/>
        <v>238928.64746727276</v>
      </c>
      <c r="AK275" s="46">
        <f t="shared" si="367"/>
        <v>178921.44746727275</v>
      </c>
      <c r="AL275" s="40">
        <f>SUMIF(헤몬팜마진!$B$7:$B$32,$C275,헤몬팜마진!$T$7:$T$32)</f>
        <v>139.96800000000002</v>
      </c>
      <c r="AM275" s="41">
        <f>SUMIF(헤몬팜마진!$B$7:$B$32,$C275,헤몬팜마진!$U$7:$U$32)</f>
        <v>714.35519999999997</v>
      </c>
      <c r="AN275" s="36"/>
      <c r="AO275" s="202">
        <v>72044</v>
      </c>
      <c r="AP275" s="205">
        <v>333</v>
      </c>
      <c r="AQ275" s="126"/>
      <c r="AR275" s="126"/>
      <c r="AS275" s="126"/>
      <c r="AT275" s="118"/>
      <c r="AU275" s="118"/>
      <c r="AV275" s="118"/>
      <c r="AW275" s="118"/>
      <c r="AX275" s="118"/>
      <c r="AY275" s="118"/>
      <c r="AZ275" s="118"/>
      <c r="BA275" s="118"/>
      <c r="BB275" s="118"/>
      <c r="BC275" s="118"/>
      <c r="BD275" s="118"/>
      <c r="BE275" s="118"/>
      <c r="BF275" s="118"/>
      <c r="BG275" s="47"/>
      <c r="BH275" s="47"/>
      <c r="BI275" s="47"/>
      <c r="BJ275" s="47"/>
      <c r="BK275" s="47"/>
    </row>
    <row r="276" spans="1:63" ht="28.5" customHeight="1">
      <c r="A276" s="228" t="s">
        <v>138</v>
      </c>
      <c r="B276" s="200"/>
      <c r="C276" s="42" t="s">
        <v>118</v>
      </c>
      <c r="D276" s="28">
        <f t="shared" si="350"/>
        <v>0.2068495038489736</v>
      </c>
      <c r="E276" s="201">
        <f t="shared" si="351"/>
        <v>0.43889184255865105</v>
      </c>
      <c r="F276" s="30">
        <f t="shared" si="352"/>
        <v>0.23204233870967744</v>
      </c>
      <c r="G276" s="30">
        <f t="shared" si="353"/>
        <v>4.7619047619047616E-2</v>
      </c>
      <c r="H276" s="35">
        <v>0</v>
      </c>
      <c r="I276" s="35">
        <f t="shared" si="354"/>
        <v>350</v>
      </c>
      <c r="J276" s="35">
        <f t="shared" si="355"/>
        <v>700</v>
      </c>
      <c r="K276" s="39">
        <v>87</v>
      </c>
      <c r="L276" s="39">
        <v>0</v>
      </c>
      <c r="M276" s="210"/>
      <c r="N276" s="44">
        <v>50</v>
      </c>
      <c r="O276" s="202">
        <v>4</v>
      </c>
      <c r="P276" s="31">
        <f t="shared" si="356"/>
        <v>4</v>
      </c>
      <c r="Q276" s="36">
        <v>1</v>
      </c>
      <c r="R276" s="203">
        <v>4</v>
      </c>
      <c r="S276" s="36"/>
      <c r="T276" s="34">
        <f t="shared" si="357"/>
        <v>99200</v>
      </c>
      <c r="U276" s="31">
        <f t="shared" si="358"/>
        <v>0</v>
      </c>
      <c r="V276" s="34">
        <f t="shared" si="359"/>
        <v>99200</v>
      </c>
      <c r="W276" s="43">
        <v>24800</v>
      </c>
      <c r="X276" s="34">
        <f>SUMIF(헤몬팜마진!$B$7:$B$32,$C276,헤몬팜마진!$R$7:$R$32)</f>
        <v>8408.3169999999991</v>
      </c>
      <c r="Y276" s="34">
        <f t="shared" si="360"/>
        <v>34318.835999999996</v>
      </c>
      <c r="Z276" s="34">
        <f t="shared" si="361"/>
        <v>23018.600000000002</v>
      </c>
      <c r="AA276" s="49">
        <v>20926</v>
      </c>
      <c r="AB276" s="209"/>
      <c r="AC276" s="204">
        <f t="shared" si="368"/>
        <v>2310</v>
      </c>
      <c r="AD276" s="152">
        <v>0.1</v>
      </c>
      <c r="AE276" s="31">
        <f t="shared" si="372"/>
        <v>7600</v>
      </c>
      <c r="AF276" s="28">
        <f t="shared" si="363"/>
        <v>0.17661290322580647</v>
      </c>
      <c r="AG276" s="34">
        <f t="shared" si="364"/>
        <v>17520.030000000002</v>
      </c>
      <c r="AH276" s="34">
        <f t="shared" si="365"/>
        <v>3823.0632181818182</v>
      </c>
      <c r="AI276" s="34">
        <f>SUMIF(헤몬팜마진!$B$7:$B$32,$C276,헤몬팜마진!$V$7:$V$32)</f>
        <v>8579.7089999999989</v>
      </c>
      <c r="AJ276" s="34">
        <f t="shared" si="366"/>
        <v>43538.070781818184</v>
      </c>
      <c r="AK276" s="206">
        <f t="shared" si="367"/>
        <v>20519.470781818181</v>
      </c>
      <c r="AL276" s="40">
        <f>SUMIF(헤몬팜마진!$B$7:$B$32,$C276,헤몬팜마진!$T$7:$T$32)</f>
        <v>28.079999999999995</v>
      </c>
      <c r="AM276" s="41">
        <f>SUMIF(헤몬팜마진!$B$7:$B$32,$C276,헤몬팜마진!$U$7:$U$32)</f>
        <v>143.31199999999998</v>
      </c>
      <c r="AN276" s="36"/>
      <c r="AO276" s="202">
        <v>55421</v>
      </c>
      <c r="AP276" s="205">
        <v>84</v>
      </c>
      <c r="AQ276" s="126"/>
      <c r="AR276" s="126"/>
      <c r="AS276" s="126"/>
      <c r="AT276" s="118"/>
      <c r="AU276" s="118"/>
      <c r="AV276" s="118"/>
      <c r="AW276" s="118"/>
      <c r="AX276" s="118"/>
      <c r="AY276" s="118"/>
      <c r="AZ276" s="118"/>
      <c r="BA276" s="118"/>
      <c r="BB276" s="118"/>
      <c r="BC276" s="118"/>
      <c r="BD276" s="118"/>
      <c r="BE276" s="118"/>
      <c r="BF276" s="118"/>
      <c r="BG276" s="47"/>
      <c r="BH276" s="47"/>
      <c r="BI276" s="47"/>
      <c r="BJ276" s="47"/>
      <c r="BK276" s="47"/>
    </row>
    <row r="277" spans="1:63" ht="28.5" customHeight="1">
      <c r="A277" s="12"/>
      <c r="B277" s="214" t="s">
        <v>126</v>
      </c>
      <c r="C277" s="42" t="s">
        <v>31</v>
      </c>
      <c r="D277" s="28">
        <f t="shared" si="350"/>
        <v>-0.3378725310886645</v>
      </c>
      <c r="E277" s="201">
        <f t="shared" si="351"/>
        <v>0.37869340606060603</v>
      </c>
      <c r="F277" s="30">
        <f t="shared" si="352"/>
        <v>0.71656593714927053</v>
      </c>
      <c r="G277" s="30">
        <f t="shared" si="353"/>
        <v>4.0540540540540543E-2</v>
      </c>
      <c r="H277" s="35">
        <v>700</v>
      </c>
      <c r="I277" s="35">
        <f t="shared" si="354"/>
        <v>210</v>
      </c>
      <c r="J277" s="35">
        <f t="shared" si="355"/>
        <v>420</v>
      </c>
      <c r="K277" s="39">
        <v>954</v>
      </c>
      <c r="L277" s="39">
        <v>2</v>
      </c>
      <c r="M277" s="210"/>
      <c r="N277" s="44">
        <v>30</v>
      </c>
      <c r="O277" s="36">
        <v>30</v>
      </c>
      <c r="P277" s="31">
        <f t="shared" si="356"/>
        <v>18</v>
      </c>
      <c r="Q277" s="36">
        <v>5</v>
      </c>
      <c r="R277" s="167">
        <v>15</v>
      </c>
      <c r="S277" s="36">
        <v>12</v>
      </c>
      <c r="T277" s="34">
        <f t="shared" si="357"/>
        <v>594000</v>
      </c>
      <c r="U277" s="31">
        <f t="shared" si="358"/>
        <v>237600</v>
      </c>
      <c r="V277" s="34">
        <f t="shared" si="359"/>
        <v>356400</v>
      </c>
      <c r="W277" s="43">
        <v>19800</v>
      </c>
      <c r="X277" s="34">
        <f>SUMIF(헤몬팜마진!$B$7:$B$32,$C277,헤몬팜마진!$R$7:$R$32)</f>
        <v>6638.1449999999995</v>
      </c>
      <c r="Y277" s="34">
        <f t="shared" si="360"/>
        <v>120340.93319999998</v>
      </c>
      <c r="Z277" s="34">
        <f t="shared" si="361"/>
        <v>129570.1</v>
      </c>
      <c r="AA277" s="48">
        <v>117791</v>
      </c>
      <c r="AB277" s="211">
        <f>((20900*0.015)+(20900*0.19)+2100+2200+1900)*12</f>
        <v>125814</v>
      </c>
      <c r="AC277" s="204">
        <f t="shared" si="368"/>
        <v>11550</v>
      </c>
      <c r="AD277" s="152">
        <v>0.08</v>
      </c>
      <c r="AE277" s="31">
        <f>3400*(P277)</f>
        <v>61200</v>
      </c>
      <c r="AF277" s="28">
        <f t="shared" si="363"/>
        <v>0.25171717171717173</v>
      </c>
      <c r="AG277" s="34">
        <f t="shared" si="364"/>
        <v>89712.03</v>
      </c>
      <c r="AH277" s="34">
        <f t="shared" si="365"/>
        <v>11380.706879999998</v>
      </c>
      <c r="AI277" s="34">
        <f>SUMIF(헤몬팜마진!$B$7:$B$32,$C277,헤몬팜마진!$V$7:$V$32)</f>
        <v>6685.607399999999</v>
      </c>
      <c r="AJ277" s="34">
        <f t="shared" si="366"/>
        <v>134966.32991999999</v>
      </c>
      <c r="AK277" s="206">
        <f t="shared" si="367"/>
        <v>-120417.77008000002</v>
      </c>
      <c r="AL277" s="40">
        <f>SUMIF(헤몬팜마진!$B$7:$B$32,$C277,헤몬팜마진!$T$7:$T$32)</f>
        <v>7.7759999999999998</v>
      </c>
      <c r="AM277" s="41">
        <f>SUMIF(헤몬팜마진!$B$7:$B$32,$C277,헤몬팜마진!$U$7:$U$32)</f>
        <v>39.686400000000006</v>
      </c>
      <c r="AN277" s="36"/>
      <c r="AO277" s="202">
        <v>295276</v>
      </c>
      <c r="AP277" s="205">
        <v>370</v>
      </c>
      <c r="AQ277" s="126"/>
      <c r="AR277" s="126"/>
      <c r="AS277" s="126"/>
      <c r="AT277" s="118"/>
      <c r="AU277" s="118"/>
      <c r="AV277" s="118"/>
      <c r="AW277" s="118"/>
      <c r="AX277" s="118"/>
      <c r="AY277" s="118"/>
      <c r="AZ277" s="118"/>
      <c r="BA277" s="118"/>
      <c r="BB277" s="118"/>
      <c r="BC277" s="118"/>
      <c r="BD277" s="118"/>
      <c r="BE277" s="118"/>
      <c r="BF277" s="118"/>
      <c r="BG277" s="47"/>
      <c r="BH277" s="47"/>
      <c r="BI277" s="47"/>
      <c r="BJ277" s="47"/>
      <c r="BK277" s="47"/>
    </row>
    <row r="278" spans="1:63" ht="28.5" customHeight="1">
      <c r="A278" s="327" t="s">
        <v>139</v>
      </c>
      <c r="B278" s="127" t="s">
        <v>127</v>
      </c>
      <c r="C278" s="42" t="s">
        <v>119</v>
      </c>
      <c r="D278" s="28">
        <f t="shared" si="350"/>
        <v>0.30030789295537064</v>
      </c>
      <c r="E278" s="201">
        <f t="shared" si="351"/>
        <v>0.43444843349591117</v>
      </c>
      <c r="F278" s="30">
        <f t="shared" si="352"/>
        <v>0.13414054054054056</v>
      </c>
      <c r="G278" s="30">
        <f t="shared" si="353"/>
        <v>0.15384615384615385</v>
      </c>
      <c r="H278" s="35">
        <v>2000</v>
      </c>
      <c r="I278" s="35">
        <f t="shared" si="354"/>
        <v>280</v>
      </c>
      <c r="J278" s="35">
        <f t="shared" si="355"/>
        <v>560</v>
      </c>
      <c r="K278" s="328">
        <v>1048</v>
      </c>
      <c r="L278" s="39">
        <f>311+240+1</f>
        <v>552</v>
      </c>
      <c r="M278" s="210"/>
      <c r="N278" s="44">
        <v>40</v>
      </c>
      <c r="O278" s="202">
        <v>25</v>
      </c>
      <c r="P278" s="31">
        <f t="shared" si="356"/>
        <v>25</v>
      </c>
      <c r="Q278" s="202">
        <v>3</v>
      </c>
      <c r="R278" s="203">
        <v>14</v>
      </c>
      <c r="S278" s="36"/>
      <c r="T278" s="34">
        <f t="shared" si="357"/>
        <v>619750</v>
      </c>
      <c r="U278" s="31">
        <f t="shared" si="358"/>
        <v>0</v>
      </c>
      <c r="V278" s="34">
        <f t="shared" si="359"/>
        <v>619750</v>
      </c>
      <c r="W278" s="43">
        <v>24790</v>
      </c>
      <c r="X278" s="34">
        <f>SUMIF(헤몬팜마진!$B$7:$B$32,$C278,헤몬팜마진!$R$7:$R$32)</f>
        <v>6859.4164999999994</v>
      </c>
      <c r="Y278" s="34">
        <f t="shared" si="360"/>
        <v>181340.45249999996</v>
      </c>
      <c r="Z278" s="34">
        <f t="shared" si="361"/>
        <v>83133.600000000006</v>
      </c>
      <c r="AA278" s="49">
        <v>75576</v>
      </c>
      <c r="AB278" s="209"/>
      <c r="AC278" s="204">
        <f t="shared" si="368"/>
        <v>6930</v>
      </c>
      <c r="AD278" s="152">
        <v>0.108</v>
      </c>
      <c r="AE278" s="31">
        <f>3150*(P278)</f>
        <v>78750</v>
      </c>
      <c r="AF278" s="28">
        <f t="shared" si="363"/>
        <v>0.23506736587333604</v>
      </c>
      <c r="AG278" s="34">
        <f t="shared" si="364"/>
        <v>145683.03</v>
      </c>
      <c r="AH278" s="34">
        <f t="shared" si="365"/>
        <v>23477.100840909094</v>
      </c>
      <c r="AI278" s="34">
        <f>SUMIF(헤몬팜마진!$B$7:$B$32,$C278,헤몬팜마진!$V$7:$V$32)</f>
        <v>7253.6180999999988</v>
      </c>
      <c r="AJ278" s="34">
        <f t="shared" si="366"/>
        <v>269249.41665909096</v>
      </c>
      <c r="AK278" s="206">
        <f t="shared" si="367"/>
        <v>186115.81665909095</v>
      </c>
      <c r="AL278" s="40">
        <f>SUMIF(헤몬팜마진!$B$7:$B$32,$C278,헤몬팜마진!$T$7:$T$32)</f>
        <v>64.584000000000003</v>
      </c>
      <c r="AM278" s="41">
        <f>SUMIF(헤몬팜마진!$B$7:$B$32,$C278,헤몬팜마진!$U$7:$U$32)</f>
        <v>329.61759999999998</v>
      </c>
      <c r="AN278" s="36"/>
      <c r="AO278" s="202">
        <v>23599</v>
      </c>
      <c r="AP278" s="205">
        <v>91</v>
      </c>
      <c r="AQ278" s="126"/>
      <c r="AR278" s="126"/>
      <c r="AS278" s="126"/>
      <c r="AT278" s="118"/>
      <c r="AU278" s="118"/>
      <c r="AV278" s="118"/>
      <c r="AW278" s="118"/>
      <c r="AX278" s="118"/>
      <c r="AY278" s="118"/>
      <c r="AZ278" s="118"/>
      <c r="BA278" s="118"/>
      <c r="BB278" s="118"/>
      <c r="BC278" s="118"/>
      <c r="BD278" s="118"/>
      <c r="BE278" s="118"/>
      <c r="BF278" s="118"/>
      <c r="BG278" s="47"/>
      <c r="BH278" s="47"/>
      <c r="BI278" s="47"/>
      <c r="BJ278" s="47"/>
      <c r="BK278" s="47"/>
    </row>
    <row r="279" spans="1:63" ht="28.5" customHeight="1">
      <c r="A279" s="318"/>
      <c r="B279" s="214" t="s">
        <v>128</v>
      </c>
      <c r="C279" s="42" t="s">
        <v>120</v>
      </c>
      <c r="D279" s="28" t="e">
        <f t="shared" si="350"/>
        <v>#DIV/0!</v>
      </c>
      <c r="E279" s="201" t="e">
        <f t="shared" si="351"/>
        <v>#DIV/0!</v>
      </c>
      <c r="F279" s="30" t="e">
        <f t="shared" si="352"/>
        <v>#DIV/0!</v>
      </c>
      <c r="G279" s="30">
        <f t="shared" si="353"/>
        <v>0</v>
      </c>
      <c r="H279" s="35">
        <v>0</v>
      </c>
      <c r="I279" s="35">
        <f t="shared" si="354"/>
        <v>105</v>
      </c>
      <c r="J279" s="35">
        <f t="shared" si="355"/>
        <v>210</v>
      </c>
      <c r="K279" s="310"/>
      <c r="L279" s="39">
        <f>22+3</f>
        <v>25</v>
      </c>
      <c r="M279" s="210"/>
      <c r="N279" s="44">
        <v>15</v>
      </c>
      <c r="O279" s="36"/>
      <c r="P279" s="31">
        <f t="shared" si="356"/>
        <v>0</v>
      </c>
      <c r="Q279" s="36"/>
      <c r="R279" s="167"/>
      <c r="S279" s="36"/>
      <c r="T279" s="34">
        <f t="shared" si="357"/>
        <v>0</v>
      </c>
      <c r="U279" s="31">
        <f t="shared" si="358"/>
        <v>0</v>
      </c>
      <c r="V279" s="34">
        <f t="shared" si="359"/>
        <v>0</v>
      </c>
      <c r="W279" s="43">
        <v>39800</v>
      </c>
      <c r="X279" s="34">
        <f>SUMIF(헤몬팜마진!$B$7:$B$32,$C279,헤몬팜마진!$R$7:$R$32)</f>
        <v>13718.832999999999</v>
      </c>
      <c r="Y279" s="34">
        <f t="shared" si="360"/>
        <v>0</v>
      </c>
      <c r="Z279" s="34">
        <f t="shared" si="361"/>
        <v>29049.9</v>
      </c>
      <c r="AA279" s="49">
        <v>26409</v>
      </c>
      <c r="AB279" s="209"/>
      <c r="AC279" s="204">
        <f t="shared" si="368"/>
        <v>0</v>
      </c>
      <c r="AD279" s="152">
        <v>0.108</v>
      </c>
      <c r="AE279" s="31">
        <f>3550*(P279)</f>
        <v>0</v>
      </c>
      <c r="AF279" s="28" t="e">
        <f t="shared" si="363"/>
        <v>#DIV/0!</v>
      </c>
      <c r="AG279" s="34">
        <f t="shared" si="364"/>
        <v>0</v>
      </c>
      <c r="AH279" s="34">
        <f t="shared" si="365"/>
        <v>0</v>
      </c>
      <c r="AI279" s="34">
        <f>SUMIF(헤몬팜마진!$B$7:$B$32,$C279,헤몬팜마진!$V$7:$V$32)</f>
        <v>14113.034599999999</v>
      </c>
      <c r="AJ279" s="34">
        <f t="shared" si="366"/>
        <v>0</v>
      </c>
      <c r="AK279" s="206">
        <f t="shared" si="367"/>
        <v>-29049.9</v>
      </c>
      <c r="AL279" s="40">
        <f>SUMIF(헤몬팜마진!$B$7:$B$32,$C279,헤몬팜마진!$T$7:$T$32)</f>
        <v>64.584000000000003</v>
      </c>
      <c r="AM279" s="41">
        <f>SUMIF(헤몬팜마진!$B$7:$B$32,$C279,헤몬팜마진!$U$7:$U$32)</f>
        <v>329.61759999999998</v>
      </c>
      <c r="AN279" s="36"/>
      <c r="AO279" s="235">
        <v>32689</v>
      </c>
      <c r="AP279" s="235">
        <v>59</v>
      </c>
      <c r="AQ279" s="126"/>
      <c r="AR279" s="126"/>
      <c r="AS279" s="126"/>
      <c r="AT279" s="118"/>
      <c r="AU279" s="118"/>
      <c r="AV279" s="118"/>
      <c r="AW279" s="118"/>
      <c r="AX279" s="118"/>
      <c r="AY279" s="118"/>
      <c r="AZ279" s="118"/>
      <c r="BA279" s="118"/>
      <c r="BB279" s="118"/>
      <c r="BC279" s="118"/>
      <c r="BD279" s="118"/>
      <c r="BE279" s="118"/>
      <c r="BF279" s="118"/>
      <c r="BG279" s="47"/>
      <c r="BH279" s="47"/>
      <c r="BI279" s="47"/>
      <c r="BJ279" s="47"/>
      <c r="BK279" s="47"/>
    </row>
    <row r="280" spans="1:63" ht="28.5" customHeight="1">
      <c r="A280" s="12"/>
      <c r="B280" s="216"/>
      <c r="C280" s="217"/>
      <c r="D280" s="51" t="e">
        <f t="shared" si="350"/>
        <v>#REF!</v>
      </c>
      <c r="E280" s="218" t="e">
        <f t="shared" si="351"/>
        <v>#REF!</v>
      </c>
      <c r="F280" s="53">
        <f t="shared" si="352"/>
        <v>0.25558192417015946</v>
      </c>
      <c r="G280" s="219"/>
      <c r="H280" s="55"/>
      <c r="I280" s="55"/>
      <c r="J280" s="55"/>
      <c r="K280" s="55"/>
      <c r="L280" s="55"/>
      <c r="M280" s="55"/>
      <c r="N280" s="55"/>
      <c r="O280" s="130">
        <f t="shared" ref="O280:V280" si="373">SUM(O263:O279)</f>
        <v>311</v>
      </c>
      <c r="P280" s="220">
        <f t="shared" si="373"/>
        <v>299</v>
      </c>
      <c r="Q280" s="130">
        <f t="shared" si="373"/>
        <v>23</v>
      </c>
      <c r="R280" s="130">
        <f t="shared" si="373"/>
        <v>226</v>
      </c>
      <c r="S280" s="130">
        <f t="shared" si="373"/>
        <v>12</v>
      </c>
      <c r="T280" s="130">
        <f t="shared" si="373"/>
        <v>8540400</v>
      </c>
      <c r="U280" s="130">
        <f t="shared" si="373"/>
        <v>237600</v>
      </c>
      <c r="V280" s="220">
        <f t="shared" si="373"/>
        <v>8302800</v>
      </c>
      <c r="W280" s="55"/>
      <c r="X280" s="130">
        <f t="shared" ref="X280:AC280" si="374">SUM(X263:X279)</f>
        <v>153584.54814999999</v>
      </c>
      <c r="Y280" s="220" t="e">
        <f t="shared" si="374"/>
        <v>#REF!</v>
      </c>
      <c r="Z280" s="130">
        <f t="shared" si="374"/>
        <v>1996231.6</v>
      </c>
      <c r="AA280" s="130">
        <f t="shared" si="374"/>
        <v>1814756</v>
      </c>
      <c r="AB280" s="130">
        <f t="shared" si="374"/>
        <v>125814</v>
      </c>
      <c r="AC280" s="130">
        <f t="shared" si="374"/>
        <v>52026</v>
      </c>
      <c r="AD280" s="154">
        <v>0.09</v>
      </c>
      <c r="AE280" s="220">
        <f>SUM(AE263:AE279)</f>
        <v>926200</v>
      </c>
      <c r="AF280" s="53">
        <f t="shared" si="363"/>
        <v>0.20155272919978801</v>
      </c>
      <c r="AG280" s="56">
        <f t="shared" ref="AG280:AI280" si="375">SUM(AG263:AG279)</f>
        <v>1718173.49</v>
      </c>
      <c r="AH280" s="56" t="e">
        <f t="shared" si="375"/>
        <v>#REF!</v>
      </c>
      <c r="AI280" s="56" t="e">
        <f t="shared" si="375"/>
        <v>#REF!</v>
      </c>
      <c r="AJ280" s="56" t="e">
        <f t="shared" si="366"/>
        <v>#REF!</v>
      </c>
      <c r="AK280" s="221" t="e">
        <f t="shared" si="367"/>
        <v>#REF!</v>
      </c>
      <c r="AL280" s="54"/>
      <c r="AM280" s="222"/>
      <c r="AN280" s="57"/>
      <c r="AO280" s="131">
        <f t="shared" ref="AO280:AP280" si="376">SUM(AO263:AO264)</f>
        <v>541243</v>
      </c>
      <c r="AP280" s="132">
        <f t="shared" si="376"/>
        <v>2071</v>
      </c>
      <c r="AQ280" s="126"/>
      <c r="AR280" s="126"/>
      <c r="AS280" s="126"/>
      <c r="AT280" s="118"/>
      <c r="AU280" s="118"/>
      <c r="AV280" s="118"/>
      <c r="AW280" s="118"/>
      <c r="AX280" s="118"/>
      <c r="AY280" s="118"/>
      <c r="AZ280" s="118"/>
      <c r="BA280" s="118"/>
      <c r="BB280" s="118"/>
      <c r="BC280" s="118"/>
      <c r="BD280" s="118"/>
      <c r="BE280" s="118"/>
      <c r="BF280" s="118"/>
      <c r="BG280" s="47"/>
      <c r="BH280" s="47"/>
      <c r="BI280" s="47"/>
      <c r="BJ280" s="47"/>
      <c r="BK280" s="47"/>
    </row>
    <row r="281" spans="1:63" ht="28.5" customHeight="1">
      <c r="A281" s="3"/>
      <c r="B281" s="120"/>
      <c r="C281" s="229"/>
      <c r="D281" s="230"/>
      <c r="E281" s="230"/>
      <c r="F281" s="230"/>
      <c r="G281" s="230"/>
      <c r="H281" s="231"/>
      <c r="I281" s="231"/>
      <c r="J281" s="231"/>
      <c r="K281" s="231"/>
      <c r="L281" s="231"/>
      <c r="M281" s="231"/>
      <c r="N281" s="231"/>
      <c r="O281" s="231"/>
      <c r="P281" s="232"/>
      <c r="Q281" s="231"/>
      <c r="R281" s="231"/>
      <c r="S281" s="231"/>
      <c r="T281" s="231"/>
      <c r="U281" s="231"/>
      <c r="V281" s="231"/>
      <c r="W281" s="231"/>
      <c r="X281" s="231"/>
      <c r="Y281" s="231"/>
      <c r="Z281" s="231"/>
      <c r="AA281" s="133"/>
      <c r="AB281" s="61"/>
      <c r="AC281" s="148"/>
      <c r="AD281" s="148"/>
      <c r="AE281" s="148"/>
      <c r="AF281" s="148"/>
      <c r="AG281" s="61"/>
      <c r="AH281" s="61"/>
      <c r="AI281" s="187"/>
      <c r="AJ281" s="118"/>
      <c r="AK281" s="126"/>
      <c r="AL281" s="126"/>
      <c r="AM281" s="126"/>
      <c r="AN281" s="118"/>
      <c r="AO281" s="118"/>
      <c r="AP281" s="118"/>
      <c r="AQ281" s="126"/>
      <c r="AR281" s="126"/>
      <c r="AS281" s="126"/>
      <c r="AT281" s="118"/>
      <c r="AU281" s="118"/>
      <c r="AV281" s="118"/>
      <c r="AW281" s="118"/>
      <c r="AX281" s="118"/>
      <c r="AY281" s="118"/>
      <c r="AZ281" s="118"/>
      <c r="BA281" s="118"/>
      <c r="BB281" s="118"/>
      <c r="BC281" s="118"/>
      <c r="BD281" s="118"/>
      <c r="BE281" s="118"/>
      <c r="BF281" s="118"/>
      <c r="BG281" s="47"/>
      <c r="BH281" s="47"/>
      <c r="BI281" s="47"/>
      <c r="BJ281" s="47"/>
      <c r="BK281" s="47"/>
    </row>
    <row r="282" spans="1:63" ht="28.5" customHeight="1">
      <c r="A282" s="12"/>
      <c r="B282" s="189"/>
      <c r="C282" s="134">
        <v>45945</v>
      </c>
      <c r="D282" s="122" t="s">
        <v>0</v>
      </c>
      <c r="E282" s="122" t="s">
        <v>1</v>
      </c>
      <c r="F282" s="122" t="s">
        <v>2</v>
      </c>
      <c r="G282" s="190" t="s">
        <v>3</v>
      </c>
      <c r="H282" s="191" t="s">
        <v>4</v>
      </c>
      <c r="I282" s="192" t="s">
        <v>5</v>
      </c>
      <c r="J282" s="192" t="s">
        <v>90</v>
      </c>
      <c r="K282" s="193" t="s">
        <v>6</v>
      </c>
      <c r="L282" s="194" t="s">
        <v>7</v>
      </c>
      <c r="M282" s="15" t="s">
        <v>91</v>
      </c>
      <c r="N282" s="123" t="s">
        <v>125</v>
      </c>
      <c r="O282" s="123" t="s">
        <v>8</v>
      </c>
      <c r="P282" s="123" t="s">
        <v>9</v>
      </c>
      <c r="Q282" s="195" t="s">
        <v>10</v>
      </c>
      <c r="R282" s="123" t="s">
        <v>92</v>
      </c>
      <c r="S282" s="196" t="s">
        <v>11</v>
      </c>
      <c r="T282" s="17" t="s">
        <v>12</v>
      </c>
      <c r="U282" s="17" t="s">
        <v>13</v>
      </c>
      <c r="V282" s="17" t="s">
        <v>14</v>
      </c>
      <c r="W282" s="17" t="s">
        <v>15</v>
      </c>
      <c r="X282" s="15" t="s">
        <v>16</v>
      </c>
      <c r="Y282" s="15" t="s">
        <v>17</v>
      </c>
      <c r="Z282" s="19" t="s">
        <v>18</v>
      </c>
      <c r="AA282" s="19" t="s">
        <v>19</v>
      </c>
      <c r="AB282" s="20" t="s">
        <v>20</v>
      </c>
      <c r="AC282" s="22" t="s">
        <v>93</v>
      </c>
      <c r="AD282" s="197" t="s">
        <v>21</v>
      </c>
      <c r="AE282" s="122" t="s">
        <v>22</v>
      </c>
      <c r="AF282" s="21" t="s">
        <v>23</v>
      </c>
      <c r="AG282" s="21" t="s">
        <v>21</v>
      </c>
      <c r="AH282" s="122" t="s">
        <v>24</v>
      </c>
      <c r="AI282" s="15" t="s">
        <v>25</v>
      </c>
      <c r="AJ282" s="15" t="s">
        <v>26</v>
      </c>
      <c r="AK282" s="122" t="s">
        <v>27</v>
      </c>
      <c r="AL282" s="198" t="s">
        <v>28</v>
      </c>
      <c r="AM282" s="199" t="s">
        <v>29</v>
      </c>
      <c r="AN282" s="124" t="s">
        <v>30</v>
      </c>
      <c r="AO282" s="124" t="s">
        <v>94</v>
      </c>
      <c r="AP282" s="125" t="s">
        <v>95</v>
      </c>
      <c r="AQ282" s="126"/>
      <c r="AR282" s="126"/>
      <c r="AS282" s="126"/>
      <c r="AT282" s="118"/>
      <c r="AU282" s="118"/>
      <c r="AV282" s="118"/>
      <c r="AW282" s="118"/>
      <c r="AX282" s="118"/>
      <c r="AY282" s="118"/>
      <c r="AZ282" s="118"/>
      <c r="BA282" s="118"/>
      <c r="BB282" s="118"/>
      <c r="BC282" s="118"/>
      <c r="BD282" s="118"/>
      <c r="BE282" s="118"/>
      <c r="BF282" s="118"/>
      <c r="BG282" s="47"/>
      <c r="BH282" s="47"/>
      <c r="BI282" s="47"/>
      <c r="BJ282" s="47"/>
      <c r="BK282" s="47"/>
    </row>
    <row r="283" spans="1:63" ht="28.5" customHeight="1">
      <c r="A283" s="12" t="s">
        <v>129</v>
      </c>
      <c r="B283" s="200"/>
      <c r="C283" s="42" t="s">
        <v>107</v>
      </c>
      <c r="D283" s="28">
        <f t="shared" ref="D283:D300" si="377">AK283/V283</f>
        <v>0.20271822839272657</v>
      </c>
      <c r="E283" s="201">
        <f t="shared" ref="E283:E300" si="378">AJ283/V283</f>
        <v>0.42270749691301251</v>
      </c>
      <c r="F283" s="30">
        <f t="shared" ref="F283:F300" si="379">(Z283+AB283)/V283</f>
        <v>0.21998926852028591</v>
      </c>
      <c r="G283" s="30">
        <f t="shared" ref="G283:G299" si="380">R283/AP283</f>
        <v>7.0772555375472723E-2</v>
      </c>
      <c r="H283" s="35">
        <v>7410</v>
      </c>
      <c r="I283" s="35">
        <f t="shared" ref="I283:I299" si="381">N283*7</f>
        <v>1400</v>
      </c>
      <c r="J283" s="35">
        <f t="shared" ref="J283:J299" si="382">N283*14</f>
        <v>2800</v>
      </c>
      <c r="K283" s="49">
        <v>76</v>
      </c>
      <c r="L283" s="49">
        <f>1906+1320</f>
        <v>3226</v>
      </c>
      <c r="M283" s="48"/>
      <c r="N283" s="44">
        <v>200</v>
      </c>
      <c r="O283" s="227">
        <v>169</v>
      </c>
      <c r="P283" s="31">
        <f t="shared" ref="P283:P299" si="383">O283-S283</f>
        <v>169</v>
      </c>
      <c r="Q283" s="227">
        <v>16</v>
      </c>
      <c r="R283" s="233">
        <v>131</v>
      </c>
      <c r="S283" s="36"/>
      <c r="T283" s="34">
        <f t="shared" ref="T283:T299" si="384">W283*O283</f>
        <v>4715100</v>
      </c>
      <c r="U283" s="31">
        <f t="shared" ref="U283:U299" si="385">W283*S283</f>
        <v>0</v>
      </c>
      <c r="V283" s="34">
        <f t="shared" ref="V283:V299" si="386">T283-U283</f>
        <v>4715100</v>
      </c>
      <c r="W283" s="34">
        <v>27900</v>
      </c>
      <c r="X283" s="34">
        <f>SUMIF(헤몬팜마진!$B$7:$B$32,$C283,헤몬팜마진!$R$7:$R$32)</f>
        <v>8850.86</v>
      </c>
      <c r="Y283" s="34">
        <f t="shared" ref="Y283:Y299" si="387">AI283*P283</f>
        <v>1562415.4104000002</v>
      </c>
      <c r="Z283" s="34">
        <f t="shared" ref="Z283:Z299" si="388">AA283*1.1</f>
        <v>1037271.4000000001</v>
      </c>
      <c r="AA283" s="49">
        <v>942974</v>
      </c>
      <c r="AB283" s="36"/>
      <c r="AC283" s="204">
        <f t="shared" ref="AC283:AC284" si="389">(1072+1100)*Q283</f>
        <v>34752</v>
      </c>
      <c r="AD283" s="152">
        <v>0.1</v>
      </c>
      <c r="AE283" s="31">
        <f>3050*(P283)</f>
        <v>515450</v>
      </c>
      <c r="AF283" s="28">
        <f t="shared" ref="AF283:AF300" si="390">AD283+(AE283/V283)</f>
        <v>0.20931899641577062</v>
      </c>
      <c r="AG283" s="34">
        <f t="shared" ref="AG283:AG299" si="391">IFERROR(V283*AF283+3%,0)</f>
        <v>986960.03</v>
      </c>
      <c r="AH283" s="34">
        <f t="shared" ref="AH283:AH299" si="392">V283/1.1*10%-((AI283*P283)+AG283+(AN283*P283)+(AL283*P283))*10%</f>
        <v>172616.44090545451</v>
      </c>
      <c r="AI283" s="34">
        <f>SUMIF(헤몬팜마진!$B$7:$B$32,$C283,헤몬팜마진!$V$7:$V$32)</f>
        <v>9245.0616000000009</v>
      </c>
      <c r="AJ283" s="34">
        <f t="shared" ref="AJ283:AJ300" si="393">V283-(Y283+AG283+AH283+(AN283*P283))</f>
        <v>1993108.1186945452</v>
      </c>
      <c r="AK283" s="46">
        <f t="shared" ref="AK283:AK300" si="394">AJ283-Z283-AB283</f>
        <v>955836.7186945451</v>
      </c>
      <c r="AL283" s="40">
        <f>SUMIF(헤몬팜마진!$B$7:$B$32,$C283,헤몬팜마진!$T$7:$T$32)</f>
        <v>64.584000000000003</v>
      </c>
      <c r="AM283" s="41">
        <f>SUMIF(헤몬팜마진!$B$7:$B$32,$C283,헤몬팜마진!$U$7:$U$32)</f>
        <v>329.61759999999998</v>
      </c>
      <c r="AN283" s="36"/>
      <c r="AO283" s="202">
        <v>364057</v>
      </c>
      <c r="AP283" s="205">
        <v>1851</v>
      </c>
      <c r="AQ283" s="126"/>
      <c r="AR283" s="126"/>
      <c r="AS283" s="126"/>
      <c r="AT283" s="118"/>
      <c r="AU283" s="118"/>
      <c r="AV283" s="118"/>
      <c r="AW283" s="118"/>
      <c r="AX283" s="118"/>
      <c r="AY283" s="118"/>
      <c r="AZ283" s="118"/>
      <c r="BA283" s="118"/>
      <c r="BB283" s="118"/>
      <c r="BC283" s="118"/>
      <c r="BD283" s="118"/>
      <c r="BE283" s="118"/>
      <c r="BF283" s="118"/>
      <c r="BG283" s="47"/>
      <c r="BH283" s="47"/>
      <c r="BI283" s="47"/>
      <c r="BJ283" s="47"/>
      <c r="BK283" s="47"/>
    </row>
    <row r="284" spans="1:63" ht="28.5" customHeight="1">
      <c r="A284" s="228" t="s">
        <v>130</v>
      </c>
      <c r="B284" s="200"/>
      <c r="C284" s="42" t="s">
        <v>108</v>
      </c>
      <c r="D284" s="28" t="e">
        <f t="shared" si="377"/>
        <v>#DIV/0!</v>
      </c>
      <c r="E284" s="201" t="e">
        <f t="shared" si="378"/>
        <v>#DIV/0!</v>
      </c>
      <c r="F284" s="30" t="e">
        <f t="shared" si="379"/>
        <v>#DIV/0!</v>
      </c>
      <c r="G284" s="30">
        <f t="shared" si="380"/>
        <v>0</v>
      </c>
      <c r="H284" s="35">
        <v>1460</v>
      </c>
      <c r="I284" s="35">
        <f t="shared" si="381"/>
        <v>140</v>
      </c>
      <c r="J284" s="35">
        <f t="shared" si="382"/>
        <v>280</v>
      </c>
      <c r="K284" s="39">
        <v>325</v>
      </c>
      <c r="L284" s="39">
        <v>0</v>
      </c>
      <c r="M284" s="210"/>
      <c r="N284" s="44">
        <v>20</v>
      </c>
      <c r="O284" s="202"/>
      <c r="P284" s="31">
        <f t="shared" si="383"/>
        <v>0</v>
      </c>
      <c r="Q284" s="36"/>
      <c r="R284" s="167"/>
      <c r="S284" s="36"/>
      <c r="T284" s="34">
        <f t="shared" si="384"/>
        <v>0</v>
      </c>
      <c r="U284" s="31">
        <f t="shared" si="385"/>
        <v>0</v>
      </c>
      <c r="V284" s="34">
        <f t="shared" si="386"/>
        <v>0</v>
      </c>
      <c r="W284" s="43">
        <v>22700</v>
      </c>
      <c r="X284" s="34">
        <f>SUMIF(헤몬팜마진!$B$7:$B$32,$C284,헤몬팜마진!$R$7:$R$32)</f>
        <v>7080.6879999999992</v>
      </c>
      <c r="Y284" s="34">
        <f t="shared" si="387"/>
        <v>0</v>
      </c>
      <c r="Z284" s="34">
        <f t="shared" si="388"/>
        <v>3245.0000000000005</v>
      </c>
      <c r="AA284" s="49">
        <v>2950</v>
      </c>
      <c r="AB284" s="36"/>
      <c r="AC284" s="204">
        <f t="shared" si="389"/>
        <v>0</v>
      </c>
      <c r="AD284" s="152">
        <v>0.1</v>
      </c>
      <c r="AE284" s="31">
        <f>2950*(P284)</f>
        <v>0</v>
      </c>
      <c r="AF284" s="28" t="e">
        <f t="shared" si="390"/>
        <v>#DIV/0!</v>
      </c>
      <c r="AG284" s="34">
        <f t="shared" si="391"/>
        <v>0</v>
      </c>
      <c r="AH284" s="34">
        <f t="shared" si="392"/>
        <v>0</v>
      </c>
      <c r="AI284" s="34">
        <f>SUMIF(헤몬팜마진!$B$7:$B$32,$C284,헤몬팜마진!$V$7:$V$32)</f>
        <v>7377.3279999999995</v>
      </c>
      <c r="AJ284" s="34">
        <f t="shared" si="393"/>
        <v>0</v>
      </c>
      <c r="AK284" s="46">
        <f t="shared" si="394"/>
        <v>-3245.0000000000005</v>
      </c>
      <c r="AL284" s="40">
        <f>SUMIF(헤몬팜마진!$B$7:$B$32,$C284,헤몬팜마진!$T$7:$T$32)</f>
        <v>48.6</v>
      </c>
      <c r="AM284" s="41">
        <f>SUMIF(헤몬팜마진!$B$7:$B$32,$C284,헤몬팜마진!$U$7:$U$32)</f>
        <v>248.04000000000002</v>
      </c>
      <c r="AN284" s="36"/>
      <c r="AO284" s="235">
        <v>30840</v>
      </c>
      <c r="AP284" s="235">
        <v>9</v>
      </c>
      <c r="AQ284" s="126"/>
      <c r="AR284" s="126"/>
      <c r="AS284" s="126"/>
      <c r="AT284" s="118"/>
      <c r="AU284" s="118"/>
      <c r="AV284" s="118"/>
      <c r="AW284" s="118"/>
      <c r="AX284" s="118"/>
      <c r="AY284" s="118"/>
      <c r="AZ284" s="118"/>
      <c r="BA284" s="118"/>
      <c r="BB284" s="118"/>
      <c r="BC284" s="118"/>
      <c r="BD284" s="118"/>
      <c r="BE284" s="118"/>
      <c r="BF284" s="118"/>
      <c r="BG284" s="47"/>
      <c r="BH284" s="47"/>
      <c r="BI284" s="47"/>
      <c r="BJ284" s="47"/>
      <c r="BK284" s="47"/>
    </row>
    <row r="285" spans="1:63" ht="28.5" customHeight="1">
      <c r="A285" s="327" t="s">
        <v>131</v>
      </c>
      <c r="B285" s="323"/>
      <c r="C285" s="42" t="s">
        <v>109</v>
      </c>
      <c r="D285" s="28" t="e">
        <f t="shared" si="377"/>
        <v>#REF!</v>
      </c>
      <c r="E285" s="201" t="e">
        <f t="shared" si="378"/>
        <v>#REF!</v>
      </c>
      <c r="F285" s="30">
        <f t="shared" si="379"/>
        <v>8.5966521106259103E-2</v>
      </c>
      <c r="G285" s="30">
        <f t="shared" si="380"/>
        <v>0</v>
      </c>
      <c r="H285" s="35">
        <v>0</v>
      </c>
      <c r="I285" s="35">
        <f t="shared" si="381"/>
        <v>105</v>
      </c>
      <c r="J285" s="35">
        <f t="shared" si="382"/>
        <v>210</v>
      </c>
      <c r="K285" s="325">
        <v>430</v>
      </c>
      <c r="L285" s="49">
        <f>40+3+3</f>
        <v>46</v>
      </c>
      <c r="M285" s="48"/>
      <c r="N285" s="44">
        <v>15</v>
      </c>
      <c r="O285" s="202">
        <v>3</v>
      </c>
      <c r="P285" s="31">
        <f t="shared" si="383"/>
        <v>3</v>
      </c>
      <c r="Q285" s="36"/>
      <c r="R285" s="203"/>
      <c r="S285" s="36"/>
      <c r="T285" s="34">
        <f t="shared" si="384"/>
        <v>137400</v>
      </c>
      <c r="U285" s="31">
        <f t="shared" si="385"/>
        <v>0</v>
      </c>
      <c r="V285" s="34">
        <f t="shared" si="386"/>
        <v>137400</v>
      </c>
      <c r="W285" s="43">
        <v>45800</v>
      </c>
      <c r="X285" s="34">
        <f>SUMIF(헤몬팜마진!$B$7:$B$32,$C285,헤몬팜마진!$R$7:$R$32)</f>
        <v>9990.4082249999992</v>
      </c>
      <c r="Y285" s="34" t="e">
        <f t="shared" si="387"/>
        <v>#REF!</v>
      </c>
      <c r="Z285" s="34">
        <f t="shared" si="388"/>
        <v>11811.800000000001</v>
      </c>
      <c r="AA285" s="49">
        <v>10738</v>
      </c>
      <c r="AB285" s="36"/>
      <c r="AC285" s="204">
        <f t="shared" ref="AC285:AC299" si="395">(1210+1100)*Q285</f>
        <v>0</v>
      </c>
      <c r="AD285" s="152">
        <v>0.11</v>
      </c>
      <c r="AE285" s="31">
        <f t="shared" ref="AE285:AE286" si="396">4150*(P285)</f>
        <v>12450</v>
      </c>
      <c r="AF285" s="28">
        <f t="shared" si="390"/>
        <v>0.2006113537117904</v>
      </c>
      <c r="AG285" s="34">
        <f t="shared" si="391"/>
        <v>27564.03</v>
      </c>
      <c r="AH285" s="34" t="e">
        <f t="shared" si="392"/>
        <v>#REF!</v>
      </c>
      <c r="AI285" s="34" t="e">
        <f>SUMIF(헤몬팜마진!$B$7:$B$32,$C285,헤몬팜마진!$V$7:$V$32)</f>
        <v>#REF!</v>
      </c>
      <c r="AJ285" s="34" t="e">
        <f t="shared" si="393"/>
        <v>#REF!</v>
      </c>
      <c r="AK285" s="46" t="e">
        <f t="shared" si="394"/>
        <v>#REF!</v>
      </c>
      <c r="AL285" s="40">
        <f>SUMIF(헤몬팜마진!$B$7:$B$32,$C285,헤몬팜마진!$T$7:$T$32)</f>
        <v>162</v>
      </c>
      <c r="AM285" s="41">
        <f>SUMIF(헤몬팜마진!$B$7:$B$32,$C285,헤몬팜마진!$U$7:$U$32)</f>
        <v>826.80000000000007</v>
      </c>
      <c r="AN285" s="36"/>
      <c r="AO285" s="202">
        <v>16111</v>
      </c>
      <c r="AP285" s="205">
        <v>85</v>
      </c>
      <c r="AQ285" s="126"/>
      <c r="AR285" s="126"/>
      <c r="AS285" s="126"/>
      <c r="AT285" s="118"/>
      <c r="AU285" s="118"/>
      <c r="AV285" s="118"/>
      <c r="AW285" s="118"/>
      <c r="AX285" s="118"/>
      <c r="AY285" s="118"/>
      <c r="AZ285" s="118"/>
      <c r="BA285" s="118"/>
      <c r="BB285" s="118"/>
      <c r="BC285" s="118"/>
      <c r="BD285" s="118"/>
      <c r="BE285" s="118"/>
      <c r="BF285" s="118"/>
      <c r="BG285" s="47"/>
      <c r="BH285" s="47"/>
      <c r="BI285" s="47"/>
      <c r="BJ285" s="47"/>
      <c r="BK285" s="47"/>
    </row>
    <row r="286" spans="1:63" ht="28.5" customHeight="1">
      <c r="A286" s="318"/>
      <c r="B286" s="324"/>
      <c r="C286" s="42" t="s">
        <v>110</v>
      </c>
      <c r="D286" s="28" t="e">
        <f t="shared" si="377"/>
        <v>#REF!</v>
      </c>
      <c r="E286" s="201" t="e">
        <f t="shared" si="378"/>
        <v>#REF!</v>
      </c>
      <c r="F286" s="30">
        <f t="shared" si="379"/>
        <v>0.23402500000000004</v>
      </c>
      <c r="G286" s="30">
        <f t="shared" si="380"/>
        <v>3.5294117647058823E-2</v>
      </c>
      <c r="H286" s="35">
        <v>0</v>
      </c>
      <c r="I286" s="35">
        <f t="shared" si="381"/>
        <v>105</v>
      </c>
      <c r="J286" s="35">
        <f t="shared" si="382"/>
        <v>210</v>
      </c>
      <c r="K286" s="310"/>
      <c r="L286" s="49">
        <f>13+2</f>
        <v>15</v>
      </c>
      <c r="M286" s="48"/>
      <c r="N286" s="44">
        <v>15</v>
      </c>
      <c r="O286" s="202">
        <v>10</v>
      </c>
      <c r="P286" s="31">
        <f t="shared" si="383"/>
        <v>10</v>
      </c>
      <c r="Q286" s="202">
        <v>1</v>
      </c>
      <c r="R286" s="203">
        <v>9</v>
      </c>
      <c r="S286" s="36"/>
      <c r="T286" s="34">
        <f t="shared" si="384"/>
        <v>468000</v>
      </c>
      <c r="U286" s="31">
        <f t="shared" si="385"/>
        <v>0</v>
      </c>
      <c r="V286" s="34">
        <f t="shared" si="386"/>
        <v>468000</v>
      </c>
      <c r="W286" s="43">
        <v>46800</v>
      </c>
      <c r="X286" s="34">
        <f>SUMIF(헤몬팜마진!$B$7:$B$32,$C286,헤몬팜마진!$R$7:$R$32)</f>
        <v>9990.4082249999992</v>
      </c>
      <c r="Y286" s="34" t="e">
        <f t="shared" si="387"/>
        <v>#REF!</v>
      </c>
      <c r="Z286" s="34">
        <f t="shared" si="388"/>
        <v>109523.70000000001</v>
      </c>
      <c r="AA286" s="49">
        <v>99567</v>
      </c>
      <c r="AB286" s="36"/>
      <c r="AC286" s="204">
        <f t="shared" si="395"/>
        <v>2310</v>
      </c>
      <c r="AD286" s="152">
        <v>0.11</v>
      </c>
      <c r="AE286" s="31">
        <f t="shared" si="396"/>
        <v>41500</v>
      </c>
      <c r="AF286" s="28">
        <f t="shared" si="390"/>
        <v>0.19867521367521368</v>
      </c>
      <c r="AG286" s="34">
        <f t="shared" si="391"/>
        <v>92980.03</v>
      </c>
      <c r="AH286" s="34" t="e">
        <f t="shared" si="392"/>
        <v>#REF!</v>
      </c>
      <c r="AI286" s="34" t="e">
        <f>SUMIF(헤몬팜마진!$B$7:$B$32,$C286,헤몬팜마진!$V$7:$V$32)</f>
        <v>#REF!</v>
      </c>
      <c r="AJ286" s="34" t="e">
        <f t="shared" si="393"/>
        <v>#REF!</v>
      </c>
      <c r="AK286" s="206" t="e">
        <f t="shared" si="394"/>
        <v>#REF!</v>
      </c>
      <c r="AL286" s="40">
        <f>SUMIF(헤몬팜마진!$B$7:$B$32,$C286,헤몬팜마진!$T$7:$T$32)</f>
        <v>162</v>
      </c>
      <c r="AM286" s="41">
        <f>SUMIF(헤몬팜마진!$B$7:$B$32,$C286,헤몬팜마진!$U$7:$U$32)</f>
        <v>826.80000000000007</v>
      </c>
      <c r="AN286" s="36"/>
      <c r="AO286" s="202">
        <v>93394</v>
      </c>
      <c r="AP286" s="205">
        <v>255</v>
      </c>
      <c r="AQ286" s="126"/>
      <c r="AR286" s="126"/>
      <c r="AS286" s="126"/>
      <c r="AT286" s="118"/>
      <c r="AU286" s="118"/>
      <c r="AV286" s="118"/>
      <c r="AW286" s="118"/>
      <c r="AX286" s="118"/>
      <c r="AY286" s="118"/>
      <c r="AZ286" s="118"/>
      <c r="BA286" s="118"/>
      <c r="BB286" s="118"/>
      <c r="BC286" s="118"/>
      <c r="BD286" s="118"/>
      <c r="BE286" s="118"/>
      <c r="BF286" s="118"/>
      <c r="BG286" s="47"/>
      <c r="BH286" s="47"/>
      <c r="BI286" s="47"/>
      <c r="BJ286" s="47"/>
      <c r="BK286" s="47"/>
    </row>
    <row r="287" spans="1:63" ht="28.5" customHeight="1">
      <c r="A287" s="12" t="s">
        <v>132</v>
      </c>
      <c r="B287" s="323"/>
      <c r="C287" s="42" t="s">
        <v>32</v>
      </c>
      <c r="D287" s="28" t="e">
        <f t="shared" si="377"/>
        <v>#REF!</v>
      </c>
      <c r="E287" s="201" t="e">
        <f t="shared" si="378"/>
        <v>#REF!</v>
      </c>
      <c r="F287" s="30" t="e">
        <f t="shared" si="379"/>
        <v>#DIV/0!</v>
      </c>
      <c r="G287" s="30">
        <f t="shared" si="380"/>
        <v>0</v>
      </c>
      <c r="H287" s="37">
        <v>3504</v>
      </c>
      <c r="I287" s="35">
        <f t="shared" si="381"/>
        <v>210</v>
      </c>
      <c r="J287" s="35">
        <f t="shared" si="382"/>
        <v>420</v>
      </c>
      <c r="K287" s="325">
        <v>626</v>
      </c>
      <c r="L287" s="39">
        <f>30+13+6</f>
        <v>49</v>
      </c>
      <c r="M287" s="210"/>
      <c r="N287" s="208">
        <v>30</v>
      </c>
      <c r="O287" s="202"/>
      <c r="P287" s="31">
        <f t="shared" si="383"/>
        <v>0</v>
      </c>
      <c r="Q287" s="36"/>
      <c r="R287" s="203"/>
      <c r="S287" s="36"/>
      <c r="T287" s="34">
        <f t="shared" si="384"/>
        <v>0</v>
      </c>
      <c r="U287" s="31">
        <f t="shared" si="385"/>
        <v>0</v>
      </c>
      <c r="V287" s="34">
        <f t="shared" si="386"/>
        <v>0</v>
      </c>
      <c r="W287" s="43">
        <v>59800</v>
      </c>
      <c r="X287" s="34">
        <f>SUMIF(헤몬팜마진!$B$7:$B$32,$C287,헤몬팜마진!$R$7:$R$32)</f>
        <v>13276.289999999999</v>
      </c>
      <c r="Y287" s="34" t="e">
        <f t="shared" si="387"/>
        <v>#REF!</v>
      </c>
      <c r="Z287" s="34">
        <f t="shared" si="388"/>
        <v>5242.6000000000004</v>
      </c>
      <c r="AA287" s="49">
        <v>4766</v>
      </c>
      <c r="AB287" s="209"/>
      <c r="AC287" s="204">
        <f t="shared" si="395"/>
        <v>0</v>
      </c>
      <c r="AD287" s="152">
        <v>0.108</v>
      </c>
      <c r="AE287" s="31">
        <f t="shared" ref="AE287:AE288" si="397">4825*(P287)</f>
        <v>0</v>
      </c>
      <c r="AF287" s="28" t="e">
        <f t="shared" si="390"/>
        <v>#DIV/0!</v>
      </c>
      <c r="AG287" s="34">
        <f t="shared" si="391"/>
        <v>0</v>
      </c>
      <c r="AH287" s="34" t="e">
        <f t="shared" si="392"/>
        <v>#REF!</v>
      </c>
      <c r="AI287" s="34" t="e">
        <f>SUMIF(헤몬팜마진!$B$7:$B$32,$C287,헤몬팜마진!$V$7:$V$32)</f>
        <v>#REF!</v>
      </c>
      <c r="AJ287" s="34" t="e">
        <f t="shared" si="393"/>
        <v>#REF!</v>
      </c>
      <c r="AK287" s="46" t="e">
        <f t="shared" si="394"/>
        <v>#REF!</v>
      </c>
      <c r="AL287" s="40">
        <f>SUMIF(헤몬팜마진!$B$7:$B$32,$C287,헤몬팜마진!$T$7:$T$32)</f>
        <v>371.52</v>
      </c>
      <c r="AM287" s="41">
        <f>SUMIF(헤몬팜마진!$B$7:$B$32,$C287,헤몬팜마진!$U$7:$U$32)</f>
        <v>1896.1279999999999</v>
      </c>
      <c r="AN287" s="36"/>
      <c r="AO287" s="202">
        <v>14379</v>
      </c>
      <c r="AP287" s="205">
        <v>8</v>
      </c>
      <c r="AQ287" s="126"/>
      <c r="AR287" s="126"/>
      <c r="AS287" s="126"/>
      <c r="AT287" s="118"/>
      <c r="AU287" s="118"/>
      <c r="AV287" s="118"/>
      <c r="AW287" s="118"/>
      <c r="AX287" s="118"/>
      <c r="AY287" s="118"/>
      <c r="AZ287" s="118"/>
      <c r="BA287" s="118"/>
      <c r="BB287" s="118"/>
      <c r="BC287" s="118"/>
      <c r="BD287" s="118"/>
      <c r="BE287" s="118"/>
      <c r="BF287" s="118"/>
      <c r="BG287" s="47"/>
      <c r="BH287" s="47"/>
      <c r="BI287" s="47"/>
      <c r="BJ287" s="47"/>
      <c r="BK287" s="47"/>
    </row>
    <row r="288" spans="1:63" ht="28.5" customHeight="1">
      <c r="A288" s="12" t="s">
        <v>132</v>
      </c>
      <c r="B288" s="324"/>
      <c r="C288" s="42" t="s">
        <v>33</v>
      </c>
      <c r="D288" s="28" t="e">
        <f t="shared" si="377"/>
        <v>#REF!</v>
      </c>
      <c r="E288" s="201" t="e">
        <f t="shared" si="378"/>
        <v>#REF!</v>
      </c>
      <c r="F288" s="30">
        <f t="shared" si="379"/>
        <v>0</v>
      </c>
      <c r="G288" s="30">
        <f t="shared" si="380"/>
        <v>5.7142857142857141E-2</v>
      </c>
      <c r="H288" s="35">
        <v>0</v>
      </c>
      <c r="I288" s="35">
        <f t="shared" si="381"/>
        <v>210</v>
      </c>
      <c r="J288" s="35">
        <f t="shared" si="382"/>
        <v>420</v>
      </c>
      <c r="K288" s="310"/>
      <c r="L288" s="39">
        <f>4+11+18+38+129</f>
        <v>200</v>
      </c>
      <c r="M288" s="210"/>
      <c r="N288" s="44">
        <v>30</v>
      </c>
      <c r="O288" s="202">
        <v>3</v>
      </c>
      <c r="P288" s="31">
        <f t="shared" si="383"/>
        <v>3</v>
      </c>
      <c r="Q288" s="36"/>
      <c r="R288" s="203">
        <v>2</v>
      </c>
      <c r="S288" s="36"/>
      <c r="T288" s="34">
        <f t="shared" si="384"/>
        <v>209340</v>
      </c>
      <c r="U288" s="31">
        <f t="shared" si="385"/>
        <v>0</v>
      </c>
      <c r="V288" s="34">
        <f t="shared" si="386"/>
        <v>209340</v>
      </c>
      <c r="W288" s="43">
        <v>69780</v>
      </c>
      <c r="X288" s="34">
        <f>SUMIF(헤몬팜마진!$B$7:$B$32,$C288,헤몬팜마진!$R$7:$R$32)</f>
        <v>13276.289999999999</v>
      </c>
      <c r="Y288" s="34" t="e">
        <f t="shared" si="387"/>
        <v>#REF!</v>
      </c>
      <c r="Z288" s="34">
        <f t="shared" si="388"/>
        <v>0</v>
      </c>
      <c r="AA288" s="49"/>
      <c r="AB288" s="36"/>
      <c r="AC288" s="204">
        <f t="shared" si="395"/>
        <v>0</v>
      </c>
      <c r="AD288" s="152">
        <v>0.108</v>
      </c>
      <c r="AE288" s="31">
        <f t="shared" si="397"/>
        <v>14475</v>
      </c>
      <c r="AF288" s="28">
        <f t="shared" si="390"/>
        <v>0.17714588707366008</v>
      </c>
      <c r="AG288" s="34">
        <f t="shared" si="391"/>
        <v>37083.75</v>
      </c>
      <c r="AH288" s="34" t="e">
        <f t="shared" si="392"/>
        <v>#REF!</v>
      </c>
      <c r="AI288" s="34" t="e">
        <f>SUMIF(헤몬팜마진!$B$7:$B$32,$C288,헤몬팜마진!$V$7:$V$32)</f>
        <v>#REF!</v>
      </c>
      <c r="AJ288" s="34" t="e">
        <f t="shared" si="393"/>
        <v>#REF!</v>
      </c>
      <c r="AK288" s="46" t="e">
        <f t="shared" si="394"/>
        <v>#REF!</v>
      </c>
      <c r="AL288" s="40">
        <f>SUMIF(헤몬팜마진!$B$7:$B$32,$C288,헤몬팜마진!$T$7:$T$32)</f>
        <v>371.52</v>
      </c>
      <c r="AM288" s="41">
        <f>SUMIF(헤몬팜마진!$B$7:$B$32,$C288,헤몬팜마진!$U$7:$U$32)</f>
        <v>1896.1279999999999</v>
      </c>
      <c r="AN288" s="36"/>
      <c r="AO288" s="202">
        <v>24997</v>
      </c>
      <c r="AP288" s="205">
        <v>35</v>
      </c>
      <c r="AQ288" s="126"/>
      <c r="AR288" s="126"/>
      <c r="AS288" s="126"/>
      <c r="AT288" s="118"/>
      <c r="AU288" s="118"/>
      <c r="AV288" s="118"/>
      <c r="AW288" s="118"/>
      <c r="AX288" s="118"/>
      <c r="AY288" s="118"/>
      <c r="AZ288" s="118"/>
      <c r="BA288" s="118"/>
      <c r="BB288" s="118"/>
      <c r="BC288" s="118"/>
      <c r="BD288" s="118"/>
      <c r="BE288" s="118"/>
      <c r="BF288" s="118"/>
      <c r="BG288" s="47"/>
      <c r="BH288" s="47"/>
      <c r="BI288" s="47"/>
      <c r="BJ288" s="47"/>
      <c r="BK288" s="47"/>
    </row>
    <row r="289" spans="1:63" ht="28.5" customHeight="1">
      <c r="A289" s="228" t="s">
        <v>133</v>
      </c>
      <c r="B289" s="200"/>
      <c r="C289" s="42" t="s">
        <v>111</v>
      </c>
      <c r="D289" s="28">
        <f t="shared" si="377"/>
        <v>-1.4659880021994136</v>
      </c>
      <c r="E289" s="201">
        <f t="shared" si="378"/>
        <v>0.39080790350778261</v>
      </c>
      <c r="F289" s="30">
        <f t="shared" si="379"/>
        <v>1.8567959057071961</v>
      </c>
      <c r="G289" s="30">
        <f t="shared" si="380"/>
        <v>2.5210084033613446E-2</v>
      </c>
      <c r="H289" s="35">
        <v>500</v>
      </c>
      <c r="I289" s="35">
        <f t="shared" si="381"/>
        <v>105</v>
      </c>
      <c r="J289" s="35">
        <f t="shared" si="382"/>
        <v>210</v>
      </c>
      <c r="K289" s="39">
        <v>577</v>
      </c>
      <c r="L289" s="39">
        <v>211</v>
      </c>
      <c r="M289" s="210"/>
      <c r="N289" s="44">
        <v>15</v>
      </c>
      <c r="O289" s="202">
        <v>2</v>
      </c>
      <c r="P289" s="31">
        <f t="shared" si="383"/>
        <v>2</v>
      </c>
      <c r="Q289" s="202">
        <v>2</v>
      </c>
      <c r="R289" s="203">
        <v>3</v>
      </c>
      <c r="S289" s="202"/>
      <c r="T289" s="34">
        <f t="shared" si="384"/>
        <v>32240</v>
      </c>
      <c r="U289" s="31">
        <f t="shared" si="385"/>
        <v>0</v>
      </c>
      <c r="V289" s="34">
        <f t="shared" si="386"/>
        <v>32240</v>
      </c>
      <c r="W289" s="43">
        <v>16120</v>
      </c>
      <c r="X289" s="34">
        <f>SUMIF(헤몬팜마진!$B$7:$B$32,$C289,헤몬팜마진!$R$7:$R$32)</f>
        <v>5089.2444999999998</v>
      </c>
      <c r="Y289" s="34">
        <f t="shared" si="387"/>
        <v>10252.648999999999</v>
      </c>
      <c r="Z289" s="34">
        <f t="shared" si="388"/>
        <v>59863.100000000006</v>
      </c>
      <c r="AA289" s="49">
        <v>54421</v>
      </c>
      <c r="AB289" s="211"/>
      <c r="AC289" s="204">
        <f t="shared" si="395"/>
        <v>4620</v>
      </c>
      <c r="AD289" s="152">
        <v>7.8E-2</v>
      </c>
      <c r="AE289" s="31">
        <f>2900*(P289)</f>
        <v>5800</v>
      </c>
      <c r="AF289" s="28">
        <f t="shared" si="390"/>
        <v>0.25790074441687344</v>
      </c>
      <c r="AG289" s="34">
        <f t="shared" si="391"/>
        <v>8314.75</v>
      </c>
      <c r="AH289" s="34">
        <f t="shared" si="392"/>
        <v>1072.954190909091</v>
      </c>
      <c r="AI289" s="34">
        <f>SUMIF(헤몬팜마진!$B$7:$B$32,$C289,헤몬팜마진!$V$7:$V$32)</f>
        <v>5126.3244999999997</v>
      </c>
      <c r="AJ289" s="34">
        <f t="shared" si="393"/>
        <v>12599.646809090911</v>
      </c>
      <c r="AK289" s="206">
        <f t="shared" si="394"/>
        <v>-47263.453190909095</v>
      </c>
      <c r="AL289" s="40">
        <f>SUMIF(헤몬팜마진!$B$7:$B$32,$C289,헤몬팜마진!$T$7:$T$32)</f>
        <v>6.0750000000000002</v>
      </c>
      <c r="AM289" s="41">
        <f>SUMIF(헤몬팜마진!$B$7:$B$32,$C289,헤몬팜마진!$U$7:$U$32)</f>
        <v>31.005000000000003</v>
      </c>
      <c r="AN289" s="36"/>
      <c r="AO289" s="202">
        <v>75052</v>
      </c>
      <c r="AP289" s="205">
        <v>119</v>
      </c>
      <c r="AQ289" s="126"/>
      <c r="AR289" s="126"/>
      <c r="AS289" s="126"/>
      <c r="AT289" s="118"/>
      <c r="AU289" s="118"/>
      <c r="AV289" s="118"/>
      <c r="AW289" s="118"/>
      <c r="AX289" s="118"/>
      <c r="AY289" s="118"/>
      <c r="AZ289" s="118"/>
      <c r="BA289" s="118"/>
      <c r="BB289" s="118"/>
      <c r="BC289" s="118"/>
      <c r="BD289" s="118"/>
      <c r="BE289" s="118"/>
      <c r="BF289" s="118"/>
      <c r="BG289" s="47"/>
      <c r="BH289" s="47"/>
      <c r="BI289" s="47"/>
      <c r="BJ289" s="47"/>
      <c r="BK289" s="47"/>
    </row>
    <row r="290" spans="1:63" ht="28.5" customHeight="1">
      <c r="A290" s="327" t="s">
        <v>134</v>
      </c>
      <c r="B290" s="323"/>
      <c r="C290" s="42" t="s">
        <v>112</v>
      </c>
      <c r="D290" s="29" t="e">
        <f t="shared" si="377"/>
        <v>#REF!</v>
      </c>
      <c r="E290" s="201" t="e">
        <f t="shared" si="378"/>
        <v>#REF!</v>
      </c>
      <c r="F290" s="30">
        <f t="shared" si="379"/>
        <v>0.27270997846374728</v>
      </c>
      <c r="G290" s="30">
        <f t="shared" si="380"/>
        <v>2.4390243902439025E-2</v>
      </c>
      <c r="H290" s="312">
        <v>0</v>
      </c>
      <c r="I290" s="35">
        <f t="shared" si="381"/>
        <v>140</v>
      </c>
      <c r="J290" s="35">
        <f t="shared" si="382"/>
        <v>280</v>
      </c>
      <c r="K290" s="325">
        <v>343</v>
      </c>
      <c r="L290" s="39">
        <f>97+42+48+31+19+10</f>
        <v>247</v>
      </c>
      <c r="M290" s="210"/>
      <c r="N290" s="44">
        <v>20</v>
      </c>
      <c r="O290" s="202">
        <v>7</v>
      </c>
      <c r="P290" s="31">
        <f t="shared" si="383"/>
        <v>7</v>
      </c>
      <c r="Q290" s="202"/>
      <c r="R290" s="167">
        <v>3</v>
      </c>
      <c r="S290" s="36"/>
      <c r="T290" s="34">
        <f t="shared" si="384"/>
        <v>278600</v>
      </c>
      <c r="U290" s="31">
        <f t="shared" si="385"/>
        <v>0</v>
      </c>
      <c r="V290" s="34">
        <f t="shared" si="386"/>
        <v>278600</v>
      </c>
      <c r="W290" s="43">
        <v>39800</v>
      </c>
      <c r="X290" s="34">
        <f>SUMIF(헤몬팜마진!$B$7:$B$32,$C290,헤몬팜마진!$R$7:$R$32)</f>
        <v>7855.1382499999991</v>
      </c>
      <c r="Y290" s="34" t="e">
        <f t="shared" si="387"/>
        <v>#REF!</v>
      </c>
      <c r="Z290" s="34">
        <f t="shared" si="388"/>
        <v>75977</v>
      </c>
      <c r="AA290" s="49">
        <v>69070</v>
      </c>
      <c r="AB290" s="209"/>
      <c r="AC290" s="204">
        <f t="shared" si="395"/>
        <v>0</v>
      </c>
      <c r="AD290" s="152">
        <v>0.08</v>
      </c>
      <c r="AE290" s="31">
        <f>4150*(P290)</f>
        <v>29050</v>
      </c>
      <c r="AF290" s="28">
        <f t="shared" si="390"/>
        <v>0.18427135678391959</v>
      </c>
      <c r="AG290" s="34">
        <f t="shared" si="391"/>
        <v>51338.03</v>
      </c>
      <c r="AH290" s="34" t="e">
        <f t="shared" si="392"/>
        <v>#REF!</v>
      </c>
      <c r="AI290" s="34" t="e">
        <f>SUMIF(헤몬팜마진!$B$7:$B$32,$C290,헤몬팜마진!$V$7:$V$32)</f>
        <v>#REF!</v>
      </c>
      <c r="AJ290" s="34" t="e">
        <f t="shared" si="393"/>
        <v>#REF!</v>
      </c>
      <c r="AK290" s="46" t="e">
        <f t="shared" si="394"/>
        <v>#REF!</v>
      </c>
      <c r="AL290" s="40">
        <f>SUMIF(헤몬팜마진!$B$7:$B$32,$C290,헤몬팜마진!$T$7:$T$32)</f>
        <v>176.41799999999998</v>
      </c>
      <c r="AM290" s="41">
        <f>SUMIF(헤몬팜마진!$B$7:$B$32,$C290,헤몬팜마진!$U$7:$U$32)</f>
        <v>900.38519999999994</v>
      </c>
      <c r="AN290" s="36"/>
      <c r="AO290" s="202">
        <v>52516</v>
      </c>
      <c r="AP290" s="205">
        <v>123</v>
      </c>
      <c r="AQ290" s="126"/>
      <c r="AR290" s="126"/>
      <c r="AS290" s="126"/>
      <c r="AT290" s="118"/>
      <c r="AU290" s="118"/>
      <c r="AV290" s="118"/>
      <c r="AW290" s="118"/>
      <c r="AX290" s="118"/>
      <c r="AY290" s="118"/>
      <c r="AZ290" s="118"/>
      <c r="BA290" s="118"/>
      <c r="BB290" s="118"/>
      <c r="BC290" s="118"/>
      <c r="BD290" s="118"/>
      <c r="BE290" s="118"/>
      <c r="BF290" s="118"/>
      <c r="BG290" s="47"/>
      <c r="BH290" s="47"/>
      <c r="BI290" s="47"/>
      <c r="BJ290" s="47"/>
      <c r="BK290" s="47"/>
    </row>
    <row r="291" spans="1:63" ht="28.5" customHeight="1">
      <c r="A291" s="318"/>
      <c r="B291" s="324"/>
      <c r="C291" s="42" t="s">
        <v>113</v>
      </c>
      <c r="D291" s="28" t="e">
        <f t="shared" si="377"/>
        <v>#REF!</v>
      </c>
      <c r="E291" s="201" t="e">
        <f t="shared" si="378"/>
        <v>#REF!</v>
      </c>
      <c r="F291" s="30">
        <f t="shared" si="379"/>
        <v>0.33758974358974358</v>
      </c>
      <c r="G291" s="30">
        <f t="shared" si="380"/>
        <v>1.3698630136986301E-2</v>
      </c>
      <c r="H291" s="310"/>
      <c r="I291" s="35">
        <f t="shared" si="381"/>
        <v>105</v>
      </c>
      <c r="J291" s="35">
        <f t="shared" si="382"/>
        <v>210</v>
      </c>
      <c r="K291" s="310"/>
      <c r="L291" s="39">
        <f>74+42+48+18+8+2</f>
        <v>192</v>
      </c>
      <c r="M291" s="210"/>
      <c r="N291" s="44">
        <v>15</v>
      </c>
      <c r="O291" s="36">
        <v>2</v>
      </c>
      <c r="P291" s="31">
        <f t="shared" si="383"/>
        <v>2</v>
      </c>
      <c r="Q291" s="36">
        <v>1</v>
      </c>
      <c r="R291" s="167">
        <v>1</v>
      </c>
      <c r="S291" s="36"/>
      <c r="T291" s="34">
        <f t="shared" si="384"/>
        <v>85800</v>
      </c>
      <c r="U291" s="31">
        <f t="shared" si="385"/>
        <v>0</v>
      </c>
      <c r="V291" s="34">
        <f t="shared" si="386"/>
        <v>85800</v>
      </c>
      <c r="W291" s="43">
        <v>42900</v>
      </c>
      <c r="X291" s="34">
        <f>SUMIF(헤몬팜마진!$B$7:$B$32,$C291,헤몬팜마진!$R$7:$R$32)</f>
        <v>7855.1382499999991</v>
      </c>
      <c r="Y291" s="34" t="e">
        <f t="shared" si="387"/>
        <v>#REF!</v>
      </c>
      <c r="Z291" s="34">
        <f t="shared" si="388"/>
        <v>28965.200000000001</v>
      </c>
      <c r="AA291" s="49">
        <v>26332</v>
      </c>
      <c r="AB291" s="36"/>
      <c r="AC291" s="204">
        <f t="shared" si="395"/>
        <v>2310</v>
      </c>
      <c r="AD291" s="152">
        <v>7.8E-2</v>
      </c>
      <c r="AE291" s="31">
        <f>1900*(P291)</f>
        <v>3800</v>
      </c>
      <c r="AF291" s="28">
        <f t="shared" si="390"/>
        <v>0.12228904428904429</v>
      </c>
      <c r="AG291" s="34">
        <f t="shared" si="391"/>
        <v>10492.43</v>
      </c>
      <c r="AH291" s="34" t="e">
        <f t="shared" si="392"/>
        <v>#REF!</v>
      </c>
      <c r="AI291" s="34" t="e">
        <f>SUMIF(헤몬팜마진!$B$7:$B$32,$C291,헤몬팜마진!$V$7:$V$32)</f>
        <v>#REF!</v>
      </c>
      <c r="AJ291" s="34" t="e">
        <f t="shared" si="393"/>
        <v>#REF!</v>
      </c>
      <c r="AK291" s="206" t="e">
        <f t="shared" si="394"/>
        <v>#REF!</v>
      </c>
      <c r="AL291" s="40">
        <f>SUMIF(헤몬팜마진!$B$7:$B$32,$C291,헤몬팜마진!$T$7:$T$32)</f>
        <v>176.41799999999998</v>
      </c>
      <c r="AM291" s="41">
        <f>SUMIF(헤몬팜마진!$B$7:$B$32,$C291,헤몬팜마진!$U$7:$U$32)</f>
        <v>900.38519999999994</v>
      </c>
      <c r="AN291" s="36"/>
      <c r="AO291" s="202">
        <v>23745</v>
      </c>
      <c r="AP291" s="205">
        <v>73</v>
      </c>
      <c r="AQ291" s="126"/>
      <c r="AR291" s="126"/>
      <c r="AS291" s="126"/>
      <c r="AT291" s="118"/>
      <c r="AU291" s="118"/>
      <c r="AV291" s="118"/>
      <c r="AW291" s="118"/>
      <c r="AX291" s="118"/>
      <c r="AY291" s="118"/>
      <c r="AZ291" s="118"/>
      <c r="BA291" s="118"/>
      <c r="BB291" s="118"/>
      <c r="BC291" s="118"/>
      <c r="BD291" s="118"/>
      <c r="BE291" s="118"/>
      <c r="BF291" s="118"/>
      <c r="BG291" s="47"/>
      <c r="BH291" s="47"/>
      <c r="BI291" s="47"/>
      <c r="BJ291" s="47"/>
      <c r="BK291" s="47"/>
    </row>
    <row r="292" spans="1:63" ht="28.5" customHeight="1">
      <c r="A292" s="228" t="s">
        <v>135</v>
      </c>
      <c r="B292" s="200"/>
      <c r="C292" s="42" t="s">
        <v>114</v>
      </c>
      <c r="D292" s="28">
        <f t="shared" si="377"/>
        <v>6.0777834724967103E-2</v>
      </c>
      <c r="E292" s="201">
        <f t="shared" si="378"/>
        <v>0.36298888544960484</v>
      </c>
      <c r="F292" s="30">
        <f t="shared" si="379"/>
        <v>0.30221105072463772</v>
      </c>
      <c r="G292" s="30">
        <f t="shared" si="380"/>
        <v>0.1</v>
      </c>
      <c r="H292" s="35">
        <v>1750</v>
      </c>
      <c r="I292" s="35">
        <f t="shared" si="381"/>
        <v>350</v>
      </c>
      <c r="J292" s="35">
        <f t="shared" si="382"/>
        <v>700</v>
      </c>
      <c r="K292" s="39">
        <v>1449</v>
      </c>
      <c r="L292" s="39">
        <v>1217</v>
      </c>
      <c r="M292" s="210"/>
      <c r="N292" s="44">
        <v>50</v>
      </c>
      <c r="O292" s="202">
        <v>23</v>
      </c>
      <c r="P292" s="31">
        <f t="shared" si="383"/>
        <v>23</v>
      </c>
      <c r="Q292" s="36">
        <v>3</v>
      </c>
      <c r="R292" s="203">
        <v>10</v>
      </c>
      <c r="S292" s="36"/>
      <c r="T292" s="34">
        <f t="shared" si="384"/>
        <v>441600</v>
      </c>
      <c r="U292" s="31">
        <f t="shared" si="385"/>
        <v>0</v>
      </c>
      <c r="V292" s="34">
        <f t="shared" si="386"/>
        <v>441600</v>
      </c>
      <c r="W292" s="43">
        <v>19200</v>
      </c>
      <c r="X292" s="34">
        <f>SUMIF(헤몬팜마진!$B$7:$B$32,$C292,헤몬팜마진!$R$7:$R$32)</f>
        <v>6372.6191999999992</v>
      </c>
      <c r="Y292" s="34">
        <f t="shared" si="387"/>
        <v>155743.00959999999</v>
      </c>
      <c r="Z292" s="34">
        <f t="shared" si="388"/>
        <v>133456.40000000002</v>
      </c>
      <c r="AA292" s="49">
        <f>100696+20628</f>
        <v>121324</v>
      </c>
      <c r="AB292" s="36"/>
      <c r="AC292" s="204">
        <f t="shared" si="395"/>
        <v>6930</v>
      </c>
      <c r="AD292" s="152">
        <v>0.08</v>
      </c>
      <c r="AE292" s="31">
        <f>3350*(P292)</f>
        <v>77050</v>
      </c>
      <c r="AF292" s="28">
        <f t="shared" si="390"/>
        <v>0.25447916666666665</v>
      </c>
      <c r="AG292" s="34">
        <f t="shared" si="391"/>
        <v>112378.02999999998</v>
      </c>
      <c r="AH292" s="34">
        <f t="shared" si="392"/>
        <v>13183.068585454545</v>
      </c>
      <c r="AI292" s="34">
        <f>SUMIF(헤몬팜마진!$B$7:$B$32,$C292,헤몬팜마진!$V$7:$V$32)</f>
        <v>6771.435199999999</v>
      </c>
      <c r="AJ292" s="34">
        <f t="shared" si="393"/>
        <v>160295.8918145455</v>
      </c>
      <c r="AK292" s="46">
        <f t="shared" si="394"/>
        <v>26839.491814545472</v>
      </c>
      <c r="AL292" s="40">
        <f>SUMIF(헤몬팜마진!$B$7:$B$32,$C292,헤몬팜마진!$T$7:$T$32)</f>
        <v>65.34</v>
      </c>
      <c r="AM292" s="41">
        <f>SUMIF(헤몬팜마진!$B$7:$B$32,$C292,헤몬팜마진!$U$7:$U$32)</f>
        <v>333.476</v>
      </c>
      <c r="AN292" s="36"/>
      <c r="AO292" s="235">
        <v>29984</v>
      </c>
      <c r="AP292" s="235">
        <v>100</v>
      </c>
      <c r="AQ292" s="126"/>
      <c r="AR292" s="126"/>
      <c r="AS292" s="126"/>
      <c r="AT292" s="118"/>
      <c r="AU292" s="118"/>
      <c r="AV292" s="118"/>
      <c r="AW292" s="118"/>
      <c r="AX292" s="118"/>
      <c r="AY292" s="118"/>
      <c r="AZ292" s="118"/>
      <c r="BA292" s="118"/>
      <c r="BB292" s="118"/>
      <c r="BC292" s="118"/>
      <c r="BD292" s="118"/>
      <c r="BE292" s="118"/>
      <c r="BF292" s="118"/>
      <c r="BG292" s="47"/>
      <c r="BH292" s="47"/>
      <c r="BI292" s="47"/>
      <c r="BJ292" s="47"/>
      <c r="BK292" s="47"/>
    </row>
    <row r="293" spans="1:63" ht="28.5" customHeight="1">
      <c r="A293" s="327" t="s">
        <v>136</v>
      </c>
      <c r="B293" s="326"/>
      <c r="C293" s="42" t="s">
        <v>115</v>
      </c>
      <c r="D293" s="28" t="e">
        <f t="shared" si="377"/>
        <v>#REF!</v>
      </c>
      <c r="E293" s="201" t="e">
        <f t="shared" si="378"/>
        <v>#REF!</v>
      </c>
      <c r="F293" s="30">
        <f t="shared" si="379"/>
        <v>0.53412412130949993</v>
      </c>
      <c r="G293" s="30">
        <f t="shared" si="380"/>
        <v>1.6528925619834711E-2</v>
      </c>
      <c r="H293" s="35">
        <v>0</v>
      </c>
      <c r="I293" s="35">
        <f t="shared" si="381"/>
        <v>70</v>
      </c>
      <c r="J293" s="35">
        <f t="shared" si="382"/>
        <v>140</v>
      </c>
      <c r="K293" s="328">
        <v>494</v>
      </c>
      <c r="L293" s="39">
        <v>0</v>
      </c>
      <c r="M293" s="210"/>
      <c r="N293" s="44">
        <v>10</v>
      </c>
      <c r="O293" s="36">
        <v>5</v>
      </c>
      <c r="P293" s="31">
        <f t="shared" si="383"/>
        <v>5</v>
      </c>
      <c r="Q293" s="36"/>
      <c r="R293" s="167">
        <v>2</v>
      </c>
      <c r="S293" s="36"/>
      <c r="T293" s="34">
        <f t="shared" si="384"/>
        <v>248950</v>
      </c>
      <c r="U293" s="31">
        <f t="shared" si="385"/>
        <v>0</v>
      </c>
      <c r="V293" s="34">
        <f t="shared" si="386"/>
        <v>248950</v>
      </c>
      <c r="W293" s="43">
        <v>49790</v>
      </c>
      <c r="X293" s="34">
        <f>SUMIF(헤몬팜마진!$B$7:$B$32,$C293,헤몬팜마진!$R$7:$R$32)</f>
        <v>12169.932499999999</v>
      </c>
      <c r="Y293" s="34" t="e">
        <f t="shared" si="387"/>
        <v>#REF!</v>
      </c>
      <c r="Z293" s="34">
        <f t="shared" si="388"/>
        <v>132970.20000000001</v>
      </c>
      <c r="AA293" s="49">
        <v>120882</v>
      </c>
      <c r="AB293" s="36"/>
      <c r="AC293" s="204">
        <f t="shared" si="395"/>
        <v>0</v>
      </c>
      <c r="AD293" s="152">
        <v>7.8E-2</v>
      </c>
      <c r="AE293" s="31">
        <f t="shared" ref="AE293:AE294" si="398">4825*(P293)</f>
        <v>24125</v>
      </c>
      <c r="AF293" s="28">
        <f t="shared" si="390"/>
        <v>0.17490700943964652</v>
      </c>
      <c r="AG293" s="34">
        <f t="shared" si="391"/>
        <v>43543.13</v>
      </c>
      <c r="AH293" s="34" t="e">
        <f t="shared" si="392"/>
        <v>#REF!</v>
      </c>
      <c r="AI293" s="34" t="e">
        <f>SUMIF(헤몬팜마진!$B$7:$B$32,$C293,헤몬팜마진!$V$7:$V$32)</f>
        <v>#REF!</v>
      </c>
      <c r="AJ293" s="34" t="e">
        <f t="shared" si="393"/>
        <v>#REF!</v>
      </c>
      <c r="AK293" s="206" t="e">
        <f t="shared" si="394"/>
        <v>#REF!</v>
      </c>
      <c r="AL293" s="40">
        <f>SUMIF(헤몬팜마진!$B$7:$B$32,$C293,헤몬팜마진!$T$7:$T$32)</f>
        <v>181.44000000000003</v>
      </c>
      <c r="AM293" s="41">
        <f>SUMIF(헤몬팜마진!$B$7:$B$32,$C293,헤몬팜마진!$U$7:$U$32)</f>
        <v>926.01600000000019</v>
      </c>
      <c r="AN293" s="36"/>
      <c r="AO293" s="202">
        <v>26984</v>
      </c>
      <c r="AP293" s="205">
        <v>121</v>
      </c>
      <c r="AQ293" s="126"/>
      <c r="AR293" s="126"/>
      <c r="AS293" s="126"/>
      <c r="AT293" s="118"/>
      <c r="AU293" s="118"/>
      <c r="AV293" s="118"/>
      <c r="AW293" s="118"/>
      <c r="AX293" s="118"/>
      <c r="AY293" s="118"/>
      <c r="AZ293" s="118"/>
      <c r="BA293" s="118"/>
      <c r="BB293" s="118"/>
      <c r="BC293" s="118"/>
      <c r="BD293" s="118"/>
      <c r="BE293" s="118"/>
      <c r="BF293" s="118"/>
      <c r="BG293" s="47"/>
      <c r="BH293" s="47"/>
      <c r="BI293" s="47"/>
      <c r="BJ293" s="47"/>
      <c r="BK293" s="47"/>
    </row>
    <row r="294" spans="1:63" ht="28.5" customHeight="1">
      <c r="A294" s="318"/>
      <c r="B294" s="324"/>
      <c r="C294" s="42" t="s">
        <v>116</v>
      </c>
      <c r="D294" s="28" t="e">
        <f t="shared" si="377"/>
        <v>#REF!</v>
      </c>
      <c r="E294" s="201" t="e">
        <f t="shared" si="378"/>
        <v>#REF!</v>
      </c>
      <c r="F294" s="30">
        <f t="shared" si="379"/>
        <v>0.21998733010827001</v>
      </c>
      <c r="G294" s="30">
        <f t="shared" si="380"/>
        <v>2.6845637583892617E-2</v>
      </c>
      <c r="H294" s="35">
        <v>0</v>
      </c>
      <c r="I294" s="35">
        <f t="shared" si="381"/>
        <v>70</v>
      </c>
      <c r="J294" s="35">
        <f t="shared" si="382"/>
        <v>140</v>
      </c>
      <c r="K294" s="310"/>
      <c r="L294" s="39">
        <v>1</v>
      </c>
      <c r="M294" s="210"/>
      <c r="N294" s="44">
        <v>10</v>
      </c>
      <c r="O294" s="202">
        <v>6</v>
      </c>
      <c r="P294" s="31">
        <f t="shared" si="383"/>
        <v>6</v>
      </c>
      <c r="Q294" s="202">
        <v>1</v>
      </c>
      <c r="R294" s="203">
        <v>4</v>
      </c>
      <c r="S294" s="36"/>
      <c r="T294" s="34">
        <f t="shared" si="384"/>
        <v>347280</v>
      </c>
      <c r="U294" s="31">
        <f t="shared" si="385"/>
        <v>0</v>
      </c>
      <c r="V294" s="34">
        <f t="shared" si="386"/>
        <v>347280</v>
      </c>
      <c r="W294" s="43">
        <v>57880</v>
      </c>
      <c r="X294" s="34">
        <f>SUMIF(헤몬팜마진!$B$7:$B$32,$C294,헤몬팜마진!$R$7:$R$32)</f>
        <v>12169.932499999999</v>
      </c>
      <c r="Y294" s="34" t="e">
        <f t="shared" si="387"/>
        <v>#REF!</v>
      </c>
      <c r="Z294" s="34">
        <f t="shared" si="388"/>
        <v>76397.200000000012</v>
      </c>
      <c r="AA294" s="49">
        <v>69452</v>
      </c>
      <c r="AB294" s="36"/>
      <c r="AC294" s="204">
        <f t="shared" si="395"/>
        <v>2310</v>
      </c>
      <c r="AD294" s="152">
        <v>7.8E-2</v>
      </c>
      <c r="AE294" s="31">
        <f t="shared" si="398"/>
        <v>28950</v>
      </c>
      <c r="AF294" s="28">
        <f t="shared" si="390"/>
        <v>0.16136212854181065</v>
      </c>
      <c r="AG294" s="34">
        <f t="shared" si="391"/>
        <v>56037.87</v>
      </c>
      <c r="AH294" s="34" t="e">
        <f t="shared" si="392"/>
        <v>#REF!</v>
      </c>
      <c r="AI294" s="34" t="e">
        <f>SUMIF(헤몬팜마진!$B$7:$B$32,$C294,헤몬팜마진!$V$7:$V$32)</f>
        <v>#REF!</v>
      </c>
      <c r="AJ294" s="34" t="e">
        <f t="shared" si="393"/>
        <v>#REF!</v>
      </c>
      <c r="AK294" s="46" t="e">
        <f t="shared" si="394"/>
        <v>#REF!</v>
      </c>
      <c r="AL294" s="40">
        <f>SUMIF(헤몬팜마진!$B$7:$B$32,$C294,헤몬팜마진!$T$7:$T$32)</f>
        <v>181.44000000000003</v>
      </c>
      <c r="AM294" s="41">
        <f>SUMIF(헤몬팜마진!$B$7:$B$32,$C294,헤몬팜마진!$U$7:$U$32)</f>
        <v>926.01600000000019</v>
      </c>
      <c r="AN294" s="36"/>
      <c r="AO294" s="202">
        <v>27354</v>
      </c>
      <c r="AP294" s="205">
        <v>149</v>
      </c>
      <c r="AQ294" s="126"/>
      <c r="AR294" s="126"/>
      <c r="AS294" s="126"/>
      <c r="AT294" s="118"/>
      <c r="AU294" s="118"/>
      <c r="AV294" s="118"/>
      <c r="AW294" s="118"/>
      <c r="AX294" s="118"/>
      <c r="AY294" s="118"/>
      <c r="AZ294" s="118"/>
      <c r="BA294" s="118"/>
      <c r="BB294" s="118"/>
      <c r="BC294" s="118"/>
      <c r="BD294" s="118"/>
      <c r="BE294" s="118"/>
      <c r="BF294" s="118"/>
      <c r="BG294" s="47"/>
      <c r="BH294" s="47"/>
      <c r="BI294" s="47"/>
      <c r="BJ294" s="47"/>
      <c r="BK294" s="47"/>
    </row>
    <row r="295" spans="1:63" ht="28.5" customHeight="1">
      <c r="A295" s="228" t="s">
        <v>137</v>
      </c>
      <c r="B295" s="200"/>
      <c r="C295" s="42" t="s">
        <v>117</v>
      </c>
      <c r="D295" s="28">
        <f t="shared" si="377"/>
        <v>0.35058707110618531</v>
      </c>
      <c r="E295" s="201">
        <f t="shared" si="378"/>
        <v>0.49826627204625579</v>
      </c>
      <c r="F295" s="30">
        <f t="shared" si="379"/>
        <v>0.14767920094007053</v>
      </c>
      <c r="G295" s="30">
        <f t="shared" si="380"/>
        <v>5.2910052910052907E-2</v>
      </c>
      <c r="H295" s="35">
        <v>2000</v>
      </c>
      <c r="I295" s="35">
        <f t="shared" si="381"/>
        <v>700</v>
      </c>
      <c r="J295" s="35">
        <f t="shared" si="382"/>
        <v>1400</v>
      </c>
      <c r="K295" s="39">
        <v>2373</v>
      </c>
      <c r="L295" s="39">
        <v>3</v>
      </c>
      <c r="M295" s="210"/>
      <c r="N295" s="44">
        <v>100</v>
      </c>
      <c r="O295" s="202">
        <v>23</v>
      </c>
      <c r="P295" s="31">
        <f t="shared" si="383"/>
        <v>23</v>
      </c>
      <c r="Q295" s="202">
        <v>5</v>
      </c>
      <c r="R295" s="203">
        <v>10</v>
      </c>
      <c r="S295" s="36"/>
      <c r="T295" s="34">
        <f t="shared" si="384"/>
        <v>408480</v>
      </c>
      <c r="U295" s="31">
        <f t="shared" si="385"/>
        <v>0</v>
      </c>
      <c r="V295" s="34">
        <f t="shared" si="386"/>
        <v>408480</v>
      </c>
      <c r="W295" s="43">
        <v>17760</v>
      </c>
      <c r="X295" s="34">
        <f>SUMIF(헤몬팜마진!$B$7:$B$32,$C295,헤몬팜마진!$R$7:$R$32)</f>
        <v>3982.8869999999997</v>
      </c>
      <c r="Y295" s="34">
        <f t="shared" si="387"/>
        <v>111255.83459999999</v>
      </c>
      <c r="Z295" s="34">
        <f t="shared" si="388"/>
        <v>60324.000000000007</v>
      </c>
      <c r="AA295" s="49">
        <f>30232+24608</f>
        <v>54840</v>
      </c>
      <c r="AB295" s="36"/>
      <c r="AC295" s="204">
        <f t="shared" si="395"/>
        <v>11550</v>
      </c>
      <c r="AD295" s="152">
        <v>7.8E-2</v>
      </c>
      <c r="AE295" s="31">
        <f t="shared" ref="AE295:AE296" si="399">1900*(P295)</f>
        <v>43700</v>
      </c>
      <c r="AF295" s="28">
        <f t="shared" si="390"/>
        <v>0.18498198198198199</v>
      </c>
      <c r="AG295" s="34">
        <f t="shared" si="391"/>
        <v>75561.47</v>
      </c>
      <c r="AH295" s="34">
        <f t="shared" si="392"/>
        <v>18130.888594545457</v>
      </c>
      <c r="AI295" s="34">
        <f>SUMIF(헤몬팜마진!$B$7:$B$32,$C295,헤몬팜마진!$V$7:$V$32)</f>
        <v>4837.2101999999995</v>
      </c>
      <c r="AJ295" s="34">
        <f t="shared" si="393"/>
        <v>203531.80680545457</v>
      </c>
      <c r="AK295" s="46">
        <f t="shared" si="394"/>
        <v>143207.80680545457</v>
      </c>
      <c r="AL295" s="40">
        <f>SUMIF(헤몬팜마진!$B$7:$B$32,$C295,헤몬팜마진!$T$7:$T$32)</f>
        <v>139.96800000000002</v>
      </c>
      <c r="AM295" s="41">
        <f>SUMIF(헤몬팜마진!$B$7:$B$32,$C295,헤몬팜마진!$U$7:$U$32)</f>
        <v>714.35519999999997</v>
      </c>
      <c r="AN295" s="36"/>
      <c r="AO295" s="202">
        <v>40480</v>
      </c>
      <c r="AP295" s="205">
        <v>189</v>
      </c>
      <c r="AQ295" s="126"/>
      <c r="AR295" s="126"/>
      <c r="AS295" s="126"/>
      <c r="AT295" s="118"/>
      <c r="AU295" s="118"/>
      <c r="AV295" s="118"/>
      <c r="AW295" s="118"/>
      <c r="AX295" s="118"/>
      <c r="AY295" s="118"/>
      <c r="AZ295" s="118"/>
      <c r="BA295" s="118"/>
      <c r="BB295" s="118"/>
      <c r="BC295" s="118"/>
      <c r="BD295" s="118"/>
      <c r="BE295" s="118"/>
      <c r="BF295" s="118"/>
      <c r="BG295" s="47"/>
      <c r="BH295" s="47"/>
      <c r="BI295" s="47"/>
      <c r="BJ295" s="47"/>
      <c r="BK295" s="47"/>
    </row>
    <row r="296" spans="1:63" ht="28.5" customHeight="1">
      <c r="A296" s="228" t="s">
        <v>138</v>
      </c>
      <c r="B296" s="200"/>
      <c r="C296" s="42" t="s">
        <v>118</v>
      </c>
      <c r="D296" s="28">
        <f t="shared" si="377"/>
        <v>0.43889265909090908</v>
      </c>
      <c r="E296" s="201">
        <f t="shared" si="378"/>
        <v>0.43889265909090908</v>
      </c>
      <c r="F296" s="30">
        <f t="shared" si="379"/>
        <v>0</v>
      </c>
      <c r="G296" s="30">
        <f t="shared" si="380"/>
        <v>0</v>
      </c>
      <c r="H296" s="35">
        <v>0</v>
      </c>
      <c r="I296" s="35">
        <f t="shared" si="381"/>
        <v>350</v>
      </c>
      <c r="J296" s="35">
        <f t="shared" si="382"/>
        <v>700</v>
      </c>
      <c r="K296" s="39">
        <v>87</v>
      </c>
      <c r="L296" s="39">
        <v>0</v>
      </c>
      <c r="M296" s="210"/>
      <c r="N296" s="44">
        <v>50</v>
      </c>
      <c r="O296" s="202">
        <v>-2</v>
      </c>
      <c r="P296" s="31">
        <f t="shared" si="383"/>
        <v>-2</v>
      </c>
      <c r="Q296" s="36">
        <v>2</v>
      </c>
      <c r="R296" s="203"/>
      <c r="S296" s="36"/>
      <c r="T296" s="34">
        <f t="shared" si="384"/>
        <v>-49600</v>
      </c>
      <c r="U296" s="31">
        <f t="shared" si="385"/>
        <v>0</v>
      </c>
      <c r="V296" s="34">
        <f t="shared" si="386"/>
        <v>-49600</v>
      </c>
      <c r="W296" s="43">
        <v>24800</v>
      </c>
      <c r="X296" s="34">
        <f>SUMIF(헤몬팜마진!$B$7:$B$32,$C296,헤몬팜마진!$R$7:$R$32)</f>
        <v>8408.3169999999991</v>
      </c>
      <c r="Y296" s="34">
        <f t="shared" si="387"/>
        <v>-17159.417999999998</v>
      </c>
      <c r="Z296" s="34">
        <f t="shared" si="388"/>
        <v>0</v>
      </c>
      <c r="AA296" s="49"/>
      <c r="AB296" s="209"/>
      <c r="AC296" s="204">
        <f t="shared" si="395"/>
        <v>4620</v>
      </c>
      <c r="AD296" s="152">
        <v>0.1</v>
      </c>
      <c r="AE296" s="31">
        <f t="shared" si="399"/>
        <v>-3800</v>
      </c>
      <c r="AF296" s="28">
        <f t="shared" si="390"/>
        <v>0.17661290322580647</v>
      </c>
      <c r="AG296" s="34">
        <f t="shared" si="391"/>
        <v>-8759.9700000000012</v>
      </c>
      <c r="AH296" s="34">
        <f t="shared" si="392"/>
        <v>-1911.5361090909091</v>
      </c>
      <c r="AI296" s="34">
        <f>SUMIF(헤몬팜마진!$B$7:$B$32,$C296,헤몬팜마진!$V$7:$V$32)</f>
        <v>8579.7089999999989</v>
      </c>
      <c r="AJ296" s="34">
        <f t="shared" si="393"/>
        <v>-21769.075890909091</v>
      </c>
      <c r="AK296" s="206">
        <f t="shared" si="394"/>
        <v>-21769.075890909091</v>
      </c>
      <c r="AL296" s="40">
        <f>SUMIF(헤몬팜마진!$B$7:$B$32,$C296,헤몬팜마진!$T$7:$T$32)</f>
        <v>28.079999999999995</v>
      </c>
      <c r="AM296" s="41">
        <f>SUMIF(헤몬팜마진!$B$7:$B$32,$C296,헤몬팜마진!$U$7:$U$32)</f>
        <v>143.31199999999998</v>
      </c>
      <c r="AN296" s="36"/>
      <c r="AO296" s="202">
        <v>75901</v>
      </c>
      <c r="AP296" s="205">
        <v>339</v>
      </c>
      <c r="AQ296" s="126"/>
      <c r="AR296" s="126"/>
      <c r="AS296" s="126"/>
      <c r="AT296" s="118"/>
      <c r="AU296" s="118"/>
      <c r="AV296" s="118"/>
      <c r="AW296" s="118"/>
      <c r="AX296" s="118"/>
      <c r="AY296" s="118"/>
      <c r="AZ296" s="118"/>
      <c r="BA296" s="118"/>
      <c r="BB296" s="118"/>
      <c r="BC296" s="118"/>
      <c r="BD296" s="118"/>
      <c r="BE296" s="118"/>
      <c r="BF296" s="118"/>
      <c r="BG296" s="47"/>
      <c r="BH296" s="47"/>
      <c r="BI296" s="47"/>
      <c r="BJ296" s="47"/>
      <c r="BK296" s="47"/>
    </row>
    <row r="297" spans="1:63" ht="28.5" customHeight="1">
      <c r="A297" s="12"/>
      <c r="B297" s="214" t="s">
        <v>126</v>
      </c>
      <c r="C297" s="42" t="s">
        <v>31</v>
      </c>
      <c r="D297" s="28">
        <f t="shared" si="377"/>
        <v>-0.13244925176767675</v>
      </c>
      <c r="E297" s="201">
        <f t="shared" si="378"/>
        <v>0.37869342500000003</v>
      </c>
      <c r="F297" s="30">
        <f t="shared" si="379"/>
        <v>0.51114267676767677</v>
      </c>
      <c r="G297" s="30">
        <f t="shared" si="380"/>
        <v>5.8333333333333334E-2</v>
      </c>
      <c r="H297" s="35">
        <v>700</v>
      </c>
      <c r="I297" s="35">
        <f t="shared" si="381"/>
        <v>210</v>
      </c>
      <c r="J297" s="35">
        <f t="shared" si="382"/>
        <v>420</v>
      </c>
      <c r="K297" s="39">
        <v>954</v>
      </c>
      <c r="L297" s="39">
        <v>2</v>
      </c>
      <c r="M297" s="210"/>
      <c r="N297" s="44">
        <v>30</v>
      </c>
      <c r="O297" s="36">
        <v>34</v>
      </c>
      <c r="P297" s="31">
        <f t="shared" si="383"/>
        <v>24</v>
      </c>
      <c r="Q297" s="36">
        <v>1</v>
      </c>
      <c r="R297" s="167">
        <v>21</v>
      </c>
      <c r="S297" s="36">
        <v>10</v>
      </c>
      <c r="T297" s="34">
        <f t="shared" si="384"/>
        <v>673200</v>
      </c>
      <c r="U297" s="31">
        <f t="shared" si="385"/>
        <v>198000</v>
      </c>
      <c r="V297" s="34">
        <f t="shared" si="386"/>
        <v>475200</v>
      </c>
      <c r="W297" s="43">
        <v>19800</v>
      </c>
      <c r="X297" s="34">
        <f>SUMIF(헤몬팜마진!$B$7:$B$32,$C297,헤몬팜마진!$R$7:$R$32)</f>
        <v>6638.1449999999995</v>
      </c>
      <c r="Y297" s="34">
        <f t="shared" si="387"/>
        <v>160454.57759999996</v>
      </c>
      <c r="Z297" s="34">
        <f t="shared" si="388"/>
        <v>138050</v>
      </c>
      <c r="AA297" s="48">
        <v>125500</v>
      </c>
      <c r="AB297" s="211">
        <f>((20900*0.015)+(20900*0.19)+2100+2200+1900)*10</f>
        <v>104845</v>
      </c>
      <c r="AC297" s="204">
        <f t="shared" si="395"/>
        <v>2310</v>
      </c>
      <c r="AD297" s="152">
        <v>0.08</v>
      </c>
      <c r="AE297" s="31">
        <f>3400*(P297)</f>
        <v>81600</v>
      </c>
      <c r="AF297" s="28">
        <f t="shared" si="390"/>
        <v>0.25171717171717173</v>
      </c>
      <c r="AG297" s="34">
        <f t="shared" si="391"/>
        <v>119616.03</v>
      </c>
      <c r="AH297" s="34">
        <f t="shared" si="392"/>
        <v>15174.276839999999</v>
      </c>
      <c r="AI297" s="34">
        <f>SUMIF(헤몬팜마진!$B$7:$B$32,$C297,헤몬팜마진!$V$7:$V$32)</f>
        <v>6685.607399999999</v>
      </c>
      <c r="AJ297" s="34">
        <f t="shared" si="393"/>
        <v>179955.11556000001</v>
      </c>
      <c r="AK297" s="206">
        <f t="shared" si="394"/>
        <v>-62939.884439999994</v>
      </c>
      <c r="AL297" s="40">
        <f>SUMIF(헤몬팜마진!$B$7:$B$32,$C297,헤몬팜마진!$T$7:$T$32)</f>
        <v>7.7759999999999998</v>
      </c>
      <c r="AM297" s="41">
        <f>SUMIF(헤몬팜마진!$B$7:$B$32,$C297,헤몬팜마진!$U$7:$U$32)</f>
        <v>39.686400000000006</v>
      </c>
      <c r="AN297" s="36"/>
      <c r="AO297" s="202">
        <v>299288</v>
      </c>
      <c r="AP297" s="205">
        <v>360</v>
      </c>
      <c r="AQ297" s="126"/>
      <c r="AR297" s="126"/>
      <c r="AS297" s="126"/>
      <c r="AT297" s="118"/>
      <c r="AU297" s="118"/>
      <c r="AV297" s="118"/>
      <c r="AW297" s="118"/>
      <c r="AX297" s="118"/>
      <c r="AY297" s="118"/>
      <c r="AZ297" s="118"/>
      <c r="BA297" s="118"/>
      <c r="BB297" s="118"/>
      <c r="BC297" s="118"/>
      <c r="BD297" s="118"/>
      <c r="BE297" s="118"/>
      <c r="BF297" s="118"/>
      <c r="BG297" s="47"/>
      <c r="BH297" s="47"/>
      <c r="BI297" s="47"/>
      <c r="BJ297" s="47"/>
      <c r="BK297" s="47"/>
    </row>
    <row r="298" spans="1:63" ht="28.5" customHeight="1">
      <c r="A298" s="327" t="s">
        <v>139</v>
      </c>
      <c r="B298" s="127" t="s">
        <v>127</v>
      </c>
      <c r="C298" s="42" t="s">
        <v>119</v>
      </c>
      <c r="D298" s="28">
        <f t="shared" si="377"/>
        <v>0.20958843799687715</v>
      </c>
      <c r="E298" s="201">
        <f t="shared" si="378"/>
        <v>0.43444841973824144</v>
      </c>
      <c r="F298" s="30">
        <f t="shared" si="379"/>
        <v>0.22485998174136432</v>
      </c>
      <c r="G298" s="30">
        <f t="shared" si="380"/>
        <v>0.13402061855670103</v>
      </c>
      <c r="H298" s="35">
        <v>2000</v>
      </c>
      <c r="I298" s="35">
        <f t="shared" si="381"/>
        <v>280</v>
      </c>
      <c r="J298" s="35">
        <f t="shared" si="382"/>
        <v>560</v>
      </c>
      <c r="K298" s="328">
        <v>1048</v>
      </c>
      <c r="L298" s="39">
        <f>311+240+1</f>
        <v>552</v>
      </c>
      <c r="M298" s="210"/>
      <c r="N298" s="44">
        <v>40</v>
      </c>
      <c r="O298" s="202">
        <v>19</v>
      </c>
      <c r="P298" s="31">
        <f t="shared" si="383"/>
        <v>19</v>
      </c>
      <c r="Q298" s="202">
        <v>5</v>
      </c>
      <c r="R298" s="203">
        <v>13</v>
      </c>
      <c r="S298" s="36"/>
      <c r="T298" s="34">
        <f t="shared" si="384"/>
        <v>471010</v>
      </c>
      <c r="U298" s="31">
        <f t="shared" si="385"/>
        <v>0</v>
      </c>
      <c r="V298" s="34">
        <f t="shared" si="386"/>
        <v>471010</v>
      </c>
      <c r="W298" s="43">
        <v>24790</v>
      </c>
      <c r="X298" s="34">
        <f>SUMIF(헤몬팜마진!$B$7:$B$32,$C298,헤몬팜마진!$R$7:$R$32)</f>
        <v>6859.4164999999994</v>
      </c>
      <c r="Y298" s="34">
        <f t="shared" si="387"/>
        <v>137818.74389999997</v>
      </c>
      <c r="Z298" s="34">
        <f t="shared" si="388"/>
        <v>105911.3</v>
      </c>
      <c r="AA298" s="49">
        <v>96283</v>
      </c>
      <c r="AB298" s="209"/>
      <c r="AC298" s="204">
        <f t="shared" si="395"/>
        <v>11550</v>
      </c>
      <c r="AD298" s="152">
        <v>0.108</v>
      </c>
      <c r="AE298" s="31">
        <f>3150*(P298)</f>
        <v>59850</v>
      </c>
      <c r="AF298" s="28">
        <f t="shared" si="390"/>
        <v>0.23506736587333604</v>
      </c>
      <c r="AG298" s="34">
        <f t="shared" si="391"/>
        <v>110719.11000000002</v>
      </c>
      <c r="AH298" s="34">
        <f t="shared" si="392"/>
        <v>17842.595919090913</v>
      </c>
      <c r="AI298" s="34">
        <f>SUMIF(헤몬팜마진!$B$7:$B$32,$C298,헤몬팜마진!$V$7:$V$32)</f>
        <v>7253.6180999999988</v>
      </c>
      <c r="AJ298" s="34">
        <f t="shared" si="393"/>
        <v>204629.55018090911</v>
      </c>
      <c r="AK298" s="206">
        <f t="shared" si="394"/>
        <v>98718.250180909105</v>
      </c>
      <c r="AL298" s="40">
        <f>SUMIF(헤몬팜마진!$B$7:$B$32,$C298,헤몬팜마진!$T$7:$T$32)</f>
        <v>64.584000000000003</v>
      </c>
      <c r="AM298" s="41">
        <f>SUMIF(헤몬팜마진!$B$7:$B$32,$C298,헤몬팜마진!$U$7:$U$32)</f>
        <v>329.61759999999998</v>
      </c>
      <c r="AN298" s="36"/>
      <c r="AO298" s="202">
        <v>29145</v>
      </c>
      <c r="AP298" s="205">
        <v>97</v>
      </c>
      <c r="AQ298" s="126"/>
      <c r="AR298" s="126"/>
      <c r="AS298" s="126"/>
      <c r="AT298" s="118"/>
      <c r="AU298" s="118"/>
      <c r="AV298" s="118"/>
      <c r="AW298" s="118"/>
      <c r="AX298" s="118"/>
      <c r="AY298" s="118"/>
      <c r="AZ298" s="118"/>
      <c r="BA298" s="118"/>
      <c r="BB298" s="118"/>
      <c r="BC298" s="118"/>
      <c r="BD298" s="118"/>
      <c r="BE298" s="118"/>
      <c r="BF298" s="118"/>
      <c r="BG298" s="47"/>
      <c r="BH298" s="47"/>
      <c r="BI298" s="47"/>
      <c r="BJ298" s="47"/>
      <c r="BK298" s="47"/>
    </row>
    <row r="299" spans="1:63" ht="28.5" customHeight="1">
      <c r="A299" s="318"/>
      <c r="B299" s="214" t="s">
        <v>128</v>
      </c>
      <c r="C299" s="42" t="s">
        <v>120</v>
      </c>
      <c r="D299" s="28">
        <f t="shared" si="377"/>
        <v>0.13222051361352216</v>
      </c>
      <c r="E299" s="201">
        <f t="shared" si="378"/>
        <v>0.41263759904065783</v>
      </c>
      <c r="F299" s="30">
        <f t="shared" si="379"/>
        <v>0.28041708542713573</v>
      </c>
      <c r="G299" s="30">
        <f t="shared" si="380"/>
        <v>2.4793388429752067E-2</v>
      </c>
      <c r="H299" s="35">
        <v>0</v>
      </c>
      <c r="I299" s="35">
        <f t="shared" si="381"/>
        <v>105</v>
      </c>
      <c r="J299" s="35">
        <f t="shared" si="382"/>
        <v>210</v>
      </c>
      <c r="K299" s="310"/>
      <c r="L299" s="39">
        <f>22+3</f>
        <v>25</v>
      </c>
      <c r="M299" s="210"/>
      <c r="N299" s="44">
        <v>15</v>
      </c>
      <c r="O299" s="36">
        <v>3</v>
      </c>
      <c r="P299" s="31">
        <f t="shared" si="383"/>
        <v>3</v>
      </c>
      <c r="Q299" s="36"/>
      <c r="R299" s="167">
        <v>3</v>
      </c>
      <c r="S299" s="36"/>
      <c r="T299" s="34">
        <f t="shared" si="384"/>
        <v>119400</v>
      </c>
      <c r="U299" s="31">
        <f t="shared" si="385"/>
        <v>0</v>
      </c>
      <c r="V299" s="34">
        <f t="shared" si="386"/>
        <v>119400</v>
      </c>
      <c r="W299" s="43">
        <v>39800</v>
      </c>
      <c r="X299" s="34">
        <f>SUMIF(헤몬팜마진!$B$7:$B$32,$C299,헤몬팜마진!$R$7:$R$32)</f>
        <v>13718.832999999999</v>
      </c>
      <c r="Y299" s="34">
        <f t="shared" si="387"/>
        <v>42339.103799999997</v>
      </c>
      <c r="Z299" s="34">
        <f t="shared" si="388"/>
        <v>33481.800000000003</v>
      </c>
      <c r="AA299" s="49">
        <v>30438</v>
      </c>
      <c r="AB299" s="209"/>
      <c r="AC299" s="204">
        <f t="shared" si="395"/>
        <v>0</v>
      </c>
      <c r="AD299" s="152">
        <v>0.108</v>
      </c>
      <c r="AE299" s="31">
        <f>3550*(P299)</f>
        <v>10650</v>
      </c>
      <c r="AF299" s="28">
        <f t="shared" si="390"/>
        <v>0.1971959798994975</v>
      </c>
      <c r="AG299" s="34">
        <f t="shared" si="391"/>
        <v>23545.23</v>
      </c>
      <c r="AH299" s="34">
        <f t="shared" si="392"/>
        <v>4246.7368745454551</v>
      </c>
      <c r="AI299" s="34">
        <f>SUMIF(헤몬팜마진!$B$7:$B$32,$C299,헤몬팜마진!$V$7:$V$32)</f>
        <v>14113.034599999999</v>
      </c>
      <c r="AJ299" s="34">
        <f t="shared" si="393"/>
        <v>49268.929325454548</v>
      </c>
      <c r="AK299" s="206">
        <f t="shared" si="394"/>
        <v>15787.129325454545</v>
      </c>
      <c r="AL299" s="40">
        <f>SUMIF(헤몬팜마진!$B$7:$B$32,$C299,헤몬팜마진!$T$7:$T$32)</f>
        <v>64.584000000000003</v>
      </c>
      <c r="AM299" s="41">
        <f>SUMIF(헤몬팜마진!$B$7:$B$32,$C299,헤몬팜마진!$U$7:$U$32)</f>
        <v>329.61759999999998</v>
      </c>
      <c r="AN299" s="36"/>
      <c r="AO299" s="235">
        <v>34925</v>
      </c>
      <c r="AP299" s="235">
        <v>121</v>
      </c>
      <c r="AQ299" s="126"/>
      <c r="AR299" s="126"/>
      <c r="AS299" s="126"/>
      <c r="AT299" s="118"/>
      <c r="AU299" s="118"/>
      <c r="AV299" s="118"/>
      <c r="AW299" s="118"/>
      <c r="AX299" s="118"/>
      <c r="AY299" s="118"/>
      <c r="AZ299" s="118"/>
      <c r="BA299" s="118"/>
      <c r="BB299" s="118"/>
      <c r="BC299" s="118"/>
      <c r="BD299" s="118"/>
      <c r="BE299" s="118"/>
      <c r="BF299" s="118"/>
      <c r="BG299" s="47"/>
      <c r="BH299" s="47"/>
      <c r="BI299" s="47"/>
      <c r="BJ299" s="47"/>
      <c r="BK299" s="47"/>
    </row>
    <row r="300" spans="1:63" ht="28.5" customHeight="1">
      <c r="A300" s="12"/>
      <c r="B300" s="216"/>
      <c r="C300" s="217"/>
      <c r="D300" s="51" t="e">
        <f t="shared" si="377"/>
        <v>#REF!</v>
      </c>
      <c r="E300" s="218" t="e">
        <f t="shared" si="378"/>
        <v>#REF!</v>
      </c>
      <c r="F300" s="53">
        <f t="shared" si="379"/>
        <v>0.25240030755292775</v>
      </c>
      <c r="G300" s="219"/>
      <c r="H300" s="55"/>
      <c r="I300" s="55"/>
      <c r="J300" s="55"/>
      <c r="K300" s="55"/>
      <c r="L300" s="55"/>
      <c r="M300" s="55"/>
      <c r="N300" s="55"/>
      <c r="O300" s="130">
        <f t="shared" ref="O300:V300" si="400">SUM(O283:O299)</f>
        <v>307</v>
      </c>
      <c r="P300" s="220">
        <f t="shared" si="400"/>
        <v>297</v>
      </c>
      <c r="Q300" s="130">
        <f t="shared" si="400"/>
        <v>37</v>
      </c>
      <c r="R300" s="130">
        <f t="shared" si="400"/>
        <v>212</v>
      </c>
      <c r="S300" s="130">
        <f t="shared" si="400"/>
        <v>10</v>
      </c>
      <c r="T300" s="130">
        <f t="shared" si="400"/>
        <v>8586800</v>
      </c>
      <c r="U300" s="130">
        <f t="shared" si="400"/>
        <v>198000</v>
      </c>
      <c r="V300" s="220">
        <f t="shared" si="400"/>
        <v>8388800</v>
      </c>
      <c r="W300" s="55"/>
      <c r="X300" s="130">
        <f t="shared" ref="X300:AC300" si="401">SUM(X283:X299)</f>
        <v>153584.54814999999</v>
      </c>
      <c r="Y300" s="220" t="e">
        <f t="shared" si="401"/>
        <v>#REF!</v>
      </c>
      <c r="Z300" s="130">
        <f t="shared" si="401"/>
        <v>2012490.7000000002</v>
      </c>
      <c r="AA300" s="130">
        <f t="shared" si="401"/>
        <v>1829537</v>
      </c>
      <c r="AB300" s="130">
        <f t="shared" si="401"/>
        <v>104845</v>
      </c>
      <c r="AC300" s="130">
        <f t="shared" si="401"/>
        <v>83262</v>
      </c>
      <c r="AD300" s="154">
        <v>0.09</v>
      </c>
      <c r="AE300" s="220">
        <f>SUM(AE283:AE299)</f>
        <v>944650</v>
      </c>
      <c r="AF300" s="53">
        <f t="shared" si="390"/>
        <v>0.2026084779706275</v>
      </c>
      <c r="AG300" s="56">
        <f t="shared" ref="AG300:AI300" si="402">SUM(AG283:AG299)</f>
        <v>1747373.9500000002</v>
      </c>
      <c r="AH300" s="56" t="e">
        <f t="shared" si="402"/>
        <v>#REF!</v>
      </c>
      <c r="AI300" s="56" t="e">
        <f t="shared" si="402"/>
        <v>#REF!</v>
      </c>
      <c r="AJ300" s="56" t="e">
        <f t="shared" si="393"/>
        <v>#REF!</v>
      </c>
      <c r="AK300" s="221" t="e">
        <f t="shared" si="394"/>
        <v>#REF!</v>
      </c>
      <c r="AL300" s="54"/>
      <c r="AM300" s="222"/>
      <c r="AN300" s="57"/>
      <c r="AO300" s="131">
        <f t="shared" ref="AO300:AP300" si="403">SUM(AO283:AO284)</f>
        <v>394897</v>
      </c>
      <c r="AP300" s="132">
        <f t="shared" si="403"/>
        <v>1860</v>
      </c>
      <c r="AQ300" s="126"/>
      <c r="AR300" s="126"/>
      <c r="AS300" s="126"/>
      <c r="AT300" s="118"/>
      <c r="AU300" s="118"/>
      <c r="AV300" s="118"/>
      <c r="AW300" s="118"/>
      <c r="AX300" s="118"/>
      <c r="AY300" s="118"/>
      <c r="AZ300" s="118"/>
      <c r="BA300" s="118"/>
      <c r="BB300" s="118"/>
      <c r="BC300" s="118"/>
      <c r="BD300" s="118"/>
      <c r="BE300" s="118"/>
      <c r="BF300" s="118"/>
      <c r="BG300" s="47"/>
      <c r="BH300" s="47"/>
      <c r="BI300" s="47"/>
      <c r="BJ300" s="47"/>
      <c r="BK300" s="47"/>
    </row>
    <row r="301" spans="1:63" ht="28.5" customHeight="1">
      <c r="A301" s="3"/>
      <c r="B301" s="120"/>
      <c r="C301" s="229"/>
      <c r="D301" s="230"/>
      <c r="E301" s="230"/>
      <c r="F301" s="230"/>
      <c r="G301" s="230"/>
      <c r="H301" s="231"/>
      <c r="I301" s="231"/>
      <c r="J301" s="231"/>
      <c r="K301" s="231"/>
      <c r="L301" s="231"/>
      <c r="M301" s="231"/>
      <c r="N301" s="231"/>
      <c r="O301" s="231"/>
      <c r="P301" s="232"/>
      <c r="Q301" s="231"/>
      <c r="R301" s="231"/>
      <c r="S301" s="231"/>
      <c r="T301" s="231"/>
      <c r="U301" s="231"/>
      <c r="V301" s="231"/>
      <c r="W301" s="231"/>
      <c r="X301" s="231"/>
      <c r="Y301" s="231"/>
      <c r="Z301" s="231"/>
      <c r="AA301" s="133"/>
      <c r="AB301" s="61"/>
      <c r="AC301" s="148"/>
      <c r="AD301" s="148"/>
      <c r="AE301" s="148"/>
      <c r="AF301" s="148"/>
      <c r="AG301" s="61"/>
      <c r="AH301" s="61"/>
      <c r="AI301" s="187"/>
      <c r="AJ301" s="118"/>
      <c r="AK301" s="126"/>
      <c r="AL301" s="126"/>
      <c r="AM301" s="126"/>
      <c r="AN301" s="118"/>
      <c r="AO301" s="118"/>
      <c r="AP301" s="118"/>
      <c r="AQ301" s="126"/>
      <c r="AR301" s="126"/>
      <c r="AS301" s="126"/>
      <c r="AT301" s="118"/>
      <c r="AU301" s="118"/>
      <c r="AV301" s="118"/>
      <c r="AW301" s="118"/>
      <c r="AX301" s="118"/>
      <c r="AY301" s="118"/>
      <c r="AZ301" s="118"/>
      <c r="BA301" s="118"/>
      <c r="BB301" s="118"/>
      <c r="BC301" s="118"/>
      <c r="BD301" s="118"/>
      <c r="BE301" s="118"/>
      <c r="BF301" s="118"/>
      <c r="BG301" s="47"/>
      <c r="BH301" s="47"/>
      <c r="BI301" s="47"/>
      <c r="BJ301" s="47"/>
      <c r="BK301" s="47"/>
    </row>
    <row r="302" spans="1:63" ht="28.5" customHeight="1">
      <c r="A302" s="12"/>
      <c r="B302" s="189"/>
      <c r="C302" s="134">
        <v>45946</v>
      </c>
      <c r="D302" s="122" t="s">
        <v>0</v>
      </c>
      <c r="E302" s="122" t="s">
        <v>1</v>
      </c>
      <c r="F302" s="122" t="s">
        <v>2</v>
      </c>
      <c r="G302" s="190" t="s">
        <v>3</v>
      </c>
      <c r="H302" s="191" t="s">
        <v>4</v>
      </c>
      <c r="I302" s="192" t="s">
        <v>5</v>
      </c>
      <c r="J302" s="192" t="s">
        <v>90</v>
      </c>
      <c r="K302" s="193" t="s">
        <v>6</v>
      </c>
      <c r="L302" s="194" t="s">
        <v>7</v>
      </c>
      <c r="M302" s="15" t="s">
        <v>91</v>
      </c>
      <c r="N302" s="123" t="s">
        <v>125</v>
      </c>
      <c r="O302" s="123" t="s">
        <v>8</v>
      </c>
      <c r="P302" s="123" t="s">
        <v>9</v>
      </c>
      <c r="Q302" s="195" t="s">
        <v>10</v>
      </c>
      <c r="R302" s="123" t="s">
        <v>92</v>
      </c>
      <c r="S302" s="196" t="s">
        <v>11</v>
      </c>
      <c r="T302" s="17" t="s">
        <v>12</v>
      </c>
      <c r="U302" s="17" t="s">
        <v>13</v>
      </c>
      <c r="V302" s="17" t="s">
        <v>14</v>
      </c>
      <c r="W302" s="17" t="s">
        <v>15</v>
      </c>
      <c r="X302" s="15" t="s">
        <v>16</v>
      </c>
      <c r="Y302" s="15" t="s">
        <v>17</v>
      </c>
      <c r="Z302" s="19" t="s">
        <v>18</v>
      </c>
      <c r="AA302" s="19" t="s">
        <v>19</v>
      </c>
      <c r="AB302" s="20" t="s">
        <v>20</v>
      </c>
      <c r="AC302" s="22" t="s">
        <v>93</v>
      </c>
      <c r="AD302" s="197" t="s">
        <v>21</v>
      </c>
      <c r="AE302" s="122" t="s">
        <v>22</v>
      </c>
      <c r="AF302" s="21" t="s">
        <v>23</v>
      </c>
      <c r="AG302" s="21" t="s">
        <v>21</v>
      </c>
      <c r="AH302" s="122" t="s">
        <v>24</v>
      </c>
      <c r="AI302" s="15" t="s">
        <v>25</v>
      </c>
      <c r="AJ302" s="15" t="s">
        <v>26</v>
      </c>
      <c r="AK302" s="122" t="s">
        <v>27</v>
      </c>
      <c r="AL302" s="198" t="s">
        <v>28</v>
      </c>
      <c r="AM302" s="199" t="s">
        <v>29</v>
      </c>
      <c r="AN302" s="124" t="s">
        <v>30</v>
      </c>
      <c r="AO302" s="124" t="s">
        <v>94</v>
      </c>
      <c r="AP302" s="125" t="s">
        <v>95</v>
      </c>
      <c r="AQ302" s="126"/>
      <c r="AR302" s="126"/>
      <c r="AS302" s="126"/>
      <c r="AT302" s="118"/>
      <c r="AU302" s="118"/>
      <c r="AV302" s="118"/>
      <c r="AW302" s="118"/>
      <c r="AX302" s="118"/>
      <c r="AY302" s="118"/>
      <c r="AZ302" s="118"/>
      <c r="BA302" s="118"/>
      <c r="BB302" s="118"/>
      <c r="BC302" s="118"/>
      <c r="BD302" s="118"/>
      <c r="BE302" s="118"/>
      <c r="BF302" s="118"/>
      <c r="BG302" s="47"/>
      <c r="BH302" s="47"/>
      <c r="BI302" s="47"/>
      <c r="BJ302" s="47"/>
      <c r="BK302" s="47"/>
    </row>
    <row r="303" spans="1:63" ht="28.5" customHeight="1">
      <c r="A303" s="12" t="s">
        <v>129</v>
      </c>
      <c r="B303" s="200"/>
      <c r="C303" s="42" t="s">
        <v>107</v>
      </c>
      <c r="D303" s="28">
        <f t="shared" ref="D303:D320" si="404">AK303/V303</f>
        <v>0.18428829285866594</v>
      </c>
      <c r="E303" s="201">
        <f t="shared" ref="E303:E320" si="405">AJ303/V303</f>
        <v>0.42270749757258441</v>
      </c>
      <c r="F303" s="30">
        <f t="shared" ref="F303:F320" si="406">(Z303+AB303)/V303</f>
        <v>0.23841920471391848</v>
      </c>
      <c r="G303" s="30">
        <f t="shared" ref="G303:G319" si="407">R303/AP303</f>
        <v>7.1751128951329651E-2</v>
      </c>
      <c r="H303" s="35">
        <v>7410</v>
      </c>
      <c r="I303" s="35">
        <f t="shared" ref="I303:I319" si="408">N303*7</f>
        <v>1400</v>
      </c>
      <c r="J303" s="35">
        <f t="shared" ref="J303:J319" si="409">N303*14</f>
        <v>2800</v>
      </c>
      <c r="K303" s="49">
        <v>76</v>
      </c>
      <c r="L303" s="49">
        <f>1906+1320</f>
        <v>3226</v>
      </c>
      <c r="M303" s="48"/>
      <c r="N303" s="44">
        <v>200</v>
      </c>
      <c r="O303" s="227">
        <v>191</v>
      </c>
      <c r="P303" s="31">
        <f t="shared" ref="P303:P319" si="410">O303-S303</f>
        <v>191</v>
      </c>
      <c r="Q303" s="227">
        <v>10</v>
      </c>
      <c r="R303" s="233">
        <v>143</v>
      </c>
      <c r="S303" s="36"/>
      <c r="T303" s="34">
        <f t="shared" ref="T303:T319" si="411">W303*O303</f>
        <v>5328900</v>
      </c>
      <c r="U303" s="31">
        <f t="shared" ref="U303:U319" si="412">W303*S303</f>
        <v>0</v>
      </c>
      <c r="V303" s="34">
        <f t="shared" ref="V303:V319" si="413">T303-U303</f>
        <v>5328900</v>
      </c>
      <c r="W303" s="34">
        <v>27900</v>
      </c>
      <c r="X303" s="34">
        <f>SUMIF(헤몬팜마진!$B$7:$B$32,$C303,헤몬팜마진!$R$7:$R$32)</f>
        <v>8850.86</v>
      </c>
      <c r="Y303" s="34">
        <f t="shared" ref="Y303:Y319" si="414">AI303*P303</f>
        <v>1765806.7656000003</v>
      </c>
      <c r="Z303" s="34">
        <f t="shared" ref="Z303:Z319" si="415">AA303*1.1</f>
        <v>1270512.1000000001</v>
      </c>
      <c r="AA303" s="234">
        <v>1155011</v>
      </c>
      <c r="AB303" s="36"/>
      <c r="AC303" s="204">
        <f t="shared" ref="AC303:AC304" si="416">(1072+1100)*Q303</f>
        <v>21720</v>
      </c>
      <c r="AD303" s="152">
        <v>0.1</v>
      </c>
      <c r="AE303" s="31">
        <f>3050*(P303)</f>
        <v>582550</v>
      </c>
      <c r="AF303" s="28">
        <f t="shared" ref="AF303:AF320" si="417">AD303+(AE303/V303)</f>
        <v>0.20931899641577062</v>
      </c>
      <c r="AG303" s="34">
        <f t="shared" ref="AG303:AG319" si="418">IFERROR(V303*AF303+3%,0)</f>
        <v>1115440.03</v>
      </c>
      <c r="AH303" s="34">
        <f t="shared" ref="AH303:AH319" si="419">V303/1.1*10%-((AI303*P303)+AG303+(AN303*P303)+(AL303*P303))*10%</f>
        <v>195087.22058545449</v>
      </c>
      <c r="AI303" s="34">
        <f>SUMIF(헤몬팜마진!$B$7:$B$32,$C303,헤몬팜마진!$V$7:$V$32)</f>
        <v>9245.0616000000009</v>
      </c>
      <c r="AJ303" s="34">
        <f t="shared" ref="AJ303:AJ320" si="420">V303-(Y303+AG303+AH303+(AN303*P303))</f>
        <v>2252565.983814545</v>
      </c>
      <c r="AK303" s="46">
        <f t="shared" ref="AK303:AK320" si="421">AJ303-Z303-AB303</f>
        <v>982053.88381454488</v>
      </c>
      <c r="AL303" s="40">
        <f>SUMIF(헤몬팜마진!$B$7:$B$32,$C303,헤몬팜마진!$T$7:$T$32)</f>
        <v>64.584000000000003</v>
      </c>
      <c r="AM303" s="41">
        <f>SUMIF(헤몬팜마진!$B$7:$B$32,$C303,헤몬팜마진!$U$7:$U$32)</f>
        <v>329.61759999999998</v>
      </c>
      <c r="AN303" s="36"/>
      <c r="AO303" s="235">
        <v>371303</v>
      </c>
      <c r="AP303" s="235">
        <v>1993</v>
      </c>
      <c r="AQ303" s="126"/>
      <c r="AR303" s="126"/>
      <c r="AS303" s="126"/>
      <c r="AT303" s="118"/>
      <c r="AU303" s="118"/>
      <c r="AV303" s="118"/>
      <c r="AW303" s="118"/>
      <c r="AX303" s="118"/>
      <c r="AY303" s="118"/>
      <c r="AZ303" s="118"/>
      <c r="BA303" s="118"/>
      <c r="BB303" s="118"/>
      <c r="BC303" s="118"/>
      <c r="BD303" s="118"/>
      <c r="BE303" s="118"/>
      <c r="BF303" s="118"/>
      <c r="BG303" s="47"/>
      <c r="BH303" s="47"/>
      <c r="BI303" s="47"/>
      <c r="BJ303" s="47"/>
      <c r="BK303" s="47"/>
    </row>
    <row r="304" spans="1:63" ht="28.5" customHeight="1">
      <c r="A304" s="228" t="s">
        <v>130</v>
      </c>
      <c r="B304" s="200"/>
      <c r="C304" s="42" t="s">
        <v>108</v>
      </c>
      <c r="D304" s="28">
        <f t="shared" si="404"/>
        <v>0.3509742262715258</v>
      </c>
      <c r="E304" s="201">
        <f t="shared" si="405"/>
        <v>0.40985087825390465</v>
      </c>
      <c r="F304" s="30">
        <f t="shared" si="406"/>
        <v>5.8876651982378854E-2</v>
      </c>
      <c r="G304" s="30">
        <f t="shared" si="407"/>
        <v>0</v>
      </c>
      <c r="H304" s="35">
        <v>1460</v>
      </c>
      <c r="I304" s="35">
        <f t="shared" si="408"/>
        <v>140</v>
      </c>
      <c r="J304" s="35">
        <f t="shared" si="409"/>
        <v>280</v>
      </c>
      <c r="K304" s="39">
        <v>325</v>
      </c>
      <c r="L304" s="39">
        <v>0</v>
      </c>
      <c r="M304" s="210"/>
      <c r="N304" s="44">
        <v>20</v>
      </c>
      <c r="O304" s="202">
        <v>2</v>
      </c>
      <c r="P304" s="31">
        <f t="shared" si="410"/>
        <v>2</v>
      </c>
      <c r="Q304" s="36"/>
      <c r="R304" s="167"/>
      <c r="S304" s="36"/>
      <c r="T304" s="34">
        <f t="shared" si="411"/>
        <v>45400</v>
      </c>
      <c r="U304" s="31">
        <f t="shared" si="412"/>
        <v>0</v>
      </c>
      <c r="V304" s="34">
        <f t="shared" si="413"/>
        <v>45400</v>
      </c>
      <c r="W304" s="43">
        <v>22700</v>
      </c>
      <c r="X304" s="34">
        <f>SUMIF(헤몬팜마진!$B$7:$B$32,$C304,헤몬팜마진!$R$7:$R$32)</f>
        <v>7080.6879999999992</v>
      </c>
      <c r="Y304" s="34">
        <f t="shared" si="414"/>
        <v>14754.655999999999</v>
      </c>
      <c r="Z304" s="34">
        <f t="shared" si="415"/>
        <v>2673</v>
      </c>
      <c r="AA304" s="234">
        <v>2430</v>
      </c>
      <c r="AB304" s="36"/>
      <c r="AC304" s="204">
        <f t="shared" si="416"/>
        <v>0</v>
      </c>
      <c r="AD304" s="152">
        <v>0.1</v>
      </c>
      <c r="AE304" s="31">
        <f>2950*(P304)</f>
        <v>5900</v>
      </c>
      <c r="AF304" s="28">
        <f t="shared" si="417"/>
        <v>0.22995594713656389</v>
      </c>
      <c r="AG304" s="34">
        <f t="shared" si="418"/>
        <v>10440.030000000001</v>
      </c>
      <c r="AH304" s="34">
        <f t="shared" si="419"/>
        <v>1598.0841272727266</v>
      </c>
      <c r="AI304" s="34">
        <f>SUMIF(헤몬팜마진!$B$7:$B$32,$C304,헤몬팜마진!$V$7:$V$32)</f>
        <v>7377.3279999999995</v>
      </c>
      <c r="AJ304" s="34">
        <f t="shared" si="420"/>
        <v>18607.229872727272</v>
      </c>
      <c r="AK304" s="46">
        <f t="shared" si="421"/>
        <v>15934.229872727272</v>
      </c>
      <c r="AL304" s="40">
        <f>SUMIF(헤몬팜마진!$B$7:$B$32,$C304,헤몬팜마진!$T$7:$T$32)</f>
        <v>48.6</v>
      </c>
      <c r="AM304" s="41">
        <f>SUMIF(헤몬팜마진!$B$7:$B$32,$C304,헤몬팜마진!$U$7:$U$32)</f>
        <v>248.04000000000002</v>
      </c>
      <c r="AN304" s="36"/>
      <c r="AO304" s="235">
        <v>13582</v>
      </c>
      <c r="AP304" s="235">
        <v>3</v>
      </c>
      <c r="AQ304" s="126"/>
      <c r="AR304" s="126"/>
      <c r="AS304" s="126"/>
      <c r="AT304" s="118"/>
      <c r="AU304" s="118"/>
      <c r="AV304" s="118"/>
      <c r="AW304" s="118"/>
      <c r="AX304" s="118"/>
      <c r="AY304" s="118"/>
      <c r="AZ304" s="118"/>
      <c r="BA304" s="118"/>
      <c r="BB304" s="118"/>
      <c r="BC304" s="118"/>
      <c r="BD304" s="118"/>
      <c r="BE304" s="118"/>
      <c r="BF304" s="118"/>
      <c r="BG304" s="47"/>
      <c r="BH304" s="47"/>
      <c r="BI304" s="47"/>
      <c r="BJ304" s="47"/>
      <c r="BK304" s="47"/>
    </row>
    <row r="305" spans="1:63" ht="28.5" customHeight="1">
      <c r="A305" s="327" t="s">
        <v>131</v>
      </c>
      <c r="B305" s="323"/>
      <c r="C305" s="42" t="s">
        <v>109</v>
      </c>
      <c r="D305" s="28" t="e">
        <f t="shared" si="404"/>
        <v>#REF!</v>
      </c>
      <c r="E305" s="201" t="e">
        <f t="shared" si="405"/>
        <v>#REF!</v>
      </c>
      <c r="F305" s="30" t="e">
        <f t="shared" si="406"/>
        <v>#DIV/0!</v>
      </c>
      <c r="G305" s="30">
        <f t="shared" si="407"/>
        <v>0</v>
      </c>
      <c r="H305" s="35">
        <v>0</v>
      </c>
      <c r="I305" s="35">
        <f t="shared" si="408"/>
        <v>105</v>
      </c>
      <c r="J305" s="35">
        <f t="shared" si="409"/>
        <v>210</v>
      </c>
      <c r="K305" s="325">
        <v>430</v>
      </c>
      <c r="L305" s="49">
        <f>40+3+3</f>
        <v>46</v>
      </c>
      <c r="M305" s="48"/>
      <c r="N305" s="44">
        <v>15</v>
      </c>
      <c r="O305" s="202"/>
      <c r="P305" s="31">
        <f t="shared" si="410"/>
        <v>0</v>
      </c>
      <c r="Q305" s="36">
        <v>1</v>
      </c>
      <c r="R305" s="203"/>
      <c r="S305" s="36"/>
      <c r="T305" s="34">
        <f t="shared" si="411"/>
        <v>0</v>
      </c>
      <c r="U305" s="31">
        <f t="shared" si="412"/>
        <v>0</v>
      </c>
      <c r="V305" s="34">
        <f t="shared" si="413"/>
        <v>0</v>
      </c>
      <c r="W305" s="43">
        <v>45800</v>
      </c>
      <c r="X305" s="34">
        <f>SUMIF(헤몬팜마진!$B$7:$B$32,$C305,헤몬팜마진!$R$7:$R$32)</f>
        <v>9990.4082249999992</v>
      </c>
      <c r="Y305" s="34" t="e">
        <f t="shared" si="414"/>
        <v>#REF!</v>
      </c>
      <c r="Z305" s="34">
        <f t="shared" si="415"/>
        <v>8209.3000000000011</v>
      </c>
      <c r="AA305" s="234">
        <v>7463</v>
      </c>
      <c r="AB305" s="36"/>
      <c r="AC305" s="204">
        <f t="shared" ref="AC305:AC319" si="422">(1210+1100)*Q305</f>
        <v>2310</v>
      </c>
      <c r="AD305" s="152">
        <v>0.11</v>
      </c>
      <c r="AE305" s="31">
        <f t="shared" ref="AE305:AE306" si="423">4150*(P305)</f>
        <v>0</v>
      </c>
      <c r="AF305" s="28" t="e">
        <f t="shared" si="417"/>
        <v>#DIV/0!</v>
      </c>
      <c r="AG305" s="34">
        <f t="shared" si="418"/>
        <v>0</v>
      </c>
      <c r="AH305" s="34" t="e">
        <f t="shared" si="419"/>
        <v>#REF!</v>
      </c>
      <c r="AI305" s="34" t="e">
        <f>SUMIF(헤몬팜마진!$B$7:$B$32,$C305,헤몬팜마진!$V$7:$V$32)</f>
        <v>#REF!</v>
      </c>
      <c r="AJ305" s="34" t="e">
        <f t="shared" si="420"/>
        <v>#REF!</v>
      </c>
      <c r="AK305" s="46" t="e">
        <f t="shared" si="421"/>
        <v>#REF!</v>
      </c>
      <c r="AL305" s="40">
        <f>SUMIF(헤몬팜마진!$B$7:$B$32,$C305,헤몬팜마진!$T$7:$T$32)</f>
        <v>162</v>
      </c>
      <c r="AM305" s="41">
        <f>SUMIF(헤몬팜마진!$B$7:$B$32,$C305,헤몬팜마진!$U$7:$U$32)</f>
        <v>826.80000000000007</v>
      </c>
      <c r="AN305" s="36"/>
      <c r="AO305" s="235">
        <v>13653</v>
      </c>
      <c r="AP305" s="235">
        <v>51</v>
      </c>
      <c r="AQ305" s="126"/>
      <c r="AR305" s="126"/>
      <c r="AS305" s="126"/>
      <c r="AT305" s="118"/>
      <c r="AU305" s="118"/>
      <c r="AV305" s="118"/>
      <c r="AW305" s="118"/>
      <c r="AX305" s="118"/>
      <c r="AY305" s="118"/>
      <c r="AZ305" s="118"/>
      <c r="BA305" s="118"/>
      <c r="BB305" s="118"/>
      <c r="BC305" s="118"/>
      <c r="BD305" s="118"/>
      <c r="BE305" s="118"/>
      <c r="BF305" s="118"/>
      <c r="BG305" s="47"/>
      <c r="BH305" s="47"/>
      <c r="BI305" s="47"/>
      <c r="BJ305" s="47"/>
      <c r="BK305" s="47"/>
    </row>
    <row r="306" spans="1:63" ht="28.5" customHeight="1">
      <c r="A306" s="318"/>
      <c r="B306" s="324"/>
      <c r="C306" s="42" t="s">
        <v>110</v>
      </c>
      <c r="D306" s="28" t="e">
        <f t="shared" si="404"/>
        <v>#REF!</v>
      </c>
      <c r="E306" s="201" t="e">
        <f t="shared" si="405"/>
        <v>#REF!</v>
      </c>
      <c r="F306" s="30">
        <f t="shared" si="406"/>
        <v>0.37446336996336999</v>
      </c>
      <c r="G306" s="30">
        <f t="shared" si="407"/>
        <v>1.5105740181268883E-2</v>
      </c>
      <c r="H306" s="35">
        <v>0</v>
      </c>
      <c r="I306" s="35">
        <f t="shared" si="408"/>
        <v>105</v>
      </c>
      <c r="J306" s="35">
        <f t="shared" si="409"/>
        <v>210</v>
      </c>
      <c r="K306" s="310"/>
      <c r="L306" s="49">
        <f>13+2</f>
        <v>15</v>
      </c>
      <c r="M306" s="48"/>
      <c r="N306" s="44">
        <v>15</v>
      </c>
      <c r="O306" s="202">
        <v>7</v>
      </c>
      <c r="P306" s="31">
        <f t="shared" si="410"/>
        <v>7</v>
      </c>
      <c r="Q306" s="202">
        <v>1</v>
      </c>
      <c r="R306" s="233">
        <v>5</v>
      </c>
      <c r="S306" s="36"/>
      <c r="T306" s="34">
        <f t="shared" si="411"/>
        <v>327600</v>
      </c>
      <c r="U306" s="31">
        <f t="shared" si="412"/>
        <v>0</v>
      </c>
      <c r="V306" s="34">
        <f t="shared" si="413"/>
        <v>327600</v>
      </c>
      <c r="W306" s="43">
        <v>46800</v>
      </c>
      <c r="X306" s="34">
        <f>SUMIF(헤몬팜마진!$B$7:$B$32,$C306,헤몬팜마진!$R$7:$R$32)</f>
        <v>9990.4082249999992</v>
      </c>
      <c r="Y306" s="34" t="e">
        <f t="shared" si="414"/>
        <v>#REF!</v>
      </c>
      <c r="Z306" s="34">
        <f t="shared" si="415"/>
        <v>122674.20000000001</v>
      </c>
      <c r="AA306" s="234">
        <v>111522</v>
      </c>
      <c r="AB306" s="36"/>
      <c r="AC306" s="204">
        <f t="shared" si="422"/>
        <v>2310</v>
      </c>
      <c r="AD306" s="152">
        <v>0.11</v>
      </c>
      <c r="AE306" s="31">
        <f t="shared" si="423"/>
        <v>29050</v>
      </c>
      <c r="AF306" s="28">
        <f t="shared" si="417"/>
        <v>0.19867521367521368</v>
      </c>
      <c r="AG306" s="34">
        <f t="shared" si="418"/>
        <v>65086.03</v>
      </c>
      <c r="AH306" s="34" t="e">
        <f t="shared" si="419"/>
        <v>#REF!</v>
      </c>
      <c r="AI306" s="34" t="e">
        <f>SUMIF(헤몬팜마진!$B$7:$B$32,$C306,헤몬팜마진!$V$7:$V$32)</f>
        <v>#REF!</v>
      </c>
      <c r="AJ306" s="34" t="e">
        <f t="shared" si="420"/>
        <v>#REF!</v>
      </c>
      <c r="AK306" s="206" t="e">
        <f t="shared" si="421"/>
        <v>#REF!</v>
      </c>
      <c r="AL306" s="40">
        <f>SUMIF(헤몬팜마진!$B$7:$B$32,$C306,헤몬팜마진!$T$7:$T$32)</f>
        <v>162</v>
      </c>
      <c r="AM306" s="41">
        <f>SUMIF(헤몬팜마진!$B$7:$B$32,$C306,헤몬팜마진!$U$7:$U$32)</f>
        <v>826.80000000000007</v>
      </c>
      <c r="AN306" s="36"/>
      <c r="AO306" s="235">
        <v>118599</v>
      </c>
      <c r="AP306" s="235">
        <v>331</v>
      </c>
      <c r="AQ306" s="126"/>
      <c r="AR306" s="126"/>
      <c r="AS306" s="126"/>
      <c r="AT306" s="118"/>
      <c r="AU306" s="118"/>
      <c r="AV306" s="118"/>
      <c r="AW306" s="118"/>
      <c r="AX306" s="118"/>
      <c r="AY306" s="118"/>
      <c r="AZ306" s="118"/>
      <c r="BA306" s="118"/>
      <c r="BB306" s="118"/>
      <c r="BC306" s="118"/>
      <c r="BD306" s="118"/>
      <c r="BE306" s="118"/>
      <c r="BF306" s="118"/>
      <c r="BG306" s="47"/>
      <c r="BH306" s="47"/>
      <c r="BI306" s="47"/>
      <c r="BJ306" s="47"/>
      <c r="BK306" s="47"/>
    </row>
    <row r="307" spans="1:63" ht="28.5" customHeight="1">
      <c r="A307" s="12" t="s">
        <v>132</v>
      </c>
      <c r="B307" s="323"/>
      <c r="C307" s="42" t="s">
        <v>32</v>
      </c>
      <c r="D307" s="28" t="e">
        <f t="shared" si="404"/>
        <v>#REF!</v>
      </c>
      <c r="E307" s="201" t="e">
        <f t="shared" si="405"/>
        <v>#REF!</v>
      </c>
      <c r="F307" s="30">
        <f t="shared" si="406"/>
        <v>6.1401337792642147E-2</v>
      </c>
      <c r="G307" s="30" t="e">
        <f t="shared" si="407"/>
        <v>#DIV/0!</v>
      </c>
      <c r="H307" s="37">
        <v>3504</v>
      </c>
      <c r="I307" s="35">
        <f t="shared" si="408"/>
        <v>210</v>
      </c>
      <c r="J307" s="35">
        <f t="shared" si="409"/>
        <v>420</v>
      </c>
      <c r="K307" s="325">
        <v>626</v>
      </c>
      <c r="L307" s="39">
        <f>30+13+6</f>
        <v>49</v>
      </c>
      <c r="M307" s="210"/>
      <c r="N307" s="208">
        <v>30</v>
      </c>
      <c r="O307" s="202">
        <v>1</v>
      </c>
      <c r="P307" s="31">
        <f t="shared" si="410"/>
        <v>1</v>
      </c>
      <c r="Q307" s="36"/>
      <c r="R307" s="203"/>
      <c r="S307" s="36"/>
      <c r="T307" s="34">
        <f t="shared" si="411"/>
        <v>59800</v>
      </c>
      <c r="U307" s="31">
        <f t="shared" si="412"/>
        <v>0</v>
      </c>
      <c r="V307" s="34">
        <f t="shared" si="413"/>
        <v>59800</v>
      </c>
      <c r="W307" s="43">
        <v>59800</v>
      </c>
      <c r="X307" s="34">
        <f>SUMIF(헤몬팜마진!$B$7:$B$32,$C307,헤몬팜마진!$R$7:$R$32)</f>
        <v>13276.289999999999</v>
      </c>
      <c r="Y307" s="34" t="e">
        <f t="shared" si="414"/>
        <v>#REF!</v>
      </c>
      <c r="Z307" s="34">
        <f t="shared" si="415"/>
        <v>3671.8</v>
      </c>
      <c r="AA307" s="234">
        <v>3338</v>
      </c>
      <c r="AB307" s="209"/>
      <c r="AC307" s="204">
        <f t="shared" si="422"/>
        <v>0</v>
      </c>
      <c r="AD307" s="152">
        <v>0.108</v>
      </c>
      <c r="AE307" s="31">
        <f t="shared" ref="AE307:AE308" si="424">4825*(P307)</f>
        <v>4825</v>
      </c>
      <c r="AF307" s="28">
        <f t="shared" si="417"/>
        <v>0.188685618729097</v>
      </c>
      <c r="AG307" s="34">
        <f t="shared" si="418"/>
        <v>11283.430000000002</v>
      </c>
      <c r="AH307" s="34" t="e">
        <f t="shared" si="419"/>
        <v>#REF!</v>
      </c>
      <c r="AI307" s="34" t="e">
        <f>SUMIF(헤몬팜마진!$B$7:$B$32,$C307,헤몬팜마진!$V$7:$V$32)</f>
        <v>#REF!</v>
      </c>
      <c r="AJ307" s="34" t="e">
        <f t="shared" si="420"/>
        <v>#REF!</v>
      </c>
      <c r="AK307" s="46" t="e">
        <f t="shared" si="421"/>
        <v>#REF!</v>
      </c>
      <c r="AL307" s="40">
        <f>SUMIF(헤몬팜마진!$B$7:$B$32,$C307,헤몬팜마진!$T$7:$T$32)</f>
        <v>371.52</v>
      </c>
      <c r="AM307" s="41">
        <f>SUMIF(헤몬팜마진!$B$7:$B$32,$C307,헤몬팜마진!$U$7:$U$32)</f>
        <v>1896.1279999999999</v>
      </c>
      <c r="AN307" s="36"/>
      <c r="AO307" s="202"/>
      <c r="AP307" s="205"/>
      <c r="AQ307" s="126"/>
      <c r="AR307" s="126"/>
      <c r="AS307" s="126"/>
      <c r="AT307" s="118"/>
      <c r="AU307" s="118"/>
      <c r="AV307" s="118"/>
      <c r="AW307" s="118"/>
      <c r="AX307" s="118"/>
      <c r="AY307" s="118"/>
      <c r="AZ307" s="118"/>
      <c r="BA307" s="118"/>
      <c r="BB307" s="118"/>
      <c r="BC307" s="118"/>
      <c r="BD307" s="118"/>
      <c r="BE307" s="118"/>
      <c r="BF307" s="118"/>
      <c r="BG307" s="47"/>
      <c r="BH307" s="47"/>
      <c r="BI307" s="47"/>
      <c r="BJ307" s="47"/>
      <c r="BK307" s="47"/>
    </row>
    <row r="308" spans="1:63" ht="28.5" customHeight="1">
      <c r="A308" s="12" t="s">
        <v>132</v>
      </c>
      <c r="B308" s="324"/>
      <c r="C308" s="42" t="s">
        <v>33</v>
      </c>
      <c r="D308" s="28" t="e">
        <f t="shared" si="404"/>
        <v>#REF!</v>
      </c>
      <c r="E308" s="201" t="e">
        <f t="shared" si="405"/>
        <v>#REF!</v>
      </c>
      <c r="F308" s="30">
        <f t="shared" si="406"/>
        <v>0.44186013184293499</v>
      </c>
      <c r="G308" s="30">
        <f t="shared" si="407"/>
        <v>0</v>
      </c>
      <c r="H308" s="35">
        <v>0</v>
      </c>
      <c r="I308" s="35">
        <f t="shared" si="408"/>
        <v>210</v>
      </c>
      <c r="J308" s="35">
        <f t="shared" si="409"/>
        <v>420</v>
      </c>
      <c r="K308" s="310"/>
      <c r="L308" s="39">
        <f>4+11+18+38+129</f>
        <v>200</v>
      </c>
      <c r="M308" s="210"/>
      <c r="N308" s="44">
        <v>30</v>
      </c>
      <c r="O308" s="202">
        <v>1</v>
      </c>
      <c r="P308" s="31">
        <f t="shared" si="410"/>
        <v>1</v>
      </c>
      <c r="Q308" s="36"/>
      <c r="R308" s="203"/>
      <c r="S308" s="36"/>
      <c r="T308" s="34">
        <f t="shared" si="411"/>
        <v>69780</v>
      </c>
      <c r="U308" s="31">
        <f t="shared" si="412"/>
        <v>0</v>
      </c>
      <c r="V308" s="34">
        <f t="shared" si="413"/>
        <v>69780</v>
      </c>
      <c r="W308" s="43">
        <v>69780</v>
      </c>
      <c r="X308" s="34">
        <f>SUMIF(헤몬팜마진!$B$7:$B$32,$C308,헤몬팜마진!$R$7:$R$32)</f>
        <v>13276.289999999999</v>
      </c>
      <c r="Y308" s="34" t="e">
        <f t="shared" si="414"/>
        <v>#REF!</v>
      </c>
      <c r="Z308" s="34">
        <f t="shared" si="415"/>
        <v>30833.000000000004</v>
      </c>
      <c r="AA308" s="234">
        <v>28030</v>
      </c>
      <c r="AB308" s="36"/>
      <c r="AC308" s="204">
        <f t="shared" si="422"/>
        <v>0</v>
      </c>
      <c r="AD308" s="152">
        <v>0.108</v>
      </c>
      <c r="AE308" s="31">
        <f t="shared" si="424"/>
        <v>4825</v>
      </c>
      <c r="AF308" s="28">
        <f t="shared" si="417"/>
        <v>0.17714588707366008</v>
      </c>
      <c r="AG308" s="34">
        <f t="shared" si="418"/>
        <v>12361.27</v>
      </c>
      <c r="AH308" s="34" t="e">
        <f t="shared" si="419"/>
        <v>#REF!</v>
      </c>
      <c r="AI308" s="34" t="e">
        <f>SUMIF(헤몬팜마진!$B$7:$B$32,$C308,헤몬팜마진!$V$7:$V$32)</f>
        <v>#REF!</v>
      </c>
      <c r="AJ308" s="34" t="e">
        <f t="shared" si="420"/>
        <v>#REF!</v>
      </c>
      <c r="AK308" s="46" t="e">
        <f t="shared" si="421"/>
        <v>#REF!</v>
      </c>
      <c r="AL308" s="40">
        <f>SUMIF(헤몬팜마진!$B$7:$B$32,$C308,헤몬팜마진!$T$7:$T$32)</f>
        <v>371.52</v>
      </c>
      <c r="AM308" s="41">
        <f>SUMIF(헤몬팜마진!$B$7:$B$32,$C308,헤몬팜마진!$U$7:$U$32)</f>
        <v>1896.1279999999999</v>
      </c>
      <c r="AN308" s="36"/>
      <c r="AO308" s="235">
        <v>29096</v>
      </c>
      <c r="AP308" s="235">
        <v>43</v>
      </c>
      <c r="AQ308" s="126"/>
      <c r="AR308" s="126"/>
      <c r="AS308" s="126"/>
      <c r="AT308" s="118"/>
      <c r="AU308" s="118"/>
      <c r="AV308" s="118"/>
      <c r="AW308" s="118"/>
      <c r="AX308" s="118"/>
      <c r="AY308" s="118"/>
      <c r="AZ308" s="118"/>
      <c r="BA308" s="118"/>
      <c r="BB308" s="118"/>
      <c r="BC308" s="118"/>
      <c r="BD308" s="118"/>
      <c r="BE308" s="118"/>
      <c r="BF308" s="118"/>
      <c r="BG308" s="47"/>
      <c r="BH308" s="47"/>
      <c r="BI308" s="47"/>
      <c r="BJ308" s="47"/>
      <c r="BK308" s="47"/>
    </row>
    <row r="309" spans="1:63" ht="28.5" customHeight="1">
      <c r="A309" s="228" t="s">
        <v>133</v>
      </c>
      <c r="B309" s="200"/>
      <c r="C309" s="42" t="s">
        <v>111</v>
      </c>
      <c r="D309" s="28">
        <f t="shared" si="404"/>
        <v>2.0177639417034657E-2</v>
      </c>
      <c r="E309" s="201">
        <f t="shared" si="405"/>
        <v>0.39080862133833916</v>
      </c>
      <c r="F309" s="30">
        <f t="shared" si="406"/>
        <v>0.3706309819213045</v>
      </c>
      <c r="G309" s="30">
        <f t="shared" si="407"/>
        <v>0.10687022900763359</v>
      </c>
      <c r="H309" s="35">
        <v>500</v>
      </c>
      <c r="I309" s="35">
        <f t="shared" si="408"/>
        <v>105</v>
      </c>
      <c r="J309" s="35">
        <f t="shared" si="409"/>
        <v>210</v>
      </c>
      <c r="K309" s="39">
        <v>577</v>
      </c>
      <c r="L309" s="39">
        <v>211</v>
      </c>
      <c r="M309" s="210"/>
      <c r="N309" s="44">
        <v>15</v>
      </c>
      <c r="O309" s="202">
        <v>14</v>
      </c>
      <c r="P309" s="31">
        <f t="shared" si="410"/>
        <v>14</v>
      </c>
      <c r="Q309" s="202">
        <v>1</v>
      </c>
      <c r="R309" s="233">
        <v>14</v>
      </c>
      <c r="S309" s="202"/>
      <c r="T309" s="34">
        <f t="shared" si="411"/>
        <v>225680</v>
      </c>
      <c r="U309" s="31">
        <f t="shared" si="412"/>
        <v>0</v>
      </c>
      <c r="V309" s="34">
        <f t="shared" si="413"/>
        <v>225680</v>
      </c>
      <c r="W309" s="43">
        <v>16120</v>
      </c>
      <c r="X309" s="34">
        <f>SUMIF(헤몬팜마진!$B$7:$B$32,$C309,헤몬팜마진!$R$7:$R$32)</f>
        <v>5089.2444999999998</v>
      </c>
      <c r="Y309" s="34">
        <f t="shared" si="414"/>
        <v>71768.542999999991</v>
      </c>
      <c r="Z309" s="34">
        <f t="shared" si="415"/>
        <v>83644</v>
      </c>
      <c r="AA309" s="234">
        <v>76040</v>
      </c>
      <c r="AB309" s="211"/>
      <c r="AC309" s="204">
        <f t="shared" si="422"/>
        <v>2310</v>
      </c>
      <c r="AD309" s="152">
        <v>7.8E-2</v>
      </c>
      <c r="AE309" s="31">
        <f>2900*(P309)</f>
        <v>40600</v>
      </c>
      <c r="AF309" s="28">
        <f t="shared" si="417"/>
        <v>0.25790074441687344</v>
      </c>
      <c r="AG309" s="34">
        <f t="shared" si="418"/>
        <v>58203.07</v>
      </c>
      <c r="AH309" s="34">
        <f t="shared" si="419"/>
        <v>7510.6973363636371</v>
      </c>
      <c r="AI309" s="34">
        <f>SUMIF(헤몬팜마진!$B$7:$B$32,$C309,헤몬팜마진!$V$7:$V$32)</f>
        <v>5126.3244999999997</v>
      </c>
      <c r="AJ309" s="34">
        <f t="shared" si="420"/>
        <v>88197.689663636382</v>
      </c>
      <c r="AK309" s="206">
        <f t="shared" si="421"/>
        <v>4553.6896636363817</v>
      </c>
      <c r="AL309" s="40">
        <f>SUMIF(헤몬팜마진!$B$7:$B$32,$C309,헤몬팜마진!$T$7:$T$32)</f>
        <v>6.0750000000000002</v>
      </c>
      <c r="AM309" s="41">
        <f>SUMIF(헤몬팜마진!$B$7:$B$32,$C309,헤몬팜마진!$U$7:$U$32)</f>
        <v>31.005000000000003</v>
      </c>
      <c r="AN309" s="36"/>
      <c r="AO309" s="235">
        <v>65392</v>
      </c>
      <c r="AP309" s="235">
        <v>131</v>
      </c>
      <c r="AQ309" s="126"/>
      <c r="AR309" s="126"/>
      <c r="AS309" s="126"/>
      <c r="AT309" s="118"/>
      <c r="AU309" s="118"/>
      <c r="AV309" s="118"/>
      <c r="AW309" s="118"/>
      <c r="AX309" s="118"/>
      <c r="AY309" s="118"/>
      <c r="AZ309" s="118"/>
      <c r="BA309" s="118"/>
      <c r="BB309" s="118"/>
      <c r="BC309" s="118"/>
      <c r="BD309" s="118"/>
      <c r="BE309" s="118"/>
      <c r="BF309" s="118"/>
      <c r="BG309" s="47"/>
      <c r="BH309" s="47"/>
      <c r="BI309" s="47"/>
      <c r="BJ309" s="47"/>
      <c r="BK309" s="47"/>
    </row>
    <row r="310" spans="1:63" ht="28.5" customHeight="1">
      <c r="A310" s="327" t="s">
        <v>134</v>
      </c>
      <c r="B310" s="323"/>
      <c r="C310" s="42" t="s">
        <v>112</v>
      </c>
      <c r="D310" s="29" t="e">
        <f t="shared" si="404"/>
        <v>#REF!</v>
      </c>
      <c r="E310" s="201" t="e">
        <f t="shared" si="405"/>
        <v>#REF!</v>
      </c>
      <c r="F310" s="30">
        <f t="shared" si="406"/>
        <v>0.29992273869346736</v>
      </c>
      <c r="G310" s="30">
        <f t="shared" si="407"/>
        <v>3.4482758620689655E-2</v>
      </c>
      <c r="H310" s="312">
        <v>0</v>
      </c>
      <c r="I310" s="35">
        <f t="shared" si="408"/>
        <v>140</v>
      </c>
      <c r="J310" s="35">
        <f t="shared" si="409"/>
        <v>280</v>
      </c>
      <c r="K310" s="325">
        <v>343</v>
      </c>
      <c r="L310" s="39">
        <f>97+42+48+31+19+10</f>
        <v>247</v>
      </c>
      <c r="M310" s="210"/>
      <c r="N310" s="44">
        <v>20</v>
      </c>
      <c r="O310" s="202">
        <v>8</v>
      </c>
      <c r="P310" s="31">
        <f t="shared" si="410"/>
        <v>8</v>
      </c>
      <c r="Q310" s="202"/>
      <c r="R310" s="233">
        <v>5</v>
      </c>
      <c r="S310" s="36"/>
      <c r="T310" s="34">
        <f t="shared" si="411"/>
        <v>318400</v>
      </c>
      <c r="U310" s="31">
        <f t="shared" si="412"/>
        <v>0</v>
      </c>
      <c r="V310" s="34">
        <f t="shared" si="413"/>
        <v>318400</v>
      </c>
      <c r="W310" s="43">
        <v>39800</v>
      </c>
      <c r="X310" s="34">
        <f>SUMIF(헤몬팜마진!$B$7:$B$32,$C310,헤몬팜마진!$R$7:$R$32)</f>
        <v>7855.1382499999991</v>
      </c>
      <c r="Y310" s="34" t="e">
        <f t="shared" si="414"/>
        <v>#REF!</v>
      </c>
      <c r="Z310" s="34">
        <f t="shared" si="415"/>
        <v>95495.400000000009</v>
      </c>
      <c r="AA310" s="234">
        <v>86814</v>
      </c>
      <c r="AB310" s="209"/>
      <c r="AC310" s="204">
        <f t="shared" si="422"/>
        <v>0</v>
      </c>
      <c r="AD310" s="152">
        <v>0.08</v>
      </c>
      <c r="AE310" s="31">
        <f>4150*(P310)</f>
        <v>33200</v>
      </c>
      <c r="AF310" s="28">
        <f t="shared" si="417"/>
        <v>0.18427135678391959</v>
      </c>
      <c r="AG310" s="34">
        <f t="shared" si="418"/>
        <v>58672.03</v>
      </c>
      <c r="AH310" s="34" t="e">
        <f t="shared" si="419"/>
        <v>#REF!</v>
      </c>
      <c r="AI310" s="34" t="e">
        <f>SUMIF(헤몬팜마진!$B$7:$B$32,$C310,헤몬팜마진!$V$7:$V$32)</f>
        <v>#REF!</v>
      </c>
      <c r="AJ310" s="34" t="e">
        <f t="shared" si="420"/>
        <v>#REF!</v>
      </c>
      <c r="AK310" s="46" t="e">
        <f t="shared" si="421"/>
        <v>#REF!</v>
      </c>
      <c r="AL310" s="40">
        <f>SUMIF(헤몬팜마진!$B$7:$B$32,$C310,헤몬팜마진!$T$7:$T$32)</f>
        <v>176.41799999999998</v>
      </c>
      <c r="AM310" s="41">
        <f>SUMIF(헤몬팜마진!$B$7:$B$32,$C310,헤몬팜마진!$U$7:$U$32)</f>
        <v>900.38519999999994</v>
      </c>
      <c r="AN310" s="36"/>
      <c r="AO310" s="235">
        <v>61804</v>
      </c>
      <c r="AP310" s="235">
        <v>145</v>
      </c>
      <c r="AQ310" s="126"/>
      <c r="AR310" s="126"/>
      <c r="AS310" s="126"/>
      <c r="AT310" s="118"/>
      <c r="AU310" s="118"/>
      <c r="AV310" s="118"/>
      <c r="AW310" s="118"/>
      <c r="AX310" s="118"/>
      <c r="AY310" s="118"/>
      <c r="AZ310" s="118"/>
      <c r="BA310" s="118"/>
      <c r="BB310" s="118"/>
      <c r="BC310" s="118"/>
      <c r="BD310" s="118"/>
      <c r="BE310" s="118"/>
      <c r="BF310" s="118"/>
      <c r="BG310" s="47"/>
      <c r="BH310" s="47"/>
      <c r="BI310" s="47"/>
      <c r="BJ310" s="47"/>
      <c r="BK310" s="47"/>
    </row>
    <row r="311" spans="1:63" ht="28.5" customHeight="1">
      <c r="A311" s="318"/>
      <c r="B311" s="324"/>
      <c r="C311" s="42" t="s">
        <v>113</v>
      </c>
      <c r="D311" s="28" t="e">
        <f t="shared" si="404"/>
        <v>#REF!</v>
      </c>
      <c r="E311" s="201" t="e">
        <f t="shared" si="405"/>
        <v>#REF!</v>
      </c>
      <c r="F311" s="30">
        <f t="shared" si="406"/>
        <v>0.1250820512820513</v>
      </c>
      <c r="G311" s="30">
        <f t="shared" si="407"/>
        <v>7.4626865671641784E-2</v>
      </c>
      <c r="H311" s="310"/>
      <c r="I311" s="35">
        <f t="shared" si="408"/>
        <v>105</v>
      </c>
      <c r="J311" s="35">
        <f t="shared" si="409"/>
        <v>210</v>
      </c>
      <c r="K311" s="310"/>
      <c r="L311" s="39">
        <f>74+42+48+18+8+2</f>
        <v>192</v>
      </c>
      <c r="M311" s="210"/>
      <c r="N311" s="44">
        <v>15</v>
      </c>
      <c r="O311" s="36">
        <v>5</v>
      </c>
      <c r="P311" s="31">
        <f t="shared" si="410"/>
        <v>5</v>
      </c>
      <c r="Q311" s="36"/>
      <c r="R311" s="233">
        <v>5</v>
      </c>
      <c r="S311" s="36"/>
      <c r="T311" s="34">
        <f t="shared" si="411"/>
        <v>214500</v>
      </c>
      <c r="U311" s="31">
        <f t="shared" si="412"/>
        <v>0</v>
      </c>
      <c r="V311" s="34">
        <f t="shared" si="413"/>
        <v>214500</v>
      </c>
      <c r="W311" s="43">
        <v>42900</v>
      </c>
      <c r="X311" s="34">
        <f>SUMIF(헤몬팜마진!$B$7:$B$32,$C311,헤몬팜마진!$R$7:$R$32)</f>
        <v>7855.1382499999991</v>
      </c>
      <c r="Y311" s="34" t="e">
        <f t="shared" si="414"/>
        <v>#REF!</v>
      </c>
      <c r="Z311" s="34">
        <f t="shared" si="415"/>
        <v>26830.100000000002</v>
      </c>
      <c r="AA311" s="234">
        <v>24391</v>
      </c>
      <c r="AB311" s="36"/>
      <c r="AC311" s="204">
        <f t="shared" si="422"/>
        <v>0</v>
      </c>
      <c r="AD311" s="152">
        <v>7.8E-2</v>
      </c>
      <c r="AE311" s="31">
        <f>1900*(P311)</f>
        <v>9500</v>
      </c>
      <c r="AF311" s="28">
        <f t="shared" si="417"/>
        <v>0.12228904428904429</v>
      </c>
      <c r="AG311" s="34">
        <f t="shared" si="418"/>
        <v>26231.03</v>
      </c>
      <c r="AH311" s="34" t="e">
        <f t="shared" si="419"/>
        <v>#REF!</v>
      </c>
      <c r="AI311" s="34" t="e">
        <f>SUMIF(헤몬팜마진!$B$7:$B$32,$C311,헤몬팜마진!$V$7:$V$32)</f>
        <v>#REF!</v>
      </c>
      <c r="AJ311" s="34" t="e">
        <f t="shared" si="420"/>
        <v>#REF!</v>
      </c>
      <c r="AK311" s="206" t="e">
        <f t="shared" si="421"/>
        <v>#REF!</v>
      </c>
      <c r="AL311" s="40">
        <f>SUMIF(헤몬팜마진!$B$7:$B$32,$C311,헤몬팜마진!$T$7:$T$32)</f>
        <v>176.41799999999998</v>
      </c>
      <c r="AM311" s="41">
        <f>SUMIF(헤몬팜마진!$B$7:$B$32,$C311,헤몬팜마진!$U$7:$U$32)</f>
        <v>900.38519999999994</v>
      </c>
      <c r="AN311" s="36"/>
      <c r="AO311" s="235">
        <v>17841</v>
      </c>
      <c r="AP311" s="235">
        <v>67</v>
      </c>
      <c r="AQ311" s="126"/>
      <c r="AR311" s="126"/>
      <c r="AS311" s="126"/>
      <c r="AT311" s="118"/>
      <c r="AU311" s="118"/>
      <c r="AV311" s="118"/>
      <c r="AW311" s="118"/>
      <c r="AX311" s="118"/>
      <c r="AY311" s="118"/>
      <c r="AZ311" s="118"/>
      <c r="BA311" s="118"/>
      <c r="BB311" s="118"/>
      <c r="BC311" s="118"/>
      <c r="BD311" s="118"/>
      <c r="BE311" s="118"/>
      <c r="BF311" s="118"/>
      <c r="BG311" s="47"/>
      <c r="BH311" s="47"/>
      <c r="BI311" s="47"/>
      <c r="BJ311" s="47"/>
      <c r="BK311" s="47"/>
    </row>
    <row r="312" spans="1:63" ht="28.5" customHeight="1">
      <c r="A312" s="228" t="s">
        <v>135</v>
      </c>
      <c r="B312" s="200"/>
      <c r="C312" s="42" t="s">
        <v>114</v>
      </c>
      <c r="D312" s="28">
        <f t="shared" si="404"/>
        <v>0.11453476590180656</v>
      </c>
      <c r="E312" s="201">
        <f t="shared" si="405"/>
        <v>0.36298889250437066</v>
      </c>
      <c r="F312" s="30">
        <f t="shared" si="406"/>
        <v>0.24845412660256411</v>
      </c>
      <c r="G312" s="30">
        <f t="shared" si="407"/>
        <v>9.0909090909090912E-2</v>
      </c>
      <c r="H312" s="35">
        <v>1750</v>
      </c>
      <c r="I312" s="35">
        <f t="shared" si="408"/>
        <v>350</v>
      </c>
      <c r="J312" s="35">
        <f t="shared" si="409"/>
        <v>700</v>
      </c>
      <c r="K312" s="39">
        <v>1449</v>
      </c>
      <c r="L312" s="39">
        <v>1217</v>
      </c>
      <c r="M312" s="210"/>
      <c r="N312" s="44">
        <v>50</v>
      </c>
      <c r="O312" s="202">
        <v>26</v>
      </c>
      <c r="P312" s="31">
        <f t="shared" si="410"/>
        <v>26</v>
      </c>
      <c r="Q312" s="36">
        <v>1</v>
      </c>
      <c r="R312" s="233">
        <v>12</v>
      </c>
      <c r="S312" s="36"/>
      <c r="T312" s="34">
        <f t="shared" si="411"/>
        <v>499200</v>
      </c>
      <c r="U312" s="31">
        <f t="shared" si="412"/>
        <v>0</v>
      </c>
      <c r="V312" s="34">
        <f t="shared" si="413"/>
        <v>499200</v>
      </c>
      <c r="W312" s="43">
        <v>19200</v>
      </c>
      <c r="X312" s="34">
        <f>SUMIF(헤몬팜마진!$B$7:$B$32,$C312,헤몬팜마진!$R$7:$R$32)</f>
        <v>6372.6191999999992</v>
      </c>
      <c r="Y312" s="34">
        <f t="shared" si="414"/>
        <v>176057.31519999998</v>
      </c>
      <c r="Z312" s="34">
        <f t="shared" si="415"/>
        <v>124028.3</v>
      </c>
      <c r="AA312" s="234">
        <f>101407+11346</f>
        <v>112753</v>
      </c>
      <c r="AB312" s="36"/>
      <c r="AC312" s="204">
        <f t="shared" si="422"/>
        <v>2310</v>
      </c>
      <c r="AD312" s="152">
        <v>0.08</v>
      </c>
      <c r="AE312" s="31">
        <f>3350*(P312)</f>
        <v>87100</v>
      </c>
      <c r="AF312" s="28">
        <f t="shared" si="417"/>
        <v>0.25447916666666665</v>
      </c>
      <c r="AG312" s="34">
        <f t="shared" si="418"/>
        <v>127036.02999999998</v>
      </c>
      <c r="AH312" s="34">
        <f t="shared" si="419"/>
        <v>14902.599661818174</v>
      </c>
      <c r="AI312" s="34">
        <f>SUMIF(헤몬팜마진!$B$7:$B$32,$C312,헤몬팜마진!$V$7:$V$32)</f>
        <v>6771.435199999999</v>
      </c>
      <c r="AJ312" s="34">
        <f t="shared" si="420"/>
        <v>181204.05513818184</v>
      </c>
      <c r="AK312" s="46">
        <f t="shared" si="421"/>
        <v>57175.755138181834</v>
      </c>
      <c r="AL312" s="40">
        <f>SUMIF(헤몬팜마진!$B$7:$B$32,$C312,헤몬팜마진!$T$7:$T$32)</f>
        <v>65.34</v>
      </c>
      <c r="AM312" s="41">
        <f>SUMIF(헤몬팜마진!$B$7:$B$32,$C312,헤몬팜마진!$U$7:$U$32)</f>
        <v>333.476</v>
      </c>
      <c r="AN312" s="36"/>
      <c r="AO312" s="235">
        <v>32529</v>
      </c>
      <c r="AP312" s="235">
        <v>132</v>
      </c>
      <c r="AQ312" s="126"/>
      <c r="AR312" s="126"/>
      <c r="AS312" s="126"/>
      <c r="AT312" s="118"/>
      <c r="AU312" s="118"/>
      <c r="AV312" s="118"/>
      <c r="AW312" s="118"/>
      <c r="AX312" s="118"/>
      <c r="AY312" s="118"/>
      <c r="AZ312" s="118"/>
      <c r="BA312" s="118"/>
      <c r="BB312" s="118"/>
      <c r="BC312" s="118"/>
      <c r="BD312" s="118"/>
      <c r="BE312" s="118"/>
      <c r="BF312" s="118"/>
      <c r="BG312" s="47"/>
      <c r="BH312" s="47"/>
      <c r="BI312" s="47"/>
      <c r="BJ312" s="47"/>
      <c r="BK312" s="47"/>
    </row>
    <row r="313" spans="1:63" ht="28.5" customHeight="1">
      <c r="A313" s="327" t="s">
        <v>136</v>
      </c>
      <c r="B313" s="326"/>
      <c r="C313" s="42" t="s">
        <v>115</v>
      </c>
      <c r="D313" s="28" t="e">
        <f t="shared" si="404"/>
        <v>#REF!</v>
      </c>
      <c r="E313" s="201" t="e">
        <f t="shared" si="405"/>
        <v>#REF!</v>
      </c>
      <c r="F313" s="30">
        <f t="shared" si="406"/>
        <v>0.31052152373301201</v>
      </c>
      <c r="G313" s="30">
        <f t="shared" si="407"/>
        <v>4.5454545454545456E-2</v>
      </c>
      <c r="H313" s="35">
        <v>0</v>
      </c>
      <c r="I313" s="35">
        <f t="shared" si="408"/>
        <v>70</v>
      </c>
      <c r="J313" s="35">
        <f t="shared" si="409"/>
        <v>140</v>
      </c>
      <c r="K313" s="328">
        <v>494</v>
      </c>
      <c r="L313" s="39">
        <v>0</v>
      </c>
      <c r="M313" s="210"/>
      <c r="N313" s="44">
        <v>10</v>
      </c>
      <c r="O313" s="36">
        <v>9</v>
      </c>
      <c r="P313" s="31">
        <f t="shared" si="410"/>
        <v>9</v>
      </c>
      <c r="Q313" s="36">
        <v>1</v>
      </c>
      <c r="R313" s="233">
        <v>7</v>
      </c>
      <c r="S313" s="36"/>
      <c r="T313" s="34">
        <f t="shared" si="411"/>
        <v>448110</v>
      </c>
      <c r="U313" s="31">
        <f t="shared" si="412"/>
        <v>0</v>
      </c>
      <c r="V313" s="34">
        <f t="shared" si="413"/>
        <v>448110</v>
      </c>
      <c r="W313" s="43">
        <v>49790</v>
      </c>
      <c r="X313" s="34">
        <f>SUMIF(헤몬팜마진!$B$7:$B$32,$C313,헤몬팜마진!$R$7:$R$32)</f>
        <v>12169.932499999999</v>
      </c>
      <c r="Y313" s="34" t="e">
        <f t="shared" si="414"/>
        <v>#REF!</v>
      </c>
      <c r="Z313" s="34">
        <f t="shared" si="415"/>
        <v>139147.80000000002</v>
      </c>
      <c r="AA313" s="234">
        <v>126498</v>
      </c>
      <c r="AB313" s="36"/>
      <c r="AC313" s="204">
        <f t="shared" si="422"/>
        <v>2310</v>
      </c>
      <c r="AD313" s="152">
        <v>7.8E-2</v>
      </c>
      <c r="AE313" s="31">
        <f t="shared" ref="AE313:AE314" si="425">4825*(P313)</f>
        <v>43425</v>
      </c>
      <c r="AF313" s="28">
        <f t="shared" si="417"/>
        <v>0.17490700943964652</v>
      </c>
      <c r="AG313" s="34">
        <f t="shared" si="418"/>
        <v>78377.61</v>
      </c>
      <c r="AH313" s="34" t="e">
        <f t="shared" si="419"/>
        <v>#REF!</v>
      </c>
      <c r="AI313" s="34" t="e">
        <f>SUMIF(헤몬팜마진!$B$7:$B$32,$C313,헤몬팜마진!$V$7:$V$32)</f>
        <v>#REF!</v>
      </c>
      <c r="AJ313" s="34" t="e">
        <f t="shared" si="420"/>
        <v>#REF!</v>
      </c>
      <c r="AK313" s="206" t="e">
        <f t="shared" si="421"/>
        <v>#REF!</v>
      </c>
      <c r="AL313" s="40">
        <f>SUMIF(헤몬팜마진!$B$7:$B$32,$C313,헤몬팜마진!$T$7:$T$32)</f>
        <v>181.44000000000003</v>
      </c>
      <c r="AM313" s="41">
        <f>SUMIF(헤몬팜마진!$B$7:$B$32,$C313,헤몬팜마진!$U$7:$U$32)</f>
        <v>926.01600000000019</v>
      </c>
      <c r="AN313" s="36"/>
      <c r="AO313" s="235">
        <v>33743</v>
      </c>
      <c r="AP313" s="235">
        <v>154</v>
      </c>
      <c r="AQ313" s="126"/>
      <c r="AR313" s="126"/>
      <c r="AS313" s="126"/>
      <c r="AT313" s="118"/>
      <c r="AU313" s="118"/>
      <c r="AV313" s="118"/>
      <c r="AW313" s="118"/>
      <c r="AX313" s="118"/>
      <c r="AY313" s="118"/>
      <c r="AZ313" s="118"/>
      <c r="BA313" s="118"/>
      <c r="BB313" s="118"/>
      <c r="BC313" s="118"/>
      <c r="BD313" s="118"/>
      <c r="BE313" s="118"/>
      <c r="BF313" s="118"/>
      <c r="BG313" s="47"/>
      <c r="BH313" s="47"/>
      <c r="BI313" s="47"/>
      <c r="BJ313" s="47"/>
      <c r="BK313" s="47"/>
    </row>
    <row r="314" spans="1:63" ht="28.5" customHeight="1">
      <c r="A314" s="318"/>
      <c r="B314" s="324"/>
      <c r="C314" s="42" t="s">
        <v>116</v>
      </c>
      <c r="D314" s="28" t="e">
        <f t="shared" si="404"/>
        <v>#REF!</v>
      </c>
      <c r="E314" s="201" t="e">
        <f t="shared" si="405"/>
        <v>#REF!</v>
      </c>
      <c r="F314" s="30">
        <f t="shared" si="406"/>
        <v>8.5437831144897489E-2</v>
      </c>
      <c r="G314" s="30">
        <f t="shared" si="407"/>
        <v>3.4682080924855488E-2</v>
      </c>
      <c r="H314" s="35">
        <v>0</v>
      </c>
      <c r="I314" s="35">
        <f t="shared" si="408"/>
        <v>70</v>
      </c>
      <c r="J314" s="35">
        <f t="shared" si="409"/>
        <v>140</v>
      </c>
      <c r="K314" s="310"/>
      <c r="L314" s="39">
        <v>1</v>
      </c>
      <c r="M314" s="210"/>
      <c r="N314" s="44">
        <v>10</v>
      </c>
      <c r="O314" s="202">
        <v>12</v>
      </c>
      <c r="P314" s="31">
        <f t="shared" si="410"/>
        <v>12</v>
      </c>
      <c r="Q314" s="202">
        <v>1</v>
      </c>
      <c r="R314" s="233">
        <v>6</v>
      </c>
      <c r="S314" s="36"/>
      <c r="T314" s="34">
        <f t="shared" si="411"/>
        <v>694560</v>
      </c>
      <c r="U314" s="31">
        <f t="shared" si="412"/>
        <v>0</v>
      </c>
      <c r="V314" s="34">
        <f t="shared" si="413"/>
        <v>694560</v>
      </c>
      <c r="W314" s="43">
        <v>57880</v>
      </c>
      <c r="X314" s="34">
        <f>SUMIF(헤몬팜마진!$B$7:$B$32,$C314,헤몬팜마진!$R$7:$R$32)</f>
        <v>12169.932499999999</v>
      </c>
      <c r="Y314" s="34" t="e">
        <f t="shared" si="414"/>
        <v>#REF!</v>
      </c>
      <c r="Z314" s="34">
        <f t="shared" si="415"/>
        <v>59341.700000000004</v>
      </c>
      <c r="AA314" s="234">
        <v>53947</v>
      </c>
      <c r="AB314" s="36"/>
      <c r="AC314" s="204">
        <f t="shared" si="422"/>
        <v>2310</v>
      </c>
      <c r="AD314" s="152">
        <v>7.8E-2</v>
      </c>
      <c r="AE314" s="31">
        <f t="shared" si="425"/>
        <v>57900</v>
      </c>
      <c r="AF314" s="28">
        <f t="shared" si="417"/>
        <v>0.16136212854181065</v>
      </c>
      <c r="AG314" s="34">
        <f t="shared" si="418"/>
        <v>112075.71</v>
      </c>
      <c r="AH314" s="34" t="e">
        <f t="shared" si="419"/>
        <v>#REF!</v>
      </c>
      <c r="AI314" s="34" t="e">
        <f>SUMIF(헤몬팜마진!$B$7:$B$32,$C314,헤몬팜마진!$V$7:$V$32)</f>
        <v>#REF!</v>
      </c>
      <c r="AJ314" s="34" t="e">
        <f t="shared" si="420"/>
        <v>#REF!</v>
      </c>
      <c r="AK314" s="46" t="e">
        <f t="shared" si="421"/>
        <v>#REF!</v>
      </c>
      <c r="AL314" s="40">
        <f>SUMIF(헤몬팜마진!$B$7:$B$32,$C314,헤몬팜마진!$T$7:$T$32)</f>
        <v>181.44000000000003</v>
      </c>
      <c r="AM314" s="41">
        <f>SUMIF(헤몬팜마진!$B$7:$B$32,$C314,헤몬팜마진!$U$7:$U$32)</f>
        <v>926.01600000000019</v>
      </c>
      <c r="AN314" s="36"/>
      <c r="AO314" s="235">
        <v>32496</v>
      </c>
      <c r="AP314" s="235">
        <v>173</v>
      </c>
      <c r="AQ314" s="126"/>
      <c r="AR314" s="126"/>
      <c r="AS314" s="126"/>
      <c r="AT314" s="118"/>
      <c r="AU314" s="118"/>
      <c r="AV314" s="118"/>
      <c r="AW314" s="118"/>
      <c r="AX314" s="118"/>
      <c r="AY314" s="118"/>
      <c r="AZ314" s="118"/>
      <c r="BA314" s="118"/>
      <c r="BB314" s="118"/>
      <c r="BC314" s="118"/>
      <c r="BD314" s="118"/>
      <c r="BE314" s="118"/>
      <c r="BF314" s="118"/>
      <c r="BG314" s="47"/>
      <c r="BH314" s="47"/>
      <c r="BI314" s="47"/>
      <c r="BJ314" s="47"/>
      <c r="BK314" s="47"/>
    </row>
    <row r="315" spans="1:63" ht="28.5" customHeight="1">
      <c r="A315" s="228" t="s">
        <v>137</v>
      </c>
      <c r="B315" s="200"/>
      <c r="C315" s="42" t="s">
        <v>117</v>
      </c>
      <c r="D315" s="28">
        <f t="shared" si="404"/>
        <v>0.32736037961290171</v>
      </c>
      <c r="E315" s="201">
        <f t="shared" si="405"/>
        <v>0.49826624871730019</v>
      </c>
      <c r="F315" s="30">
        <f t="shared" si="406"/>
        <v>0.17090586910439853</v>
      </c>
      <c r="G315" s="30">
        <f t="shared" si="407"/>
        <v>1.0666666666666666E-2</v>
      </c>
      <c r="H315" s="35">
        <v>2000</v>
      </c>
      <c r="I315" s="35">
        <f t="shared" si="408"/>
        <v>700</v>
      </c>
      <c r="J315" s="35">
        <f t="shared" si="409"/>
        <v>1400</v>
      </c>
      <c r="K315" s="39">
        <v>2373</v>
      </c>
      <c r="L315" s="39">
        <v>3</v>
      </c>
      <c r="M315" s="210"/>
      <c r="N315" s="44">
        <v>100</v>
      </c>
      <c r="O315" s="202">
        <v>17</v>
      </c>
      <c r="P315" s="31">
        <f t="shared" si="410"/>
        <v>17</v>
      </c>
      <c r="Q315" s="202">
        <v>6</v>
      </c>
      <c r="R315" s="233">
        <v>4</v>
      </c>
      <c r="S315" s="36"/>
      <c r="T315" s="34">
        <f t="shared" si="411"/>
        <v>301920</v>
      </c>
      <c r="U315" s="31">
        <f t="shared" si="412"/>
        <v>0</v>
      </c>
      <c r="V315" s="34">
        <f t="shared" si="413"/>
        <v>301920</v>
      </c>
      <c r="W315" s="43">
        <v>17760</v>
      </c>
      <c r="X315" s="34">
        <f>SUMIF(헤몬팜마진!$B$7:$B$32,$C315,헤몬팜마진!$R$7:$R$32)</f>
        <v>3982.8869999999997</v>
      </c>
      <c r="Y315" s="34">
        <f t="shared" si="414"/>
        <v>82232.573399999994</v>
      </c>
      <c r="Z315" s="34">
        <f t="shared" si="415"/>
        <v>51599.9</v>
      </c>
      <c r="AA315" s="234">
        <f>26708+20201</f>
        <v>46909</v>
      </c>
      <c r="AB315" s="36"/>
      <c r="AC315" s="204">
        <f t="shared" si="422"/>
        <v>13860</v>
      </c>
      <c r="AD315" s="152">
        <v>7.8E-2</v>
      </c>
      <c r="AE315" s="31">
        <f t="shared" ref="AE315:AE316" si="426">1900*(P315)</f>
        <v>32300</v>
      </c>
      <c r="AF315" s="28">
        <f t="shared" si="417"/>
        <v>0.18498198198198199</v>
      </c>
      <c r="AG315" s="34">
        <f t="shared" si="418"/>
        <v>55849.79</v>
      </c>
      <c r="AH315" s="34">
        <f t="shared" si="419"/>
        <v>13401.090787272722</v>
      </c>
      <c r="AI315" s="34">
        <f>SUMIF(헤몬팜마진!$B$7:$B$32,$C315,헤몬팜마진!$V$7:$V$32)</f>
        <v>4837.2101999999995</v>
      </c>
      <c r="AJ315" s="34">
        <f t="shared" si="420"/>
        <v>150436.54581272727</v>
      </c>
      <c r="AK315" s="46">
        <f t="shared" si="421"/>
        <v>98836.645812727278</v>
      </c>
      <c r="AL315" s="40">
        <f>SUMIF(헤몬팜마진!$B$7:$B$32,$C315,헤몬팜마진!$T$7:$T$32)</f>
        <v>139.96800000000002</v>
      </c>
      <c r="AM315" s="41">
        <f>SUMIF(헤몬팜마진!$B$7:$B$32,$C315,헤몬팜마진!$U$7:$U$32)</f>
        <v>714.35519999999997</v>
      </c>
      <c r="AN315" s="36"/>
      <c r="AO315" s="235">
        <v>68389</v>
      </c>
      <c r="AP315" s="235">
        <v>375</v>
      </c>
      <c r="AQ315" s="126"/>
      <c r="AR315" s="126"/>
      <c r="AS315" s="126"/>
      <c r="AT315" s="118"/>
      <c r="AU315" s="118"/>
      <c r="AV315" s="118"/>
      <c r="AW315" s="118"/>
      <c r="AX315" s="118"/>
      <c r="AY315" s="118"/>
      <c r="AZ315" s="118"/>
      <c r="BA315" s="118"/>
      <c r="BB315" s="118"/>
      <c r="BC315" s="118"/>
      <c r="BD315" s="118"/>
      <c r="BE315" s="118"/>
      <c r="BF315" s="118"/>
      <c r="BG315" s="47"/>
      <c r="BH315" s="47"/>
      <c r="BI315" s="47"/>
      <c r="BJ315" s="47"/>
      <c r="BK315" s="47"/>
    </row>
    <row r="316" spans="1:63" ht="28.5" customHeight="1">
      <c r="A316" s="228" t="s">
        <v>138</v>
      </c>
      <c r="B316" s="200"/>
      <c r="C316" s="42" t="s">
        <v>118</v>
      </c>
      <c r="D316" s="28">
        <f t="shared" si="404"/>
        <v>0.43889247763929623</v>
      </c>
      <c r="E316" s="201">
        <f t="shared" si="405"/>
        <v>0.43889247763929623</v>
      </c>
      <c r="F316" s="30">
        <f t="shared" si="406"/>
        <v>0</v>
      </c>
      <c r="G316" s="30" t="e">
        <f t="shared" si="407"/>
        <v>#DIV/0!</v>
      </c>
      <c r="H316" s="35">
        <v>0</v>
      </c>
      <c r="I316" s="35">
        <f t="shared" si="408"/>
        <v>350</v>
      </c>
      <c r="J316" s="35">
        <f t="shared" si="409"/>
        <v>700</v>
      </c>
      <c r="K316" s="39">
        <v>87</v>
      </c>
      <c r="L316" s="39">
        <v>0</v>
      </c>
      <c r="M316" s="210"/>
      <c r="N316" s="44">
        <v>50</v>
      </c>
      <c r="O316" s="202">
        <v>-3</v>
      </c>
      <c r="P316" s="31">
        <f t="shared" si="410"/>
        <v>-3</v>
      </c>
      <c r="Q316" s="36">
        <v>3</v>
      </c>
      <c r="R316" s="203"/>
      <c r="S316" s="36"/>
      <c r="T316" s="34">
        <f t="shared" si="411"/>
        <v>-74400</v>
      </c>
      <c r="U316" s="31">
        <f t="shared" si="412"/>
        <v>0</v>
      </c>
      <c r="V316" s="34">
        <f t="shared" si="413"/>
        <v>-74400</v>
      </c>
      <c r="W316" s="43">
        <v>24800</v>
      </c>
      <c r="X316" s="34">
        <f>SUMIF(헤몬팜마진!$B$7:$B$32,$C316,헤몬팜마진!$R$7:$R$32)</f>
        <v>8408.3169999999991</v>
      </c>
      <c r="Y316" s="34">
        <f t="shared" si="414"/>
        <v>-25739.126999999997</v>
      </c>
      <c r="Z316" s="34">
        <f t="shared" si="415"/>
        <v>0</v>
      </c>
      <c r="AA316" s="49"/>
      <c r="AB316" s="209"/>
      <c r="AC316" s="204">
        <f t="shared" si="422"/>
        <v>6930</v>
      </c>
      <c r="AD316" s="152">
        <v>0.1</v>
      </c>
      <c r="AE316" s="31">
        <f t="shared" si="426"/>
        <v>-5700</v>
      </c>
      <c r="AF316" s="28">
        <f t="shared" si="417"/>
        <v>0.17661290322580647</v>
      </c>
      <c r="AG316" s="34">
        <f t="shared" si="418"/>
        <v>-13139.970000000001</v>
      </c>
      <c r="AH316" s="34">
        <f t="shared" si="419"/>
        <v>-2867.3026636363647</v>
      </c>
      <c r="AI316" s="34">
        <f>SUMIF(헤몬팜마진!$B$7:$B$32,$C316,헤몬팜마진!$V$7:$V$32)</f>
        <v>8579.7089999999989</v>
      </c>
      <c r="AJ316" s="34">
        <f t="shared" si="420"/>
        <v>-32653.600336363641</v>
      </c>
      <c r="AK316" s="206">
        <f t="shared" si="421"/>
        <v>-32653.600336363641</v>
      </c>
      <c r="AL316" s="40">
        <f>SUMIF(헤몬팜마진!$B$7:$B$32,$C316,헤몬팜마진!$T$7:$T$32)</f>
        <v>28.079999999999995</v>
      </c>
      <c r="AM316" s="41">
        <f>SUMIF(헤몬팜마진!$B$7:$B$32,$C316,헤몬팜마진!$U$7:$U$32)</f>
        <v>143.31199999999998</v>
      </c>
      <c r="AN316" s="36"/>
      <c r="AO316" s="202"/>
      <c r="AP316" s="205"/>
      <c r="AQ316" s="126"/>
      <c r="AR316" s="126"/>
      <c r="AS316" s="126"/>
      <c r="AT316" s="118"/>
      <c r="AU316" s="118"/>
      <c r="AV316" s="118"/>
      <c r="AW316" s="118"/>
      <c r="AX316" s="118"/>
      <c r="AY316" s="118"/>
      <c r="AZ316" s="118"/>
      <c r="BA316" s="118"/>
      <c r="BB316" s="118"/>
      <c r="BC316" s="118"/>
      <c r="BD316" s="118"/>
      <c r="BE316" s="118"/>
      <c r="BF316" s="118"/>
      <c r="BG316" s="47"/>
      <c r="BH316" s="47"/>
      <c r="BI316" s="47"/>
      <c r="BJ316" s="47"/>
      <c r="BK316" s="47"/>
    </row>
    <row r="317" spans="1:63" ht="28.5" customHeight="1">
      <c r="A317" s="12"/>
      <c r="B317" s="214" t="s">
        <v>126</v>
      </c>
      <c r="C317" s="42" t="s">
        <v>31</v>
      </c>
      <c r="D317" s="28">
        <f t="shared" si="404"/>
        <v>-0.43034135775401056</v>
      </c>
      <c r="E317" s="201">
        <f t="shared" si="405"/>
        <v>0.37869340160427822</v>
      </c>
      <c r="F317" s="30">
        <f t="shared" si="406"/>
        <v>0.80903475935828872</v>
      </c>
      <c r="G317" s="30">
        <f t="shared" si="407"/>
        <v>3.3195020746887967E-2</v>
      </c>
      <c r="H317" s="35">
        <v>700</v>
      </c>
      <c r="I317" s="35">
        <f t="shared" si="408"/>
        <v>210</v>
      </c>
      <c r="J317" s="35">
        <f t="shared" si="409"/>
        <v>420</v>
      </c>
      <c r="K317" s="39">
        <v>954</v>
      </c>
      <c r="L317" s="39">
        <v>2</v>
      </c>
      <c r="M317" s="210"/>
      <c r="N317" s="44">
        <v>30</v>
      </c>
      <c r="O317" s="36">
        <v>27</v>
      </c>
      <c r="P317" s="31">
        <f t="shared" si="410"/>
        <v>17</v>
      </c>
      <c r="Q317" s="36">
        <v>2</v>
      </c>
      <c r="R317" s="233">
        <v>16</v>
      </c>
      <c r="S317" s="36">
        <v>10</v>
      </c>
      <c r="T317" s="34">
        <f t="shared" si="411"/>
        <v>534600</v>
      </c>
      <c r="U317" s="31">
        <f t="shared" si="412"/>
        <v>198000</v>
      </c>
      <c r="V317" s="34">
        <f t="shared" si="413"/>
        <v>336600</v>
      </c>
      <c r="W317" s="43">
        <v>19800</v>
      </c>
      <c r="X317" s="34">
        <f>SUMIF(헤몬팜마진!$B$7:$B$32,$C317,헤몬팜마진!$R$7:$R$32)</f>
        <v>6638.1449999999995</v>
      </c>
      <c r="Y317" s="34">
        <f t="shared" si="414"/>
        <v>113655.32579999998</v>
      </c>
      <c r="Z317" s="34">
        <f t="shared" si="415"/>
        <v>167476.1</v>
      </c>
      <c r="AA317" s="234">
        <v>152251</v>
      </c>
      <c r="AB317" s="211">
        <f>((20900*0.015)+(20900*0.19)+2100+2200+1900)*10</f>
        <v>104845</v>
      </c>
      <c r="AC317" s="204">
        <f t="shared" si="422"/>
        <v>4620</v>
      </c>
      <c r="AD317" s="152">
        <v>0.08</v>
      </c>
      <c r="AE317" s="31">
        <f>3400*(P317)</f>
        <v>57800</v>
      </c>
      <c r="AF317" s="28">
        <f t="shared" si="417"/>
        <v>0.25171717171717173</v>
      </c>
      <c r="AG317" s="34">
        <f t="shared" si="418"/>
        <v>84728.03</v>
      </c>
      <c r="AH317" s="34">
        <f t="shared" si="419"/>
        <v>10748.445220000001</v>
      </c>
      <c r="AI317" s="34">
        <f>SUMIF(헤몬팜마진!$B$7:$B$32,$C317,헤몬팜마진!$V$7:$V$32)</f>
        <v>6685.607399999999</v>
      </c>
      <c r="AJ317" s="34">
        <f t="shared" si="420"/>
        <v>127468.19898000004</v>
      </c>
      <c r="AK317" s="206">
        <f t="shared" si="421"/>
        <v>-144852.90101999996</v>
      </c>
      <c r="AL317" s="40">
        <f>SUMIF(헤몬팜마진!$B$7:$B$32,$C317,헤몬팜마진!$T$7:$T$32)</f>
        <v>7.7759999999999998</v>
      </c>
      <c r="AM317" s="41">
        <f>SUMIF(헤몬팜마진!$B$7:$B$32,$C317,헤몬팜마진!$U$7:$U$32)</f>
        <v>39.686400000000006</v>
      </c>
      <c r="AN317" s="36"/>
      <c r="AO317" s="235">
        <v>359020</v>
      </c>
      <c r="AP317" s="235">
        <v>482</v>
      </c>
      <c r="AQ317" s="126"/>
      <c r="AR317" s="126"/>
      <c r="AS317" s="126"/>
      <c r="AT317" s="118"/>
      <c r="AU317" s="118"/>
      <c r="AV317" s="118"/>
      <c r="AW317" s="118"/>
      <c r="AX317" s="118"/>
      <c r="AY317" s="118"/>
      <c r="AZ317" s="118"/>
      <c r="BA317" s="118"/>
      <c r="BB317" s="118"/>
      <c r="BC317" s="118"/>
      <c r="BD317" s="118"/>
      <c r="BE317" s="118"/>
      <c r="BF317" s="118"/>
      <c r="BG317" s="47"/>
      <c r="BH317" s="47"/>
      <c r="BI317" s="47"/>
      <c r="BJ317" s="47"/>
      <c r="BK317" s="47"/>
    </row>
    <row r="318" spans="1:63" ht="28.5" customHeight="1">
      <c r="A318" s="327" t="s">
        <v>139</v>
      </c>
      <c r="B318" s="127" t="s">
        <v>127</v>
      </c>
      <c r="C318" s="42" t="s">
        <v>119</v>
      </c>
      <c r="D318" s="28">
        <f t="shared" si="404"/>
        <v>0.27163723921568134</v>
      </c>
      <c r="E318" s="201">
        <f t="shared" si="405"/>
        <v>0.43444843950500822</v>
      </c>
      <c r="F318" s="30">
        <f t="shared" si="406"/>
        <v>0.16281120028932691</v>
      </c>
      <c r="G318" s="30">
        <f t="shared" si="407"/>
        <v>0.14705882352941177</v>
      </c>
      <c r="H318" s="35">
        <v>2000</v>
      </c>
      <c r="I318" s="35">
        <f t="shared" si="408"/>
        <v>280</v>
      </c>
      <c r="J318" s="35">
        <f t="shared" si="409"/>
        <v>560</v>
      </c>
      <c r="K318" s="328">
        <v>1048</v>
      </c>
      <c r="L318" s="39">
        <f>311+240+1</f>
        <v>552</v>
      </c>
      <c r="M318" s="210"/>
      <c r="N318" s="44">
        <v>40</v>
      </c>
      <c r="O318" s="202">
        <v>29</v>
      </c>
      <c r="P318" s="31">
        <f t="shared" si="410"/>
        <v>29</v>
      </c>
      <c r="Q318" s="202">
        <v>6</v>
      </c>
      <c r="R318" s="233">
        <v>20</v>
      </c>
      <c r="S318" s="36"/>
      <c r="T318" s="34">
        <f t="shared" si="411"/>
        <v>718910</v>
      </c>
      <c r="U318" s="31">
        <f t="shared" si="412"/>
        <v>0</v>
      </c>
      <c r="V318" s="34">
        <f t="shared" si="413"/>
        <v>718910</v>
      </c>
      <c r="W318" s="43">
        <v>24790</v>
      </c>
      <c r="X318" s="34">
        <f>SUMIF(헤몬팜마진!$B$7:$B$32,$C318,헤몬팜마진!$R$7:$R$32)</f>
        <v>6859.4164999999994</v>
      </c>
      <c r="Y318" s="34">
        <f t="shared" si="414"/>
        <v>210354.92489999995</v>
      </c>
      <c r="Z318" s="34">
        <f t="shared" si="415"/>
        <v>117046.6</v>
      </c>
      <c r="AA318" s="234">
        <v>106406</v>
      </c>
      <c r="AB318" s="209"/>
      <c r="AC318" s="204">
        <f t="shared" si="422"/>
        <v>13860</v>
      </c>
      <c r="AD318" s="152">
        <v>0.108</v>
      </c>
      <c r="AE318" s="31">
        <f>3150*(P318)</f>
        <v>91350</v>
      </c>
      <c r="AF318" s="28">
        <f t="shared" si="417"/>
        <v>0.23506736587333604</v>
      </c>
      <c r="AG318" s="34">
        <f t="shared" si="418"/>
        <v>168992.31000000003</v>
      </c>
      <c r="AH318" s="34">
        <f t="shared" si="419"/>
        <v>27233.437455454543</v>
      </c>
      <c r="AI318" s="34">
        <f>SUMIF(헤몬팜마진!$B$7:$B$32,$C318,헤몬팜마진!$V$7:$V$32)</f>
        <v>7253.6180999999988</v>
      </c>
      <c r="AJ318" s="34">
        <f t="shared" si="420"/>
        <v>312329.32764454547</v>
      </c>
      <c r="AK318" s="206">
        <f t="shared" si="421"/>
        <v>195282.72764454546</v>
      </c>
      <c r="AL318" s="40">
        <f>SUMIF(헤몬팜마진!$B$7:$B$32,$C318,헤몬팜마진!$T$7:$T$32)</f>
        <v>64.584000000000003</v>
      </c>
      <c r="AM318" s="41">
        <f>SUMIF(헤몬팜마진!$B$7:$B$32,$C318,헤몬팜마진!$U$7:$U$32)</f>
        <v>329.61759999999998</v>
      </c>
      <c r="AN318" s="36"/>
      <c r="AO318" s="235">
        <v>38190</v>
      </c>
      <c r="AP318" s="235">
        <v>136</v>
      </c>
      <c r="AQ318" s="126"/>
      <c r="AR318" s="126"/>
      <c r="AS318" s="126"/>
      <c r="AT318" s="118"/>
      <c r="AU318" s="118"/>
      <c r="AV318" s="118"/>
      <c r="AW318" s="118"/>
      <c r="AX318" s="118"/>
      <c r="AY318" s="118"/>
      <c r="AZ318" s="118"/>
      <c r="BA318" s="118"/>
      <c r="BB318" s="118"/>
      <c r="BC318" s="118"/>
      <c r="BD318" s="118"/>
      <c r="BE318" s="118"/>
      <c r="BF318" s="118"/>
      <c r="BG318" s="47"/>
      <c r="BH318" s="47"/>
      <c r="BI318" s="47"/>
      <c r="BJ318" s="47"/>
      <c r="BK318" s="47"/>
    </row>
    <row r="319" spans="1:63" ht="28.5" customHeight="1">
      <c r="A319" s="318"/>
      <c r="B319" s="214" t="s">
        <v>128</v>
      </c>
      <c r="C319" s="42" t="s">
        <v>120</v>
      </c>
      <c r="D319" s="28" t="e">
        <f t="shared" si="404"/>
        <v>#DIV/0!</v>
      </c>
      <c r="E319" s="201" t="e">
        <f t="shared" si="405"/>
        <v>#DIV/0!</v>
      </c>
      <c r="F319" s="30" t="e">
        <f t="shared" si="406"/>
        <v>#DIV/0!</v>
      </c>
      <c r="G319" s="30">
        <f t="shared" si="407"/>
        <v>0</v>
      </c>
      <c r="H319" s="35">
        <v>0</v>
      </c>
      <c r="I319" s="35">
        <f t="shared" si="408"/>
        <v>105</v>
      </c>
      <c r="J319" s="35">
        <f t="shared" si="409"/>
        <v>210</v>
      </c>
      <c r="K319" s="310"/>
      <c r="L319" s="39">
        <f>22+3</f>
        <v>25</v>
      </c>
      <c r="M319" s="210"/>
      <c r="N319" s="44">
        <v>15</v>
      </c>
      <c r="O319" s="36">
        <v>0</v>
      </c>
      <c r="P319" s="31">
        <f t="shared" si="410"/>
        <v>0</v>
      </c>
      <c r="Q319" s="36"/>
      <c r="R319" s="167"/>
      <c r="S319" s="36"/>
      <c r="T319" s="34">
        <f t="shared" si="411"/>
        <v>0</v>
      </c>
      <c r="U319" s="31">
        <f t="shared" si="412"/>
        <v>0</v>
      </c>
      <c r="V319" s="34">
        <f t="shared" si="413"/>
        <v>0</v>
      </c>
      <c r="W319" s="43">
        <v>39800</v>
      </c>
      <c r="X319" s="34">
        <f>SUMIF(헤몬팜마진!$B$7:$B$32,$C319,헤몬팜마진!$R$7:$R$32)</f>
        <v>13718.832999999999</v>
      </c>
      <c r="Y319" s="34">
        <f t="shared" si="414"/>
        <v>0</v>
      </c>
      <c r="Z319" s="34">
        <f t="shared" si="415"/>
        <v>47648.700000000004</v>
      </c>
      <c r="AA319" s="234">
        <v>43317</v>
      </c>
      <c r="AB319" s="209"/>
      <c r="AC319" s="204">
        <f t="shared" si="422"/>
        <v>0</v>
      </c>
      <c r="AD319" s="152">
        <v>0.108</v>
      </c>
      <c r="AE319" s="31">
        <f>3550*(P319)</f>
        <v>0</v>
      </c>
      <c r="AF319" s="28" t="e">
        <f t="shared" si="417"/>
        <v>#DIV/0!</v>
      </c>
      <c r="AG319" s="34">
        <f t="shared" si="418"/>
        <v>0</v>
      </c>
      <c r="AH319" s="34">
        <f t="shared" si="419"/>
        <v>0</v>
      </c>
      <c r="AI319" s="34">
        <f>SUMIF(헤몬팜마진!$B$7:$B$32,$C319,헤몬팜마진!$V$7:$V$32)</f>
        <v>14113.034599999999</v>
      </c>
      <c r="AJ319" s="34">
        <f t="shared" si="420"/>
        <v>0</v>
      </c>
      <c r="AK319" s="206">
        <f t="shared" si="421"/>
        <v>-47648.700000000004</v>
      </c>
      <c r="AL319" s="40">
        <f>SUMIF(헤몬팜마진!$B$7:$B$32,$C319,헤몬팜마진!$T$7:$T$32)</f>
        <v>64.584000000000003</v>
      </c>
      <c r="AM319" s="41">
        <f>SUMIF(헤몬팜마진!$B$7:$B$32,$C319,헤몬팜마진!$U$7:$U$32)</f>
        <v>329.61759999999998</v>
      </c>
      <c r="AN319" s="36"/>
      <c r="AO319" s="235">
        <v>45068</v>
      </c>
      <c r="AP319" s="235">
        <v>101</v>
      </c>
      <c r="AQ319" s="126"/>
      <c r="AR319" s="126"/>
      <c r="AS319" s="126"/>
      <c r="AT319" s="118"/>
      <c r="AU319" s="118"/>
      <c r="AV319" s="118"/>
      <c r="AW319" s="118"/>
      <c r="AX319" s="118"/>
      <c r="AY319" s="118"/>
      <c r="AZ319" s="118"/>
      <c r="BA319" s="118"/>
      <c r="BB319" s="118"/>
      <c r="BC319" s="118"/>
      <c r="BD319" s="118"/>
      <c r="BE319" s="118"/>
      <c r="BF319" s="118"/>
      <c r="BG319" s="47"/>
      <c r="BH319" s="47"/>
      <c r="BI319" s="47"/>
      <c r="BJ319" s="47"/>
      <c r="BK319" s="47"/>
    </row>
    <row r="320" spans="1:63" ht="28.5" customHeight="1">
      <c r="A320" s="12"/>
      <c r="B320" s="216"/>
      <c r="C320" s="217"/>
      <c r="D320" s="51" t="e">
        <f t="shared" si="404"/>
        <v>#REF!</v>
      </c>
      <c r="E320" s="218" t="e">
        <f t="shared" si="405"/>
        <v>#REF!</v>
      </c>
      <c r="F320" s="53">
        <f t="shared" si="406"/>
        <v>0.25808589841680896</v>
      </c>
      <c r="G320" s="219"/>
      <c r="H320" s="55"/>
      <c r="I320" s="55"/>
      <c r="J320" s="55"/>
      <c r="K320" s="55"/>
      <c r="L320" s="55"/>
      <c r="M320" s="55"/>
      <c r="N320" s="55"/>
      <c r="O320" s="130">
        <f t="shared" ref="O320:V320" si="427">SUM(O303:O319)</f>
        <v>346</v>
      </c>
      <c r="P320" s="220">
        <f t="shared" si="427"/>
        <v>336</v>
      </c>
      <c r="Q320" s="130">
        <f t="shared" si="427"/>
        <v>33</v>
      </c>
      <c r="R320" s="130">
        <f t="shared" si="427"/>
        <v>237</v>
      </c>
      <c r="S320" s="130">
        <f t="shared" si="427"/>
        <v>10</v>
      </c>
      <c r="T320" s="130">
        <f t="shared" si="427"/>
        <v>9712960</v>
      </c>
      <c r="U320" s="130">
        <f t="shared" si="427"/>
        <v>198000</v>
      </c>
      <c r="V320" s="220">
        <f t="shared" si="427"/>
        <v>9514960</v>
      </c>
      <c r="W320" s="55"/>
      <c r="X320" s="130">
        <f t="shared" ref="X320:AC320" si="428">SUM(X303:X319)</f>
        <v>153584.54814999999</v>
      </c>
      <c r="Y320" s="220" t="e">
        <f t="shared" si="428"/>
        <v>#REF!</v>
      </c>
      <c r="Z320" s="130">
        <f t="shared" si="428"/>
        <v>2350832.0000000005</v>
      </c>
      <c r="AA320" s="130">
        <f t="shared" si="428"/>
        <v>2137120</v>
      </c>
      <c r="AB320" s="130">
        <f t="shared" si="428"/>
        <v>104845</v>
      </c>
      <c r="AC320" s="130">
        <f t="shared" si="428"/>
        <v>74850</v>
      </c>
      <c r="AD320" s="154">
        <v>0.09</v>
      </c>
      <c r="AE320" s="220">
        <f>SUM(AE303:AE319)</f>
        <v>1074625</v>
      </c>
      <c r="AF320" s="53">
        <f t="shared" si="417"/>
        <v>0.20294056937706517</v>
      </c>
      <c r="AG320" s="56">
        <f t="shared" ref="AG320:AI320" si="429">SUM(AG303:AG319)</f>
        <v>1971636.4300000004</v>
      </c>
      <c r="AH320" s="56" t="e">
        <f t="shared" si="429"/>
        <v>#REF!</v>
      </c>
      <c r="AI320" s="56" t="e">
        <f t="shared" si="429"/>
        <v>#REF!</v>
      </c>
      <c r="AJ320" s="56" t="e">
        <f t="shared" si="420"/>
        <v>#REF!</v>
      </c>
      <c r="AK320" s="221" t="e">
        <f t="shared" si="421"/>
        <v>#REF!</v>
      </c>
      <c r="AL320" s="54"/>
      <c r="AM320" s="222"/>
      <c r="AN320" s="57"/>
      <c r="AO320" s="131">
        <f t="shared" ref="AO320:AP320" si="430">SUM(AO303:AO304)</f>
        <v>384885</v>
      </c>
      <c r="AP320" s="132">
        <f t="shared" si="430"/>
        <v>1996</v>
      </c>
      <c r="AQ320" s="126"/>
      <c r="AR320" s="126"/>
      <c r="AS320" s="126"/>
      <c r="AT320" s="118"/>
      <c r="AU320" s="118"/>
      <c r="AV320" s="118"/>
      <c r="AW320" s="118"/>
      <c r="AX320" s="118"/>
      <c r="AY320" s="118"/>
      <c r="AZ320" s="118"/>
      <c r="BA320" s="118"/>
      <c r="BB320" s="118"/>
      <c r="BC320" s="118"/>
      <c r="BD320" s="118"/>
      <c r="BE320" s="118"/>
      <c r="BF320" s="118"/>
      <c r="BG320" s="47"/>
      <c r="BH320" s="47"/>
      <c r="BI320" s="47"/>
      <c r="BJ320" s="47"/>
      <c r="BK320" s="47"/>
    </row>
    <row r="321" spans="1:63" ht="28.5" customHeight="1">
      <c r="A321" s="3"/>
      <c r="B321" s="120"/>
      <c r="C321" s="229"/>
      <c r="D321" s="230"/>
      <c r="E321" s="230"/>
      <c r="F321" s="230"/>
      <c r="G321" s="230"/>
      <c r="H321" s="231"/>
      <c r="I321" s="231"/>
      <c r="J321" s="231"/>
      <c r="K321" s="231"/>
      <c r="L321" s="231"/>
      <c r="M321" s="231"/>
      <c r="N321" s="231"/>
      <c r="O321" s="231"/>
      <c r="P321" s="232"/>
      <c r="Q321" s="231"/>
      <c r="R321" s="231"/>
      <c r="S321" s="231"/>
      <c r="T321" s="231"/>
      <c r="U321" s="231"/>
      <c r="V321" s="231"/>
      <c r="W321" s="231"/>
      <c r="X321" s="231"/>
      <c r="Y321" s="231"/>
      <c r="Z321" s="231"/>
      <c r="AA321" s="133"/>
      <c r="AB321" s="61"/>
      <c r="AC321" s="148"/>
      <c r="AD321" s="148"/>
      <c r="AE321" s="148"/>
      <c r="AF321" s="148"/>
      <c r="AG321" s="61"/>
      <c r="AH321" s="61"/>
      <c r="AI321" s="187"/>
      <c r="AJ321" s="118"/>
      <c r="AK321" s="126"/>
      <c r="AL321" s="126"/>
      <c r="AM321" s="126"/>
      <c r="AN321" s="118"/>
      <c r="AO321" s="118"/>
      <c r="AP321" s="118"/>
      <c r="AQ321" s="126"/>
      <c r="AR321" s="126"/>
      <c r="AS321" s="126"/>
      <c r="AT321" s="118"/>
      <c r="AU321" s="118"/>
      <c r="AV321" s="118"/>
      <c r="AW321" s="118"/>
      <c r="AX321" s="118"/>
      <c r="AY321" s="118"/>
      <c r="AZ321" s="118"/>
      <c r="BA321" s="118"/>
      <c r="BB321" s="118"/>
      <c r="BC321" s="118"/>
      <c r="BD321" s="118"/>
      <c r="BE321" s="118"/>
      <c r="BF321" s="118"/>
      <c r="BG321" s="47"/>
      <c r="BH321" s="47"/>
      <c r="BI321" s="47"/>
      <c r="BJ321" s="47"/>
      <c r="BK321" s="47"/>
    </row>
    <row r="322" spans="1:63" ht="28.5" customHeight="1">
      <c r="A322" s="12"/>
      <c r="B322" s="189"/>
      <c r="C322" s="134">
        <v>45947</v>
      </c>
      <c r="D322" s="122" t="s">
        <v>0</v>
      </c>
      <c r="E322" s="122" t="s">
        <v>1</v>
      </c>
      <c r="F322" s="122" t="s">
        <v>2</v>
      </c>
      <c r="G322" s="190" t="s">
        <v>3</v>
      </c>
      <c r="H322" s="191" t="s">
        <v>4</v>
      </c>
      <c r="I322" s="192" t="s">
        <v>5</v>
      </c>
      <c r="J322" s="192" t="s">
        <v>90</v>
      </c>
      <c r="K322" s="193" t="s">
        <v>6</v>
      </c>
      <c r="L322" s="194" t="s">
        <v>7</v>
      </c>
      <c r="M322" s="15" t="s">
        <v>91</v>
      </c>
      <c r="N322" s="123" t="s">
        <v>125</v>
      </c>
      <c r="O322" s="123" t="s">
        <v>8</v>
      </c>
      <c r="P322" s="123" t="s">
        <v>9</v>
      </c>
      <c r="Q322" s="195" t="s">
        <v>10</v>
      </c>
      <c r="R322" s="123" t="s">
        <v>92</v>
      </c>
      <c r="S322" s="196" t="s">
        <v>11</v>
      </c>
      <c r="T322" s="17" t="s">
        <v>12</v>
      </c>
      <c r="U322" s="17" t="s">
        <v>13</v>
      </c>
      <c r="V322" s="17" t="s">
        <v>14</v>
      </c>
      <c r="W322" s="17" t="s">
        <v>15</v>
      </c>
      <c r="X322" s="15" t="s">
        <v>16</v>
      </c>
      <c r="Y322" s="15" t="s">
        <v>17</v>
      </c>
      <c r="Z322" s="19" t="s">
        <v>18</v>
      </c>
      <c r="AA322" s="19" t="s">
        <v>19</v>
      </c>
      <c r="AB322" s="20" t="s">
        <v>20</v>
      </c>
      <c r="AC322" s="22" t="s">
        <v>93</v>
      </c>
      <c r="AD322" s="197" t="s">
        <v>21</v>
      </c>
      <c r="AE322" s="122" t="s">
        <v>22</v>
      </c>
      <c r="AF322" s="21" t="s">
        <v>23</v>
      </c>
      <c r="AG322" s="21" t="s">
        <v>21</v>
      </c>
      <c r="AH322" s="122" t="s">
        <v>24</v>
      </c>
      <c r="AI322" s="15" t="s">
        <v>25</v>
      </c>
      <c r="AJ322" s="15" t="s">
        <v>26</v>
      </c>
      <c r="AK322" s="122" t="s">
        <v>27</v>
      </c>
      <c r="AL322" s="198" t="s">
        <v>28</v>
      </c>
      <c r="AM322" s="199" t="s">
        <v>29</v>
      </c>
      <c r="AN322" s="124" t="s">
        <v>30</v>
      </c>
      <c r="AO322" s="124" t="s">
        <v>94</v>
      </c>
      <c r="AP322" s="125" t="s">
        <v>95</v>
      </c>
      <c r="AQ322" s="126"/>
      <c r="AR322" s="126"/>
      <c r="AS322" s="126"/>
      <c r="AT322" s="118"/>
      <c r="AU322" s="118"/>
      <c r="AV322" s="118"/>
      <c r="AW322" s="118"/>
      <c r="AX322" s="118"/>
      <c r="AY322" s="118"/>
      <c r="AZ322" s="118"/>
      <c r="BA322" s="118"/>
      <c r="BB322" s="118"/>
      <c r="BC322" s="118"/>
      <c r="BD322" s="118"/>
      <c r="BE322" s="118"/>
      <c r="BF322" s="118"/>
      <c r="BG322" s="47"/>
      <c r="BH322" s="47"/>
      <c r="BI322" s="47"/>
      <c r="BJ322" s="47"/>
      <c r="BK322" s="47"/>
    </row>
    <row r="323" spans="1:63" ht="28.5" customHeight="1">
      <c r="A323" s="12" t="s">
        <v>129</v>
      </c>
      <c r="B323" s="200"/>
      <c r="C323" s="42" t="s">
        <v>107</v>
      </c>
      <c r="D323" s="28">
        <f t="shared" ref="D323:D340" si="431">AK323/V323</f>
        <v>0.1682650934857256</v>
      </c>
      <c r="E323" s="201">
        <f t="shared" ref="E323:E340" si="432">AJ323/V323</f>
        <v>0.42270749767651694</v>
      </c>
      <c r="F323" s="30">
        <f t="shared" ref="F323:F340" si="433">(Z323+AB323)/V323</f>
        <v>0.25444240419079134</v>
      </c>
      <c r="G323" s="30">
        <f t="shared" ref="G323:G339" si="434">R323/AP323</f>
        <v>7.2410632447296064E-2</v>
      </c>
      <c r="H323" s="35">
        <v>7410</v>
      </c>
      <c r="I323" s="35">
        <f t="shared" ref="I323:I339" si="435">N323*7</f>
        <v>1400</v>
      </c>
      <c r="J323" s="35">
        <f t="shared" ref="J323:J339" si="436">N323*14</f>
        <v>2800</v>
      </c>
      <c r="K323" s="49">
        <v>76</v>
      </c>
      <c r="L323" s="49">
        <f>1906+1320</f>
        <v>3226</v>
      </c>
      <c r="M323" s="48"/>
      <c r="N323" s="44">
        <v>200</v>
      </c>
      <c r="O323" s="227">
        <v>195</v>
      </c>
      <c r="P323" s="31">
        <f t="shared" ref="P323:P339" si="437">O323-S323</f>
        <v>195</v>
      </c>
      <c r="Q323" s="227">
        <v>14</v>
      </c>
      <c r="R323" s="233">
        <v>158</v>
      </c>
      <c r="S323" s="36"/>
      <c r="T323" s="34">
        <f t="shared" ref="T323:T339" si="438">W323*O323</f>
        <v>5440500</v>
      </c>
      <c r="U323" s="31">
        <f t="shared" ref="U323:U339" si="439">W323*S323</f>
        <v>0</v>
      </c>
      <c r="V323" s="34">
        <f t="shared" ref="V323:V339" si="440">T323-U323</f>
        <v>5440500</v>
      </c>
      <c r="W323" s="34">
        <v>27900</v>
      </c>
      <c r="X323" s="34">
        <f>SUMIF(헤몬팜마진!$B$7:$B$32,$C323,헤몬팜마진!$R$7:$R$32)</f>
        <v>8850.86</v>
      </c>
      <c r="Y323" s="34">
        <f t="shared" ref="Y323:Y339" si="441">AI323*P323</f>
        <v>1802787.0120000001</v>
      </c>
      <c r="Z323" s="34">
        <f t="shared" ref="Z323:Z339" si="442">AA323*1.1</f>
        <v>1384293.9000000001</v>
      </c>
      <c r="AA323" s="234">
        <v>1258449</v>
      </c>
      <c r="AB323" s="36"/>
      <c r="AC323" s="204">
        <f t="shared" ref="AC323:AC324" si="443">(1072+1100)*Q323</f>
        <v>30408</v>
      </c>
      <c r="AD323" s="152">
        <v>0.1</v>
      </c>
      <c r="AE323" s="31">
        <f>3050*(P323)</f>
        <v>594750</v>
      </c>
      <c r="AF323" s="28">
        <f t="shared" ref="AF323:AF340" si="444">AD323+(AE323/V323)</f>
        <v>0.20931899641577062</v>
      </c>
      <c r="AG323" s="34">
        <f t="shared" ref="AG323:AG339" si="445">IFERROR(V323*AF323+3%,0)</f>
        <v>1138800.03</v>
      </c>
      <c r="AH323" s="34">
        <f t="shared" ref="AH323:AH339" si="446">V323/1.1*10%-((AI323*P323)+AG323+(AN323*P323)+(AL323*P323))*10%</f>
        <v>199172.8168909091</v>
      </c>
      <c r="AI323" s="34">
        <f>SUMIF(헤몬팜마진!$B$7:$B$32,$C323,헤몬팜마진!$V$7:$V$32)</f>
        <v>9245.0616000000009</v>
      </c>
      <c r="AJ323" s="34">
        <f t="shared" ref="AJ323:AJ340" si="447">V323-(Y323+AG323+AH323+(AN323*P323))</f>
        <v>2299740.1411090903</v>
      </c>
      <c r="AK323" s="46">
        <f t="shared" ref="AK323:AK340" si="448">AJ323-Z323-AB323</f>
        <v>915446.24110909016</v>
      </c>
      <c r="AL323" s="40">
        <f>SUMIF(헤몬팜마진!$B$7:$B$32,$C323,헤몬팜마진!$T$7:$T$32)</f>
        <v>64.584000000000003</v>
      </c>
      <c r="AM323" s="41">
        <f>SUMIF(헤몬팜마진!$B$7:$B$32,$C323,헤몬팜마진!$U$7:$U$32)</f>
        <v>329.61759999999998</v>
      </c>
      <c r="AN323" s="36"/>
      <c r="AO323" s="235">
        <v>405479</v>
      </c>
      <c r="AP323" s="235">
        <v>2182</v>
      </c>
      <c r="AQ323" s="126"/>
      <c r="AR323" s="126"/>
      <c r="AS323" s="126"/>
      <c r="AT323" s="118"/>
      <c r="AU323" s="118"/>
      <c r="AV323" s="118"/>
      <c r="AW323" s="118"/>
      <c r="AX323" s="118"/>
      <c r="AY323" s="118"/>
      <c r="AZ323" s="118"/>
      <c r="BA323" s="118"/>
      <c r="BB323" s="118"/>
      <c r="BC323" s="118"/>
      <c r="BD323" s="118"/>
      <c r="BE323" s="118"/>
      <c r="BF323" s="118"/>
      <c r="BG323" s="47"/>
      <c r="BH323" s="47"/>
      <c r="BI323" s="47"/>
      <c r="BJ323" s="47"/>
      <c r="BK323" s="47"/>
    </row>
    <row r="324" spans="1:63" ht="28.5" customHeight="1">
      <c r="A324" s="228" t="s">
        <v>130</v>
      </c>
      <c r="B324" s="200"/>
      <c r="C324" s="42" t="s">
        <v>108</v>
      </c>
      <c r="D324" s="28" t="e">
        <f t="shared" si="431"/>
        <v>#DIV/0!</v>
      </c>
      <c r="E324" s="201" t="e">
        <f t="shared" si="432"/>
        <v>#DIV/0!</v>
      </c>
      <c r="F324" s="30" t="e">
        <f t="shared" si="433"/>
        <v>#DIV/0!</v>
      </c>
      <c r="G324" s="30" t="e">
        <f t="shared" si="434"/>
        <v>#DIV/0!</v>
      </c>
      <c r="H324" s="35">
        <v>1460</v>
      </c>
      <c r="I324" s="35">
        <f t="shared" si="435"/>
        <v>140</v>
      </c>
      <c r="J324" s="35">
        <f t="shared" si="436"/>
        <v>280</v>
      </c>
      <c r="K324" s="39">
        <v>325</v>
      </c>
      <c r="L324" s="39">
        <v>0</v>
      </c>
      <c r="M324" s="210"/>
      <c r="N324" s="44">
        <v>20</v>
      </c>
      <c r="O324" s="202"/>
      <c r="P324" s="31">
        <f t="shared" si="437"/>
        <v>0</v>
      </c>
      <c r="Q324" s="36"/>
      <c r="R324" s="167"/>
      <c r="S324" s="36"/>
      <c r="T324" s="34">
        <f t="shared" si="438"/>
        <v>0</v>
      </c>
      <c r="U324" s="31">
        <f t="shared" si="439"/>
        <v>0</v>
      </c>
      <c r="V324" s="34">
        <f t="shared" si="440"/>
        <v>0</v>
      </c>
      <c r="W324" s="43">
        <v>22700</v>
      </c>
      <c r="X324" s="34">
        <f>SUMIF(헤몬팜마진!$B$7:$B$32,$C324,헤몬팜마진!$R$7:$R$32)</f>
        <v>7080.6879999999992</v>
      </c>
      <c r="Y324" s="34">
        <f t="shared" si="441"/>
        <v>0</v>
      </c>
      <c r="Z324" s="34">
        <f t="shared" si="442"/>
        <v>0</v>
      </c>
      <c r="AA324" s="234"/>
      <c r="AB324" s="36"/>
      <c r="AC324" s="204">
        <f t="shared" si="443"/>
        <v>0</v>
      </c>
      <c r="AD324" s="152">
        <v>0.1</v>
      </c>
      <c r="AE324" s="31">
        <f>2950*(P324)</f>
        <v>0</v>
      </c>
      <c r="AF324" s="28" t="e">
        <f t="shared" si="444"/>
        <v>#DIV/0!</v>
      </c>
      <c r="AG324" s="34">
        <f t="shared" si="445"/>
        <v>0</v>
      </c>
      <c r="AH324" s="34">
        <f t="shared" si="446"/>
        <v>0</v>
      </c>
      <c r="AI324" s="34">
        <f>SUMIF(헤몬팜마진!$B$7:$B$32,$C324,헤몬팜마진!$V$7:$V$32)</f>
        <v>7377.3279999999995</v>
      </c>
      <c r="AJ324" s="34">
        <f t="shared" si="447"/>
        <v>0</v>
      </c>
      <c r="AK324" s="46">
        <f t="shared" si="448"/>
        <v>0</v>
      </c>
      <c r="AL324" s="40">
        <f>SUMIF(헤몬팜마진!$B$7:$B$32,$C324,헤몬팜마진!$T$7:$T$32)</f>
        <v>48.6</v>
      </c>
      <c r="AM324" s="41">
        <f>SUMIF(헤몬팜마진!$B$7:$B$32,$C324,헤몬팜마진!$U$7:$U$32)</f>
        <v>248.04000000000002</v>
      </c>
      <c r="AN324" s="36"/>
      <c r="AO324" s="235"/>
      <c r="AP324" s="235"/>
      <c r="AQ324" s="126"/>
      <c r="AR324" s="126"/>
      <c r="AS324" s="126"/>
      <c r="AT324" s="118"/>
      <c r="AU324" s="118"/>
      <c r="AV324" s="118"/>
      <c r="AW324" s="118"/>
      <c r="AX324" s="118"/>
      <c r="AY324" s="118"/>
      <c r="AZ324" s="118"/>
      <c r="BA324" s="118"/>
      <c r="BB324" s="118"/>
      <c r="BC324" s="118"/>
      <c r="BD324" s="118"/>
      <c r="BE324" s="118"/>
      <c r="BF324" s="118"/>
      <c r="BG324" s="47"/>
      <c r="BH324" s="47"/>
      <c r="BI324" s="47"/>
      <c r="BJ324" s="47"/>
      <c r="BK324" s="47"/>
    </row>
    <row r="325" spans="1:63" ht="28.5" customHeight="1">
      <c r="A325" s="228" t="s">
        <v>131</v>
      </c>
      <c r="B325" s="323"/>
      <c r="C325" s="42" t="s">
        <v>109</v>
      </c>
      <c r="D325" s="28" t="e">
        <f t="shared" si="431"/>
        <v>#REF!</v>
      </c>
      <c r="E325" s="201" t="e">
        <f t="shared" si="432"/>
        <v>#REF!</v>
      </c>
      <c r="F325" s="30">
        <f t="shared" si="433"/>
        <v>0.22799781659388649</v>
      </c>
      <c r="G325" s="30">
        <f t="shared" si="434"/>
        <v>1.0101010101010102E-2</v>
      </c>
      <c r="H325" s="35">
        <v>0</v>
      </c>
      <c r="I325" s="35">
        <f t="shared" si="435"/>
        <v>105</v>
      </c>
      <c r="J325" s="35">
        <f t="shared" si="436"/>
        <v>210</v>
      </c>
      <c r="K325" s="50">
        <v>430</v>
      </c>
      <c r="L325" s="49">
        <f>40+3+3</f>
        <v>46</v>
      </c>
      <c r="M325" s="48"/>
      <c r="N325" s="44">
        <v>15</v>
      </c>
      <c r="O325" s="202">
        <v>2</v>
      </c>
      <c r="P325" s="31">
        <f t="shared" si="437"/>
        <v>2</v>
      </c>
      <c r="Q325" s="36"/>
      <c r="R325" s="203">
        <v>1</v>
      </c>
      <c r="S325" s="36"/>
      <c r="T325" s="34">
        <f t="shared" si="438"/>
        <v>91600</v>
      </c>
      <c r="U325" s="31">
        <f t="shared" si="439"/>
        <v>0</v>
      </c>
      <c r="V325" s="34">
        <f t="shared" si="440"/>
        <v>91600</v>
      </c>
      <c r="W325" s="43">
        <v>45800</v>
      </c>
      <c r="X325" s="34">
        <f>SUMIF(헤몬팜마진!$B$7:$B$32,$C325,헤몬팜마진!$R$7:$R$32)</f>
        <v>9990.4082249999992</v>
      </c>
      <c r="Y325" s="34" t="e">
        <f t="shared" si="441"/>
        <v>#REF!</v>
      </c>
      <c r="Z325" s="34">
        <f t="shared" si="442"/>
        <v>20884.600000000002</v>
      </c>
      <c r="AA325" s="234">
        <v>18986</v>
      </c>
      <c r="AB325" s="36"/>
      <c r="AC325" s="204">
        <f t="shared" ref="AC325:AC339" si="449">(1210+1100)*Q325</f>
        <v>0</v>
      </c>
      <c r="AD325" s="152">
        <v>0.11</v>
      </c>
      <c r="AE325" s="31">
        <f t="shared" ref="AE325:AE327" si="450">4150*(P325)</f>
        <v>8300</v>
      </c>
      <c r="AF325" s="28">
        <f t="shared" si="444"/>
        <v>0.2006113537117904</v>
      </c>
      <c r="AG325" s="34">
        <f t="shared" si="445"/>
        <v>18376.03</v>
      </c>
      <c r="AH325" s="34" t="e">
        <f t="shared" si="446"/>
        <v>#REF!</v>
      </c>
      <c r="AI325" s="34" t="e">
        <f>SUMIF(헤몬팜마진!$B$7:$B$32,$C325,헤몬팜마진!$V$7:$V$32)</f>
        <v>#REF!</v>
      </c>
      <c r="AJ325" s="34" t="e">
        <f t="shared" si="447"/>
        <v>#REF!</v>
      </c>
      <c r="AK325" s="46" t="e">
        <f t="shared" si="448"/>
        <v>#REF!</v>
      </c>
      <c r="AL325" s="40">
        <f>SUMIF(헤몬팜마진!$B$7:$B$32,$C325,헤몬팜마진!$T$7:$T$32)</f>
        <v>162</v>
      </c>
      <c r="AM325" s="41">
        <f>SUMIF(헤몬팜마진!$B$7:$B$32,$C325,헤몬팜마진!$U$7:$U$32)</f>
        <v>826.80000000000007</v>
      </c>
      <c r="AN325" s="36"/>
      <c r="AO325" s="235">
        <v>24633</v>
      </c>
      <c r="AP325" s="235">
        <v>99</v>
      </c>
      <c r="AQ325" s="126"/>
      <c r="AR325" s="126"/>
      <c r="AS325" s="126"/>
      <c r="AT325" s="118"/>
      <c r="AU325" s="118"/>
      <c r="AV325" s="118"/>
      <c r="AW325" s="118"/>
      <c r="AX325" s="118"/>
      <c r="AY325" s="118"/>
      <c r="AZ325" s="118"/>
      <c r="BA325" s="118"/>
      <c r="BB325" s="118"/>
      <c r="BC325" s="118"/>
      <c r="BD325" s="118"/>
      <c r="BE325" s="118"/>
      <c r="BF325" s="118"/>
      <c r="BG325" s="47"/>
      <c r="BH325" s="47"/>
      <c r="BI325" s="47"/>
      <c r="BJ325" s="47"/>
      <c r="BK325" s="47"/>
    </row>
    <row r="326" spans="1:63" ht="28.5" customHeight="1">
      <c r="A326" s="228"/>
      <c r="B326" s="324"/>
      <c r="C326" s="42" t="s">
        <v>110</v>
      </c>
      <c r="D326" s="28" t="e">
        <f t="shared" si="431"/>
        <v>#REF!</v>
      </c>
      <c r="E326" s="201" t="e">
        <f t="shared" si="432"/>
        <v>#REF!</v>
      </c>
      <c r="F326" s="30">
        <f t="shared" si="433"/>
        <v>0.5389952991452992</v>
      </c>
      <c r="G326" s="30">
        <f t="shared" si="434"/>
        <v>1.0563380281690141E-2</v>
      </c>
      <c r="H326" s="35">
        <v>0</v>
      </c>
      <c r="I326" s="35">
        <f t="shared" si="435"/>
        <v>105</v>
      </c>
      <c r="J326" s="35">
        <f t="shared" si="436"/>
        <v>210</v>
      </c>
      <c r="K326" s="236"/>
      <c r="L326" s="49">
        <f>13+2</f>
        <v>15</v>
      </c>
      <c r="M326" s="48"/>
      <c r="N326" s="44">
        <v>15</v>
      </c>
      <c r="O326" s="202">
        <v>5</v>
      </c>
      <c r="P326" s="31">
        <f t="shared" si="437"/>
        <v>5</v>
      </c>
      <c r="Q326" s="202">
        <v>1</v>
      </c>
      <c r="R326" s="233">
        <v>3</v>
      </c>
      <c r="S326" s="36"/>
      <c r="T326" s="34">
        <f t="shared" si="438"/>
        <v>234000</v>
      </c>
      <c r="U326" s="31">
        <f t="shared" si="439"/>
        <v>0</v>
      </c>
      <c r="V326" s="34">
        <f t="shared" si="440"/>
        <v>234000</v>
      </c>
      <c r="W326" s="43">
        <v>46800</v>
      </c>
      <c r="X326" s="34">
        <f>SUMIF(헤몬팜마진!$B$7:$B$32,$C326,헤몬팜마진!$R$7:$R$32)</f>
        <v>9990.4082249999992</v>
      </c>
      <c r="Y326" s="34" t="e">
        <f t="shared" si="441"/>
        <v>#REF!</v>
      </c>
      <c r="Z326" s="34">
        <f t="shared" si="442"/>
        <v>126124.90000000001</v>
      </c>
      <c r="AA326" s="234">
        <v>114659</v>
      </c>
      <c r="AB326" s="36"/>
      <c r="AC326" s="204">
        <f t="shared" si="449"/>
        <v>2310</v>
      </c>
      <c r="AD326" s="152">
        <v>0.11</v>
      </c>
      <c r="AE326" s="31">
        <f t="shared" si="450"/>
        <v>20750</v>
      </c>
      <c r="AF326" s="28">
        <f t="shared" si="444"/>
        <v>0.19867521367521368</v>
      </c>
      <c r="AG326" s="34">
        <f t="shared" si="445"/>
        <v>46490.03</v>
      </c>
      <c r="AH326" s="34" t="e">
        <f t="shared" si="446"/>
        <v>#REF!</v>
      </c>
      <c r="AI326" s="34" t="e">
        <f>SUMIF(헤몬팜마진!$B$7:$B$32,$C326,헤몬팜마진!$V$7:$V$32)</f>
        <v>#REF!</v>
      </c>
      <c r="AJ326" s="34" t="e">
        <f t="shared" si="447"/>
        <v>#REF!</v>
      </c>
      <c r="AK326" s="206" t="e">
        <f t="shared" si="448"/>
        <v>#REF!</v>
      </c>
      <c r="AL326" s="40">
        <f>SUMIF(헤몬팜마진!$B$7:$B$32,$C326,헤몬팜마진!$T$7:$T$32)</f>
        <v>162</v>
      </c>
      <c r="AM326" s="41">
        <f>SUMIF(헤몬팜마진!$B$7:$B$32,$C326,헤몬팜마진!$U$7:$U$32)</f>
        <v>826.80000000000007</v>
      </c>
      <c r="AN326" s="36"/>
      <c r="AO326" s="235">
        <v>80319</v>
      </c>
      <c r="AP326" s="235">
        <v>284</v>
      </c>
      <c r="AQ326" s="126"/>
      <c r="AR326" s="126"/>
      <c r="AS326" s="126"/>
      <c r="AT326" s="118"/>
      <c r="AU326" s="118"/>
      <c r="AV326" s="118"/>
      <c r="AW326" s="118"/>
      <c r="AX326" s="118"/>
      <c r="AY326" s="118"/>
      <c r="AZ326" s="118"/>
      <c r="BA326" s="118"/>
      <c r="BB326" s="118"/>
      <c r="BC326" s="118"/>
      <c r="BD326" s="118"/>
      <c r="BE326" s="118"/>
      <c r="BF326" s="118"/>
      <c r="BG326" s="47"/>
      <c r="BH326" s="47"/>
      <c r="BI326" s="47"/>
      <c r="BJ326" s="47"/>
      <c r="BK326" s="47"/>
    </row>
    <row r="327" spans="1:63" ht="28.5" customHeight="1">
      <c r="A327" s="228" t="s">
        <v>134</v>
      </c>
      <c r="B327" s="207"/>
      <c r="C327" s="42" t="s">
        <v>112</v>
      </c>
      <c r="D327" s="29" t="e">
        <f t="shared" si="431"/>
        <v>#REF!</v>
      </c>
      <c r="E327" s="201" t="e">
        <f t="shared" si="432"/>
        <v>#REF!</v>
      </c>
      <c r="F327" s="30">
        <f t="shared" si="433"/>
        <v>0.34008004307250539</v>
      </c>
      <c r="G327" s="30">
        <f t="shared" si="434"/>
        <v>3.896103896103896E-2</v>
      </c>
      <c r="H327" s="37">
        <v>0</v>
      </c>
      <c r="I327" s="35">
        <f t="shared" si="435"/>
        <v>140</v>
      </c>
      <c r="J327" s="35">
        <f t="shared" si="436"/>
        <v>280</v>
      </c>
      <c r="K327" s="50">
        <v>343</v>
      </c>
      <c r="L327" s="39">
        <f>97+42+48+31+19+10</f>
        <v>247</v>
      </c>
      <c r="M327" s="210"/>
      <c r="N327" s="44">
        <v>20</v>
      </c>
      <c r="O327" s="202">
        <v>7</v>
      </c>
      <c r="P327" s="31">
        <f t="shared" si="437"/>
        <v>7</v>
      </c>
      <c r="Q327" s="202">
        <v>1</v>
      </c>
      <c r="R327" s="233">
        <v>6</v>
      </c>
      <c r="S327" s="36"/>
      <c r="T327" s="34">
        <f t="shared" si="438"/>
        <v>278600</v>
      </c>
      <c r="U327" s="31">
        <f t="shared" si="439"/>
        <v>0</v>
      </c>
      <c r="V327" s="34">
        <f t="shared" si="440"/>
        <v>278600</v>
      </c>
      <c r="W327" s="43">
        <v>39800</v>
      </c>
      <c r="X327" s="34">
        <f>SUMIF(헤몬팜마진!$B$7:$B$32,$C327,헤몬팜마진!$R$7:$R$32)</f>
        <v>7855.1382499999991</v>
      </c>
      <c r="Y327" s="34" t="e">
        <f t="shared" si="441"/>
        <v>#REF!</v>
      </c>
      <c r="Z327" s="34">
        <f t="shared" si="442"/>
        <v>94746.3</v>
      </c>
      <c r="AA327" s="234">
        <v>86133</v>
      </c>
      <c r="AB327" s="209"/>
      <c r="AC327" s="204">
        <f t="shared" si="449"/>
        <v>2310</v>
      </c>
      <c r="AD327" s="152">
        <v>0.08</v>
      </c>
      <c r="AE327" s="31">
        <f t="shared" si="450"/>
        <v>29050</v>
      </c>
      <c r="AF327" s="28">
        <f t="shared" si="444"/>
        <v>0.18427135678391959</v>
      </c>
      <c r="AG327" s="34">
        <f t="shared" si="445"/>
        <v>51338.03</v>
      </c>
      <c r="AH327" s="34" t="e">
        <f t="shared" si="446"/>
        <v>#REF!</v>
      </c>
      <c r="AI327" s="34" t="e">
        <f>SUMIF(헤몬팜마진!$B$7:$B$32,$C327,헤몬팜마진!$V$7:$V$32)</f>
        <v>#REF!</v>
      </c>
      <c r="AJ327" s="34" t="e">
        <f t="shared" si="447"/>
        <v>#REF!</v>
      </c>
      <c r="AK327" s="46" t="e">
        <f t="shared" si="448"/>
        <v>#REF!</v>
      </c>
      <c r="AL327" s="40">
        <f>SUMIF(헤몬팜마진!$B$7:$B$32,$C327,헤몬팜마진!$T$7:$T$32)</f>
        <v>176.41799999999998</v>
      </c>
      <c r="AM327" s="41">
        <f>SUMIF(헤몬팜마진!$B$7:$B$32,$C327,헤몬팜마진!$U$7:$U$32)</f>
        <v>900.38519999999994</v>
      </c>
      <c r="AN327" s="36"/>
      <c r="AO327" s="235">
        <v>54110</v>
      </c>
      <c r="AP327" s="235">
        <v>154</v>
      </c>
      <c r="AQ327" s="126"/>
      <c r="AR327" s="126"/>
      <c r="AS327" s="126"/>
      <c r="AT327" s="118"/>
      <c r="AU327" s="118"/>
      <c r="AV327" s="118"/>
      <c r="AW327" s="118"/>
      <c r="AX327" s="118"/>
      <c r="AY327" s="118"/>
      <c r="AZ327" s="118"/>
      <c r="BA327" s="118"/>
      <c r="BB327" s="118"/>
      <c r="BC327" s="118"/>
      <c r="BD327" s="118"/>
      <c r="BE327" s="118"/>
      <c r="BF327" s="118"/>
      <c r="BG327" s="47"/>
      <c r="BH327" s="47"/>
      <c r="BI327" s="47"/>
      <c r="BJ327" s="47"/>
      <c r="BK327" s="47"/>
    </row>
    <row r="328" spans="1:63" ht="28.5" customHeight="1">
      <c r="A328" s="228"/>
      <c r="B328" s="237"/>
      <c r="C328" s="42" t="s">
        <v>113</v>
      </c>
      <c r="D328" s="28" t="e">
        <f t="shared" si="431"/>
        <v>#REF!</v>
      </c>
      <c r="E328" s="201" t="e">
        <f t="shared" si="432"/>
        <v>#REF!</v>
      </c>
      <c r="F328" s="30">
        <f t="shared" si="433"/>
        <v>0.60648717948717956</v>
      </c>
      <c r="G328" s="30">
        <f t="shared" si="434"/>
        <v>0</v>
      </c>
      <c r="H328" s="135"/>
      <c r="I328" s="35">
        <f t="shared" si="435"/>
        <v>105</v>
      </c>
      <c r="J328" s="35">
        <f t="shared" si="436"/>
        <v>210</v>
      </c>
      <c r="K328" s="236"/>
      <c r="L328" s="39">
        <f>74+42+48+18+8+2</f>
        <v>192</v>
      </c>
      <c r="M328" s="210"/>
      <c r="N328" s="44">
        <v>15</v>
      </c>
      <c r="O328" s="36">
        <v>1</v>
      </c>
      <c r="P328" s="31">
        <f t="shared" si="437"/>
        <v>1</v>
      </c>
      <c r="Q328" s="36"/>
      <c r="R328" s="233"/>
      <c r="S328" s="36"/>
      <c r="T328" s="34">
        <f t="shared" si="438"/>
        <v>42900</v>
      </c>
      <c r="U328" s="31">
        <f t="shared" si="439"/>
        <v>0</v>
      </c>
      <c r="V328" s="34">
        <f t="shared" si="440"/>
        <v>42900</v>
      </c>
      <c r="W328" s="43">
        <v>42900</v>
      </c>
      <c r="X328" s="34">
        <f>SUMIF(헤몬팜마진!$B$7:$B$32,$C328,헤몬팜마진!$R$7:$R$32)</f>
        <v>7855.1382499999991</v>
      </c>
      <c r="Y328" s="34" t="e">
        <f t="shared" si="441"/>
        <v>#REF!</v>
      </c>
      <c r="Z328" s="34">
        <f t="shared" si="442"/>
        <v>26018.300000000003</v>
      </c>
      <c r="AA328" s="234">
        <v>23653</v>
      </c>
      <c r="AB328" s="36"/>
      <c r="AC328" s="204">
        <f t="shared" si="449"/>
        <v>0</v>
      </c>
      <c r="AD328" s="152">
        <v>7.8E-2</v>
      </c>
      <c r="AE328" s="31">
        <f>1900*(P328)</f>
        <v>1900</v>
      </c>
      <c r="AF328" s="28">
        <f t="shared" si="444"/>
        <v>0.12228904428904429</v>
      </c>
      <c r="AG328" s="34">
        <f t="shared" si="445"/>
        <v>5246.23</v>
      </c>
      <c r="AH328" s="34" t="e">
        <f t="shared" si="446"/>
        <v>#REF!</v>
      </c>
      <c r="AI328" s="34" t="e">
        <f>SUMIF(헤몬팜마진!$B$7:$B$32,$C328,헤몬팜마진!$V$7:$V$32)</f>
        <v>#REF!</v>
      </c>
      <c r="AJ328" s="34" t="e">
        <f t="shared" si="447"/>
        <v>#REF!</v>
      </c>
      <c r="AK328" s="206" t="e">
        <f t="shared" si="448"/>
        <v>#REF!</v>
      </c>
      <c r="AL328" s="40">
        <f>SUMIF(헤몬팜마진!$B$7:$B$32,$C328,헤몬팜마진!$T$7:$T$32)</f>
        <v>176.41799999999998</v>
      </c>
      <c r="AM328" s="41">
        <f>SUMIF(헤몬팜마진!$B$7:$B$32,$C328,헤몬팜마진!$U$7:$U$32)</f>
        <v>900.38519999999994</v>
      </c>
      <c r="AN328" s="36"/>
      <c r="AO328" s="235">
        <v>22658</v>
      </c>
      <c r="AP328" s="235">
        <v>70</v>
      </c>
      <c r="AQ328" s="126"/>
      <c r="AR328" s="126"/>
      <c r="AS328" s="126"/>
      <c r="AT328" s="118"/>
      <c r="AU328" s="118"/>
      <c r="AV328" s="118"/>
      <c r="AW328" s="118"/>
      <c r="AX328" s="118"/>
      <c r="AY328" s="118"/>
      <c r="AZ328" s="118"/>
      <c r="BA328" s="118"/>
      <c r="BB328" s="118"/>
      <c r="BC328" s="118"/>
      <c r="BD328" s="118"/>
      <c r="BE328" s="118"/>
      <c r="BF328" s="118"/>
      <c r="BG328" s="47"/>
      <c r="BH328" s="47"/>
      <c r="BI328" s="47"/>
      <c r="BJ328" s="47"/>
      <c r="BK328" s="47"/>
    </row>
    <row r="329" spans="1:63" ht="28.5" customHeight="1">
      <c r="A329" s="12" t="s">
        <v>132</v>
      </c>
      <c r="B329" s="207"/>
      <c r="C329" s="42" t="s">
        <v>32</v>
      </c>
      <c r="D329" s="28" t="e">
        <f t="shared" si="431"/>
        <v>#REF!</v>
      </c>
      <c r="E329" s="201" t="e">
        <f t="shared" si="432"/>
        <v>#REF!</v>
      </c>
      <c r="F329" s="30" t="e">
        <f t="shared" si="433"/>
        <v>#DIV/0!</v>
      </c>
      <c r="G329" s="30" t="e">
        <f t="shared" si="434"/>
        <v>#DIV/0!</v>
      </c>
      <c r="H329" s="37">
        <v>3504</v>
      </c>
      <c r="I329" s="35">
        <f t="shared" si="435"/>
        <v>210</v>
      </c>
      <c r="J329" s="35">
        <f t="shared" si="436"/>
        <v>420</v>
      </c>
      <c r="K329" s="50">
        <v>626</v>
      </c>
      <c r="L329" s="39">
        <f>30+13+6</f>
        <v>49</v>
      </c>
      <c r="M329" s="210"/>
      <c r="N329" s="208">
        <v>30</v>
      </c>
      <c r="O329" s="202"/>
      <c r="P329" s="31">
        <f t="shared" si="437"/>
        <v>0</v>
      </c>
      <c r="Q329" s="36"/>
      <c r="R329" s="203"/>
      <c r="S329" s="36"/>
      <c r="T329" s="34">
        <f t="shared" si="438"/>
        <v>0</v>
      </c>
      <c r="U329" s="31">
        <f t="shared" si="439"/>
        <v>0</v>
      </c>
      <c r="V329" s="34">
        <f t="shared" si="440"/>
        <v>0</v>
      </c>
      <c r="W329" s="43">
        <v>59800</v>
      </c>
      <c r="X329" s="34">
        <f>SUMIF(헤몬팜마진!$B$7:$B$32,$C329,헤몬팜마진!$R$7:$R$32)</f>
        <v>13276.289999999999</v>
      </c>
      <c r="Y329" s="34" t="e">
        <f t="shared" si="441"/>
        <v>#REF!</v>
      </c>
      <c r="Z329" s="34">
        <f t="shared" si="442"/>
        <v>0</v>
      </c>
      <c r="AA329" s="234"/>
      <c r="AB329" s="209"/>
      <c r="AC329" s="204">
        <f t="shared" si="449"/>
        <v>0</v>
      </c>
      <c r="AD329" s="152">
        <v>0.108</v>
      </c>
      <c r="AE329" s="31">
        <f t="shared" ref="AE329:AE330" si="451">4825*(P329)</f>
        <v>0</v>
      </c>
      <c r="AF329" s="28" t="e">
        <f t="shared" si="444"/>
        <v>#DIV/0!</v>
      </c>
      <c r="AG329" s="34">
        <f t="shared" si="445"/>
        <v>0</v>
      </c>
      <c r="AH329" s="34" t="e">
        <f t="shared" si="446"/>
        <v>#REF!</v>
      </c>
      <c r="AI329" s="34" t="e">
        <f>SUMIF(헤몬팜마진!$B$7:$B$32,$C329,헤몬팜마진!$V$7:$V$32)</f>
        <v>#REF!</v>
      </c>
      <c r="AJ329" s="34" t="e">
        <f t="shared" si="447"/>
        <v>#REF!</v>
      </c>
      <c r="AK329" s="46" t="e">
        <f t="shared" si="448"/>
        <v>#REF!</v>
      </c>
      <c r="AL329" s="40">
        <f>SUMIF(헤몬팜마진!$B$7:$B$32,$C329,헤몬팜마진!$T$7:$T$32)</f>
        <v>371.52</v>
      </c>
      <c r="AM329" s="41">
        <f>SUMIF(헤몬팜마진!$B$7:$B$32,$C329,헤몬팜마진!$U$7:$U$32)</f>
        <v>1896.1279999999999</v>
      </c>
      <c r="AN329" s="36"/>
      <c r="AO329" s="202"/>
      <c r="AP329" s="205"/>
      <c r="AQ329" s="126"/>
      <c r="AR329" s="126"/>
      <c r="AS329" s="126"/>
      <c r="AT329" s="118"/>
      <c r="AU329" s="118"/>
      <c r="AV329" s="118"/>
      <c r="AW329" s="118"/>
      <c r="AX329" s="118"/>
      <c r="AY329" s="118"/>
      <c r="AZ329" s="118"/>
      <c r="BA329" s="118"/>
      <c r="BB329" s="118"/>
      <c r="BC329" s="118"/>
      <c r="BD329" s="118"/>
      <c r="BE329" s="118"/>
      <c r="BF329" s="118"/>
      <c r="BG329" s="47"/>
      <c r="BH329" s="47"/>
      <c r="BI329" s="47"/>
      <c r="BJ329" s="47"/>
      <c r="BK329" s="47"/>
    </row>
    <row r="330" spans="1:63" ht="28.5" customHeight="1">
      <c r="A330" s="12" t="s">
        <v>132</v>
      </c>
      <c r="B330" s="237"/>
      <c r="C330" s="42" t="s">
        <v>33</v>
      </c>
      <c r="D330" s="28" t="e">
        <f t="shared" si="431"/>
        <v>#REF!</v>
      </c>
      <c r="E330" s="201" t="e">
        <f t="shared" si="432"/>
        <v>#REF!</v>
      </c>
      <c r="F330" s="30">
        <f t="shared" si="433"/>
        <v>0.36937804528518203</v>
      </c>
      <c r="G330" s="30">
        <f t="shared" si="434"/>
        <v>0</v>
      </c>
      <c r="H330" s="35">
        <v>0</v>
      </c>
      <c r="I330" s="35">
        <f t="shared" si="435"/>
        <v>210</v>
      </c>
      <c r="J330" s="35">
        <f t="shared" si="436"/>
        <v>420</v>
      </c>
      <c r="K330" s="236"/>
      <c r="L330" s="39">
        <f>4+11+18+38+129</f>
        <v>200</v>
      </c>
      <c r="M330" s="210"/>
      <c r="N330" s="44">
        <v>30</v>
      </c>
      <c r="O330" s="202">
        <v>1</v>
      </c>
      <c r="P330" s="31">
        <f t="shared" si="437"/>
        <v>1</v>
      </c>
      <c r="Q330" s="36"/>
      <c r="R330" s="203"/>
      <c r="S330" s="36"/>
      <c r="T330" s="34">
        <f t="shared" si="438"/>
        <v>69780</v>
      </c>
      <c r="U330" s="31">
        <f t="shared" si="439"/>
        <v>0</v>
      </c>
      <c r="V330" s="34">
        <f t="shared" si="440"/>
        <v>69780</v>
      </c>
      <c r="W330" s="43">
        <v>69780</v>
      </c>
      <c r="X330" s="34">
        <f>SUMIF(헤몬팜마진!$B$7:$B$32,$C330,헤몬팜마진!$R$7:$R$32)</f>
        <v>13276.289999999999</v>
      </c>
      <c r="Y330" s="34" t="e">
        <f t="shared" si="441"/>
        <v>#REF!</v>
      </c>
      <c r="Z330" s="34">
        <f t="shared" si="442"/>
        <v>25775.200000000001</v>
      </c>
      <c r="AA330" s="234">
        <v>23432</v>
      </c>
      <c r="AB330" s="36"/>
      <c r="AC330" s="204">
        <f t="shared" si="449"/>
        <v>0</v>
      </c>
      <c r="AD330" s="152">
        <v>0.108</v>
      </c>
      <c r="AE330" s="31">
        <f t="shared" si="451"/>
        <v>4825</v>
      </c>
      <c r="AF330" s="28">
        <f t="shared" si="444"/>
        <v>0.17714588707366008</v>
      </c>
      <c r="AG330" s="34">
        <f t="shared" si="445"/>
        <v>12361.27</v>
      </c>
      <c r="AH330" s="34" t="e">
        <f t="shared" si="446"/>
        <v>#REF!</v>
      </c>
      <c r="AI330" s="34" t="e">
        <f>SUMIF(헤몬팜마진!$B$7:$B$32,$C330,헤몬팜마진!$V$7:$V$32)</f>
        <v>#REF!</v>
      </c>
      <c r="AJ330" s="34" t="e">
        <f t="shared" si="447"/>
        <v>#REF!</v>
      </c>
      <c r="AK330" s="46" t="e">
        <f t="shared" si="448"/>
        <v>#REF!</v>
      </c>
      <c r="AL330" s="40">
        <f>SUMIF(헤몬팜마진!$B$7:$B$32,$C330,헤몬팜마진!$T$7:$T$32)</f>
        <v>371.52</v>
      </c>
      <c r="AM330" s="41">
        <f>SUMIF(헤몬팜마진!$B$7:$B$32,$C330,헤몬팜마진!$U$7:$U$32)</f>
        <v>1896.1279999999999</v>
      </c>
      <c r="AN330" s="36"/>
      <c r="AO330" s="235">
        <v>24277</v>
      </c>
      <c r="AP330" s="235">
        <v>33</v>
      </c>
      <c r="AQ330" s="126"/>
      <c r="AR330" s="126"/>
      <c r="AS330" s="126"/>
      <c r="AT330" s="118"/>
      <c r="AU330" s="118"/>
      <c r="AV330" s="118"/>
      <c r="AW330" s="118"/>
      <c r="AX330" s="118"/>
      <c r="AY330" s="118"/>
      <c r="AZ330" s="118"/>
      <c r="BA330" s="118"/>
      <c r="BB330" s="118"/>
      <c r="BC330" s="118"/>
      <c r="BD330" s="118"/>
      <c r="BE330" s="118"/>
      <c r="BF330" s="118"/>
      <c r="BG330" s="47"/>
      <c r="BH330" s="47"/>
      <c r="BI330" s="47"/>
      <c r="BJ330" s="47"/>
      <c r="BK330" s="47"/>
    </row>
    <row r="331" spans="1:63" ht="28.5" customHeight="1">
      <c r="A331" s="228" t="s">
        <v>133</v>
      </c>
      <c r="B331" s="200"/>
      <c r="C331" s="42" t="s">
        <v>111</v>
      </c>
      <c r="D331" s="28">
        <f t="shared" si="431"/>
        <v>-9.0103321960297772E-2</v>
      </c>
      <c r="E331" s="201">
        <f t="shared" si="432"/>
        <v>0.39080858870967744</v>
      </c>
      <c r="F331" s="30">
        <f t="shared" si="433"/>
        <v>0.48091191066997518</v>
      </c>
      <c r="G331" s="30">
        <f t="shared" si="434"/>
        <v>4.9180327868852458E-2</v>
      </c>
      <c r="H331" s="35">
        <v>500</v>
      </c>
      <c r="I331" s="35">
        <f t="shared" si="435"/>
        <v>105</v>
      </c>
      <c r="J331" s="35">
        <f t="shared" si="436"/>
        <v>210</v>
      </c>
      <c r="K331" s="39">
        <v>577</v>
      </c>
      <c r="L331" s="39">
        <v>211</v>
      </c>
      <c r="M331" s="210"/>
      <c r="N331" s="44">
        <v>15</v>
      </c>
      <c r="O331" s="202">
        <v>11</v>
      </c>
      <c r="P331" s="31">
        <f t="shared" si="437"/>
        <v>11</v>
      </c>
      <c r="Q331" s="202"/>
      <c r="R331" s="233">
        <v>6</v>
      </c>
      <c r="S331" s="202"/>
      <c r="T331" s="34">
        <f t="shared" si="438"/>
        <v>177320</v>
      </c>
      <c r="U331" s="31">
        <f t="shared" si="439"/>
        <v>0</v>
      </c>
      <c r="V331" s="34">
        <f t="shared" si="440"/>
        <v>177320</v>
      </c>
      <c r="W331" s="43">
        <v>16120</v>
      </c>
      <c r="X331" s="34">
        <f>SUMIF(헤몬팜마진!$B$7:$B$32,$C331,헤몬팜마진!$R$7:$R$32)</f>
        <v>5089.2444999999998</v>
      </c>
      <c r="Y331" s="34">
        <f t="shared" si="441"/>
        <v>56389.569499999998</v>
      </c>
      <c r="Z331" s="34">
        <f t="shared" si="442"/>
        <v>85275.3</v>
      </c>
      <c r="AA331" s="234">
        <v>77523</v>
      </c>
      <c r="AB331" s="211"/>
      <c r="AC331" s="204">
        <f t="shared" si="449"/>
        <v>0</v>
      </c>
      <c r="AD331" s="152">
        <v>7.8E-2</v>
      </c>
      <c r="AE331" s="31">
        <f>2900*(P331)</f>
        <v>31900</v>
      </c>
      <c r="AF331" s="28">
        <f t="shared" si="444"/>
        <v>0.25790074441687344</v>
      </c>
      <c r="AG331" s="34">
        <f t="shared" si="445"/>
        <v>45730.99</v>
      </c>
      <c r="AH331" s="34">
        <f t="shared" si="446"/>
        <v>5901.2615499999993</v>
      </c>
      <c r="AI331" s="34">
        <f>SUMIF(헤몬팜마진!$B$7:$B$32,$C331,헤몬팜마진!$V$7:$V$32)</f>
        <v>5126.3244999999997</v>
      </c>
      <c r="AJ331" s="34">
        <f t="shared" si="447"/>
        <v>69298.178950000001</v>
      </c>
      <c r="AK331" s="206">
        <f t="shared" si="448"/>
        <v>-15977.121050000002</v>
      </c>
      <c r="AL331" s="40">
        <f>SUMIF(헤몬팜마진!$B$7:$B$32,$C331,헤몬팜마진!$T$7:$T$32)</f>
        <v>6.0750000000000002</v>
      </c>
      <c r="AM331" s="41">
        <f>SUMIF(헤몬팜마진!$B$7:$B$32,$C331,헤몬팜마진!$U$7:$U$32)</f>
        <v>31.005000000000003</v>
      </c>
      <c r="AN331" s="36"/>
      <c r="AO331" s="235">
        <v>55425</v>
      </c>
      <c r="AP331" s="235">
        <v>122</v>
      </c>
      <c r="AQ331" s="126"/>
      <c r="AR331" s="126"/>
      <c r="AS331" s="126"/>
      <c r="AT331" s="118"/>
      <c r="AU331" s="118"/>
      <c r="AV331" s="118"/>
      <c r="AW331" s="118"/>
      <c r="AX331" s="118"/>
      <c r="AY331" s="118"/>
      <c r="AZ331" s="118"/>
      <c r="BA331" s="118"/>
      <c r="BB331" s="118"/>
      <c r="BC331" s="118"/>
      <c r="BD331" s="118"/>
      <c r="BE331" s="118"/>
      <c r="BF331" s="118"/>
      <c r="BG331" s="47"/>
      <c r="BH331" s="47"/>
      <c r="BI331" s="47"/>
      <c r="BJ331" s="47"/>
      <c r="BK331" s="47"/>
    </row>
    <row r="332" spans="1:63" ht="28.5" customHeight="1">
      <c r="A332" s="228" t="s">
        <v>135</v>
      </c>
      <c r="B332" s="200"/>
      <c r="C332" s="42" t="s">
        <v>114</v>
      </c>
      <c r="D332" s="28">
        <f t="shared" si="431"/>
        <v>0.12437727248376632</v>
      </c>
      <c r="E332" s="201">
        <f t="shared" si="432"/>
        <v>0.36298887962662352</v>
      </c>
      <c r="F332" s="30">
        <f t="shared" si="433"/>
        <v>0.23861160714285717</v>
      </c>
      <c r="G332" s="30">
        <f t="shared" si="434"/>
        <v>8.59375E-2</v>
      </c>
      <c r="H332" s="35">
        <v>1750</v>
      </c>
      <c r="I332" s="35">
        <f t="shared" si="435"/>
        <v>350</v>
      </c>
      <c r="J332" s="35">
        <f t="shared" si="436"/>
        <v>700</v>
      </c>
      <c r="K332" s="39">
        <v>1449</v>
      </c>
      <c r="L332" s="39">
        <v>1217</v>
      </c>
      <c r="M332" s="210"/>
      <c r="N332" s="44">
        <v>50</v>
      </c>
      <c r="O332" s="202">
        <v>21</v>
      </c>
      <c r="P332" s="31">
        <f t="shared" si="437"/>
        <v>21</v>
      </c>
      <c r="Q332" s="36">
        <v>2</v>
      </c>
      <c r="R332" s="233">
        <v>11</v>
      </c>
      <c r="S332" s="36"/>
      <c r="T332" s="34">
        <f t="shared" si="438"/>
        <v>403200</v>
      </c>
      <c r="U332" s="31">
        <f t="shared" si="439"/>
        <v>0</v>
      </c>
      <c r="V332" s="34">
        <f t="shared" si="440"/>
        <v>403200</v>
      </c>
      <c r="W332" s="43">
        <v>19200</v>
      </c>
      <c r="X332" s="34">
        <f>SUMIF(헤몬팜마진!$B$7:$B$32,$C332,헤몬팜마진!$R$7:$R$32)</f>
        <v>6372.6191999999992</v>
      </c>
      <c r="Y332" s="34">
        <f t="shared" si="441"/>
        <v>142200.13919999998</v>
      </c>
      <c r="Z332" s="34">
        <f t="shared" si="442"/>
        <v>96208.200000000012</v>
      </c>
      <c r="AA332" s="234">
        <v>87462</v>
      </c>
      <c r="AB332" s="36"/>
      <c r="AC332" s="204">
        <f t="shared" si="449"/>
        <v>4620</v>
      </c>
      <c r="AD332" s="152">
        <v>0.08</v>
      </c>
      <c r="AE332" s="31">
        <f>3350*(P332)</f>
        <v>70350</v>
      </c>
      <c r="AF332" s="28">
        <f t="shared" si="444"/>
        <v>0.25447916666666665</v>
      </c>
      <c r="AG332" s="34">
        <f t="shared" si="445"/>
        <v>102606.02999999998</v>
      </c>
      <c r="AH332" s="34">
        <f t="shared" si="446"/>
        <v>12036.714534545459</v>
      </c>
      <c r="AI332" s="34">
        <f>SUMIF(헤몬팜마진!$B$7:$B$32,$C332,헤몬팜마진!$V$7:$V$32)</f>
        <v>6771.435199999999</v>
      </c>
      <c r="AJ332" s="34">
        <f t="shared" si="447"/>
        <v>146357.11626545459</v>
      </c>
      <c r="AK332" s="46">
        <f t="shared" si="448"/>
        <v>50148.91626545458</v>
      </c>
      <c r="AL332" s="40">
        <f>SUMIF(헤몬팜마진!$B$7:$B$32,$C332,헤몬팜마진!$T$7:$T$32)</f>
        <v>65.34</v>
      </c>
      <c r="AM332" s="41">
        <f>SUMIF(헤몬팜마진!$B$7:$B$32,$C332,헤몬팜마진!$U$7:$U$32)</f>
        <v>333.476</v>
      </c>
      <c r="AN332" s="36"/>
      <c r="AO332" s="235">
        <v>38772</v>
      </c>
      <c r="AP332" s="235">
        <v>128</v>
      </c>
      <c r="AQ332" s="126"/>
      <c r="AR332" s="126"/>
      <c r="AS332" s="126"/>
      <c r="AT332" s="118"/>
      <c r="AU332" s="118"/>
      <c r="AV332" s="118"/>
      <c r="AW332" s="118"/>
      <c r="AX332" s="118"/>
      <c r="AY332" s="118"/>
      <c r="AZ332" s="118"/>
      <c r="BA332" s="118"/>
      <c r="BB332" s="118"/>
      <c r="BC332" s="118"/>
      <c r="BD332" s="118"/>
      <c r="BE332" s="118"/>
      <c r="BF332" s="118"/>
      <c r="BG332" s="47"/>
      <c r="BH332" s="47"/>
      <c r="BI332" s="47"/>
      <c r="BJ332" s="47"/>
      <c r="BK332" s="47"/>
    </row>
    <row r="333" spans="1:63" ht="28.5" customHeight="1">
      <c r="A333" s="327" t="s">
        <v>136</v>
      </c>
      <c r="B333" s="326"/>
      <c r="C333" s="42" t="s">
        <v>115</v>
      </c>
      <c r="D333" s="28" t="e">
        <f t="shared" si="431"/>
        <v>#REF!</v>
      </c>
      <c r="E333" s="201" t="e">
        <f t="shared" si="432"/>
        <v>#REF!</v>
      </c>
      <c r="F333" s="30">
        <f t="shared" si="433"/>
        <v>0.34669478476266991</v>
      </c>
      <c r="G333" s="30">
        <f t="shared" si="434"/>
        <v>3.669724770642202E-2</v>
      </c>
      <c r="H333" s="35">
        <v>0</v>
      </c>
      <c r="I333" s="35">
        <f t="shared" si="435"/>
        <v>70</v>
      </c>
      <c r="J333" s="35">
        <f t="shared" si="436"/>
        <v>140</v>
      </c>
      <c r="K333" s="328">
        <v>494</v>
      </c>
      <c r="L333" s="39">
        <v>0</v>
      </c>
      <c r="M333" s="210"/>
      <c r="N333" s="44">
        <v>10</v>
      </c>
      <c r="O333" s="36">
        <v>6</v>
      </c>
      <c r="P333" s="31">
        <f t="shared" si="437"/>
        <v>6</v>
      </c>
      <c r="Q333" s="36"/>
      <c r="R333" s="233">
        <v>4</v>
      </c>
      <c r="S333" s="36"/>
      <c r="T333" s="34">
        <f t="shared" si="438"/>
        <v>298740</v>
      </c>
      <c r="U333" s="31">
        <f t="shared" si="439"/>
        <v>0</v>
      </c>
      <c r="V333" s="34">
        <f t="shared" si="440"/>
        <v>298740</v>
      </c>
      <c r="W333" s="43">
        <v>49790</v>
      </c>
      <c r="X333" s="34">
        <f>SUMIF(헤몬팜마진!$B$7:$B$32,$C333,헤몬팜마진!$R$7:$R$32)</f>
        <v>12169.932499999999</v>
      </c>
      <c r="Y333" s="34" t="e">
        <f t="shared" si="441"/>
        <v>#REF!</v>
      </c>
      <c r="Z333" s="34">
        <f t="shared" si="442"/>
        <v>103571.6</v>
      </c>
      <c r="AA333" s="234">
        <v>94156</v>
      </c>
      <c r="AB333" s="36"/>
      <c r="AC333" s="204">
        <f t="shared" si="449"/>
        <v>0</v>
      </c>
      <c r="AD333" s="152">
        <v>7.8E-2</v>
      </c>
      <c r="AE333" s="31">
        <f t="shared" ref="AE333:AE334" si="452">4825*(P333)</f>
        <v>28950</v>
      </c>
      <c r="AF333" s="28">
        <f t="shared" si="444"/>
        <v>0.17490700943964652</v>
      </c>
      <c r="AG333" s="34">
        <f t="shared" si="445"/>
        <v>52251.75</v>
      </c>
      <c r="AH333" s="34" t="e">
        <f t="shared" si="446"/>
        <v>#REF!</v>
      </c>
      <c r="AI333" s="34" t="e">
        <f>SUMIF(헤몬팜마진!$B$7:$B$32,$C333,헤몬팜마진!$V$7:$V$32)</f>
        <v>#REF!</v>
      </c>
      <c r="AJ333" s="34" t="e">
        <f t="shared" si="447"/>
        <v>#REF!</v>
      </c>
      <c r="AK333" s="206" t="e">
        <f t="shared" si="448"/>
        <v>#REF!</v>
      </c>
      <c r="AL333" s="40">
        <f>SUMIF(헤몬팜마진!$B$7:$B$32,$C333,헤몬팜마진!$T$7:$T$32)</f>
        <v>181.44000000000003</v>
      </c>
      <c r="AM333" s="41">
        <f>SUMIF(헤몬팜마진!$B$7:$B$32,$C333,헤몬팜마진!$U$7:$U$32)</f>
        <v>926.01600000000019</v>
      </c>
      <c r="AN333" s="36"/>
      <c r="AO333" s="235">
        <v>25452</v>
      </c>
      <c r="AP333" s="235">
        <v>109</v>
      </c>
      <c r="AQ333" s="126"/>
      <c r="AR333" s="126"/>
      <c r="AS333" s="126"/>
      <c r="AT333" s="118"/>
      <c r="AU333" s="118"/>
      <c r="AV333" s="118"/>
      <c r="AW333" s="118"/>
      <c r="AX333" s="118"/>
      <c r="AY333" s="118"/>
      <c r="AZ333" s="118"/>
      <c r="BA333" s="118"/>
      <c r="BB333" s="118"/>
      <c r="BC333" s="118"/>
      <c r="BD333" s="118"/>
      <c r="BE333" s="118"/>
      <c r="BF333" s="118"/>
      <c r="BG333" s="47"/>
      <c r="BH333" s="47"/>
      <c r="BI333" s="47"/>
      <c r="BJ333" s="47"/>
      <c r="BK333" s="47"/>
    </row>
    <row r="334" spans="1:63" ht="28.5" customHeight="1">
      <c r="A334" s="318"/>
      <c r="B334" s="324"/>
      <c r="C334" s="42" t="s">
        <v>116</v>
      </c>
      <c r="D334" s="28" t="e">
        <f t="shared" si="431"/>
        <v>#REF!</v>
      </c>
      <c r="E334" s="201" t="e">
        <f t="shared" si="432"/>
        <v>#REF!</v>
      </c>
      <c r="F334" s="30">
        <f t="shared" si="433"/>
        <v>0.26837998157106663</v>
      </c>
      <c r="G334" s="30">
        <f t="shared" si="434"/>
        <v>2.2222222222222223E-2</v>
      </c>
      <c r="H334" s="35">
        <v>0</v>
      </c>
      <c r="I334" s="35">
        <f t="shared" si="435"/>
        <v>70</v>
      </c>
      <c r="J334" s="35">
        <f t="shared" si="436"/>
        <v>140</v>
      </c>
      <c r="K334" s="310"/>
      <c r="L334" s="39">
        <v>1</v>
      </c>
      <c r="M334" s="210"/>
      <c r="N334" s="44">
        <v>10</v>
      </c>
      <c r="O334" s="202">
        <v>6</v>
      </c>
      <c r="P334" s="31">
        <f t="shared" si="437"/>
        <v>6</v>
      </c>
      <c r="Q334" s="202">
        <v>2</v>
      </c>
      <c r="R334" s="233">
        <v>4</v>
      </c>
      <c r="S334" s="36"/>
      <c r="T334" s="34">
        <f t="shared" si="438"/>
        <v>347280</v>
      </c>
      <c r="U334" s="31">
        <f t="shared" si="439"/>
        <v>0</v>
      </c>
      <c r="V334" s="34">
        <f t="shared" si="440"/>
        <v>347280</v>
      </c>
      <c r="W334" s="43">
        <v>57880</v>
      </c>
      <c r="X334" s="34">
        <f>SUMIF(헤몬팜마진!$B$7:$B$32,$C334,헤몬팜마진!$R$7:$R$32)</f>
        <v>12169.932499999999</v>
      </c>
      <c r="Y334" s="34" t="e">
        <f t="shared" si="441"/>
        <v>#REF!</v>
      </c>
      <c r="Z334" s="34">
        <f t="shared" si="442"/>
        <v>93203.000000000015</v>
      </c>
      <c r="AA334" s="234">
        <v>84730</v>
      </c>
      <c r="AB334" s="36"/>
      <c r="AC334" s="204">
        <f t="shared" si="449"/>
        <v>4620</v>
      </c>
      <c r="AD334" s="152">
        <v>7.8E-2</v>
      </c>
      <c r="AE334" s="31">
        <f t="shared" si="452"/>
        <v>28950</v>
      </c>
      <c r="AF334" s="28">
        <f t="shared" si="444"/>
        <v>0.16136212854181065</v>
      </c>
      <c r="AG334" s="34">
        <f t="shared" si="445"/>
        <v>56037.87</v>
      </c>
      <c r="AH334" s="34" t="e">
        <f t="shared" si="446"/>
        <v>#REF!</v>
      </c>
      <c r="AI334" s="34" t="e">
        <f>SUMIF(헤몬팜마진!$B$7:$B$32,$C334,헤몬팜마진!$V$7:$V$32)</f>
        <v>#REF!</v>
      </c>
      <c r="AJ334" s="34" t="e">
        <f t="shared" si="447"/>
        <v>#REF!</v>
      </c>
      <c r="AK334" s="46" t="e">
        <f t="shared" si="448"/>
        <v>#REF!</v>
      </c>
      <c r="AL334" s="40">
        <f>SUMIF(헤몬팜마진!$B$7:$B$32,$C334,헤몬팜마진!$T$7:$T$32)</f>
        <v>181.44000000000003</v>
      </c>
      <c r="AM334" s="41">
        <f>SUMIF(헤몬팜마진!$B$7:$B$32,$C334,헤몬팜마진!$U$7:$U$32)</f>
        <v>926.01600000000019</v>
      </c>
      <c r="AN334" s="36"/>
      <c r="AO334" s="235">
        <v>28101</v>
      </c>
      <c r="AP334" s="235">
        <v>180</v>
      </c>
      <c r="AQ334" s="126"/>
      <c r="AR334" s="126"/>
      <c r="AS334" s="126"/>
      <c r="AT334" s="118"/>
      <c r="AU334" s="118"/>
      <c r="AV334" s="118"/>
      <c r="AW334" s="118"/>
      <c r="AX334" s="118"/>
      <c r="AY334" s="118"/>
      <c r="AZ334" s="118"/>
      <c r="BA334" s="118"/>
      <c r="BB334" s="118"/>
      <c r="BC334" s="118"/>
      <c r="BD334" s="118"/>
      <c r="BE334" s="118"/>
      <c r="BF334" s="118"/>
      <c r="BG334" s="47"/>
      <c r="BH334" s="47"/>
      <c r="BI334" s="47"/>
      <c r="BJ334" s="47"/>
      <c r="BK334" s="47"/>
    </row>
    <row r="335" spans="1:63" ht="28.5" customHeight="1">
      <c r="A335" s="228" t="s">
        <v>137</v>
      </c>
      <c r="B335" s="200"/>
      <c r="C335" s="42" t="s">
        <v>117</v>
      </c>
      <c r="D335" s="28">
        <f t="shared" si="431"/>
        <v>0.35199403195719636</v>
      </c>
      <c r="E335" s="201">
        <f t="shared" si="432"/>
        <v>0.49826625813073838</v>
      </c>
      <c r="F335" s="30">
        <f t="shared" si="433"/>
        <v>0.14627222617354199</v>
      </c>
      <c r="G335" s="30">
        <f t="shared" si="434"/>
        <v>5.2356020942408377E-2</v>
      </c>
      <c r="H335" s="35">
        <v>2000</v>
      </c>
      <c r="I335" s="35">
        <f t="shared" si="435"/>
        <v>700</v>
      </c>
      <c r="J335" s="35">
        <f t="shared" si="436"/>
        <v>1400</v>
      </c>
      <c r="K335" s="39">
        <v>2373</v>
      </c>
      <c r="L335" s="39">
        <v>3</v>
      </c>
      <c r="M335" s="210"/>
      <c r="N335" s="44">
        <v>100</v>
      </c>
      <c r="O335" s="202">
        <v>19</v>
      </c>
      <c r="P335" s="31">
        <f t="shared" si="437"/>
        <v>19</v>
      </c>
      <c r="Q335" s="202">
        <v>6</v>
      </c>
      <c r="R335" s="233">
        <v>10</v>
      </c>
      <c r="S335" s="36"/>
      <c r="T335" s="34">
        <f t="shared" si="438"/>
        <v>337440</v>
      </c>
      <c r="U335" s="31">
        <f t="shared" si="439"/>
        <v>0</v>
      </c>
      <c r="V335" s="34">
        <f t="shared" si="440"/>
        <v>337440</v>
      </c>
      <c r="W335" s="43">
        <v>17760</v>
      </c>
      <c r="X335" s="34">
        <f>SUMIF(헤몬팜마진!$B$7:$B$32,$C335,헤몬팜마진!$R$7:$R$32)</f>
        <v>3982.8869999999997</v>
      </c>
      <c r="Y335" s="34">
        <f t="shared" si="441"/>
        <v>91906.993799999997</v>
      </c>
      <c r="Z335" s="34">
        <f t="shared" si="442"/>
        <v>49358.100000000006</v>
      </c>
      <c r="AA335" s="234">
        <f>23432+21439</f>
        <v>44871</v>
      </c>
      <c r="AB335" s="36"/>
      <c r="AC335" s="204">
        <f t="shared" si="449"/>
        <v>13860</v>
      </c>
      <c r="AD335" s="152">
        <v>7.8E-2</v>
      </c>
      <c r="AE335" s="31">
        <f>1900*(P335)</f>
        <v>36100</v>
      </c>
      <c r="AF335" s="28">
        <f t="shared" si="444"/>
        <v>0.18498198198198199</v>
      </c>
      <c r="AG335" s="34">
        <f t="shared" si="445"/>
        <v>62420.35</v>
      </c>
      <c r="AH335" s="34">
        <f t="shared" si="446"/>
        <v>14977.690056363635</v>
      </c>
      <c r="AI335" s="34">
        <f>SUMIF(헤몬팜마진!$B$7:$B$32,$C335,헤몬팜마진!$V$7:$V$32)</f>
        <v>4837.2101999999995</v>
      </c>
      <c r="AJ335" s="34">
        <f t="shared" si="447"/>
        <v>168134.96614363635</v>
      </c>
      <c r="AK335" s="46">
        <f t="shared" si="448"/>
        <v>118776.86614363635</v>
      </c>
      <c r="AL335" s="40">
        <f>SUMIF(헤몬팜마진!$B$7:$B$32,$C335,헤몬팜마진!$T$7:$T$32)</f>
        <v>139.96800000000002</v>
      </c>
      <c r="AM335" s="41">
        <f>SUMIF(헤몬팜마진!$B$7:$B$32,$C335,헤몬팜마진!$U$7:$U$32)</f>
        <v>714.35519999999997</v>
      </c>
      <c r="AN335" s="36"/>
      <c r="AO335" s="235">
        <v>42154</v>
      </c>
      <c r="AP335" s="235">
        <v>191</v>
      </c>
      <c r="AQ335" s="126"/>
      <c r="AR335" s="126"/>
      <c r="AS335" s="126"/>
      <c r="AT335" s="118"/>
      <c r="AU335" s="118"/>
      <c r="AV335" s="118"/>
      <c r="AW335" s="118"/>
      <c r="AX335" s="118"/>
      <c r="AY335" s="118"/>
      <c r="AZ335" s="118"/>
      <c r="BA335" s="118"/>
      <c r="BB335" s="118"/>
      <c r="BC335" s="118"/>
      <c r="BD335" s="118"/>
      <c r="BE335" s="118"/>
      <c r="BF335" s="118"/>
      <c r="BG335" s="47"/>
      <c r="BH335" s="47"/>
      <c r="BI335" s="47"/>
      <c r="BJ335" s="47"/>
      <c r="BK335" s="47"/>
    </row>
    <row r="336" spans="1:63" ht="28.5" customHeight="1">
      <c r="A336" s="228" t="s">
        <v>139</v>
      </c>
      <c r="B336" s="127" t="s">
        <v>127</v>
      </c>
      <c r="C336" s="42" t="s">
        <v>119</v>
      </c>
      <c r="D336" s="28">
        <f t="shared" si="431"/>
        <v>0.16667839083758121</v>
      </c>
      <c r="E336" s="201">
        <f t="shared" si="432"/>
        <v>0.43444840899006204</v>
      </c>
      <c r="F336" s="30">
        <f t="shared" si="433"/>
        <v>0.26777001815248086</v>
      </c>
      <c r="G336" s="30">
        <f t="shared" si="434"/>
        <v>9.6153846153846159E-2</v>
      </c>
      <c r="H336" s="35">
        <v>2000</v>
      </c>
      <c r="I336" s="35">
        <f t="shared" si="435"/>
        <v>280</v>
      </c>
      <c r="J336" s="35">
        <f t="shared" si="436"/>
        <v>560</v>
      </c>
      <c r="K336" s="213">
        <v>1048</v>
      </c>
      <c r="L336" s="39">
        <f>311+240+1</f>
        <v>552</v>
      </c>
      <c r="M336" s="210"/>
      <c r="N336" s="44">
        <v>40</v>
      </c>
      <c r="O336" s="202">
        <v>16</v>
      </c>
      <c r="P336" s="31">
        <f t="shared" si="437"/>
        <v>16</v>
      </c>
      <c r="Q336" s="202">
        <v>6</v>
      </c>
      <c r="R336" s="233">
        <v>10</v>
      </c>
      <c r="S336" s="36"/>
      <c r="T336" s="34">
        <f t="shared" si="438"/>
        <v>396640</v>
      </c>
      <c r="U336" s="31">
        <f t="shared" si="439"/>
        <v>0</v>
      </c>
      <c r="V336" s="34">
        <f t="shared" si="440"/>
        <v>396640</v>
      </c>
      <c r="W336" s="43">
        <v>24790</v>
      </c>
      <c r="X336" s="34">
        <f>SUMIF(헤몬팜마진!$B$7:$B$32,$C336,헤몬팜마진!$R$7:$R$32)</f>
        <v>6859.4164999999994</v>
      </c>
      <c r="Y336" s="34">
        <f t="shared" si="441"/>
        <v>116057.88959999998</v>
      </c>
      <c r="Z336" s="34">
        <f t="shared" si="442"/>
        <v>106208.3</v>
      </c>
      <c r="AA336" s="234">
        <v>96553</v>
      </c>
      <c r="AB336" s="209"/>
      <c r="AC336" s="204">
        <f t="shared" si="449"/>
        <v>13860</v>
      </c>
      <c r="AD336" s="152">
        <v>0.108</v>
      </c>
      <c r="AE336" s="31">
        <f>3150*(P336)</f>
        <v>50400</v>
      </c>
      <c r="AF336" s="28">
        <f t="shared" si="444"/>
        <v>0.23506736587333604</v>
      </c>
      <c r="AG336" s="34">
        <f t="shared" si="445"/>
        <v>93237.150000000009</v>
      </c>
      <c r="AH336" s="34">
        <f t="shared" si="446"/>
        <v>15025.343458181815</v>
      </c>
      <c r="AI336" s="34">
        <f>SUMIF(헤몬팜마진!$B$7:$B$32,$C336,헤몬팜마진!$V$7:$V$32)</f>
        <v>7253.6180999999988</v>
      </c>
      <c r="AJ336" s="34">
        <f t="shared" si="447"/>
        <v>172319.61694181821</v>
      </c>
      <c r="AK336" s="206">
        <f t="shared" si="448"/>
        <v>66111.316941818208</v>
      </c>
      <c r="AL336" s="40">
        <f>SUMIF(헤몬팜마진!$B$7:$B$32,$C336,헤몬팜마진!$T$7:$T$32)</f>
        <v>64.584000000000003</v>
      </c>
      <c r="AM336" s="41">
        <f>SUMIF(헤몬팜마진!$B$7:$B$32,$C336,헤몬팜마진!$U$7:$U$32)</f>
        <v>329.61759999999998</v>
      </c>
      <c r="AN336" s="36"/>
      <c r="AO336" s="235">
        <v>36707</v>
      </c>
      <c r="AP336" s="235">
        <v>104</v>
      </c>
      <c r="AQ336" s="126"/>
      <c r="AR336" s="126"/>
      <c r="AS336" s="126"/>
      <c r="AT336" s="118"/>
      <c r="AU336" s="118"/>
      <c r="AV336" s="118"/>
      <c r="AW336" s="118"/>
      <c r="AX336" s="118"/>
      <c r="AY336" s="118"/>
      <c r="AZ336" s="118"/>
      <c r="BA336" s="118"/>
      <c r="BB336" s="118"/>
      <c r="BC336" s="118"/>
      <c r="BD336" s="118"/>
      <c r="BE336" s="118"/>
      <c r="BF336" s="118"/>
      <c r="BG336" s="47"/>
      <c r="BH336" s="47"/>
      <c r="BI336" s="47"/>
      <c r="BJ336" s="47"/>
      <c r="BK336" s="47"/>
    </row>
    <row r="337" spans="1:63" ht="28.5" customHeight="1">
      <c r="A337" s="228"/>
      <c r="B337" s="214" t="s">
        <v>128</v>
      </c>
      <c r="C337" s="42" t="s">
        <v>120</v>
      </c>
      <c r="D337" s="28">
        <f t="shared" si="431"/>
        <v>-0.35454341854728194</v>
      </c>
      <c r="E337" s="201">
        <f t="shared" si="432"/>
        <v>0.41263748597533118</v>
      </c>
      <c r="F337" s="30">
        <f t="shared" si="433"/>
        <v>0.76718090452261312</v>
      </c>
      <c r="G337" s="30">
        <f t="shared" si="434"/>
        <v>1.8018018018018018E-2</v>
      </c>
      <c r="H337" s="35">
        <v>0</v>
      </c>
      <c r="I337" s="35">
        <f t="shared" si="435"/>
        <v>105</v>
      </c>
      <c r="J337" s="35">
        <f t="shared" si="436"/>
        <v>210</v>
      </c>
      <c r="K337" s="238"/>
      <c r="L337" s="39">
        <f>22+3</f>
        <v>25</v>
      </c>
      <c r="M337" s="210"/>
      <c r="N337" s="44">
        <v>15</v>
      </c>
      <c r="O337" s="36">
        <v>2</v>
      </c>
      <c r="P337" s="31">
        <f t="shared" si="437"/>
        <v>2</v>
      </c>
      <c r="Q337" s="36"/>
      <c r="R337" s="167">
        <v>2</v>
      </c>
      <c r="S337" s="36"/>
      <c r="T337" s="34">
        <f t="shared" si="438"/>
        <v>79600</v>
      </c>
      <c r="U337" s="31">
        <f t="shared" si="439"/>
        <v>0</v>
      </c>
      <c r="V337" s="34">
        <f t="shared" si="440"/>
        <v>79600</v>
      </c>
      <c r="W337" s="43">
        <v>39800</v>
      </c>
      <c r="X337" s="34">
        <f>SUMIF(헤몬팜마진!$B$7:$B$32,$C337,헤몬팜마진!$R$7:$R$32)</f>
        <v>13718.832999999999</v>
      </c>
      <c r="Y337" s="34">
        <f t="shared" si="441"/>
        <v>28226.069199999998</v>
      </c>
      <c r="Z337" s="34">
        <f t="shared" si="442"/>
        <v>61067.600000000006</v>
      </c>
      <c r="AA337" s="234">
        <v>55516</v>
      </c>
      <c r="AB337" s="209"/>
      <c r="AC337" s="204">
        <f t="shared" si="449"/>
        <v>0</v>
      </c>
      <c r="AD337" s="152">
        <v>0.108</v>
      </c>
      <c r="AE337" s="31">
        <f>3550*(P337)</f>
        <v>7100</v>
      </c>
      <c r="AF337" s="28">
        <f t="shared" si="444"/>
        <v>0.1971959798994975</v>
      </c>
      <c r="AG337" s="34">
        <f t="shared" si="445"/>
        <v>15696.830000000002</v>
      </c>
      <c r="AH337" s="34">
        <f t="shared" si="446"/>
        <v>2831.1569163636359</v>
      </c>
      <c r="AI337" s="34">
        <f>SUMIF(헤몬팜마진!$B$7:$B$32,$C337,헤몬팜마진!$V$7:$V$32)</f>
        <v>14113.034599999999</v>
      </c>
      <c r="AJ337" s="34">
        <f t="shared" si="447"/>
        <v>32845.943883636362</v>
      </c>
      <c r="AK337" s="206">
        <f t="shared" si="448"/>
        <v>-28221.656116363643</v>
      </c>
      <c r="AL337" s="40">
        <f>SUMIF(헤몬팜마진!$B$7:$B$32,$C337,헤몬팜마진!$T$7:$T$32)</f>
        <v>64.584000000000003</v>
      </c>
      <c r="AM337" s="41">
        <f>SUMIF(헤몬팜마진!$B$7:$B$32,$C337,헤몬팜마진!$U$7:$U$32)</f>
        <v>329.61759999999998</v>
      </c>
      <c r="AN337" s="36"/>
      <c r="AO337" s="235">
        <v>35861</v>
      </c>
      <c r="AP337" s="235">
        <v>111</v>
      </c>
      <c r="AQ337" s="126"/>
      <c r="AR337" s="126"/>
      <c r="AS337" s="126"/>
      <c r="AT337" s="118"/>
      <c r="AU337" s="118"/>
      <c r="AV337" s="118"/>
      <c r="AW337" s="118"/>
      <c r="AX337" s="118"/>
      <c r="AY337" s="118"/>
      <c r="AZ337" s="118"/>
      <c r="BA337" s="118"/>
      <c r="BB337" s="118"/>
      <c r="BC337" s="118"/>
      <c r="BD337" s="118"/>
      <c r="BE337" s="118"/>
      <c r="BF337" s="118"/>
      <c r="BG337" s="47"/>
      <c r="BH337" s="47"/>
      <c r="BI337" s="47"/>
      <c r="BJ337" s="47"/>
      <c r="BK337" s="47"/>
    </row>
    <row r="338" spans="1:63" ht="28.5" customHeight="1">
      <c r="A338" s="12"/>
      <c r="B338" s="214" t="s">
        <v>126</v>
      </c>
      <c r="C338" s="42" t="s">
        <v>31</v>
      </c>
      <c r="D338" s="28">
        <f t="shared" si="431"/>
        <v>0.10677408299120238</v>
      </c>
      <c r="E338" s="201">
        <f t="shared" si="432"/>
        <v>0.37869343782991205</v>
      </c>
      <c r="F338" s="30">
        <f t="shared" si="433"/>
        <v>0.27191935483870966</v>
      </c>
      <c r="G338" s="30">
        <f t="shared" si="434"/>
        <v>4.3137254901960784E-2</v>
      </c>
      <c r="H338" s="35">
        <v>700</v>
      </c>
      <c r="I338" s="35">
        <f t="shared" si="435"/>
        <v>210</v>
      </c>
      <c r="J338" s="35">
        <f t="shared" si="436"/>
        <v>420</v>
      </c>
      <c r="K338" s="39">
        <v>954</v>
      </c>
      <c r="L338" s="39">
        <v>2</v>
      </c>
      <c r="M338" s="210"/>
      <c r="N338" s="44">
        <v>30</v>
      </c>
      <c r="O338" s="36">
        <v>31</v>
      </c>
      <c r="P338" s="31">
        <f t="shared" si="437"/>
        <v>31</v>
      </c>
      <c r="Q338" s="36">
        <v>2</v>
      </c>
      <c r="R338" s="233">
        <v>22</v>
      </c>
      <c r="S338" s="36"/>
      <c r="T338" s="34">
        <f t="shared" si="438"/>
        <v>613800</v>
      </c>
      <c r="U338" s="31">
        <f t="shared" si="439"/>
        <v>0</v>
      </c>
      <c r="V338" s="34">
        <f t="shared" si="440"/>
        <v>613800</v>
      </c>
      <c r="W338" s="43">
        <v>19800</v>
      </c>
      <c r="X338" s="34">
        <f>SUMIF(헤몬팜마진!$B$7:$B$32,$C338,헤몬팜마진!$R$7:$R$32)</f>
        <v>6638.1449999999995</v>
      </c>
      <c r="Y338" s="34">
        <f t="shared" si="441"/>
        <v>207253.82939999996</v>
      </c>
      <c r="Z338" s="34">
        <f t="shared" si="442"/>
        <v>166904.1</v>
      </c>
      <c r="AA338" s="234">
        <v>151731</v>
      </c>
      <c r="AB338" s="211"/>
      <c r="AC338" s="204">
        <f t="shared" si="449"/>
        <v>4620</v>
      </c>
      <c r="AD338" s="152">
        <v>0.08</v>
      </c>
      <c r="AE338" s="31">
        <f>3400*(P338)</f>
        <v>105400</v>
      </c>
      <c r="AF338" s="28">
        <f t="shared" si="444"/>
        <v>0.25171717171717173</v>
      </c>
      <c r="AG338" s="34">
        <f t="shared" si="445"/>
        <v>154504.03</v>
      </c>
      <c r="AH338" s="34">
        <f t="shared" si="446"/>
        <v>19600.108460000003</v>
      </c>
      <c r="AI338" s="34">
        <f>SUMIF(헤몬팜마진!$B$7:$B$32,$C338,헤몬팜마진!$V$7:$V$32)</f>
        <v>6685.607399999999</v>
      </c>
      <c r="AJ338" s="34">
        <f t="shared" si="447"/>
        <v>232442.03214000002</v>
      </c>
      <c r="AK338" s="206">
        <f t="shared" si="448"/>
        <v>65537.932140000019</v>
      </c>
      <c r="AL338" s="40">
        <f>SUMIF(헤몬팜마진!$B$7:$B$32,$C338,헤몬팜마진!$T$7:$T$32)</f>
        <v>7.7759999999999998</v>
      </c>
      <c r="AM338" s="41">
        <f>SUMIF(헤몬팜마진!$B$7:$B$32,$C338,헤몬팜마진!$U$7:$U$32)</f>
        <v>39.686400000000006</v>
      </c>
      <c r="AN338" s="36"/>
      <c r="AO338" s="235">
        <v>331558</v>
      </c>
      <c r="AP338" s="235">
        <v>510</v>
      </c>
      <c r="AQ338" s="126"/>
      <c r="AR338" s="126"/>
      <c r="AS338" s="126"/>
      <c r="AT338" s="118"/>
      <c r="AU338" s="118"/>
      <c r="AV338" s="118"/>
      <c r="AW338" s="118"/>
      <c r="AX338" s="118"/>
      <c r="AY338" s="118"/>
      <c r="AZ338" s="118"/>
      <c r="BA338" s="118"/>
      <c r="BB338" s="118"/>
      <c r="BC338" s="118"/>
      <c r="BD338" s="118"/>
      <c r="BE338" s="118"/>
      <c r="BF338" s="118"/>
      <c r="BG338" s="47"/>
      <c r="BH338" s="47"/>
      <c r="BI338" s="47"/>
      <c r="BJ338" s="47"/>
      <c r="BK338" s="47"/>
    </row>
    <row r="339" spans="1:63" ht="28.5" customHeight="1">
      <c r="A339" s="228" t="s">
        <v>138</v>
      </c>
      <c r="B339" s="200"/>
      <c r="C339" s="42" t="s">
        <v>118</v>
      </c>
      <c r="D339" s="28" t="e">
        <f t="shared" si="431"/>
        <v>#DIV/0!</v>
      </c>
      <c r="E339" s="201" t="e">
        <f t="shared" si="432"/>
        <v>#DIV/0!</v>
      </c>
      <c r="F339" s="30" t="e">
        <f t="shared" si="433"/>
        <v>#DIV/0!</v>
      </c>
      <c r="G339" s="30" t="e">
        <f t="shared" si="434"/>
        <v>#DIV/0!</v>
      </c>
      <c r="H339" s="35">
        <v>0</v>
      </c>
      <c r="I339" s="35">
        <f t="shared" si="435"/>
        <v>350</v>
      </c>
      <c r="J339" s="35">
        <f t="shared" si="436"/>
        <v>700</v>
      </c>
      <c r="K339" s="39">
        <v>87</v>
      </c>
      <c r="L339" s="39">
        <v>0</v>
      </c>
      <c r="M339" s="210"/>
      <c r="N339" s="44">
        <v>50</v>
      </c>
      <c r="O339" s="202">
        <v>0</v>
      </c>
      <c r="P339" s="31">
        <f t="shared" si="437"/>
        <v>0</v>
      </c>
      <c r="Q339" s="36"/>
      <c r="R339" s="203"/>
      <c r="S339" s="36"/>
      <c r="T339" s="34">
        <f t="shared" si="438"/>
        <v>0</v>
      </c>
      <c r="U339" s="31">
        <f t="shared" si="439"/>
        <v>0</v>
      </c>
      <c r="V339" s="34">
        <f t="shared" si="440"/>
        <v>0</v>
      </c>
      <c r="W339" s="43">
        <v>24800</v>
      </c>
      <c r="X339" s="34">
        <f>SUMIF(헤몬팜마진!$B$7:$B$32,$C339,헤몬팜마진!$R$7:$R$32)</f>
        <v>8408.3169999999991</v>
      </c>
      <c r="Y339" s="34">
        <f t="shared" si="441"/>
        <v>0</v>
      </c>
      <c r="Z339" s="34">
        <f t="shared" si="442"/>
        <v>0</v>
      </c>
      <c r="AA339" s="49"/>
      <c r="AB339" s="209"/>
      <c r="AC339" s="204">
        <f t="shared" si="449"/>
        <v>0</v>
      </c>
      <c r="AD339" s="152">
        <v>0.1</v>
      </c>
      <c r="AE339" s="31">
        <f>1900*(P339)</f>
        <v>0</v>
      </c>
      <c r="AF339" s="28" t="e">
        <f t="shared" si="444"/>
        <v>#DIV/0!</v>
      </c>
      <c r="AG339" s="34">
        <f t="shared" si="445"/>
        <v>0</v>
      </c>
      <c r="AH339" s="34">
        <f t="shared" si="446"/>
        <v>0</v>
      </c>
      <c r="AI339" s="34">
        <f>SUMIF(헤몬팜마진!$B$7:$B$32,$C339,헤몬팜마진!$V$7:$V$32)</f>
        <v>8579.7089999999989</v>
      </c>
      <c r="AJ339" s="34">
        <f t="shared" si="447"/>
        <v>0</v>
      </c>
      <c r="AK339" s="206">
        <f t="shared" si="448"/>
        <v>0</v>
      </c>
      <c r="AL339" s="40">
        <f>SUMIF(헤몬팜마진!$B$7:$B$32,$C339,헤몬팜마진!$T$7:$T$32)</f>
        <v>28.079999999999995</v>
      </c>
      <c r="AM339" s="41">
        <f>SUMIF(헤몬팜마진!$B$7:$B$32,$C339,헤몬팜마진!$U$7:$U$32)</f>
        <v>143.31199999999998</v>
      </c>
      <c r="AN339" s="36"/>
      <c r="AO339" s="202"/>
      <c r="AP339" s="205"/>
      <c r="AQ339" s="126"/>
      <c r="AR339" s="126"/>
      <c r="AS339" s="126"/>
      <c r="AT339" s="118"/>
      <c r="AU339" s="118"/>
      <c r="AV339" s="118"/>
      <c r="AW339" s="118"/>
      <c r="AX339" s="118"/>
      <c r="AY339" s="118"/>
      <c r="AZ339" s="118"/>
      <c r="BA339" s="118"/>
      <c r="BB339" s="118"/>
      <c r="BC339" s="118"/>
      <c r="BD339" s="118"/>
      <c r="BE339" s="118"/>
      <c r="BF339" s="118"/>
      <c r="BG339" s="47"/>
      <c r="BH339" s="47"/>
      <c r="BI339" s="47"/>
      <c r="BJ339" s="47"/>
      <c r="BK339" s="47"/>
    </row>
    <row r="340" spans="1:63" ht="28.5" customHeight="1">
      <c r="A340" s="12"/>
      <c r="B340" s="216"/>
      <c r="C340" s="217"/>
      <c r="D340" s="51" t="e">
        <f t="shared" si="431"/>
        <v>#REF!</v>
      </c>
      <c r="E340" s="218" t="e">
        <f t="shared" si="432"/>
        <v>#REF!</v>
      </c>
      <c r="F340" s="53">
        <f t="shared" si="433"/>
        <v>0.27687307351839668</v>
      </c>
      <c r="G340" s="219"/>
      <c r="H340" s="55"/>
      <c r="I340" s="55"/>
      <c r="J340" s="55"/>
      <c r="K340" s="55"/>
      <c r="L340" s="55"/>
      <c r="M340" s="55"/>
      <c r="N340" s="55"/>
      <c r="O340" s="130">
        <f t="shared" ref="O340:V340" si="453">SUM(O323:O338)</f>
        <v>323</v>
      </c>
      <c r="P340" s="220">
        <f t="shared" si="453"/>
        <v>323</v>
      </c>
      <c r="Q340" s="130">
        <f t="shared" si="453"/>
        <v>34</v>
      </c>
      <c r="R340" s="130">
        <f t="shared" si="453"/>
        <v>237</v>
      </c>
      <c r="S340" s="130">
        <f t="shared" si="453"/>
        <v>0</v>
      </c>
      <c r="T340" s="130">
        <f t="shared" si="453"/>
        <v>8811400</v>
      </c>
      <c r="U340" s="130">
        <f t="shared" si="453"/>
        <v>0</v>
      </c>
      <c r="V340" s="220">
        <f t="shared" si="453"/>
        <v>8811400</v>
      </c>
      <c r="W340" s="55"/>
      <c r="X340" s="130">
        <f t="shared" ref="X340:AC340" si="454">SUM(X323:X338)</f>
        <v>145176.23114999998</v>
      </c>
      <c r="Y340" s="220" t="e">
        <f t="shared" si="454"/>
        <v>#REF!</v>
      </c>
      <c r="Z340" s="130">
        <f t="shared" si="454"/>
        <v>2439639.4000000004</v>
      </c>
      <c r="AA340" s="130">
        <f t="shared" si="454"/>
        <v>2217854</v>
      </c>
      <c r="AB340" s="130">
        <f t="shared" si="454"/>
        <v>0</v>
      </c>
      <c r="AC340" s="130">
        <f t="shared" si="454"/>
        <v>76608</v>
      </c>
      <c r="AD340" s="154">
        <v>0.09</v>
      </c>
      <c r="AE340" s="220">
        <f>SUM(AE323:AE338)</f>
        <v>1018725</v>
      </c>
      <c r="AF340" s="53">
        <f t="shared" si="444"/>
        <v>0.20561443130490048</v>
      </c>
      <c r="AG340" s="56">
        <f t="shared" ref="AG340:AI340" si="455">SUM(AG323:AG338)</f>
        <v>1855096.6200000003</v>
      </c>
      <c r="AH340" s="56" t="e">
        <f t="shared" si="455"/>
        <v>#REF!</v>
      </c>
      <c r="AI340" s="56" t="e">
        <f t="shared" si="455"/>
        <v>#REF!</v>
      </c>
      <c r="AJ340" s="56" t="e">
        <f t="shared" si="447"/>
        <v>#REF!</v>
      </c>
      <c r="AK340" s="221" t="e">
        <f t="shared" si="448"/>
        <v>#REF!</v>
      </c>
      <c r="AL340" s="54"/>
      <c r="AM340" s="222"/>
      <c r="AN340" s="57"/>
      <c r="AO340" s="131">
        <f t="shared" ref="AO340:AP340" si="456">SUM(AO323:AO324)</f>
        <v>405479</v>
      </c>
      <c r="AP340" s="132">
        <f t="shared" si="456"/>
        <v>2182</v>
      </c>
      <c r="AQ340" s="126"/>
      <c r="AR340" s="126"/>
      <c r="AS340" s="126"/>
      <c r="AT340" s="118"/>
      <c r="AU340" s="118"/>
      <c r="AV340" s="118"/>
      <c r="AW340" s="118"/>
      <c r="AX340" s="118"/>
      <c r="AY340" s="118"/>
      <c r="AZ340" s="118"/>
      <c r="BA340" s="118"/>
      <c r="BB340" s="118"/>
      <c r="BC340" s="118"/>
      <c r="BD340" s="118"/>
      <c r="BE340" s="118"/>
      <c r="BF340" s="118"/>
      <c r="BG340" s="47"/>
      <c r="BH340" s="47"/>
      <c r="BI340" s="47"/>
      <c r="BJ340" s="47"/>
      <c r="BK340" s="47"/>
    </row>
    <row r="341" spans="1:63" ht="28.5" customHeight="1">
      <c r="A341" s="3"/>
      <c r="B341" s="120"/>
      <c r="C341" s="229"/>
      <c r="D341" s="230"/>
      <c r="E341" s="230"/>
      <c r="F341" s="230"/>
      <c r="G341" s="230"/>
      <c r="H341" s="231"/>
      <c r="I341" s="231"/>
      <c r="J341" s="231"/>
      <c r="K341" s="231"/>
      <c r="L341" s="231"/>
      <c r="M341" s="231"/>
      <c r="N341" s="231"/>
      <c r="O341" s="231"/>
      <c r="P341" s="232"/>
      <c r="Q341" s="231"/>
      <c r="R341" s="231"/>
      <c r="S341" s="231"/>
      <c r="T341" s="231"/>
      <c r="U341" s="231"/>
      <c r="V341" s="231"/>
      <c r="W341" s="231"/>
      <c r="X341" s="231"/>
      <c r="Y341" s="231"/>
      <c r="Z341" s="231"/>
      <c r="AA341" s="133"/>
      <c r="AB341" s="61"/>
      <c r="AC341" s="148"/>
      <c r="AD341" s="148"/>
      <c r="AE341" s="148"/>
      <c r="AF341" s="148"/>
      <c r="AG341" s="61"/>
      <c r="AH341" s="61"/>
      <c r="AI341" s="187"/>
      <c r="AJ341" s="118"/>
      <c r="AK341" s="126"/>
      <c r="AL341" s="126"/>
      <c r="AM341" s="126"/>
      <c r="AN341" s="118"/>
      <c r="AO341" s="118"/>
      <c r="AP341" s="118"/>
      <c r="AQ341" s="126"/>
      <c r="AR341" s="126"/>
      <c r="AS341" s="126"/>
      <c r="AT341" s="118"/>
      <c r="AU341" s="118"/>
      <c r="AV341" s="118"/>
      <c r="AW341" s="118"/>
      <c r="AX341" s="118"/>
      <c r="AY341" s="118"/>
      <c r="AZ341" s="118"/>
      <c r="BA341" s="118"/>
      <c r="BB341" s="118"/>
      <c r="BC341" s="118"/>
      <c r="BD341" s="118"/>
      <c r="BE341" s="118"/>
      <c r="BF341" s="118"/>
      <c r="BG341" s="47"/>
      <c r="BH341" s="47"/>
      <c r="BI341" s="47"/>
      <c r="BJ341" s="47"/>
      <c r="BK341" s="47"/>
    </row>
    <row r="342" spans="1:63" ht="28.5" customHeight="1">
      <c r="A342" s="12"/>
      <c r="B342" s="189"/>
      <c r="C342" s="134">
        <v>45948</v>
      </c>
      <c r="D342" s="122" t="s">
        <v>0</v>
      </c>
      <c r="E342" s="122" t="s">
        <v>1</v>
      </c>
      <c r="F342" s="122" t="s">
        <v>2</v>
      </c>
      <c r="G342" s="190" t="s">
        <v>3</v>
      </c>
      <c r="H342" s="191" t="s">
        <v>4</v>
      </c>
      <c r="I342" s="192" t="s">
        <v>5</v>
      </c>
      <c r="J342" s="192" t="s">
        <v>90</v>
      </c>
      <c r="K342" s="193" t="s">
        <v>6</v>
      </c>
      <c r="L342" s="194" t="s">
        <v>7</v>
      </c>
      <c r="M342" s="15" t="s">
        <v>91</v>
      </c>
      <c r="N342" s="123" t="s">
        <v>125</v>
      </c>
      <c r="O342" s="123" t="s">
        <v>8</v>
      </c>
      <c r="P342" s="123" t="s">
        <v>9</v>
      </c>
      <c r="Q342" s="195" t="s">
        <v>10</v>
      </c>
      <c r="R342" s="123" t="s">
        <v>92</v>
      </c>
      <c r="S342" s="196" t="s">
        <v>11</v>
      </c>
      <c r="T342" s="17" t="s">
        <v>12</v>
      </c>
      <c r="U342" s="17" t="s">
        <v>13</v>
      </c>
      <c r="V342" s="17" t="s">
        <v>14</v>
      </c>
      <c r="W342" s="17" t="s">
        <v>15</v>
      </c>
      <c r="X342" s="15" t="s">
        <v>16</v>
      </c>
      <c r="Y342" s="15" t="s">
        <v>17</v>
      </c>
      <c r="Z342" s="19" t="s">
        <v>18</v>
      </c>
      <c r="AA342" s="19" t="s">
        <v>19</v>
      </c>
      <c r="AB342" s="20" t="s">
        <v>20</v>
      </c>
      <c r="AC342" s="22" t="s">
        <v>93</v>
      </c>
      <c r="AD342" s="197" t="s">
        <v>21</v>
      </c>
      <c r="AE342" s="122" t="s">
        <v>22</v>
      </c>
      <c r="AF342" s="21" t="s">
        <v>23</v>
      </c>
      <c r="AG342" s="21" t="s">
        <v>21</v>
      </c>
      <c r="AH342" s="122" t="s">
        <v>24</v>
      </c>
      <c r="AI342" s="15" t="s">
        <v>25</v>
      </c>
      <c r="AJ342" s="15" t="s">
        <v>26</v>
      </c>
      <c r="AK342" s="122" t="s">
        <v>27</v>
      </c>
      <c r="AL342" s="198" t="s">
        <v>28</v>
      </c>
      <c r="AM342" s="199" t="s">
        <v>29</v>
      </c>
      <c r="AN342" s="124" t="s">
        <v>30</v>
      </c>
      <c r="AO342" s="124" t="s">
        <v>94</v>
      </c>
      <c r="AP342" s="125" t="s">
        <v>95</v>
      </c>
      <c r="AQ342" s="126"/>
      <c r="AR342" s="126"/>
      <c r="AS342" s="126"/>
      <c r="AT342" s="118"/>
      <c r="AU342" s="118"/>
      <c r="AV342" s="118"/>
      <c r="AW342" s="118"/>
      <c r="AX342" s="118"/>
      <c r="AY342" s="118"/>
      <c r="AZ342" s="118"/>
      <c r="BA342" s="118"/>
      <c r="BB342" s="118"/>
      <c r="BC342" s="118"/>
      <c r="BD342" s="118"/>
      <c r="BE342" s="118"/>
      <c r="BF342" s="118"/>
      <c r="BG342" s="47"/>
      <c r="BH342" s="47"/>
      <c r="BI342" s="47"/>
      <c r="BJ342" s="47"/>
      <c r="BK342" s="47"/>
    </row>
    <row r="343" spans="1:63" ht="28.5" customHeight="1">
      <c r="A343" s="12" t="s">
        <v>129</v>
      </c>
      <c r="B343" s="200"/>
      <c r="C343" s="42" t="s">
        <v>107</v>
      </c>
      <c r="D343" s="28">
        <f t="shared" ref="D343:D360" si="457">AK343/V343</f>
        <v>0.17367337924733708</v>
      </c>
      <c r="E343" s="201">
        <f t="shared" ref="E343:E360" si="458">AJ343/V343</f>
        <v>0.42270749888835846</v>
      </c>
      <c r="F343" s="30">
        <f t="shared" ref="F343:F360" si="459">(Z343+AB343)/V343</f>
        <v>0.24903411964102137</v>
      </c>
      <c r="G343" s="30">
        <f t="shared" ref="G343:G359" si="460">R343/AP343</f>
        <v>8.2783882783882781E-2</v>
      </c>
      <c r="H343" s="35">
        <v>7410</v>
      </c>
      <c r="I343" s="35">
        <f t="shared" ref="I343:I359" si="461">N343*7</f>
        <v>1400</v>
      </c>
      <c r="J343" s="35">
        <f t="shared" ref="J343:J359" si="462">N343*14</f>
        <v>2800</v>
      </c>
      <c r="K343" s="49">
        <v>76</v>
      </c>
      <c r="L343" s="49">
        <f>1906+1320</f>
        <v>3226</v>
      </c>
      <c r="M343" s="48"/>
      <c r="N343" s="44">
        <v>200</v>
      </c>
      <c r="O343" s="227">
        <v>258</v>
      </c>
      <c r="P343" s="31">
        <f t="shared" ref="P343:P359" si="463">O343-S343</f>
        <v>258</v>
      </c>
      <c r="Q343" s="227">
        <v>11</v>
      </c>
      <c r="R343" s="233">
        <v>226</v>
      </c>
      <c r="S343" s="36"/>
      <c r="T343" s="34">
        <f t="shared" ref="T343:T359" si="464">W343*O343</f>
        <v>7198200</v>
      </c>
      <c r="U343" s="31">
        <f t="shared" ref="U343:U359" si="465">W343*S343</f>
        <v>0</v>
      </c>
      <c r="V343" s="34">
        <f t="shared" ref="V343:V359" si="466">T343-U343</f>
        <v>7198200</v>
      </c>
      <c r="W343" s="34">
        <v>27900</v>
      </c>
      <c r="X343" s="34">
        <f>SUMIF(헤몬팜마진!$B$7:$B$32,$C343,헤몬팜마진!$R$7:$R$32)</f>
        <v>8850.86</v>
      </c>
      <c r="Y343" s="34">
        <f t="shared" ref="Y343:Y359" si="467">AI343*P343</f>
        <v>2385225.8928</v>
      </c>
      <c r="Z343" s="34">
        <f t="shared" ref="Z343:Z359" si="468">AA343*1.1</f>
        <v>1792597.4000000001</v>
      </c>
      <c r="AA343" s="234">
        <v>1629634</v>
      </c>
      <c r="AB343" s="36"/>
      <c r="AC343" s="204">
        <f t="shared" ref="AC343:AC344" si="469">(1072+1100)*Q343</f>
        <v>23892</v>
      </c>
      <c r="AD343" s="152">
        <v>0.1</v>
      </c>
      <c r="AE343" s="31">
        <f>3050*(P343)</f>
        <v>786900</v>
      </c>
      <c r="AF343" s="28">
        <f t="shared" ref="AF343:AF360" si="470">AD343+(AE343/V343)</f>
        <v>0.20931899641577062</v>
      </c>
      <c r="AG343" s="34">
        <f t="shared" ref="AG343:AG359" si="471">IFERROR(V343*AF343+3%,0)</f>
        <v>1506720.03</v>
      </c>
      <c r="AH343" s="34">
        <f t="shared" ref="AH343:AH359" si="472">V343/1.1*10%-((AI343*P343)+AG343+(AN343*P343)+(AL343*P343))*10%</f>
        <v>263520.95870181825</v>
      </c>
      <c r="AI343" s="34">
        <f>SUMIF(헤몬팜마진!$B$7:$B$32,$C343,헤몬팜마진!$V$7:$V$32)</f>
        <v>9245.0616000000009</v>
      </c>
      <c r="AJ343" s="34">
        <f t="shared" ref="AJ343:AJ360" si="473">V343-(Y343+AG343+AH343+(AN343*P343))</f>
        <v>3042733.1184981819</v>
      </c>
      <c r="AK343" s="46">
        <f t="shared" ref="AK343:AK360" si="474">AJ343-Z343-AB343</f>
        <v>1250135.7184981818</v>
      </c>
      <c r="AL343" s="40">
        <f>SUMIF(헤몬팜마진!$B$7:$B$32,$C343,헤몬팜마진!$T$7:$T$32)</f>
        <v>64.584000000000003</v>
      </c>
      <c r="AM343" s="41">
        <f>SUMIF(헤몬팜마진!$B$7:$B$32,$C343,헤몬팜마진!$U$7:$U$32)</f>
        <v>329.61759999999998</v>
      </c>
      <c r="AN343" s="36"/>
      <c r="AO343" s="235">
        <v>513963</v>
      </c>
      <c r="AP343" s="235">
        <v>2730</v>
      </c>
      <c r="AQ343" s="126"/>
      <c r="AR343" s="126"/>
      <c r="AS343" s="126"/>
      <c r="AT343" s="118"/>
      <c r="AU343" s="118"/>
      <c r="AV343" s="118"/>
      <c r="AW343" s="118"/>
      <c r="AX343" s="118"/>
      <c r="AY343" s="118"/>
      <c r="AZ343" s="118"/>
      <c r="BA343" s="118"/>
      <c r="BB343" s="118"/>
      <c r="BC343" s="118"/>
      <c r="BD343" s="118"/>
      <c r="BE343" s="118"/>
      <c r="BF343" s="118"/>
      <c r="BG343" s="47"/>
      <c r="BH343" s="47"/>
      <c r="BI343" s="47"/>
      <c r="BJ343" s="47"/>
      <c r="BK343" s="47"/>
    </row>
    <row r="344" spans="1:63" ht="28.5" customHeight="1">
      <c r="A344" s="228" t="s">
        <v>130</v>
      </c>
      <c r="B344" s="200"/>
      <c r="C344" s="42" t="s">
        <v>108</v>
      </c>
      <c r="D344" s="28" t="e">
        <f t="shared" si="457"/>
        <v>#DIV/0!</v>
      </c>
      <c r="E344" s="201" t="e">
        <f t="shared" si="458"/>
        <v>#DIV/0!</v>
      </c>
      <c r="F344" s="30" t="e">
        <f t="shared" si="459"/>
        <v>#DIV/0!</v>
      </c>
      <c r="G344" s="30" t="e">
        <f t="shared" si="460"/>
        <v>#DIV/0!</v>
      </c>
      <c r="H344" s="35">
        <v>1460</v>
      </c>
      <c r="I344" s="35">
        <f t="shared" si="461"/>
        <v>140</v>
      </c>
      <c r="J344" s="35">
        <f t="shared" si="462"/>
        <v>280</v>
      </c>
      <c r="K344" s="39">
        <v>325</v>
      </c>
      <c r="L344" s="39">
        <v>0</v>
      </c>
      <c r="M344" s="210"/>
      <c r="N344" s="44">
        <v>20</v>
      </c>
      <c r="O344" s="202">
        <v>0</v>
      </c>
      <c r="P344" s="31">
        <f t="shared" si="463"/>
        <v>0</v>
      </c>
      <c r="Q344" s="36"/>
      <c r="R344" s="167"/>
      <c r="S344" s="36"/>
      <c r="T344" s="34">
        <f t="shared" si="464"/>
        <v>0</v>
      </c>
      <c r="U344" s="31">
        <f t="shared" si="465"/>
        <v>0</v>
      </c>
      <c r="V344" s="34">
        <f t="shared" si="466"/>
        <v>0</v>
      </c>
      <c r="W344" s="43">
        <v>22700</v>
      </c>
      <c r="X344" s="34">
        <f>SUMIF(헤몬팜마진!$B$7:$B$32,$C344,헤몬팜마진!$R$7:$R$32)</f>
        <v>7080.6879999999992</v>
      </c>
      <c r="Y344" s="34">
        <f t="shared" si="467"/>
        <v>0</v>
      </c>
      <c r="Z344" s="34">
        <f t="shared" si="468"/>
        <v>0</v>
      </c>
      <c r="AA344" s="234"/>
      <c r="AB344" s="36"/>
      <c r="AC344" s="204">
        <f t="shared" si="469"/>
        <v>0</v>
      </c>
      <c r="AD344" s="152">
        <v>0.1</v>
      </c>
      <c r="AE344" s="31">
        <f>2950*(P344)</f>
        <v>0</v>
      </c>
      <c r="AF344" s="28" t="e">
        <f t="shared" si="470"/>
        <v>#DIV/0!</v>
      </c>
      <c r="AG344" s="34">
        <f t="shared" si="471"/>
        <v>0</v>
      </c>
      <c r="AH344" s="34">
        <f t="shared" si="472"/>
        <v>0</v>
      </c>
      <c r="AI344" s="34">
        <f>SUMIF(헤몬팜마진!$B$7:$B$32,$C344,헤몬팜마진!$V$7:$V$32)</f>
        <v>7377.3279999999995</v>
      </c>
      <c r="AJ344" s="34">
        <f t="shared" si="473"/>
        <v>0</v>
      </c>
      <c r="AK344" s="46">
        <f t="shared" si="474"/>
        <v>0</v>
      </c>
      <c r="AL344" s="40">
        <f>SUMIF(헤몬팜마진!$B$7:$B$32,$C344,헤몬팜마진!$T$7:$T$32)</f>
        <v>48.6</v>
      </c>
      <c r="AM344" s="41">
        <f>SUMIF(헤몬팜마진!$B$7:$B$32,$C344,헤몬팜마진!$U$7:$U$32)</f>
        <v>248.04000000000002</v>
      </c>
      <c r="AN344" s="36"/>
      <c r="AO344" s="235"/>
      <c r="AP344" s="235"/>
      <c r="AQ344" s="126"/>
      <c r="AR344" s="126"/>
      <c r="AS344" s="126"/>
      <c r="AT344" s="118"/>
      <c r="AU344" s="118"/>
      <c r="AV344" s="118"/>
      <c r="AW344" s="118"/>
      <c r="AX344" s="118"/>
      <c r="AY344" s="118"/>
      <c r="AZ344" s="118"/>
      <c r="BA344" s="118"/>
      <c r="BB344" s="118"/>
      <c r="BC344" s="118"/>
      <c r="BD344" s="118"/>
      <c r="BE344" s="118"/>
      <c r="BF344" s="118"/>
      <c r="BG344" s="47"/>
      <c r="BH344" s="47"/>
      <c r="BI344" s="47"/>
      <c r="BJ344" s="47"/>
      <c r="BK344" s="47"/>
    </row>
    <row r="345" spans="1:63" ht="28.5" customHeight="1">
      <c r="A345" s="228" t="s">
        <v>131</v>
      </c>
      <c r="B345" s="323"/>
      <c r="C345" s="42" t="s">
        <v>109</v>
      </c>
      <c r="D345" s="28" t="e">
        <f t="shared" si="457"/>
        <v>#REF!</v>
      </c>
      <c r="E345" s="201" t="e">
        <f t="shared" si="458"/>
        <v>#REF!</v>
      </c>
      <c r="F345" s="30">
        <f t="shared" si="459"/>
        <v>0.10247910168434186</v>
      </c>
      <c r="G345" s="30">
        <f t="shared" si="460"/>
        <v>3.2432432432432434E-2</v>
      </c>
      <c r="H345" s="35">
        <v>0</v>
      </c>
      <c r="I345" s="35">
        <f t="shared" si="461"/>
        <v>105</v>
      </c>
      <c r="J345" s="35">
        <f t="shared" si="462"/>
        <v>210</v>
      </c>
      <c r="K345" s="50">
        <v>430</v>
      </c>
      <c r="L345" s="49">
        <f>40+3+3</f>
        <v>46</v>
      </c>
      <c r="M345" s="48"/>
      <c r="N345" s="44">
        <v>15</v>
      </c>
      <c r="O345" s="202">
        <v>7</v>
      </c>
      <c r="P345" s="31">
        <f t="shared" si="463"/>
        <v>7</v>
      </c>
      <c r="Q345" s="36"/>
      <c r="R345" s="203">
        <v>6</v>
      </c>
      <c r="S345" s="36"/>
      <c r="T345" s="34">
        <f t="shared" si="464"/>
        <v>320600</v>
      </c>
      <c r="U345" s="31">
        <f t="shared" si="465"/>
        <v>0</v>
      </c>
      <c r="V345" s="34">
        <f t="shared" si="466"/>
        <v>320600</v>
      </c>
      <c r="W345" s="43">
        <v>45800</v>
      </c>
      <c r="X345" s="34">
        <f>SUMIF(헤몬팜마진!$B$7:$B$32,$C345,헤몬팜마진!$R$7:$R$32)</f>
        <v>9990.4082249999992</v>
      </c>
      <c r="Y345" s="34" t="e">
        <f t="shared" si="467"/>
        <v>#REF!</v>
      </c>
      <c r="Z345" s="34">
        <f t="shared" si="468"/>
        <v>32854.800000000003</v>
      </c>
      <c r="AA345" s="234">
        <v>29868</v>
      </c>
      <c r="AB345" s="36"/>
      <c r="AC345" s="204">
        <f t="shared" ref="AC345:AC359" si="475">(1210+1100)*Q345</f>
        <v>0</v>
      </c>
      <c r="AD345" s="152">
        <v>0.11</v>
      </c>
      <c r="AE345" s="31">
        <f t="shared" ref="AE345:AE347" si="476">4150*(P345)</f>
        <v>29050</v>
      </c>
      <c r="AF345" s="28">
        <f t="shared" si="470"/>
        <v>0.2006113537117904</v>
      </c>
      <c r="AG345" s="34">
        <f t="shared" si="471"/>
        <v>64316.03</v>
      </c>
      <c r="AH345" s="34" t="e">
        <f t="shared" si="472"/>
        <v>#REF!</v>
      </c>
      <c r="AI345" s="34" t="e">
        <f>SUMIF(헤몬팜마진!$B$7:$B$32,$C345,헤몬팜마진!$V$7:$V$32)</f>
        <v>#REF!</v>
      </c>
      <c r="AJ345" s="34" t="e">
        <f t="shared" si="473"/>
        <v>#REF!</v>
      </c>
      <c r="AK345" s="46" t="e">
        <f t="shared" si="474"/>
        <v>#REF!</v>
      </c>
      <c r="AL345" s="40">
        <f>SUMIF(헤몬팜마진!$B$7:$B$32,$C345,헤몬팜마진!$T$7:$T$32)</f>
        <v>162</v>
      </c>
      <c r="AM345" s="41">
        <f>SUMIF(헤몬팜마진!$B$7:$B$32,$C345,헤몬팜마진!$U$7:$U$32)</f>
        <v>826.80000000000007</v>
      </c>
      <c r="AN345" s="36"/>
      <c r="AO345" s="235">
        <v>41209</v>
      </c>
      <c r="AP345" s="235">
        <v>185</v>
      </c>
      <c r="AQ345" s="126"/>
      <c r="AR345" s="126"/>
      <c r="AS345" s="126"/>
      <c r="AT345" s="118"/>
      <c r="AU345" s="118"/>
      <c r="AV345" s="118"/>
      <c r="AW345" s="118"/>
      <c r="AX345" s="118"/>
      <c r="AY345" s="118"/>
      <c r="AZ345" s="118"/>
      <c r="BA345" s="118"/>
      <c r="BB345" s="118"/>
      <c r="BC345" s="118"/>
      <c r="BD345" s="118"/>
      <c r="BE345" s="118"/>
      <c r="BF345" s="118"/>
      <c r="BG345" s="47"/>
      <c r="BH345" s="47"/>
      <c r="BI345" s="47"/>
      <c r="BJ345" s="47"/>
      <c r="BK345" s="47"/>
    </row>
    <row r="346" spans="1:63" ht="28.5" customHeight="1">
      <c r="A346" s="228"/>
      <c r="B346" s="324"/>
      <c r="C346" s="42" t="s">
        <v>110</v>
      </c>
      <c r="D346" s="28" t="e">
        <f t="shared" si="457"/>
        <v>#REF!</v>
      </c>
      <c r="E346" s="201" t="e">
        <f t="shared" si="458"/>
        <v>#REF!</v>
      </c>
      <c r="F346" s="30">
        <f t="shared" si="459"/>
        <v>0.63559081196581202</v>
      </c>
      <c r="G346" s="30">
        <f t="shared" si="460"/>
        <v>2.7777777777777776E-2</v>
      </c>
      <c r="H346" s="35">
        <v>0</v>
      </c>
      <c r="I346" s="35">
        <f t="shared" si="461"/>
        <v>105</v>
      </c>
      <c r="J346" s="35">
        <f t="shared" si="462"/>
        <v>210</v>
      </c>
      <c r="K346" s="236"/>
      <c r="L346" s="49">
        <f>13+2</f>
        <v>15</v>
      </c>
      <c r="M346" s="48"/>
      <c r="N346" s="44">
        <v>15</v>
      </c>
      <c r="O346" s="202">
        <v>4</v>
      </c>
      <c r="P346" s="31">
        <f t="shared" si="463"/>
        <v>4</v>
      </c>
      <c r="Q346" s="202">
        <v>1</v>
      </c>
      <c r="R346" s="233">
        <v>5</v>
      </c>
      <c r="S346" s="36"/>
      <c r="T346" s="34">
        <f t="shared" si="464"/>
        <v>187200</v>
      </c>
      <c r="U346" s="31">
        <f t="shared" si="465"/>
        <v>0</v>
      </c>
      <c r="V346" s="34">
        <f t="shared" si="466"/>
        <v>187200</v>
      </c>
      <c r="W346" s="43">
        <v>46800</v>
      </c>
      <c r="X346" s="34">
        <f>SUMIF(헤몬팜마진!$B$7:$B$32,$C346,헤몬팜마진!$R$7:$R$32)</f>
        <v>9990.4082249999992</v>
      </c>
      <c r="Y346" s="34" t="e">
        <f t="shared" si="467"/>
        <v>#REF!</v>
      </c>
      <c r="Z346" s="34">
        <f t="shared" si="468"/>
        <v>118982.6</v>
      </c>
      <c r="AA346" s="234">
        <f>84900+23266</f>
        <v>108166</v>
      </c>
      <c r="AB346" s="36"/>
      <c r="AC346" s="204">
        <f t="shared" si="475"/>
        <v>2310</v>
      </c>
      <c r="AD346" s="152">
        <v>0.11</v>
      </c>
      <c r="AE346" s="31">
        <f t="shared" si="476"/>
        <v>16600</v>
      </c>
      <c r="AF346" s="28">
        <f t="shared" si="470"/>
        <v>0.19867521367521368</v>
      </c>
      <c r="AG346" s="34">
        <f t="shared" si="471"/>
        <v>37192.03</v>
      </c>
      <c r="AH346" s="34" t="e">
        <f t="shared" si="472"/>
        <v>#REF!</v>
      </c>
      <c r="AI346" s="34" t="e">
        <f>SUMIF(헤몬팜마진!$B$7:$B$32,$C346,헤몬팜마진!$V$7:$V$32)</f>
        <v>#REF!</v>
      </c>
      <c r="AJ346" s="34" t="e">
        <f t="shared" si="473"/>
        <v>#REF!</v>
      </c>
      <c r="AK346" s="206" t="e">
        <f t="shared" si="474"/>
        <v>#REF!</v>
      </c>
      <c r="AL346" s="40">
        <f>SUMIF(헤몬팜마진!$B$7:$B$32,$C346,헤몬팜마진!$T$7:$T$32)</f>
        <v>162</v>
      </c>
      <c r="AM346" s="41">
        <f>SUMIF(헤몬팜마진!$B$7:$B$32,$C346,헤몬팜마진!$U$7:$U$32)</f>
        <v>826.80000000000007</v>
      </c>
      <c r="AN346" s="36"/>
      <c r="AO346" s="235">
        <v>49875</v>
      </c>
      <c r="AP346" s="235">
        <v>180</v>
      </c>
      <c r="AQ346" s="126"/>
      <c r="AR346" s="126"/>
      <c r="AS346" s="126"/>
      <c r="AT346" s="118"/>
      <c r="AU346" s="118"/>
      <c r="AV346" s="118"/>
      <c r="AW346" s="118"/>
      <c r="AX346" s="118"/>
      <c r="AY346" s="118"/>
      <c r="AZ346" s="118"/>
      <c r="BA346" s="118"/>
      <c r="BB346" s="118"/>
      <c r="BC346" s="118"/>
      <c r="BD346" s="118"/>
      <c r="BE346" s="118"/>
      <c r="BF346" s="118"/>
      <c r="BG346" s="47"/>
      <c r="BH346" s="47"/>
      <c r="BI346" s="47"/>
      <c r="BJ346" s="47"/>
      <c r="BK346" s="47"/>
    </row>
    <row r="347" spans="1:63" ht="28.5" customHeight="1">
      <c r="A347" s="228" t="s">
        <v>134</v>
      </c>
      <c r="B347" s="207"/>
      <c r="C347" s="42" t="s">
        <v>112</v>
      </c>
      <c r="D347" s="29" t="e">
        <f t="shared" si="457"/>
        <v>#REF!</v>
      </c>
      <c r="E347" s="201" t="e">
        <f t="shared" si="458"/>
        <v>#REF!</v>
      </c>
      <c r="F347" s="30">
        <f t="shared" si="459"/>
        <v>0.82574623115577894</v>
      </c>
      <c r="G347" s="30">
        <f t="shared" si="460"/>
        <v>1.3986013986013986E-2</v>
      </c>
      <c r="H347" s="37">
        <v>0</v>
      </c>
      <c r="I347" s="35">
        <f t="shared" si="461"/>
        <v>140</v>
      </c>
      <c r="J347" s="35">
        <f t="shared" si="462"/>
        <v>280</v>
      </c>
      <c r="K347" s="50">
        <v>343</v>
      </c>
      <c r="L347" s="39">
        <f>97+42+48+31+19+10</f>
        <v>247</v>
      </c>
      <c r="M347" s="210"/>
      <c r="N347" s="44">
        <v>20</v>
      </c>
      <c r="O347" s="202">
        <v>3</v>
      </c>
      <c r="P347" s="31">
        <f t="shared" si="463"/>
        <v>3</v>
      </c>
      <c r="Q347" s="202"/>
      <c r="R347" s="233">
        <v>2</v>
      </c>
      <c r="S347" s="36"/>
      <c r="T347" s="34">
        <f t="shared" si="464"/>
        <v>119400</v>
      </c>
      <c r="U347" s="31">
        <f t="shared" si="465"/>
        <v>0</v>
      </c>
      <c r="V347" s="34">
        <f t="shared" si="466"/>
        <v>119400</v>
      </c>
      <c r="W347" s="43">
        <v>39800</v>
      </c>
      <c r="X347" s="34">
        <f>SUMIF(헤몬팜마진!$B$7:$B$32,$C347,헤몬팜마진!$R$7:$R$32)</f>
        <v>7855.1382499999991</v>
      </c>
      <c r="Y347" s="34" t="e">
        <f t="shared" si="467"/>
        <v>#REF!</v>
      </c>
      <c r="Z347" s="34">
        <f t="shared" si="468"/>
        <v>98594.1</v>
      </c>
      <c r="AA347" s="234">
        <v>89631</v>
      </c>
      <c r="AB347" s="209"/>
      <c r="AC347" s="204">
        <f t="shared" si="475"/>
        <v>0</v>
      </c>
      <c r="AD347" s="152">
        <v>0.08</v>
      </c>
      <c r="AE347" s="31">
        <f t="shared" si="476"/>
        <v>12450</v>
      </c>
      <c r="AF347" s="28">
        <f t="shared" si="470"/>
        <v>0.18427135678391959</v>
      </c>
      <c r="AG347" s="34">
        <f t="shared" si="471"/>
        <v>22002.03</v>
      </c>
      <c r="AH347" s="34" t="e">
        <f t="shared" si="472"/>
        <v>#REF!</v>
      </c>
      <c r="AI347" s="34" t="e">
        <f>SUMIF(헤몬팜마진!$B$7:$B$32,$C347,헤몬팜마진!$V$7:$V$32)</f>
        <v>#REF!</v>
      </c>
      <c r="AJ347" s="34" t="e">
        <f t="shared" si="473"/>
        <v>#REF!</v>
      </c>
      <c r="AK347" s="46" t="e">
        <f t="shared" si="474"/>
        <v>#REF!</v>
      </c>
      <c r="AL347" s="40">
        <f>SUMIF(헤몬팜마진!$B$7:$B$32,$C347,헤몬팜마진!$T$7:$T$32)</f>
        <v>176.41799999999998</v>
      </c>
      <c r="AM347" s="41">
        <f>SUMIF(헤몬팜마진!$B$7:$B$32,$C347,헤몬팜마진!$U$7:$U$32)</f>
        <v>900.38519999999994</v>
      </c>
      <c r="AN347" s="36"/>
      <c r="AO347" s="235">
        <v>36067</v>
      </c>
      <c r="AP347" s="235">
        <v>143</v>
      </c>
      <c r="AQ347" s="126"/>
      <c r="AR347" s="126"/>
      <c r="AS347" s="126"/>
      <c r="AT347" s="118"/>
      <c r="AU347" s="118"/>
      <c r="AV347" s="118"/>
      <c r="AW347" s="118"/>
      <c r="AX347" s="118"/>
      <c r="AY347" s="118"/>
      <c r="AZ347" s="118"/>
      <c r="BA347" s="118"/>
      <c r="BB347" s="118"/>
      <c r="BC347" s="118"/>
      <c r="BD347" s="118"/>
      <c r="BE347" s="118"/>
      <c r="BF347" s="118"/>
      <c r="BG347" s="47"/>
      <c r="BH347" s="47"/>
      <c r="BI347" s="47"/>
      <c r="BJ347" s="47"/>
      <c r="BK347" s="47"/>
    </row>
    <row r="348" spans="1:63" ht="28.5" customHeight="1">
      <c r="A348" s="228"/>
      <c r="B348" s="237"/>
      <c r="C348" s="42" t="s">
        <v>113</v>
      </c>
      <c r="D348" s="28" t="e">
        <f t="shared" si="457"/>
        <v>#REF!</v>
      </c>
      <c r="E348" s="201" t="e">
        <f t="shared" si="458"/>
        <v>#REF!</v>
      </c>
      <c r="F348" s="30">
        <f t="shared" si="459"/>
        <v>0.49825641025641032</v>
      </c>
      <c r="G348" s="30">
        <f t="shared" si="460"/>
        <v>0</v>
      </c>
      <c r="H348" s="135"/>
      <c r="I348" s="35">
        <f t="shared" si="461"/>
        <v>105</v>
      </c>
      <c r="J348" s="35">
        <f t="shared" si="462"/>
        <v>210</v>
      </c>
      <c r="K348" s="236"/>
      <c r="L348" s="39">
        <f>74+42+48+18+8+2</f>
        <v>192</v>
      </c>
      <c r="M348" s="210"/>
      <c r="N348" s="44">
        <v>15</v>
      </c>
      <c r="O348" s="36">
        <v>3</v>
      </c>
      <c r="P348" s="31">
        <f t="shared" si="463"/>
        <v>3</v>
      </c>
      <c r="Q348" s="36"/>
      <c r="R348" s="233">
        <v>0</v>
      </c>
      <c r="S348" s="36"/>
      <c r="T348" s="34">
        <f t="shared" si="464"/>
        <v>128700</v>
      </c>
      <c r="U348" s="31">
        <f t="shared" si="465"/>
        <v>0</v>
      </c>
      <c r="V348" s="34">
        <f t="shared" si="466"/>
        <v>128700</v>
      </c>
      <c r="W348" s="43">
        <v>42900</v>
      </c>
      <c r="X348" s="34">
        <f>SUMIF(헤몬팜마진!$B$7:$B$32,$C348,헤몬팜마진!$R$7:$R$32)</f>
        <v>7855.1382499999991</v>
      </c>
      <c r="Y348" s="34" t="e">
        <f t="shared" si="467"/>
        <v>#REF!</v>
      </c>
      <c r="Z348" s="34">
        <f t="shared" si="468"/>
        <v>64125.600000000006</v>
      </c>
      <c r="AA348" s="234">
        <v>58296</v>
      </c>
      <c r="AB348" s="36"/>
      <c r="AC348" s="204">
        <f t="shared" si="475"/>
        <v>0</v>
      </c>
      <c r="AD348" s="152">
        <v>7.8E-2</v>
      </c>
      <c r="AE348" s="31">
        <f>1900*(P348)</f>
        <v>5700</v>
      </c>
      <c r="AF348" s="28">
        <f t="shared" si="470"/>
        <v>0.12228904428904429</v>
      </c>
      <c r="AG348" s="34">
        <f t="shared" si="471"/>
        <v>15738.630000000001</v>
      </c>
      <c r="AH348" s="34" t="e">
        <f t="shared" si="472"/>
        <v>#REF!</v>
      </c>
      <c r="AI348" s="34" t="e">
        <f>SUMIF(헤몬팜마진!$B$7:$B$32,$C348,헤몬팜마진!$V$7:$V$32)</f>
        <v>#REF!</v>
      </c>
      <c r="AJ348" s="34" t="e">
        <f t="shared" si="473"/>
        <v>#REF!</v>
      </c>
      <c r="AK348" s="206" t="e">
        <f t="shared" si="474"/>
        <v>#REF!</v>
      </c>
      <c r="AL348" s="40">
        <f>SUMIF(헤몬팜마진!$B$7:$B$32,$C348,헤몬팜마진!$T$7:$T$32)</f>
        <v>176.41799999999998</v>
      </c>
      <c r="AM348" s="41">
        <f>SUMIF(헤몬팜마진!$B$7:$B$32,$C348,헤몬팜마진!$U$7:$U$32)</f>
        <v>900.38519999999994</v>
      </c>
      <c r="AN348" s="36"/>
      <c r="AO348" s="235">
        <v>51259</v>
      </c>
      <c r="AP348" s="235">
        <v>133</v>
      </c>
      <c r="AQ348" s="126"/>
      <c r="AR348" s="126"/>
      <c r="AS348" s="126"/>
      <c r="AT348" s="118"/>
      <c r="AU348" s="118"/>
      <c r="AV348" s="118"/>
      <c r="AW348" s="118"/>
      <c r="AX348" s="118"/>
      <c r="AY348" s="118"/>
      <c r="AZ348" s="118"/>
      <c r="BA348" s="118"/>
      <c r="BB348" s="118"/>
      <c r="BC348" s="118"/>
      <c r="BD348" s="118"/>
      <c r="BE348" s="118"/>
      <c r="BF348" s="118"/>
      <c r="BG348" s="47"/>
      <c r="BH348" s="47"/>
      <c r="BI348" s="47"/>
      <c r="BJ348" s="47"/>
      <c r="BK348" s="47"/>
    </row>
    <row r="349" spans="1:63" ht="28.5" customHeight="1">
      <c r="A349" s="12" t="s">
        <v>132</v>
      </c>
      <c r="B349" s="207"/>
      <c r="C349" s="42" t="s">
        <v>32</v>
      </c>
      <c r="D349" s="28" t="e">
        <f t="shared" si="457"/>
        <v>#REF!</v>
      </c>
      <c r="E349" s="201" t="e">
        <f t="shared" si="458"/>
        <v>#REF!</v>
      </c>
      <c r="F349" s="30" t="e">
        <f t="shared" si="459"/>
        <v>#DIV/0!</v>
      </c>
      <c r="G349" s="30" t="e">
        <f t="shared" si="460"/>
        <v>#DIV/0!</v>
      </c>
      <c r="H349" s="37">
        <v>3504</v>
      </c>
      <c r="I349" s="35">
        <f t="shared" si="461"/>
        <v>210</v>
      </c>
      <c r="J349" s="35">
        <f t="shared" si="462"/>
        <v>420</v>
      </c>
      <c r="K349" s="50">
        <v>626</v>
      </c>
      <c r="L349" s="39">
        <f>30+13+6</f>
        <v>49</v>
      </c>
      <c r="M349" s="210"/>
      <c r="N349" s="208">
        <v>30</v>
      </c>
      <c r="O349" s="202"/>
      <c r="P349" s="31">
        <f t="shared" si="463"/>
        <v>0</v>
      </c>
      <c r="Q349" s="36"/>
      <c r="R349" s="203"/>
      <c r="S349" s="36"/>
      <c r="T349" s="34">
        <f t="shared" si="464"/>
        <v>0</v>
      </c>
      <c r="U349" s="31">
        <f t="shared" si="465"/>
        <v>0</v>
      </c>
      <c r="V349" s="34">
        <f t="shared" si="466"/>
        <v>0</v>
      </c>
      <c r="W349" s="43">
        <v>59800</v>
      </c>
      <c r="X349" s="34">
        <f>SUMIF(헤몬팜마진!$B$7:$B$32,$C349,헤몬팜마진!$R$7:$R$32)</f>
        <v>13276.289999999999</v>
      </c>
      <c r="Y349" s="34" t="e">
        <f t="shared" si="467"/>
        <v>#REF!</v>
      </c>
      <c r="Z349" s="34">
        <f t="shared" si="468"/>
        <v>0</v>
      </c>
      <c r="AA349" s="234"/>
      <c r="AB349" s="209"/>
      <c r="AC349" s="204">
        <f t="shared" si="475"/>
        <v>0</v>
      </c>
      <c r="AD349" s="152">
        <v>0.108</v>
      </c>
      <c r="AE349" s="31">
        <f t="shared" ref="AE349:AE350" si="477">4825*(P349)</f>
        <v>0</v>
      </c>
      <c r="AF349" s="28" t="e">
        <f t="shared" si="470"/>
        <v>#DIV/0!</v>
      </c>
      <c r="AG349" s="34">
        <f t="shared" si="471"/>
        <v>0</v>
      </c>
      <c r="AH349" s="34" t="e">
        <f t="shared" si="472"/>
        <v>#REF!</v>
      </c>
      <c r="AI349" s="34" t="e">
        <f>SUMIF(헤몬팜마진!$B$7:$B$32,$C349,헤몬팜마진!$V$7:$V$32)</f>
        <v>#REF!</v>
      </c>
      <c r="AJ349" s="34" t="e">
        <f t="shared" si="473"/>
        <v>#REF!</v>
      </c>
      <c r="AK349" s="46" t="e">
        <f t="shared" si="474"/>
        <v>#REF!</v>
      </c>
      <c r="AL349" s="40">
        <f>SUMIF(헤몬팜마진!$B$7:$B$32,$C349,헤몬팜마진!$T$7:$T$32)</f>
        <v>371.52</v>
      </c>
      <c r="AM349" s="41">
        <f>SUMIF(헤몬팜마진!$B$7:$B$32,$C349,헤몬팜마진!$U$7:$U$32)</f>
        <v>1896.1279999999999</v>
      </c>
      <c r="AN349" s="36"/>
      <c r="AO349" s="202"/>
      <c r="AP349" s="205"/>
      <c r="AQ349" s="126"/>
      <c r="AR349" s="126"/>
      <c r="AS349" s="126"/>
      <c r="AT349" s="118"/>
      <c r="AU349" s="118"/>
      <c r="AV349" s="118"/>
      <c r="AW349" s="118"/>
      <c r="AX349" s="118"/>
      <c r="AY349" s="118"/>
      <c r="AZ349" s="118"/>
      <c r="BA349" s="118"/>
      <c r="BB349" s="118"/>
      <c r="BC349" s="118"/>
      <c r="BD349" s="118"/>
      <c r="BE349" s="118"/>
      <c r="BF349" s="118"/>
      <c r="BG349" s="47"/>
      <c r="BH349" s="47"/>
      <c r="BI349" s="47"/>
      <c r="BJ349" s="47"/>
      <c r="BK349" s="47"/>
    </row>
    <row r="350" spans="1:63" ht="28.5" customHeight="1">
      <c r="A350" s="12" t="s">
        <v>132</v>
      </c>
      <c r="B350" s="237"/>
      <c r="C350" s="42" t="s">
        <v>33</v>
      </c>
      <c r="D350" s="28" t="e">
        <f t="shared" si="457"/>
        <v>#REF!</v>
      </c>
      <c r="E350" s="201" t="e">
        <f t="shared" si="458"/>
        <v>#REF!</v>
      </c>
      <c r="F350" s="30">
        <f t="shared" si="459"/>
        <v>-0.38870449985669253</v>
      </c>
      <c r="G350" s="30">
        <f t="shared" si="460"/>
        <v>0</v>
      </c>
      <c r="H350" s="35">
        <v>0</v>
      </c>
      <c r="I350" s="35">
        <f t="shared" si="461"/>
        <v>210</v>
      </c>
      <c r="J350" s="35">
        <f t="shared" si="462"/>
        <v>420</v>
      </c>
      <c r="K350" s="236"/>
      <c r="L350" s="39">
        <f>4+11+18+38+129</f>
        <v>200</v>
      </c>
      <c r="M350" s="210"/>
      <c r="N350" s="44">
        <v>30</v>
      </c>
      <c r="O350" s="202">
        <v>-1</v>
      </c>
      <c r="P350" s="31">
        <f t="shared" si="463"/>
        <v>-1</v>
      </c>
      <c r="Q350" s="36">
        <v>1</v>
      </c>
      <c r="R350" s="203"/>
      <c r="S350" s="36"/>
      <c r="T350" s="34">
        <f t="shared" si="464"/>
        <v>-69780</v>
      </c>
      <c r="U350" s="31">
        <f t="shared" si="465"/>
        <v>0</v>
      </c>
      <c r="V350" s="34">
        <f t="shared" si="466"/>
        <v>-69780</v>
      </c>
      <c r="W350" s="43">
        <v>69780</v>
      </c>
      <c r="X350" s="34">
        <f>SUMIF(헤몬팜마진!$B$7:$B$32,$C350,헤몬팜마진!$R$7:$R$32)</f>
        <v>13276.289999999999</v>
      </c>
      <c r="Y350" s="34" t="e">
        <f t="shared" si="467"/>
        <v>#REF!</v>
      </c>
      <c r="Z350" s="34">
        <f t="shared" si="468"/>
        <v>27123.800000000003</v>
      </c>
      <c r="AA350" s="234">
        <v>24658</v>
      </c>
      <c r="AB350" s="36"/>
      <c r="AC350" s="204">
        <f t="shared" si="475"/>
        <v>2310</v>
      </c>
      <c r="AD350" s="152">
        <v>0.108</v>
      </c>
      <c r="AE350" s="31">
        <f t="shared" si="477"/>
        <v>-4825</v>
      </c>
      <c r="AF350" s="28">
        <f t="shared" si="470"/>
        <v>0.17714588707366008</v>
      </c>
      <c r="AG350" s="34">
        <f t="shared" si="471"/>
        <v>-12361.21</v>
      </c>
      <c r="AH350" s="34" t="e">
        <f t="shared" si="472"/>
        <v>#REF!</v>
      </c>
      <c r="AI350" s="34" t="e">
        <f>SUMIF(헤몬팜마진!$B$7:$B$32,$C350,헤몬팜마진!$V$7:$V$32)</f>
        <v>#REF!</v>
      </c>
      <c r="AJ350" s="34" t="e">
        <f t="shared" si="473"/>
        <v>#REF!</v>
      </c>
      <c r="AK350" s="46" t="e">
        <f t="shared" si="474"/>
        <v>#REF!</v>
      </c>
      <c r="AL350" s="40">
        <f>SUMIF(헤몬팜마진!$B$7:$B$32,$C350,헤몬팜마진!$T$7:$T$32)</f>
        <v>371.52</v>
      </c>
      <c r="AM350" s="41">
        <f>SUMIF(헤몬팜마진!$B$7:$B$32,$C350,헤몬팜마진!$U$7:$U$32)</f>
        <v>1896.1279999999999</v>
      </c>
      <c r="AN350" s="36"/>
      <c r="AO350" s="235">
        <v>13867</v>
      </c>
      <c r="AP350" s="235">
        <v>38</v>
      </c>
      <c r="AQ350" s="126"/>
      <c r="AR350" s="126"/>
      <c r="AS350" s="126"/>
      <c r="AT350" s="118"/>
      <c r="AU350" s="118"/>
      <c r="AV350" s="118"/>
      <c r="AW350" s="118"/>
      <c r="AX350" s="118"/>
      <c r="AY350" s="118"/>
      <c r="AZ350" s="118"/>
      <c r="BA350" s="118"/>
      <c r="BB350" s="118"/>
      <c r="BC350" s="118"/>
      <c r="BD350" s="118"/>
      <c r="BE350" s="118"/>
      <c r="BF350" s="118"/>
      <c r="BG350" s="47"/>
      <c r="BH350" s="47"/>
      <c r="BI350" s="47"/>
      <c r="BJ350" s="47"/>
      <c r="BK350" s="47"/>
    </row>
    <row r="351" spans="1:63" ht="28.5" customHeight="1">
      <c r="A351" s="228" t="s">
        <v>133</v>
      </c>
      <c r="B351" s="200"/>
      <c r="C351" s="42" t="s">
        <v>111</v>
      </c>
      <c r="D351" s="28">
        <f t="shared" si="457"/>
        <v>-1.1944337528197608</v>
      </c>
      <c r="E351" s="201">
        <f t="shared" si="458"/>
        <v>0.3908081826641101</v>
      </c>
      <c r="F351" s="30">
        <f t="shared" si="459"/>
        <v>1.5852419354838709</v>
      </c>
      <c r="G351" s="30">
        <f t="shared" si="460"/>
        <v>0</v>
      </c>
      <c r="H351" s="35">
        <v>500</v>
      </c>
      <c r="I351" s="35">
        <f t="shared" si="461"/>
        <v>105</v>
      </c>
      <c r="J351" s="35">
        <f t="shared" si="462"/>
        <v>210</v>
      </c>
      <c r="K351" s="39">
        <v>577</v>
      </c>
      <c r="L351" s="39">
        <v>211</v>
      </c>
      <c r="M351" s="210"/>
      <c r="N351" s="44">
        <v>15</v>
      </c>
      <c r="O351" s="202">
        <v>3</v>
      </c>
      <c r="P351" s="31">
        <f t="shared" si="463"/>
        <v>3</v>
      </c>
      <c r="Q351" s="202">
        <v>1</v>
      </c>
      <c r="R351" s="233"/>
      <c r="S351" s="202"/>
      <c r="T351" s="34">
        <f t="shared" si="464"/>
        <v>48360</v>
      </c>
      <c r="U351" s="31">
        <f t="shared" si="465"/>
        <v>0</v>
      </c>
      <c r="V351" s="34">
        <f t="shared" si="466"/>
        <v>48360</v>
      </c>
      <c r="W351" s="43">
        <v>16120</v>
      </c>
      <c r="X351" s="34">
        <f>SUMIF(헤몬팜마진!$B$7:$B$32,$C351,헤몬팜마진!$R$7:$R$32)</f>
        <v>5089.2444999999998</v>
      </c>
      <c r="Y351" s="34">
        <f t="shared" si="467"/>
        <v>15378.9735</v>
      </c>
      <c r="Z351" s="34">
        <f t="shared" si="468"/>
        <v>76662.3</v>
      </c>
      <c r="AA351" s="234">
        <v>69693</v>
      </c>
      <c r="AB351" s="211"/>
      <c r="AC351" s="204">
        <f t="shared" si="475"/>
        <v>2310</v>
      </c>
      <c r="AD351" s="152">
        <v>7.8E-2</v>
      </c>
      <c r="AE351" s="31">
        <f>2900*(P351)</f>
        <v>8700</v>
      </c>
      <c r="AF351" s="28">
        <f t="shared" si="470"/>
        <v>0.25790074441687344</v>
      </c>
      <c r="AG351" s="34">
        <f t="shared" si="471"/>
        <v>12472.11</v>
      </c>
      <c r="AH351" s="34">
        <f t="shared" si="472"/>
        <v>1609.4327863636358</v>
      </c>
      <c r="AI351" s="34">
        <f>SUMIF(헤몬팜마진!$B$7:$B$32,$C351,헤몬팜마진!$V$7:$V$32)</f>
        <v>5126.3244999999997</v>
      </c>
      <c r="AJ351" s="34">
        <f t="shared" si="473"/>
        <v>18899.483713636364</v>
      </c>
      <c r="AK351" s="206">
        <f t="shared" si="474"/>
        <v>-57762.816286363639</v>
      </c>
      <c r="AL351" s="40">
        <f>SUMIF(헤몬팜마진!$B$7:$B$32,$C351,헤몬팜마진!$T$7:$T$32)</f>
        <v>6.0750000000000002</v>
      </c>
      <c r="AM351" s="41">
        <f>SUMIF(헤몬팜마진!$B$7:$B$32,$C351,헤몬팜마진!$U$7:$U$32)</f>
        <v>31.005000000000003</v>
      </c>
      <c r="AN351" s="36"/>
      <c r="AO351" s="235">
        <v>55279</v>
      </c>
      <c r="AP351" s="235">
        <v>120</v>
      </c>
      <c r="AQ351" s="126"/>
      <c r="AR351" s="126"/>
      <c r="AS351" s="126"/>
      <c r="AT351" s="118"/>
      <c r="AU351" s="118"/>
      <c r="AV351" s="118"/>
      <c r="AW351" s="118"/>
      <c r="AX351" s="118"/>
      <c r="AY351" s="118"/>
      <c r="AZ351" s="118"/>
      <c r="BA351" s="118"/>
      <c r="BB351" s="118"/>
      <c r="BC351" s="118"/>
      <c r="BD351" s="118"/>
      <c r="BE351" s="118"/>
      <c r="BF351" s="118"/>
      <c r="BG351" s="47"/>
      <c r="BH351" s="47"/>
      <c r="BI351" s="47"/>
      <c r="BJ351" s="47"/>
      <c r="BK351" s="47"/>
    </row>
    <row r="352" spans="1:63" ht="28.5" customHeight="1">
      <c r="A352" s="228" t="s">
        <v>135</v>
      </c>
      <c r="B352" s="200"/>
      <c r="C352" s="42" t="s">
        <v>114</v>
      </c>
      <c r="D352" s="28">
        <f t="shared" si="457"/>
        <v>9.1996568118686964E-2</v>
      </c>
      <c r="E352" s="201">
        <f t="shared" si="458"/>
        <v>0.36298887962662352</v>
      </c>
      <c r="F352" s="30">
        <f t="shared" si="459"/>
        <v>0.27099231150793651</v>
      </c>
      <c r="G352" s="30">
        <f t="shared" si="460"/>
        <v>0.12</v>
      </c>
      <c r="H352" s="35">
        <v>1750</v>
      </c>
      <c r="I352" s="35">
        <f t="shared" si="461"/>
        <v>350</v>
      </c>
      <c r="J352" s="35">
        <f t="shared" si="462"/>
        <v>700</v>
      </c>
      <c r="K352" s="39">
        <v>1449</v>
      </c>
      <c r="L352" s="39">
        <v>1217</v>
      </c>
      <c r="M352" s="210"/>
      <c r="N352" s="44">
        <v>50</v>
      </c>
      <c r="O352" s="202">
        <v>21</v>
      </c>
      <c r="P352" s="31">
        <f t="shared" si="463"/>
        <v>21</v>
      </c>
      <c r="Q352" s="36">
        <v>4</v>
      </c>
      <c r="R352" s="233">
        <v>15</v>
      </c>
      <c r="S352" s="36"/>
      <c r="T352" s="34">
        <f t="shared" si="464"/>
        <v>403200</v>
      </c>
      <c r="U352" s="31">
        <f t="shared" si="465"/>
        <v>0</v>
      </c>
      <c r="V352" s="34">
        <f t="shared" si="466"/>
        <v>403200</v>
      </c>
      <c r="W352" s="43">
        <v>19200</v>
      </c>
      <c r="X352" s="34">
        <f>SUMIF(헤몬팜마진!$B$7:$B$32,$C352,헤몬팜마진!$R$7:$R$32)</f>
        <v>6372.6191999999992</v>
      </c>
      <c r="Y352" s="34">
        <f t="shared" si="467"/>
        <v>142200.13919999998</v>
      </c>
      <c r="Z352" s="34">
        <f t="shared" si="468"/>
        <v>109264.1</v>
      </c>
      <c r="AA352" s="234">
        <f>81864+17467</f>
        <v>99331</v>
      </c>
      <c r="AB352" s="36"/>
      <c r="AC352" s="204">
        <f t="shared" si="475"/>
        <v>9240</v>
      </c>
      <c r="AD352" s="152">
        <v>0.08</v>
      </c>
      <c r="AE352" s="31">
        <f>3350*(P352)</f>
        <v>70350</v>
      </c>
      <c r="AF352" s="28">
        <f t="shared" si="470"/>
        <v>0.25447916666666665</v>
      </c>
      <c r="AG352" s="34">
        <f t="shared" si="471"/>
        <v>102606.02999999998</v>
      </c>
      <c r="AH352" s="34">
        <f t="shared" si="472"/>
        <v>12036.714534545459</v>
      </c>
      <c r="AI352" s="34">
        <f>SUMIF(헤몬팜마진!$B$7:$B$32,$C352,헤몬팜마진!$V$7:$V$32)</f>
        <v>6771.435199999999</v>
      </c>
      <c r="AJ352" s="34">
        <f t="shared" si="473"/>
        <v>146357.11626545459</v>
      </c>
      <c r="AK352" s="46">
        <f t="shared" si="474"/>
        <v>37093.016265454586</v>
      </c>
      <c r="AL352" s="40">
        <f>SUMIF(헤몬팜마진!$B$7:$B$32,$C352,헤몬팜마진!$T$7:$T$32)</f>
        <v>65.34</v>
      </c>
      <c r="AM352" s="41">
        <f>SUMIF(헤몬팜마진!$B$7:$B$32,$C352,헤몬팜마진!$U$7:$U$32)</f>
        <v>333.476</v>
      </c>
      <c r="AN352" s="36"/>
      <c r="AO352" s="235">
        <v>47191</v>
      </c>
      <c r="AP352" s="235">
        <v>125</v>
      </c>
      <c r="AQ352" s="126"/>
      <c r="AR352" s="126"/>
      <c r="AS352" s="126"/>
      <c r="AT352" s="118"/>
      <c r="AU352" s="118"/>
      <c r="AV352" s="118"/>
      <c r="AW352" s="118"/>
      <c r="AX352" s="118"/>
      <c r="AY352" s="118"/>
      <c r="AZ352" s="118"/>
      <c r="BA352" s="118"/>
      <c r="BB352" s="118"/>
      <c r="BC352" s="118"/>
      <c r="BD352" s="118"/>
      <c r="BE352" s="118"/>
      <c r="BF352" s="118"/>
      <c r="BG352" s="47"/>
      <c r="BH352" s="47"/>
      <c r="BI352" s="47"/>
      <c r="BJ352" s="47"/>
      <c r="BK352" s="47"/>
    </row>
    <row r="353" spans="1:63" ht="28.5" customHeight="1">
      <c r="A353" s="327" t="s">
        <v>136</v>
      </c>
      <c r="B353" s="326"/>
      <c r="C353" s="42" t="s">
        <v>115</v>
      </c>
      <c r="D353" s="28" t="e">
        <f t="shared" si="457"/>
        <v>#REF!</v>
      </c>
      <c r="E353" s="201" t="e">
        <f t="shared" si="458"/>
        <v>#REF!</v>
      </c>
      <c r="F353" s="30">
        <f t="shared" si="459"/>
        <v>2.2148242618999801</v>
      </c>
      <c r="G353" s="30">
        <f t="shared" si="460"/>
        <v>1.3986013986013986E-2</v>
      </c>
      <c r="H353" s="35">
        <v>0</v>
      </c>
      <c r="I353" s="35">
        <f t="shared" si="461"/>
        <v>70</v>
      </c>
      <c r="J353" s="35">
        <f t="shared" si="462"/>
        <v>140</v>
      </c>
      <c r="K353" s="328">
        <v>494</v>
      </c>
      <c r="L353" s="39">
        <v>0</v>
      </c>
      <c r="M353" s="210"/>
      <c r="N353" s="44">
        <v>10</v>
      </c>
      <c r="O353" s="36">
        <v>1</v>
      </c>
      <c r="P353" s="31">
        <f t="shared" si="463"/>
        <v>1</v>
      </c>
      <c r="Q353" s="36">
        <v>2</v>
      </c>
      <c r="R353" s="233">
        <v>2</v>
      </c>
      <c r="S353" s="36"/>
      <c r="T353" s="34">
        <f t="shared" si="464"/>
        <v>49790</v>
      </c>
      <c r="U353" s="31">
        <f t="shared" si="465"/>
        <v>0</v>
      </c>
      <c r="V353" s="34">
        <f t="shared" si="466"/>
        <v>49790</v>
      </c>
      <c r="W353" s="43">
        <v>49790</v>
      </c>
      <c r="X353" s="34">
        <f>SUMIF(헤몬팜마진!$B$7:$B$32,$C353,헤몬팜마진!$R$7:$R$32)</f>
        <v>12169.932499999999</v>
      </c>
      <c r="Y353" s="34" t="e">
        <f t="shared" si="467"/>
        <v>#REF!</v>
      </c>
      <c r="Z353" s="34">
        <f t="shared" si="468"/>
        <v>110276.1</v>
      </c>
      <c r="AA353" s="234">
        <v>100251</v>
      </c>
      <c r="AB353" s="36"/>
      <c r="AC353" s="204">
        <f t="shared" si="475"/>
        <v>4620</v>
      </c>
      <c r="AD353" s="152">
        <v>7.8E-2</v>
      </c>
      <c r="AE353" s="31">
        <f t="shared" ref="AE353:AE354" si="478">4825*(P353)</f>
        <v>4825</v>
      </c>
      <c r="AF353" s="28">
        <f t="shared" si="470"/>
        <v>0.17490700943964652</v>
      </c>
      <c r="AG353" s="34">
        <f t="shared" si="471"/>
        <v>8708.6500000000015</v>
      </c>
      <c r="AH353" s="34" t="e">
        <f t="shared" si="472"/>
        <v>#REF!</v>
      </c>
      <c r="AI353" s="34" t="e">
        <f>SUMIF(헤몬팜마진!$B$7:$B$32,$C353,헤몬팜마진!$V$7:$V$32)</f>
        <v>#REF!</v>
      </c>
      <c r="AJ353" s="34" t="e">
        <f t="shared" si="473"/>
        <v>#REF!</v>
      </c>
      <c r="AK353" s="206" t="e">
        <f t="shared" si="474"/>
        <v>#REF!</v>
      </c>
      <c r="AL353" s="40">
        <f>SUMIF(헤몬팜마진!$B$7:$B$32,$C353,헤몬팜마진!$T$7:$T$32)</f>
        <v>181.44000000000003</v>
      </c>
      <c r="AM353" s="41">
        <f>SUMIF(헤몬팜마진!$B$7:$B$32,$C353,헤몬팜마진!$U$7:$U$32)</f>
        <v>926.01600000000019</v>
      </c>
      <c r="AN353" s="36"/>
      <c r="AO353" s="235">
        <v>30959</v>
      </c>
      <c r="AP353" s="235">
        <v>143</v>
      </c>
      <c r="AQ353" s="126"/>
      <c r="AR353" s="126"/>
      <c r="AS353" s="126"/>
      <c r="AT353" s="118"/>
      <c r="AU353" s="118"/>
      <c r="AV353" s="118"/>
      <c r="AW353" s="118"/>
      <c r="AX353" s="118"/>
      <c r="AY353" s="118"/>
      <c r="AZ353" s="118"/>
      <c r="BA353" s="118"/>
      <c r="BB353" s="118"/>
      <c r="BC353" s="118"/>
      <c r="BD353" s="118"/>
      <c r="BE353" s="118"/>
      <c r="BF353" s="118"/>
      <c r="BG353" s="47"/>
      <c r="BH353" s="47"/>
      <c r="BI353" s="47"/>
      <c r="BJ353" s="47"/>
      <c r="BK353" s="47"/>
    </row>
    <row r="354" spans="1:63" ht="28.5" customHeight="1">
      <c r="A354" s="318"/>
      <c r="B354" s="324"/>
      <c r="C354" s="42" t="s">
        <v>116</v>
      </c>
      <c r="D354" s="28" t="e">
        <f t="shared" si="457"/>
        <v>#REF!</v>
      </c>
      <c r="E354" s="201" t="e">
        <f t="shared" si="458"/>
        <v>#REF!</v>
      </c>
      <c r="F354" s="30">
        <f t="shared" si="459"/>
        <v>0.16735237656453969</v>
      </c>
      <c r="G354" s="30">
        <f t="shared" si="460"/>
        <v>4.0816326530612242E-2</v>
      </c>
      <c r="H354" s="35">
        <v>0</v>
      </c>
      <c r="I354" s="35">
        <f t="shared" si="461"/>
        <v>70</v>
      </c>
      <c r="J354" s="35">
        <f t="shared" si="462"/>
        <v>140</v>
      </c>
      <c r="K354" s="310"/>
      <c r="L354" s="39">
        <v>1</v>
      </c>
      <c r="M354" s="210"/>
      <c r="N354" s="44">
        <v>10</v>
      </c>
      <c r="O354" s="202">
        <v>9</v>
      </c>
      <c r="P354" s="31">
        <f t="shared" si="463"/>
        <v>9</v>
      </c>
      <c r="Q354" s="202">
        <v>1</v>
      </c>
      <c r="R354" s="233">
        <v>8</v>
      </c>
      <c r="S354" s="36"/>
      <c r="T354" s="34">
        <f t="shared" si="464"/>
        <v>520920</v>
      </c>
      <c r="U354" s="31">
        <f t="shared" si="465"/>
        <v>0</v>
      </c>
      <c r="V354" s="34">
        <f t="shared" si="466"/>
        <v>520920</v>
      </c>
      <c r="W354" s="43">
        <v>57880</v>
      </c>
      <c r="X354" s="34">
        <f>SUMIF(헤몬팜마진!$B$7:$B$32,$C354,헤몬팜마진!$R$7:$R$32)</f>
        <v>12169.932499999999</v>
      </c>
      <c r="Y354" s="34" t="e">
        <f t="shared" si="467"/>
        <v>#REF!</v>
      </c>
      <c r="Z354" s="34">
        <f t="shared" si="468"/>
        <v>87177.200000000012</v>
      </c>
      <c r="AA354" s="234">
        <v>79252</v>
      </c>
      <c r="AB354" s="36"/>
      <c r="AC354" s="204">
        <f t="shared" si="475"/>
        <v>2310</v>
      </c>
      <c r="AD354" s="152">
        <v>7.8E-2</v>
      </c>
      <c r="AE354" s="31">
        <f t="shared" si="478"/>
        <v>43425</v>
      </c>
      <c r="AF354" s="28">
        <f t="shared" si="470"/>
        <v>0.16136212854181065</v>
      </c>
      <c r="AG354" s="34">
        <f t="shared" si="471"/>
        <v>84056.79</v>
      </c>
      <c r="AH354" s="34" t="e">
        <f t="shared" si="472"/>
        <v>#REF!</v>
      </c>
      <c r="AI354" s="34" t="e">
        <f>SUMIF(헤몬팜마진!$B$7:$B$32,$C354,헤몬팜마진!$V$7:$V$32)</f>
        <v>#REF!</v>
      </c>
      <c r="AJ354" s="34" t="e">
        <f t="shared" si="473"/>
        <v>#REF!</v>
      </c>
      <c r="AK354" s="46" t="e">
        <f t="shared" si="474"/>
        <v>#REF!</v>
      </c>
      <c r="AL354" s="40">
        <f>SUMIF(헤몬팜마진!$B$7:$B$32,$C354,헤몬팜마진!$T$7:$T$32)</f>
        <v>181.44000000000003</v>
      </c>
      <c r="AM354" s="41">
        <f>SUMIF(헤몬팜마진!$B$7:$B$32,$C354,헤몬팜마진!$U$7:$U$32)</f>
        <v>926.01600000000019</v>
      </c>
      <c r="AN354" s="36"/>
      <c r="AO354" s="235">
        <v>37878</v>
      </c>
      <c r="AP354" s="235">
        <v>196</v>
      </c>
      <c r="AQ354" s="126"/>
      <c r="AR354" s="126"/>
      <c r="AS354" s="126"/>
      <c r="AT354" s="118"/>
      <c r="AU354" s="118"/>
      <c r="AV354" s="118"/>
      <c r="AW354" s="118"/>
      <c r="AX354" s="118"/>
      <c r="AY354" s="118"/>
      <c r="AZ354" s="118"/>
      <c r="BA354" s="118"/>
      <c r="BB354" s="118"/>
      <c r="BC354" s="118"/>
      <c r="BD354" s="118"/>
      <c r="BE354" s="118"/>
      <c r="BF354" s="118"/>
      <c r="BG354" s="47"/>
      <c r="BH354" s="47"/>
      <c r="BI354" s="47"/>
      <c r="BJ354" s="47"/>
      <c r="BK354" s="47"/>
    </row>
    <row r="355" spans="1:63" ht="28.5" customHeight="1">
      <c r="A355" s="228" t="s">
        <v>137</v>
      </c>
      <c r="B355" s="200"/>
      <c r="C355" s="42" t="s">
        <v>117</v>
      </c>
      <c r="D355" s="28">
        <f t="shared" si="457"/>
        <v>0.29414396466854553</v>
      </c>
      <c r="E355" s="201">
        <f t="shared" si="458"/>
        <v>0.49826624871730019</v>
      </c>
      <c r="F355" s="30">
        <f t="shared" si="459"/>
        <v>0.20412228404875465</v>
      </c>
      <c r="G355" s="30">
        <f t="shared" si="460"/>
        <v>3.2028469750889681E-2</v>
      </c>
      <c r="H355" s="35">
        <v>2000</v>
      </c>
      <c r="I355" s="35">
        <f t="shared" si="461"/>
        <v>700</v>
      </c>
      <c r="J355" s="35">
        <f t="shared" si="462"/>
        <v>1400</v>
      </c>
      <c r="K355" s="39">
        <v>2373</v>
      </c>
      <c r="L355" s="39">
        <v>3</v>
      </c>
      <c r="M355" s="210"/>
      <c r="N355" s="44">
        <v>100</v>
      </c>
      <c r="O355" s="202">
        <v>17</v>
      </c>
      <c r="P355" s="31">
        <f t="shared" si="463"/>
        <v>17</v>
      </c>
      <c r="Q355" s="202"/>
      <c r="R355" s="233">
        <v>9</v>
      </c>
      <c r="S355" s="36"/>
      <c r="T355" s="34">
        <f t="shared" si="464"/>
        <v>301920</v>
      </c>
      <c r="U355" s="31">
        <f t="shared" si="465"/>
        <v>0</v>
      </c>
      <c r="V355" s="34">
        <f t="shared" si="466"/>
        <v>301920</v>
      </c>
      <c r="W355" s="43">
        <v>17760</v>
      </c>
      <c r="X355" s="34">
        <f>SUMIF(헤몬팜마진!$B$7:$B$32,$C355,헤몬팜마진!$R$7:$R$32)</f>
        <v>3982.8869999999997</v>
      </c>
      <c r="Y355" s="34">
        <f t="shared" si="467"/>
        <v>82232.573399999994</v>
      </c>
      <c r="Z355" s="34">
        <f t="shared" si="468"/>
        <v>61628.600000000006</v>
      </c>
      <c r="AA355" s="234">
        <f>30166+25860</f>
        <v>56026</v>
      </c>
      <c r="AB355" s="36"/>
      <c r="AC355" s="204">
        <f t="shared" si="475"/>
        <v>0</v>
      </c>
      <c r="AD355" s="152">
        <v>7.8E-2</v>
      </c>
      <c r="AE355" s="31">
        <f>1900*(P355)</f>
        <v>32300</v>
      </c>
      <c r="AF355" s="28">
        <f t="shared" si="470"/>
        <v>0.18498198198198199</v>
      </c>
      <c r="AG355" s="34">
        <f t="shared" si="471"/>
        <v>55849.79</v>
      </c>
      <c r="AH355" s="34">
        <f t="shared" si="472"/>
        <v>13401.090787272722</v>
      </c>
      <c r="AI355" s="34">
        <f>SUMIF(헤몬팜마진!$B$7:$B$32,$C355,헤몬팜마진!$V$7:$V$32)</f>
        <v>4837.2101999999995</v>
      </c>
      <c r="AJ355" s="34">
        <f t="shared" si="473"/>
        <v>150436.54581272727</v>
      </c>
      <c r="AK355" s="46">
        <f t="shared" si="474"/>
        <v>88807.945812727266</v>
      </c>
      <c r="AL355" s="40">
        <f>SUMIF(헤몬팜마진!$B$7:$B$32,$C355,헤몬팜마진!$T$7:$T$32)</f>
        <v>139.96800000000002</v>
      </c>
      <c r="AM355" s="41">
        <f>SUMIF(헤몬팜마진!$B$7:$B$32,$C355,헤몬팜마진!$U$7:$U$32)</f>
        <v>714.35519999999997</v>
      </c>
      <c r="AN355" s="36"/>
      <c r="AO355" s="235">
        <v>63207</v>
      </c>
      <c r="AP355" s="235">
        <v>281</v>
      </c>
      <c r="AQ355" s="126"/>
      <c r="AR355" s="126"/>
      <c r="AS355" s="126"/>
      <c r="AT355" s="118"/>
      <c r="AU355" s="118"/>
      <c r="AV355" s="118"/>
      <c r="AW355" s="118"/>
      <c r="AX355" s="118"/>
      <c r="AY355" s="118"/>
      <c r="AZ355" s="118"/>
      <c r="BA355" s="118"/>
      <c r="BB355" s="118"/>
      <c r="BC355" s="118"/>
      <c r="BD355" s="118"/>
      <c r="BE355" s="118"/>
      <c r="BF355" s="118"/>
      <c r="BG355" s="47"/>
      <c r="BH355" s="47"/>
      <c r="BI355" s="47"/>
      <c r="BJ355" s="47"/>
      <c r="BK355" s="47"/>
    </row>
    <row r="356" spans="1:63" ht="28.5" customHeight="1">
      <c r="A356" s="228" t="s">
        <v>139</v>
      </c>
      <c r="B356" s="127" t="s">
        <v>127</v>
      </c>
      <c r="C356" s="42" t="s">
        <v>119</v>
      </c>
      <c r="D356" s="28">
        <f t="shared" si="457"/>
        <v>0.27599207724277874</v>
      </c>
      <c r="E356" s="201">
        <f t="shared" si="458"/>
        <v>0.43444844405735455</v>
      </c>
      <c r="F356" s="30">
        <f t="shared" si="459"/>
        <v>0.15845636681457578</v>
      </c>
      <c r="G356" s="30">
        <f t="shared" si="460"/>
        <v>0.1388888888888889</v>
      </c>
      <c r="H356" s="35">
        <v>2000</v>
      </c>
      <c r="I356" s="35">
        <f t="shared" si="461"/>
        <v>280</v>
      </c>
      <c r="J356" s="35">
        <f t="shared" si="462"/>
        <v>560</v>
      </c>
      <c r="K356" s="213">
        <v>1048</v>
      </c>
      <c r="L356" s="39">
        <f>311+240+1</f>
        <v>552</v>
      </c>
      <c r="M356" s="210"/>
      <c r="N356" s="44">
        <v>40</v>
      </c>
      <c r="O356" s="202">
        <v>33</v>
      </c>
      <c r="P356" s="31">
        <f t="shared" si="463"/>
        <v>33</v>
      </c>
      <c r="Q356" s="202">
        <v>3</v>
      </c>
      <c r="R356" s="233">
        <v>20</v>
      </c>
      <c r="S356" s="36"/>
      <c r="T356" s="34">
        <f t="shared" si="464"/>
        <v>818070</v>
      </c>
      <c r="U356" s="31">
        <f t="shared" si="465"/>
        <v>0</v>
      </c>
      <c r="V356" s="34">
        <f t="shared" si="466"/>
        <v>818070</v>
      </c>
      <c r="W356" s="43">
        <v>24790</v>
      </c>
      <c r="X356" s="34">
        <f>SUMIF(헤몬팜마진!$B$7:$B$32,$C356,헤몬팜마진!$R$7:$R$32)</f>
        <v>6859.4164999999994</v>
      </c>
      <c r="Y356" s="34">
        <f t="shared" si="467"/>
        <v>239369.39729999995</v>
      </c>
      <c r="Z356" s="34">
        <f t="shared" si="468"/>
        <v>129628.40000000001</v>
      </c>
      <c r="AA356" s="234">
        <v>117844</v>
      </c>
      <c r="AB356" s="209"/>
      <c r="AC356" s="204">
        <f t="shared" si="475"/>
        <v>6930</v>
      </c>
      <c r="AD356" s="152">
        <v>0.108</v>
      </c>
      <c r="AE356" s="31">
        <f>3150*(P356)</f>
        <v>103950</v>
      </c>
      <c r="AF356" s="28">
        <f t="shared" si="470"/>
        <v>0.23506736587333604</v>
      </c>
      <c r="AG356" s="34">
        <f t="shared" si="471"/>
        <v>192301.59000000003</v>
      </c>
      <c r="AH356" s="34">
        <f t="shared" si="472"/>
        <v>30989.774069999985</v>
      </c>
      <c r="AI356" s="34">
        <f>SUMIF(헤몬팜마진!$B$7:$B$32,$C356,헤몬팜마진!$V$7:$V$32)</f>
        <v>7253.6180999999988</v>
      </c>
      <c r="AJ356" s="34">
        <f t="shared" si="473"/>
        <v>355409.23863000004</v>
      </c>
      <c r="AK356" s="206">
        <f t="shared" si="474"/>
        <v>225780.83863000001</v>
      </c>
      <c r="AL356" s="40">
        <f>SUMIF(헤몬팜마진!$B$7:$B$32,$C356,헤몬팜마진!$T$7:$T$32)</f>
        <v>64.584000000000003</v>
      </c>
      <c r="AM356" s="41">
        <f>SUMIF(헤몬팜마진!$B$7:$B$32,$C356,헤몬팜마진!$U$7:$U$32)</f>
        <v>329.61759999999998</v>
      </c>
      <c r="AN356" s="36"/>
      <c r="AO356" s="235">
        <v>37015</v>
      </c>
      <c r="AP356" s="235">
        <v>144</v>
      </c>
      <c r="AQ356" s="126"/>
      <c r="AR356" s="126"/>
      <c r="AS356" s="126"/>
      <c r="AT356" s="118"/>
      <c r="AU356" s="118"/>
      <c r="AV356" s="118"/>
      <c r="AW356" s="118"/>
      <c r="AX356" s="118"/>
      <c r="AY356" s="118"/>
      <c r="AZ356" s="118"/>
      <c r="BA356" s="118"/>
      <c r="BB356" s="118"/>
      <c r="BC356" s="118"/>
      <c r="BD356" s="118"/>
      <c r="BE356" s="118"/>
      <c r="BF356" s="118"/>
      <c r="BG356" s="47"/>
      <c r="BH356" s="47"/>
      <c r="BI356" s="47"/>
      <c r="BJ356" s="47"/>
      <c r="BK356" s="47"/>
    </row>
    <row r="357" spans="1:63" ht="28.5" customHeight="1">
      <c r="A357" s="228"/>
      <c r="B357" s="214" t="s">
        <v>128</v>
      </c>
      <c r="C357" s="42" t="s">
        <v>120</v>
      </c>
      <c r="D357" s="28">
        <f t="shared" si="457"/>
        <v>-0.1075270868889905</v>
      </c>
      <c r="E357" s="201">
        <f t="shared" si="458"/>
        <v>0.41263748597533118</v>
      </c>
      <c r="F357" s="30">
        <f t="shared" si="459"/>
        <v>0.52016457286432172</v>
      </c>
      <c r="G357" s="30">
        <f t="shared" si="460"/>
        <v>8.4745762711864406E-3</v>
      </c>
      <c r="H357" s="35">
        <v>0</v>
      </c>
      <c r="I357" s="35">
        <f t="shared" si="461"/>
        <v>105</v>
      </c>
      <c r="J357" s="35">
        <f t="shared" si="462"/>
        <v>210</v>
      </c>
      <c r="K357" s="238"/>
      <c r="L357" s="39">
        <f>22+3</f>
        <v>25</v>
      </c>
      <c r="M357" s="210"/>
      <c r="N357" s="44">
        <v>15</v>
      </c>
      <c r="O357" s="36">
        <v>2</v>
      </c>
      <c r="P357" s="31">
        <f t="shared" si="463"/>
        <v>2</v>
      </c>
      <c r="Q357" s="36"/>
      <c r="R357" s="167">
        <v>1</v>
      </c>
      <c r="S357" s="36"/>
      <c r="T357" s="34">
        <f t="shared" si="464"/>
        <v>79600</v>
      </c>
      <c r="U357" s="31">
        <f t="shared" si="465"/>
        <v>0</v>
      </c>
      <c r="V357" s="34">
        <f t="shared" si="466"/>
        <v>79600</v>
      </c>
      <c r="W357" s="43">
        <v>39800</v>
      </c>
      <c r="X357" s="34">
        <f>SUMIF(헤몬팜마진!$B$7:$B$32,$C357,헤몬팜마진!$R$7:$R$32)</f>
        <v>13718.832999999999</v>
      </c>
      <c r="Y357" s="34">
        <f t="shared" si="467"/>
        <v>28226.069199999998</v>
      </c>
      <c r="Z357" s="34">
        <f t="shared" si="468"/>
        <v>41405.100000000006</v>
      </c>
      <c r="AA357" s="234">
        <v>37641</v>
      </c>
      <c r="AB357" s="209"/>
      <c r="AC357" s="204">
        <f t="shared" si="475"/>
        <v>0</v>
      </c>
      <c r="AD357" s="152">
        <v>0.108</v>
      </c>
      <c r="AE357" s="31">
        <f>3550*(P357)</f>
        <v>7100</v>
      </c>
      <c r="AF357" s="28">
        <f t="shared" si="470"/>
        <v>0.1971959798994975</v>
      </c>
      <c r="AG357" s="34">
        <f t="shared" si="471"/>
        <v>15696.830000000002</v>
      </c>
      <c r="AH357" s="34">
        <f t="shared" si="472"/>
        <v>2831.1569163636359</v>
      </c>
      <c r="AI357" s="34">
        <f>SUMIF(헤몬팜마진!$B$7:$B$32,$C357,헤몬팜마진!$V$7:$V$32)</f>
        <v>14113.034599999999</v>
      </c>
      <c r="AJ357" s="34">
        <f t="shared" si="473"/>
        <v>32845.943883636362</v>
      </c>
      <c r="AK357" s="206">
        <f t="shared" si="474"/>
        <v>-8559.1561163636434</v>
      </c>
      <c r="AL357" s="40">
        <f>SUMIF(헤몬팜마진!$B$7:$B$32,$C357,헤몬팜마진!$T$7:$T$32)</f>
        <v>64.584000000000003</v>
      </c>
      <c r="AM357" s="41">
        <f>SUMIF(헤몬팜마진!$B$7:$B$32,$C357,헤몬팜마진!$U$7:$U$32)</f>
        <v>329.61759999999998</v>
      </c>
      <c r="AN357" s="36"/>
      <c r="AO357" s="235">
        <v>39693</v>
      </c>
      <c r="AP357" s="235">
        <v>118</v>
      </c>
      <c r="AQ357" s="126"/>
      <c r="AR357" s="126"/>
      <c r="AS357" s="126"/>
      <c r="AT357" s="118"/>
      <c r="AU357" s="118"/>
      <c r="AV357" s="118"/>
      <c r="AW357" s="118"/>
      <c r="AX357" s="118"/>
      <c r="AY357" s="118"/>
      <c r="AZ357" s="118"/>
      <c r="BA357" s="118"/>
      <c r="BB357" s="118"/>
      <c r="BC357" s="118"/>
      <c r="BD357" s="118"/>
      <c r="BE357" s="118"/>
      <c r="BF357" s="118"/>
      <c r="BG357" s="47"/>
      <c r="BH357" s="47"/>
      <c r="BI357" s="47"/>
      <c r="BJ357" s="47"/>
      <c r="BK357" s="47"/>
    </row>
    <row r="358" spans="1:63" ht="28.5" customHeight="1">
      <c r="A358" s="12"/>
      <c r="B358" s="214" t="s">
        <v>126</v>
      </c>
      <c r="C358" s="42" t="s">
        <v>31</v>
      </c>
      <c r="D358" s="28">
        <f t="shared" si="457"/>
        <v>0.14252261439393937</v>
      </c>
      <c r="E358" s="201">
        <f t="shared" si="458"/>
        <v>0.3786934477272727</v>
      </c>
      <c r="F358" s="30">
        <f t="shared" si="459"/>
        <v>0.23617083333333336</v>
      </c>
      <c r="G358" s="30">
        <f t="shared" si="460"/>
        <v>4.1139240506329111E-2</v>
      </c>
      <c r="H358" s="35">
        <v>700</v>
      </c>
      <c r="I358" s="35">
        <f t="shared" si="461"/>
        <v>210</v>
      </c>
      <c r="J358" s="35">
        <f t="shared" si="462"/>
        <v>420</v>
      </c>
      <c r="K358" s="39">
        <v>954</v>
      </c>
      <c r="L358" s="39">
        <v>2</v>
      </c>
      <c r="M358" s="210"/>
      <c r="N358" s="44">
        <v>30</v>
      </c>
      <c r="O358" s="36">
        <v>40</v>
      </c>
      <c r="P358" s="31">
        <f t="shared" si="463"/>
        <v>40</v>
      </c>
      <c r="Q358" s="36">
        <v>1</v>
      </c>
      <c r="R358" s="233">
        <v>26</v>
      </c>
      <c r="S358" s="36"/>
      <c r="T358" s="34">
        <f t="shared" si="464"/>
        <v>792000</v>
      </c>
      <c r="U358" s="31">
        <f t="shared" si="465"/>
        <v>0</v>
      </c>
      <c r="V358" s="34">
        <f t="shared" si="466"/>
        <v>792000</v>
      </c>
      <c r="W358" s="43">
        <v>19800</v>
      </c>
      <c r="X358" s="34">
        <f>SUMIF(헤몬팜마진!$B$7:$B$32,$C358,헤몬팜마진!$R$7:$R$32)</f>
        <v>6638.1449999999995</v>
      </c>
      <c r="Y358" s="34">
        <f t="shared" si="467"/>
        <v>267424.29599999997</v>
      </c>
      <c r="Z358" s="34">
        <f t="shared" si="468"/>
        <v>187047.30000000002</v>
      </c>
      <c r="AA358" s="234">
        <v>170043</v>
      </c>
      <c r="AB358" s="211"/>
      <c r="AC358" s="204">
        <f t="shared" si="475"/>
        <v>2310</v>
      </c>
      <c r="AD358" s="152">
        <v>0.08</v>
      </c>
      <c r="AE358" s="31">
        <f>3400*(P358)</f>
        <v>136000</v>
      </c>
      <c r="AF358" s="28">
        <f t="shared" si="470"/>
        <v>0.25171717171717173</v>
      </c>
      <c r="AG358" s="34">
        <f t="shared" si="471"/>
        <v>199360.03</v>
      </c>
      <c r="AH358" s="34">
        <f t="shared" si="472"/>
        <v>25290.463400000001</v>
      </c>
      <c r="AI358" s="34">
        <f>SUMIF(헤몬팜마진!$B$7:$B$32,$C358,헤몬팜마진!$V$7:$V$32)</f>
        <v>6685.607399999999</v>
      </c>
      <c r="AJ358" s="34">
        <f t="shared" si="473"/>
        <v>299925.21059999999</v>
      </c>
      <c r="AK358" s="206">
        <f t="shared" si="474"/>
        <v>112877.91059999997</v>
      </c>
      <c r="AL358" s="40">
        <f>SUMIF(헤몬팜마진!$B$7:$B$32,$C358,헤몬팜마진!$T$7:$T$32)</f>
        <v>7.7759999999999998</v>
      </c>
      <c r="AM358" s="41">
        <f>SUMIF(헤몬팜마진!$B$7:$B$32,$C358,헤몬팜마진!$U$7:$U$32)</f>
        <v>39.686400000000006</v>
      </c>
      <c r="AN358" s="36"/>
      <c r="AO358" s="235">
        <v>273425</v>
      </c>
      <c r="AP358" s="235">
        <v>632</v>
      </c>
      <c r="AQ358" s="126"/>
      <c r="AR358" s="126"/>
      <c r="AS358" s="126"/>
      <c r="AT358" s="118"/>
      <c r="AU358" s="118"/>
      <c r="AV358" s="118"/>
      <c r="AW358" s="118"/>
      <c r="AX358" s="118"/>
      <c r="AY358" s="118"/>
      <c r="AZ358" s="118"/>
      <c r="BA358" s="118"/>
      <c r="BB358" s="118"/>
      <c r="BC358" s="118"/>
      <c r="BD358" s="118"/>
      <c r="BE358" s="118"/>
      <c r="BF358" s="118"/>
      <c r="BG358" s="47"/>
      <c r="BH358" s="47"/>
      <c r="BI358" s="47"/>
      <c r="BJ358" s="47"/>
      <c r="BK358" s="47"/>
    </row>
    <row r="359" spans="1:63" ht="28.5" customHeight="1">
      <c r="A359" s="228" t="s">
        <v>138</v>
      </c>
      <c r="B359" s="200"/>
      <c r="C359" s="42" t="s">
        <v>118</v>
      </c>
      <c r="D359" s="28">
        <f t="shared" si="457"/>
        <v>0.43889320344574778</v>
      </c>
      <c r="E359" s="201">
        <f t="shared" si="458"/>
        <v>0.43889320344574778</v>
      </c>
      <c r="F359" s="30">
        <f t="shared" si="459"/>
        <v>0</v>
      </c>
      <c r="G359" s="30" t="e">
        <f t="shared" si="460"/>
        <v>#DIV/0!</v>
      </c>
      <c r="H359" s="35">
        <v>0</v>
      </c>
      <c r="I359" s="35">
        <f t="shared" si="461"/>
        <v>350</v>
      </c>
      <c r="J359" s="35">
        <f t="shared" si="462"/>
        <v>700</v>
      </c>
      <c r="K359" s="39">
        <v>87</v>
      </c>
      <c r="L359" s="39">
        <v>0</v>
      </c>
      <c r="M359" s="210"/>
      <c r="N359" s="44">
        <v>50</v>
      </c>
      <c r="O359" s="202">
        <v>-1</v>
      </c>
      <c r="P359" s="31">
        <f t="shared" si="463"/>
        <v>-1</v>
      </c>
      <c r="Q359" s="36">
        <v>1</v>
      </c>
      <c r="R359" s="203"/>
      <c r="S359" s="36"/>
      <c r="T359" s="34">
        <f t="shared" si="464"/>
        <v>-24800</v>
      </c>
      <c r="U359" s="31">
        <f t="shared" si="465"/>
        <v>0</v>
      </c>
      <c r="V359" s="34">
        <f t="shared" si="466"/>
        <v>-24800</v>
      </c>
      <c r="W359" s="43">
        <v>24800</v>
      </c>
      <c r="X359" s="34">
        <f>SUMIF(헤몬팜마진!$B$7:$B$32,$C359,헤몬팜마진!$R$7:$R$32)</f>
        <v>8408.3169999999991</v>
      </c>
      <c r="Y359" s="34">
        <f t="shared" si="467"/>
        <v>-8579.7089999999989</v>
      </c>
      <c r="Z359" s="34">
        <f t="shared" si="468"/>
        <v>0</v>
      </c>
      <c r="AA359" s="49"/>
      <c r="AB359" s="209"/>
      <c r="AC359" s="204">
        <f t="shared" si="475"/>
        <v>2310</v>
      </c>
      <c r="AD359" s="152">
        <v>0.1</v>
      </c>
      <c r="AE359" s="31">
        <f>1900*(P359)</f>
        <v>-1900</v>
      </c>
      <c r="AF359" s="28">
        <f t="shared" si="470"/>
        <v>0.17661290322580647</v>
      </c>
      <c r="AG359" s="34">
        <f t="shared" si="471"/>
        <v>-4379.9700000000012</v>
      </c>
      <c r="AH359" s="34">
        <f t="shared" si="472"/>
        <v>-955.76955454545441</v>
      </c>
      <c r="AI359" s="34">
        <f>SUMIF(헤몬팜마진!$B$7:$B$32,$C359,헤몬팜마진!$V$7:$V$32)</f>
        <v>8579.7089999999989</v>
      </c>
      <c r="AJ359" s="34">
        <f t="shared" si="473"/>
        <v>-10884.551445454545</v>
      </c>
      <c r="AK359" s="206">
        <f t="shared" si="474"/>
        <v>-10884.551445454545</v>
      </c>
      <c r="AL359" s="40">
        <f>SUMIF(헤몬팜마진!$B$7:$B$32,$C359,헤몬팜마진!$T$7:$T$32)</f>
        <v>28.079999999999995</v>
      </c>
      <c r="AM359" s="41">
        <f>SUMIF(헤몬팜마진!$B$7:$B$32,$C359,헤몬팜마진!$U$7:$U$32)</f>
        <v>143.31199999999998</v>
      </c>
      <c r="AN359" s="36"/>
      <c r="AO359" s="202"/>
      <c r="AP359" s="205"/>
      <c r="AQ359" s="126"/>
      <c r="AR359" s="126"/>
      <c r="AS359" s="126"/>
      <c r="AT359" s="118"/>
      <c r="AU359" s="118"/>
      <c r="AV359" s="118"/>
      <c r="AW359" s="118"/>
      <c r="AX359" s="118"/>
      <c r="AY359" s="118"/>
      <c r="AZ359" s="118"/>
      <c r="BA359" s="118"/>
      <c r="BB359" s="118"/>
      <c r="BC359" s="118"/>
      <c r="BD359" s="118"/>
      <c r="BE359" s="118"/>
      <c r="BF359" s="118"/>
      <c r="BG359" s="47"/>
      <c r="BH359" s="47"/>
      <c r="BI359" s="47"/>
      <c r="BJ359" s="47"/>
      <c r="BK359" s="47"/>
    </row>
    <row r="360" spans="1:63" ht="28.5" customHeight="1">
      <c r="A360" s="12"/>
      <c r="B360" s="216"/>
      <c r="C360" s="217"/>
      <c r="D360" s="51" t="e">
        <f t="shared" si="457"/>
        <v>#REF!</v>
      </c>
      <c r="E360" s="218" t="e">
        <f t="shared" si="458"/>
        <v>#REF!</v>
      </c>
      <c r="F360" s="53">
        <f t="shared" si="459"/>
        <v>0.26952825150621484</v>
      </c>
      <c r="G360" s="219"/>
      <c r="H360" s="55"/>
      <c r="I360" s="55"/>
      <c r="J360" s="55"/>
      <c r="K360" s="55"/>
      <c r="L360" s="55"/>
      <c r="M360" s="55"/>
      <c r="N360" s="55"/>
      <c r="O360" s="130">
        <f>SUM(O343:O359)</f>
        <v>399</v>
      </c>
      <c r="P360" s="220">
        <f>SUM(P343:P358)</f>
        <v>400</v>
      </c>
      <c r="Q360" s="130">
        <f>SUM(Q343:Q359)</f>
        <v>26</v>
      </c>
      <c r="R360" s="130">
        <f t="shared" ref="R360:V360" si="479">SUM(R343:R358)</f>
        <v>320</v>
      </c>
      <c r="S360" s="130">
        <f t="shared" si="479"/>
        <v>0</v>
      </c>
      <c r="T360" s="130">
        <f t="shared" si="479"/>
        <v>10898180</v>
      </c>
      <c r="U360" s="130">
        <f t="shared" si="479"/>
        <v>0</v>
      </c>
      <c r="V360" s="220">
        <f t="shared" si="479"/>
        <v>10898180</v>
      </c>
      <c r="W360" s="55"/>
      <c r="X360" s="130">
        <f t="shared" ref="X360:AC360" si="480">SUM(X343:X358)</f>
        <v>145176.23114999998</v>
      </c>
      <c r="Y360" s="220" t="e">
        <f t="shared" si="480"/>
        <v>#REF!</v>
      </c>
      <c r="Z360" s="130">
        <f t="shared" si="480"/>
        <v>2937367.4000000004</v>
      </c>
      <c r="AA360" s="130">
        <f t="shared" si="480"/>
        <v>2670334</v>
      </c>
      <c r="AB360" s="130">
        <f t="shared" si="480"/>
        <v>0</v>
      </c>
      <c r="AC360" s="130">
        <f t="shared" si="480"/>
        <v>56232</v>
      </c>
      <c r="AD360" s="154">
        <v>0.09</v>
      </c>
      <c r="AE360" s="220">
        <f>SUM(AE343:AE358)</f>
        <v>1252525</v>
      </c>
      <c r="AF360" s="53">
        <f t="shared" si="470"/>
        <v>0.2049297405621856</v>
      </c>
      <c r="AG360" s="56">
        <f t="shared" ref="AG360:AI360" si="481">SUM(AG343:AG358)</f>
        <v>2304659.36</v>
      </c>
      <c r="AH360" s="56" t="e">
        <f t="shared" si="481"/>
        <v>#REF!</v>
      </c>
      <c r="AI360" s="56" t="e">
        <f t="shared" si="481"/>
        <v>#REF!</v>
      </c>
      <c r="AJ360" s="56" t="e">
        <f t="shared" si="473"/>
        <v>#REF!</v>
      </c>
      <c r="AK360" s="221" t="e">
        <f t="shared" si="474"/>
        <v>#REF!</v>
      </c>
      <c r="AL360" s="54"/>
      <c r="AM360" s="222"/>
      <c r="AN360" s="57"/>
      <c r="AO360" s="131">
        <f t="shared" ref="AO360:AP360" si="482">SUM(AO343:AO344)</f>
        <v>513963</v>
      </c>
      <c r="AP360" s="132">
        <f t="shared" si="482"/>
        <v>2730</v>
      </c>
      <c r="AQ360" s="126"/>
      <c r="AR360" s="126"/>
      <c r="AS360" s="126"/>
      <c r="AT360" s="118"/>
      <c r="AU360" s="118"/>
      <c r="AV360" s="118"/>
      <c r="AW360" s="118"/>
      <c r="AX360" s="118"/>
      <c r="AY360" s="118"/>
      <c r="AZ360" s="118"/>
      <c r="BA360" s="118"/>
      <c r="BB360" s="118"/>
      <c r="BC360" s="118"/>
      <c r="BD360" s="118"/>
      <c r="BE360" s="118"/>
      <c r="BF360" s="118"/>
      <c r="BG360" s="47"/>
      <c r="BH360" s="47"/>
      <c r="BI360" s="47"/>
      <c r="BJ360" s="47"/>
      <c r="BK360" s="47"/>
    </row>
    <row r="361" spans="1:63" ht="28.5" customHeight="1">
      <c r="A361" s="3"/>
      <c r="B361" s="120"/>
      <c r="C361" s="229"/>
      <c r="D361" s="230"/>
      <c r="E361" s="230"/>
      <c r="F361" s="230"/>
      <c r="G361" s="230"/>
      <c r="H361" s="231"/>
      <c r="I361" s="231"/>
      <c r="J361" s="231"/>
      <c r="K361" s="231"/>
      <c r="L361" s="231"/>
      <c r="M361" s="231"/>
      <c r="N361" s="231"/>
      <c r="O361" s="231"/>
      <c r="P361" s="232"/>
      <c r="Q361" s="231"/>
      <c r="R361" s="231"/>
      <c r="S361" s="231"/>
      <c r="T361" s="231"/>
      <c r="U361" s="231"/>
      <c r="V361" s="231"/>
      <c r="W361" s="231"/>
      <c r="X361" s="231"/>
      <c r="Y361" s="231"/>
      <c r="Z361" s="231"/>
      <c r="AA361" s="133"/>
      <c r="AB361" s="61"/>
      <c r="AC361" s="148"/>
      <c r="AD361" s="148"/>
      <c r="AE361" s="148"/>
      <c r="AF361" s="148"/>
      <c r="AG361" s="61"/>
      <c r="AH361" s="61"/>
      <c r="AI361" s="187"/>
      <c r="AJ361" s="118"/>
      <c r="AK361" s="126"/>
      <c r="AL361" s="126"/>
      <c r="AM361" s="126"/>
      <c r="AN361" s="118"/>
      <c r="AO361" s="118"/>
      <c r="AP361" s="118"/>
      <c r="AQ361" s="126"/>
      <c r="AR361" s="126"/>
      <c r="AS361" s="126"/>
      <c r="AT361" s="118"/>
      <c r="AU361" s="118"/>
      <c r="AV361" s="118"/>
      <c r="AW361" s="118"/>
      <c r="AX361" s="118"/>
      <c r="AY361" s="118"/>
      <c r="AZ361" s="118"/>
      <c r="BA361" s="118"/>
      <c r="BB361" s="118"/>
      <c r="BC361" s="118"/>
      <c r="BD361" s="118"/>
      <c r="BE361" s="118"/>
      <c r="BF361" s="118"/>
      <c r="BG361" s="47"/>
      <c r="BH361" s="47"/>
      <c r="BI361" s="47"/>
      <c r="BJ361" s="47"/>
      <c r="BK361" s="47"/>
    </row>
    <row r="362" spans="1:63" ht="28.5" customHeight="1">
      <c r="A362" s="12"/>
      <c r="B362" s="189"/>
      <c r="C362" s="134">
        <v>45949</v>
      </c>
      <c r="D362" s="122" t="s">
        <v>0</v>
      </c>
      <c r="E362" s="122" t="s">
        <v>1</v>
      </c>
      <c r="F362" s="122" t="s">
        <v>2</v>
      </c>
      <c r="G362" s="190" t="s">
        <v>3</v>
      </c>
      <c r="H362" s="191" t="s">
        <v>4</v>
      </c>
      <c r="I362" s="192" t="s">
        <v>5</v>
      </c>
      <c r="J362" s="192" t="s">
        <v>90</v>
      </c>
      <c r="K362" s="193" t="s">
        <v>6</v>
      </c>
      <c r="L362" s="194" t="s">
        <v>7</v>
      </c>
      <c r="M362" s="15" t="s">
        <v>91</v>
      </c>
      <c r="N362" s="123" t="s">
        <v>125</v>
      </c>
      <c r="O362" s="123" t="s">
        <v>8</v>
      </c>
      <c r="P362" s="123" t="s">
        <v>9</v>
      </c>
      <c r="Q362" s="195" t="s">
        <v>10</v>
      </c>
      <c r="R362" s="123" t="s">
        <v>92</v>
      </c>
      <c r="S362" s="196" t="s">
        <v>11</v>
      </c>
      <c r="T362" s="17" t="s">
        <v>12</v>
      </c>
      <c r="U362" s="17" t="s">
        <v>13</v>
      </c>
      <c r="V362" s="17" t="s">
        <v>14</v>
      </c>
      <c r="W362" s="17" t="s">
        <v>15</v>
      </c>
      <c r="X362" s="15" t="s">
        <v>16</v>
      </c>
      <c r="Y362" s="15" t="s">
        <v>17</v>
      </c>
      <c r="Z362" s="19" t="s">
        <v>18</v>
      </c>
      <c r="AA362" s="19" t="s">
        <v>19</v>
      </c>
      <c r="AB362" s="20" t="s">
        <v>20</v>
      </c>
      <c r="AC362" s="22" t="s">
        <v>93</v>
      </c>
      <c r="AD362" s="197" t="s">
        <v>21</v>
      </c>
      <c r="AE362" s="122" t="s">
        <v>22</v>
      </c>
      <c r="AF362" s="21" t="s">
        <v>23</v>
      </c>
      <c r="AG362" s="21" t="s">
        <v>21</v>
      </c>
      <c r="AH362" s="122" t="s">
        <v>24</v>
      </c>
      <c r="AI362" s="15" t="s">
        <v>25</v>
      </c>
      <c r="AJ362" s="15" t="s">
        <v>26</v>
      </c>
      <c r="AK362" s="122" t="s">
        <v>27</v>
      </c>
      <c r="AL362" s="198" t="s">
        <v>28</v>
      </c>
      <c r="AM362" s="199" t="s">
        <v>29</v>
      </c>
      <c r="AN362" s="124" t="s">
        <v>30</v>
      </c>
      <c r="AO362" s="124" t="s">
        <v>94</v>
      </c>
      <c r="AP362" s="125" t="s">
        <v>95</v>
      </c>
      <c r="AQ362" s="126"/>
      <c r="AR362" s="126"/>
      <c r="AS362" s="126"/>
      <c r="AT362" s="118"/>
      <c r="AU362" s="118"/>
      <c r="AV362" s="118"/>
      <c r="AW362" s="118"/>
      <c r="AX362" s="118"/>
      <c r="AY362" s="118"/>
      <c r="AZ362" s="118"/>
      <c r="BA362" s="118"/>
      <c r="BB362" s="118"/>
      <c r="BC362" s="118"/>
      <c r="BD362" s="118"/>
      <c r="BE362" s="118"/>
      <c r="BF362" s="118"/>
      <c r="BG362" s="47"/>
      <c r="BH362" s="47"/>
      <c r="BI362" s="47"/>
      <c r="BJ362" s="47"/>
      <c r="BK362" s="47"/>
    </row>
    <row r="363" spans="1:63" ht="28.5" customHeight="1">
      <c r="A363" s="12" t="s">
        <v>129</v>
      </c>
      <c r="B363" s="200"/>
      <c r="C363" s="42" t="s">
        <v>107</v>
      </c>
      <c r="D363" s="28">
        <f t="shared" ref="D363:D380" si="483">AK363/V363</f>
        <v>0.15551996726482334</v>
      </c>
      <c r="E363" s="201">
        <f t="shared" ref="E363:E380" si="484">AJ363/V363</f>
        <v>0.42270749875278241</v>
      </c>
      <c r="F363" s="30">
        <f t="shared" ref="F363:F380" si="485">(Z363+AB363)/V363</f>
        <v>0.26718753148795904</v>
      </c>
      <c r="G363" s="30">
        <f t="shared" ref="G363:G379" si="486">R363/AP363</f>
        <v>6.3772954924874795E-2</v>
      </c>
      <c r="H363" s="35">
        <v>7410</v>
      </c>
      <c r="I363" s="35">
        <f t="shared" ref="I363:I379" si="487">N363*7</f>
        <v>1400</v>
      </c>
      <c r="J363" s="35">
        <f t="shared" ref="J363:J379" si="488">N363*14</f>
        <v>2800</v>
      </c>
      <c r="K363" s="49">
        <v>76</v>
      </c>
      <c r="L363" s="49">
        <f>1906+1320</f>
        <v>3226</v>
      </c>
      <c r="M363" s="48"/>
      <c r="N363" s="44">
        <v>200</v>
      </c>
      <c r="O363" s="227">
        <v>249</v>
      </c>
      <c r="P363" s="31">
        <f t="shared" ref="P363:P379" si="489">O363-S363</f>
        <v>249</v>
      </c>
      <c r="Q363" s="227">
        <v>16</v>
      </c>
      <c r="R363" s="233">
        <v>191</v>
      </c>
      <c r="S363" s="36"/>
      <c r="T363" s="34">
        <f t="shared" ref="T363:T379" si="490">W363*O363</f>
        <v>6947100</v>
      </c>
      <c r="U363" s="31">
        <f t="shared" ref="U363:U379" si="491">W363*S363</f>
        <v>0</v>
      </c>
      <c r="V363" s="34">
        <f t="shared" ref="V363:V379" si="492">T363-U363</f>
        <v>6947100</v>
      </c>
      <c r="W363" s="34">
        <v>27900</v>
      </c>
      <c r="X363" s="34">
        <f>SUMIF(헤몬팜마진!$B$7:$B$32,$C363,헤몬팜마진!$R$7:$R$32)</f>
        <v>8850.86</v>
      </c>
      <c r="Y363" s="34">
        <f t="shared" ref="Y363:Y379" si="493">AI363*P363</f>
        <v>2302020.3384000002</v>
      </c>
      <c r="Z363" s="34">
        <f t="shared" ref="Z363:Z379" si="494">AA363*1.1</f>
        <v>1856178.5000000002</v>
      </c>
      <c r="AA363" s="234">
        <v>1687435</v>
      </c>
      <c r="AB363" s="36"/>
      <c r="AC363" s="204">
        <f t="shared" ref="AC363:AC364" si="495">(1072+1100)*Q363</f>
        <v>34752</v>
      </c>
      <c r="AD363" s="152">
        <v>0.1</v>
      </c>
      <c r="AE363" s="31">
        <f>3050*(P363)</f>
        <v>759450</v>
      </c>
      <c r="AF363" s="28">
        <f t="shared" ref="AF363:AF380" si="496">AD363+(AE363/V363)</f>
        <v>0.20931899641577062</v>
      </c>
      <c r="AG363" s="34">
        <f t="shared" ref="AG363:AG379" si="497">IFERROR(V363*AF363+3%,0)</f>
        <v>1454160.03</v>
      </c>
      <c r="AH363" s="34">
        <f t="shared" ref="AH363:AH379" si="498">V363/1.1*10%-((AI363*P363)+AG363+(AN363*P363)+(AL363*P363))*10%</f>
        <v>254328.36701454537</v>
      </c>
      <c r="AI363" s="34">
        <f>SUMIF(헤몬팜마진!$B$7:$B$32,$C363,헤몬팜마진!$V$7:$V$32)</f>
        <v>9245.0616000000009</v>
      </c>
      <c r="AJ363" s="34">
        <f t="shared" ref="AJ363:AJ380" si="499">V363-(Y363+AG363+AH363+(AN363*P363))</f>
        <v>2936591.2645854545</v>
      </c>
      <c r="AK363" s="46">
        <f t="shared" ref="AK363:AK380" si="500">AJ363-Z363-AB363</f>
        <v>1080412.7645854542</v>
      </c>
      <c r="AL363" s="40">
        <f>SUMIF(헤몬팜마진!$B$7:$B$32,$C363,헤몬팜마진!$T$7:$T$32)</f>
        <v>64.584000000000003</v>
      </c>
      <c r="AM363" s="41">
        <f>SUMIF(헤몬팜마진!$B$7:$B$32,$C363,헤몬팜마진!$U$7:$U$32)</f>
        <v>329.61759999999998</v>
      </c>
      <c r="AN363" s="36"/>
      <c r="AO363" s="235">
        <v>538830</v>
      </c>
      <c r="AP363" s="235">
        <v>2995</v>
      </c>
      <c r="AQ363" s="126"/>
      <c r="AR363" s="126"/>
      <c r="AS363" s="126"/>
      <c r="AT363" s="118"/>
      <c r="AU363" s="118"/>
      <c r="AV363" s="118"/>
      <c r="AW363" s="118"/>
      <c r="AX363" s="118"/>
      <c r="AY363" s="118"/>
      <c r="AZ363" s="118"/>
      <c r="BA363" s="118"/>
      <c r="BB363" s="118"/>
      <c r="BC363" s="118"/>
      <c r="BD363" s="118"/>
      <c r="BE363" s="118"/>
      <c r="BF363" s="118"/>
      <c r="BG363" s="47"/>
      <c r="BH363" s="47"/>
      <c r="BI363" s="47"/>
      <c r="BJ363" s="47"/>
      <c r="BK363" s="47"/>
    </row>
    <row r="364" spans="1:63" ht="28.5" customHeight="1">
      <c r="A364" s="228" t="s">
        <v>130</v>
      </c>
      <c r="B364" s="200"/>
      <c r="C364" s="42" t="s">
        <v>108</v>
      </c>
      <c r="D364" s="28" t="e">
        <f t="shared" si="483"/>
        <v>#DIV/0!</v>
      </c>
      <c r="E364" s="201" t="e">
        <f t="shared" si="484"/>
        <v>#DIV/0!</v>
      </c>
      <c r="F364" s="30" t="e">
        <f t="shared" si="485"/>
        <v>#DIV/0!</v>
      </c>
      <c r="G364" s="30" t="e">
        <f t="shared" si="486"/>
        <v>#DIV/0!</v>
      </c>
      <c r="H364" s="35">
        <v>1460</v>
      </c>
      <c r="I364" s="35">
        <f t="shared" si="487"/>
        <v>140</v>
      </c>
      <c r="J364" s="35">
        <f t="shared" si="488"/>
        <v>280</v>
      </c>
      <c r="K364" s="39">
        <v>325</v>
      </c>
      <c r="L364" s="39">
        <v>0</v>
      </c>
      <c r="M364" s="210"/>
      <c r="N364" s="44">
        <v>20</v>
      </c>
      <c r="O364" s="202"/>
      <c r="P364" s="31">
        <f t="shared" si="489"/>
        <v>0</v>
      </c>
      <c r="Q364" s="36"/>
      <c r="R364" s="167"/>
      <c r="S364" s="36"/>
      <c r="T364" s="34">
        <f t="shared" si="490"/>
        <v>0</v>
      </c>
      <c r="U364" s="31">
        <f t="shared" si="491"/>
        <v>0</v>
      </c>
      <c r="V364" s="34">
        <f t="shared" si="492"/>
        <v>0</v>
      </c>
      <c r="W364" s="43">
        <v>22700</v>
      </c>
      <c r="X364" s="34">
        <f>SUMIF(헤몬팜마진!$B$7:$B$32,$C364,헤몬팜마진!$R$7:$R$32)</f>
        <v>7080.6879999999992</v>
      </c>
      <c r="Y364" s="34">
        <f t="shared" si="493"/>
        <v>0</v>
      </c>
      <c r="Z364" s="34">
        <f t="shared" si="494"/>
        <v>0</v>
      </c>
      <c r="AA364" s="234"/>
      <c r="AB364" s="36"/>
      <c r="AC364" s="204">
        <f t="shared" si="495"/>
        <v>0</v>
      </c>
      <c r="AD364" s="152">
        <v>0.1</v>
      </c>
      <c r="AE364" s="31">
        <f>2950*(P364)</f>
        <v>0</v>
      </c>
      <c r="AF364" s="28" t="e">
        <f t="shared" si="496"/>
        <v>#DIV/0!</v>
      </c>
      <c r="AG364" s="34">
        <f t="shared" si="497"/>
        <v>0</v>
      </c>
      <c r="AH364" s="34">
        <f t="shared" si="498"/>
        <v>0</v>
      </c>
      <c r="AI364" s="34">
        <f>SUMIF(헤몬팜마진!$B$7:$B$32,$C364,헤몬팜마진!$V$7:$V$32)</f>
        <v>7377.3279999999995</v>
      </c>
      <c r="AJ364" s="34">
        <f t="shared" si="499"/>
        <v>0</v>
      </c>
      <c r="AK364" s="46">
        <f t="shared" si="500"/>
        <v>0</v>
      </c>
      <c r="AL364" s="40">
        <f>SUMIF(헤몬팜마진!$B$7:$B$32,$C364,헤몬팜마진!$T$7:$T$32)</f>
        <v>48.6</v>
      </c>
      <c r="AM364" s="41">
        <f>SUMIF(헤몬팜마진!$B$7:$B$32,$C364,헤몬팜마진!$U$7:$U$32)</f>
        <v>248.04000000000002</v>
      </c>
      <c r="AN364" s="36"/>
      <c r="AO364" s="235"/>
      <c r="AP364" s="235"/>
      <c r="AQ364" s="126"/>
      <c r="AR364" s="126"/>
      <c r="AS364" s="126"/>
      <c r="AT364" s="118"/>
      <c r="AU364" s="118"/>
      <c r="AV364" s="118"/>
      <c r="AW364" s="118"/>
      <c r="AX364" s="118"/>
      <c r="AY364" s="118"/>
      <c r="AZ364" s="118"/>
      <c r="BA364" s="118"/>
      <c r="BB364" s="118"/>
      <c r="BC364" s="118"/>
      <c r="BD364" s="118"/>
      <c r="BE364" s="118"/>
      <c r="BF364" s="118"/>
      <c r="BG364" s="47"/>
      <c r="BH364" s="47"/>
      <c r="BI364" s="47"/>
      <c r="BJ364" s="47"/>
      <c r="BK364" s="47"/>
    </row>
    <row r="365" spans="1:63" ht="28.5" customHeight="1">
      <c r="A365" s="228" t="s">
        <v>131</v>
      </c>
      <c r="B365" s="323"/>
      <c r="C365" s="42" t="s">
        <v>109</v>
      </c>
      <c r="D365" s="28" t="e">
        <f t="shared" si="483"/>
        <v>#REF!</v>
      </c>
      <c r="E365" s="201" t="e">
        <f t="shared" si="484"/>
        <v>#REF!</v>
      </c>
      <c r="F365" s="30">
        <f t="shared" si="485"/>
        <v>0.16857860262008734</v>
      </c>
      <c r="G365" s="30">
        <f t="shared" si="486"/>
        <v>9.5238095238095247E-3</v>
      </c>
      <c r="H365" s="35">
        <v>0</v>
      </c>
      <c r="I365" s="35">
        <f t="shared" si="487"/>
        <v>105</v>
      </c>
      <c r="J365" s="35">
        <f t="shared" si="488"/>
        <v>210</v>
      </c>
      <c r="K365" s="50">
        <v>430</v>
      </c>
      <c r="L365" s="49">
        <f>40+3+3</f>
        <v>46</v>
      </c>
      <c r="M365" s="48"/>
      <c r="N365" s="44">
        <v>15</v>
      </c>
      <c r="O365" s="202">
        <v>3</v>
      </c>
      <c r="P365" s="31">
        <f t="shared" si="489"/>
        <v>3</v>
      </c>
      <c r="Q365" s="36">
        <v>1</v>
      </c>
      <c r="R365" s="203">
        <v>1</v>
      </c>
      <c r="S365" s="36"/>
      <c r="T365" s="34">
        <f t="shared" si="490"/>
        <v>137400</v>
      </c>
      <c r="U365" s="31">
        <f t="shared" si="491"/>
        <v>0</v>
      </c>
      <c r="V365" s="34">
        <f t="shared" si="492"/>
        <v>137400</v>
      </c>
      <c r="W365" s="43">
        <v>45800</v>
      </c>
      <c r="X365" s="34">
        <f>SUMIF(헤몬팜마진!$B$7:$B$32,$C365,헤몬팜마진!$R$7:$R$32)</f>
        <v>9990.4082249999992</v>
      </c>
      <c r="Y365" s="34" t="e">
        <f t="shared" si="493"/>
        <v>#REF!</v>
      </c>
      <c r="Z365" s="34">
        <f t="shared" si="494"/>
        <v>23162.7</v>
      </c>
      <c r="AA365" s="234">
        <v>21057</v>
      </c>
      <c r="AB365" s="36"/>
      <c r="AC365" s="204">
        <f t="shared" ref="AC365:AC379" si="501">(1210+1100)*Q365</f>
        <v>2310</v>
      </c>
      <c r="AD365" s="152">
        <v>0.11</v>
      </c>
      <c r="AE365" s="31">
        <f t="shared" ref="AE365:AE367" si="502">4150*(P365)</f>
        <v>12450</v>
      </c>
      <c r="AF365" s="28">
        <f t="shared" si="496"/>
        <v>0.2006113537117904</v>
      </c>
      <c r="AG365" s="34">
        <f t="shared" si="497"/>
        <v>27564.03</v>
      </c>
      <c r="AH365" s="34" t="e">
        <f t="shared" si="498"/>
        <v>#REF!</v>
      </c>
      <c r="AI365" s="34" t="e">
        <f>SUMIF(헤몬팜마진!$B$7:$B$32,$C365,헤몬팜마진!$V$7:$V$32)</f>
        <v>#REF!</v>
      </c>
      <c r="AJ365" s="34" t="e">
        <f t="shared" si="499"/>
        <v>#REF!</v>
      </c>
      <c r="AK365" s="46" t="e">
        <f t="shared" si="500"/>
        <v>#REF!</v>
      </c>
      <c r="AL365" s="40">
        <f>SUMIF(헤몬팜마진!$B$7:$B$32,$C365,헤몬팜마진!$T$7:$T$32)</f>
        <v>162</v>
      </c>
      <c r="AM365" s="41">
        <f>SUMIF(헤몬팜마진!$B$7:$B$32,$C365,헤몬팜마진!$U$7:$U$32)</f>
        <v>826.80000000000007</v>
      </c>
      <c r="AN365" s="36"/>
      <c r="AO365" s="235">
        <v>14257</v>
      </c>
      <c r="AP365" s="235">
        <v>105</v>
      </c>
      <c r="AQ365" s="126"/>
      <c r="AR365" s="126"/>
      <c r="AS365" s="126"/>
      <c r="AT365" s="118"/>
      <c r="AU365" s="118"/>
      <c r="AV365" s="118"/>
      <c r="AW365" s="118"/>
      <c r="AX365" s="118"/>
      <c r="AY365" s="118"/>
      <c r="AZ365" s="118"/>
      <c r="BA365" s="118"/>
      <c r="BB365" s="118"/>
      <c r="BC365" s="118"/>
      <c r="BD365" s="118"/>
      <c r="BE365" s="118"/>
      <c r="BF365" s="118"/>
      <c r="BG365" s="47"/>
      <c r="BH365" s="47"/>
      <c r="BI365" s="47"/>
      <c r="BJ365" s="47"/>
      <c r="BK365" s="47"/>
    </row>
    <row r="366" spans="1:63" ht="28.5" customHeight="1">
      <c r="A366" s="228"/>
      <c r="B366" s="324"/>
      <c r="C366" s="42" t="s">
        <v>110</v>
      </c>
      <c r="D366" s="28" t="e">
        <f t="shared" si="483"/>
        <v>#REF!</v>
      </c>
      <c r="E366" s="201" t="e">
        <f t="shared" si="484"/>
        <v>#REF!</v>
      </c>
      <c r="F366" s="30">
        <f t="shared" si="485"/>
        <v>0.3394056267806268</v>
      </c>
      <c r="G366" s="30">
        <f t="shared" si="486"/>
        <v>0.02</v>
      </c>
      <c r="H366" s="35">
        <v>0</v>
      </c>
      <c r="I366" s="35">
        <f t="shared" si="487"/>
        <v>105</v>
      </c>
      <c r="J366" s="35">
        <f t="shared" si="488"/>
        <v>210</v>
      </c>
      <c r="K366" s="236"/>
      <c r="L366" s="49">
        <f>13+2</f>
        <v>15</v>
      </c>
      <c r="M366" s="48"/>
      <c r="N366" s="44">
        <v>15</v>
      </c>
      <c r="O366" s="202">
        <v>6</v>
      </c>
      <c r="P366" s="31">
        <f t="shared" si="489"/>
        <v>6</v>
      </c>
      <c r="Q366" s="202">
        <v>2</v>
      </c>
      <c r="R366" s="233">
        <v>6</v>
      </c>
      <c r="S366" s="36"/>
      <c r="T366" s="34">
        <f t="shared" si="490"/>
        <v>280800</v>
      </c>
      <c r="U366" s="31">
        <f t="shared" si="491"/>
        <v>0</v>
      </c>
      <c r="V366" s="34">
        <f t="shared" si="492"/>
        <v>280800</v>
      </c>
      <c r="W366" s="43">
        <v>46800</v>
      </c>
      <c r="X366" s="34">
        <f>SUMIF(헤몬팜마진!$B$7:$B$32,$C366,헤몬팜마진!$R$7:$R$32)</f>
        <v>9990.4082249999992</v>
      </c>
      <c r="Y366" s="34" t="e">
        <f t="shared" si="493"/>
        <v>#REF!</v>
      </c>
      <c r="Z366" s="34">
        <f t="shared" si="494"/>
        <v>95305.1</v>
      </c>
      <c r="AA366" s="234">
        <v>86641</v>
      </c>
      <c r="AB366" s="36"/>
      <c r="AC366" s="204">
        <f t="shared" si="501"/>
        <v>4620</v>
      </c>
      <c r="AD366" s="152">
        <v>0.11</v>
      </c>
      <c r="AE366" s="31">
        <f t="shared" si="502"/>
        <v>24900</v>
      </c>
      <c r="AF366" s="28">
        <f t="shared" si="496"/>
        <v>0.19867521367521368</v>
      </c>
      <c r="AG366" s="34">
        <f t="shared" si="497"/>
        <v>55788.03</v>
      </c>
      <c r="AH366" s="34" t="e">
        <f t="shared" si="498"/>
        <v>#REF!</v>
      </c>
      <c r="AI366" s="34" t="e">
        <f>SUMIF(헤몬팜마진!$B$7:$B$32,$C366,헤몬팜마진!$V$7:$V$32)</f>
        <v>#REF!</v>
      </c>
      <c r="AJ366" s="34" t="e">
        <f t="shared" si="499"/>
        <v>#REF!</v>
      </c>
      <c r="AK366" s="206" t="e">
        <f t="shared" si="500"/>
        <v>#REF!</v>
      </c>
      <c r="AL366" s="40">
        <f>SUMIF(헤몬팜마진!$B$7:$B$32,$C366,헤몬팜마진!$T$7:$T$32)</f>
        <v>162</v>
      </c>
      <c r="AM366" s="41">
        <f>SUMIF(헤몬팜마진!$B$7:$B$32,$C366,헤몬팜마진!$U$7:$U$32)</f>
        <v>826.80000000000007</v>
      </c>
      <c r="AN366" s="36"/>
      <c r="AO366" s="235">
        <v>96645</v>
      </c>
      <c r="AP366" s="235">
        <v>300</v>
      </c>
      <c r="AQ366" s="126"/>
      <c r="AR366" s="126"/>
      <c r="AS366" s="126"/>
      <c r="AT366" s="118"/>
      <c r="AU366" s="118"/>
      <c r="AV366" s="118"/>
      <c r="AW366" s="118"/>
      <c r="AX366" s="118"/>
      <c r="AY366" s="118"/>
      <c r="AZ366" s="118"/>
      <c r="BA366" s="118"/>
      <c r="BB366" s="118"/>
      <c r="BC366" s="118"/>
      <c r="BD366" s="118"/>
      <c r="BE366" s="118"/>
      <c r="BF366" s="118"/>
      <c r="BG366" s="47"/>
      <c r="BH366" s="47"/>
      <c r="BI366" s="47"/>
      <c r="BJ366" s="47"/>
      <c r="BK366" s="47"/>
    </row>
    <row r="367" spans="1:63" ht="28.5" customHeight="1">
      <c r="A367" s="228" t="s">
        <v>134</v>
      </c>
      <c r="B367" s="207"/>
      <c r="C367" s="42" t="s">
        <v>112</v>
      </c>
      <c r="D367" s="29" t="e">
        <f t="shared" si="483"/>
        <v>#REF!</v>
      </c>
      <c r="E367" s="201" t="e">
        <f t="shared" si="484"/>
        <v>#REF!</v>
      </c>
      <c r="F367" s="30">
        <f t="shared" si="485"/>
        <v>0.3337035175879397</v>
      </c>
      <c r="G367" s="30">
        <f t="shared" si="486"/>
        <v>1.8691588785046728E-2</v>
      </c>
      <c r="H367" s="37">
        <v>0</v>
      </c>
      <c r="I367" s="35">
        <f t="shared" si="487"/>
        <v>140</v>
      </c>
      <c r="J367" s="35">
        <f t="shared" si="488"/>
        <v>280</v>
      </c>
      <c r="K367" s="50">
        <v>343</v>
      </c>
      <c r="L367" s="39">
        <f>97+42+48+31+19+10</f>
        <v>247</v>
      </c>
      <c r="M367" s="210"/>
      <c r="N367" s="44">
        <v>20</v>
      </c>
      <c r="O367" s="202">
        <v>5</v>
      </c>
      <c r="P367" s="31">
        <f t="shared" si="489"/>
        <v>5</v>
      </c>
      <c r="Q367" s="202">
        <v>1</v>
      </c>
      <c r="R367" s="233">
        <v>2</v>
      </c>
      <c r="S367" s="36"/>
      <c r="T367" s="34">
        <f t="shared" si="490"/>
        <v>199000</v>
      </c>
      <c r="U367" s="31">
        <f t="shared" si="491"/>
        <v>0</v>
      </c>
      <c r="V367" s="34">
        <f t="shared" si="492"/>
        <v>199000</v>
      </c>
      <c r="W367" s="43">
        <v>39800</v>
      </c>
      <c r="X367" s="34">
        <f>SUMIF(헤몬팜마진!$B$7:$B$32,$C367,헤몬팜마진!$R$7:$R$32)</f>
        <v>7855.1382499999991</v>
      </c>
      <c r="Y367" s="34" t="e">
        <f t="shared" si="493"/>
        <v>#REF!</v>
      </c>
      <c r="Z367" s="34">
        <f t="shared" si="494"/>
        <v>66407</v>
      </c>
      <c r="AA367" s="234">
        <v>60370</v>
      </c>
      <c r="AB367" s="209"/>
      <c r="AC367" s="204">
        <f t="shared" si="501"/>
        <v>2310</v>
      </c>
      <c r="AD367" s="152">
        <v>0.08</v>
      </c>
      <c r="AE367" s="31">
        <f t="shared" si="502"/>
        <v>20750</v>
      </c>
      <c r="AF367" s="28">
        <f t="shared" si="496"/>
        <v>0.18427135678391959</v>
      </c>
      <c r="AG367" s="34">
        <f t="shared" si="497"/>
        <v>36670.03</v>
      </c>
      <c r="AH367" s="34" t="e">
        <f t="shared" si="498"/>
        <v>#REF!</v>
      </c>
      <c r="AI367" s="34" t="e">
        <f>SUMIF(헤몬팜마진!$B$7:$B$32,$C367,헤몬팜마진!$V$7:$V$32)</f>
        <v>#REF!</v>
      </c>
      <c r="AJ367" s="34" t="e">
        <f t="shared" si="499"/>
        <v>#REF!</v>
      </c>
      <c r="AK367" s="46" t="e">
        <f t="shared" si="500"/>
        <v>#REF!</v>
      </c>
      <c r="AL367" s="40">
        <f>SUMIF(헤몬팜마진!$B$7:$B$32,$C367,헤몬팜마진!$T$7:$T$32)</f>
        <v>176.41799999999998</v>
      </c>
      <c r="AM367" s="41">
        <f>SUMIF(헤몬팜마진!$B$7:$B$32,$C367,헤몬팜마진!$U$7:$U$32)</f>
        <v>900.38519999999994</v>
      </c>
      <c r="AN367" s="36"/>
      <c r="AO367" s="235">
        <v>32973</v>
      </c>
      <c r="AP367" s="235">
        <v>107</v>
      </c>
      <c r="AQ367" s="126"/>
      <c r="AR367" s="126"/>
      <c r="AS367" s="126"/>
      <c r="AT367" s="118"/>
      <c r="AU367" s="118"/>
      <c r="AV367" s="118"/>
      <c r="AW367" s="118"/>
      <c r="AX367" s="118"/>
      <c r="AY367" s="118"/>
      <c r="AZ367" s="118"/>
      <c r="BA367" s="118"/>
      <c r="BB367" s="118"/>
      <c r="BC367" s="118"/>
      <c r="BD367" s="118"/>
      <c r="BE367" s="118"/>
      <c r="BF367" s="118"/>
      <c r="BG367" s="47"/>
      <c r="BH367" s="47"/>
      <c r="BI367" s="47"/>
      <c r="BJ367" s="47"/>
      <c r="BK367" s="47"/>
    </row>
    <row r="368" spans="1:63" ht="28.5" customHeight="1">
      <c r="A368" s="228"/>
      <c r="B368" s="237"/>
      <c r="C368" s="42" t="s">
        <v>113</v>
      </c>
      <c r="D368" s="28" t="e">
        <f t="shared" si="483"/>
        <v>#REF!</v>
      </c>
      <c r="E368" s="201" t="e">
        <f t="shared" si="484"/>
        <v>#REF!</v>
      </c>
      <c r="F368" s="30">
        <f t="shared" si="485"/>
        <v>0.35950427350427355</v>
      </c>
      <c r="G368" s="30">
        <f t="shared" si="486"/>
        <v>3.3707865168539325E-2</v>
      </c>
      <c r="H368" s="135"/>
      <c r="I368" s="35">
        <f t="shared" si="487"/>
        <v>105</v>
      </c>
      <c r="J368" s="35">
        <f t="shared" si="488"/>
        <v>210</v>
      </c>
      <c r="K368" s="236"/>
      <c r="L368" s="39">
        <f>74+42+48+18+8+2</f>
        <v>192</v>
      </c>
      <c r="M368" s="210"/>
      <c r="N368" s="44">
        <v>15</v>
      </c>
      <c r="O368" s="36">
        <v>3</v>
      </c>
      <c r="P368" s="31">
        <f t="shared" si="489"/>
        <v>3</v>
      </c>
      <c r="Q368" s="36">
        <v>1</v>
      </c>
      <c r="R368" s="233">
        <v>3</v>
      </c>
      <c r="S368" s="36"/>
      <c r="T368" s="34">
        <f t="shared" si="490"/>
        <v>128700</v>
      </c>
      <c r="U368" s="31">
        <f t="shared" si="491"/>
        <v>0</v>
      </c>
      <c r="V368" s="34">
        <f t="shared" si="492"/>
        <v>128700</v>
      </c>
      <c r="W368" s="43">
        <v>42900</v>
      </c>
      <c r="X368" s="34">
        <f>SUMIF(헤몬팜마진!$B$7:$B$32,$C368,헤몬팜마진!$R$7:$R$32)</f>
        <v>7855.1382499999991</v>
      </c>
      <c r="Y368" s="34" t="e">
        <f t="shared" si="493"/>
        <v>#REF!</v>
      </c>
      <c r="Z368" s="34">
        <f t="shared" si="494"/>
        <v>46268.200000000004</v>
      </c>
      <c r="AA368" s="234">
        <v>42062</v>
      </c>
      <c r="AB368" s="36"/>
      <c r="AC368" s="204">
        <f t="shared" si="501"/>
        <v>2310</v>
      </c>
      <c r="AD368" s="152">
        <v>7.8E-2</v>
      </c>
      <c r="AE368" s="31">
        <f>1900*(P368)</f>
        <v>5700</v>
      </c>
      <c r="AF368" s="28">
        <f t="shared" si="496"/>
        <v>0.12228904428904429</v>
      </c>
      <c r="AG368" s="34">
        <f t="shared" si="497"/>
        <v>15738.630000000001</v>
      </c>
      <c r="AH368" s="34" t="e">
        <f t="shared" si="498"/>
        <v>#REF!</v>
      </c>
      <c r="AI368" s="34" t="e">
        <f>SUMIF(헤몬팜마진!$B$7:$B$32,$C368,헤몬팜마진!$V$7:$V$32)</f>
        <v>#REF!</v>
      </c>
      <c r="AJ368" s="34" t="e">
        <f t="shared" si="499"/>
        <v>#REF!</v>
      </c>
      <c r="AK368" s="206" t="e">
        <f t="shared" si="500"/>
        <v>#REF!</v>
      </c>
      <c r="AL368" s="40">
        <f>SUMIF(헤몬팜마진!$B$7:$B$32,$C368,헤몬팜마진!$T$7:$T$32)</f>
        <v>176.41799999999998</v>
      </c>
      <c r="AM368" s="41">
        <f>SUMIF(헤몬팜마진!$B$7:$B$32,$C368,헤몬팜마진!$U$7:$U$32)</f>
        <v>900.38519999999994</v>
      </c>
      <c r="AN368" s="36"/>
      <c r="AO368" s="235">
        <v>49373</v>
      </c>
      <c r="AP368" s="235">
        <v>89</v>
      </c>
      <c r="AQ368" s="126"/>
      <c r="AR368" s="126"/>
      <c r="AS368" s="126"/>
      <c r="AT368" s="118"/>
      <c r="AU368" s="118"/>
      <c r="AV368" s="118"/>
      <c r="AW368" s="118"/>
      <c r="AX368" s="118"/>
      <c r="AY368" s="118"/>
      <c r="AZ368" s="118"/>
      <c r="BA368" s="118"/>
      <c r="BB368" s="118"/>
      <c r="BC368" s="118"/>
      <c r="BD368" s="118"/>
      <c r="BE368" s="118"/>
      <c r="BF368" s="118"/>
      <c r="BG368" s="47"/>
      <c r="BH368" s="47"/>
      <c r="BI368" s="47"/>
      <c r="BJ368" s="47"/>
      <c r="BK368" s="47"/>
    </row>
    <row r="369" spans="1:63" ht="28.5" customHeight="1">
      <c r="A369" s="12" t="s">
        <v>132</v>
      </c>
      <c r="B369" s="207"/>
      <c r="C369" s="42" t="s">
        <v>32</v>
      </c>
      <c r="D369" s="28" t="e">
        <f t="shared" si="483"/>
        <v>#REF!</v>
      </c>
      <c r="E369" s="201" t="e">
        <f t="shared" si="484"/>
        <v>#REF!</v>
      </c>
      <c r="F369" s="30" t="e">
        <f t="shared" si="485"/>
        <v>#DIV/0!</v>
      </c>
      <c r="G369" s="30" t="e">
        <f t="shared" si="486"/>
        <v>#DIV/0!</v>
      </c>
      <c r="H369" s="37">
        <v>3504</v>
      </c>
      <c r="I369" s="35">
        <f t="shared" si="487"/>
        <v>210</v>
      </c>
      <c r="J369" s="35">
        <f t="shared" si="488"/>
        <v>420</v>
      </c>
      <c r="K369" s="50">
        <v>626</v>
      </c>
      <c r="L369" s="39">
        <f>30+13+6</f>
        <v>49</v>
      </c>
      <c r="M369" s="210"/>
      <c r="N369" s="208">
        <v>30</v>
      </c>
      <c r="O369" s="202">
        <v>0</v>
      </c>
      <c r="P369" s="31">
        <f t="shared" si="489"/>
        <v>0</v>
      </c>
      <c r="Q369" s="36"/>
      <c r="R369" s="203"/>
      <c r="S369" s="36"/>
      <c r="T369" s="34">
        <f t="shared" si="490"/>
        <v>0</v>
      </c>
      <c r="U369" s="31">
        <f t="shared" si="491"/>
        <v>0</v>
      </c>
      <c r="V369" s="34">
        <f t="shared" si="492"/>
        <v>0</v>
      </c>
      <c r="W369" s="43">
        <v>59800</v>
      </c>
      <c r="X369" s="34">
        <f>SUMIF(헤몬팜마진!$B$7:$B$32,$C369,헤몬팜마진!$R$7:$R$32)</f>
        <v>13276.289999999999</v>
      </c>
      <c r="Y369" s="34" t="e">
        <f t="shared" si="493"/>
        <v>#REF!</v>
      </c>
      <c r="Z369" s="34">
        <f t="shared" si="494"/>
        <v>0</v>
      </c>
      <c r="AA369" s="234"/>
      <c r="AB369" s="209"/>
      <c r="AC369" s="204">
        <f t="shared" si="501"/>
        <v>0</v>
      </c>
      <c r="AD369" s="152">
        <v>0.108</v>
      </c>
      <c r="AE369" s="31">
        <f t="shared" ref="AE369:AE370" si="503">4825*(P369)</f>
        <v>0</v>
      </c>
      <c r="AF369" s="28" t="e">
        <f t="shared" si="496"/>
        <v>#DIV/0!</v>
      </c>
      <c r="AG369" s="34">
        <f t="shared" si="497"/>
        <v>0</v>
      </c>
      <c r="AH369" s="34" t="e">
        <f t="shared" si="498"/>
        <v>#REF!</v>
      </c>
      <c r="AI369" s="34" t="e">
        <f>SUMIF(헤몬팜마진!$B$7:$B$32,$C369,헤몬팜마진!$V$7:$V$32)</f>
        <v>#REF!</v>
      </c>
      <c r="AJ369" s="34" t="e">
        <f t="shared" si="499"/>
        <v>#REF!</v>
      </c>
      <c r="AK369" s="46" t="e">
        <f t="shared" si="500"/>
        <v>#REF!</v>
      </c>
      <c r="AL369" s="40">
        <f>SUMIF(헤몬팜마진!$B$7:$B$32,$C369,헤몬팜마진!$T$7:$T$32)</f>
        <v>371.52</v>
      </c>
      <c r="AM369" s="41">
        <f>SUMIF(헤몬팜마진!$B$7:$B$32,$C369,헤몬팜마진!$U$7:$U$32)</f>
        <v>1896.1279999999999</v>
      </c>
      <c r="AN369" s="36"/>
      <c r="AO369" s="202"/>
      <c r="AP369" s="205"/>
      <c r="AQ369" s="126"/>
      <c r="AR369" s="126"/>
      <c r="AS369" s="126"/>
      <c r="AT369" s="118"/>
      <c r="AU369" s="118"/>
      <c r="AV369" s="118"/>
      <c r="AW369" s="118"/>
      <c r="AX369" s="118"/>
      <c r="AY369" s="118"/>
      <c r="AZ369" s="118"/>
      <c r="BA369" s="118"/>
      <c r="BB369" s="118"/>
      <c r="BC369" s="118"/>
      <c r="BD369" s="118"/>
      <c r="BE369" s="118"/>
      <c r="BF369" s="118"/>
      <c r="BG369" s="47"/>
      <c r="BH369" s="47"/>
      <c r="BI369" s="47"/>
      <c r="BJ369" s="47"/>
      <c r="BK369" s="47"/>
    </row>
    <row r="370" spans="1:63" ht="28.5" customHeight="1">
      <c r="A370" s="12" t="s">
        <v>132</v>
      </c>
      <c r="B370" s="237"/>
      <c r="C370" s="42" t="s">
        <v>33</v>
      </c>
      <c r="D370" s="28" t="e">
        <f t="shared" si="483"/>
        <v>#REF!</v>
      </c>
      <c r="E370" s="201" t="e">
        <f t="shared" si="484"/>
        <v>#REF!</v>
      </c>
      <c r="F370" s="30">
        <f t="shared" si="485"/>
        <v>0.64362138148466608</v>
      </c>
      <c r="G370" s="30">
        <f t="shared" si="486"/>
        <v>2.1276595744680851E-2</v>
      </c>
      <c r="H370" s="35">
        <v>0</v>
      </c>
      <c r="I370" s="35">
        <f t="shared" si="487"/>
        <v>210</v>
      </c>
      <c r="J370" s="35">
        <f t="shared" si="488"/>
        <v>420</v>
      </c>
      <c r="K370" s="236"/>
      <c r="L370" s="39">
        <f>4+11+18+38+129</f>
        <v>200</v>
      </c>
      <c r="M370" s="210"/>
      <c r="N370" s="44">
        <v>30</v>
      </c>
      <c r="O370" s="202">
        <v>1</v>
      </c>
      <c r="P370" s="31">
        <f t="shared" si="489"/>
        <v>1</v>
      </c>
      <c r="Q370" s="36"/>
      <c r="R370" s="203">
        <v>1</v>
      </c>
      <c r="S370" s="36"/>
      <c r="T370" s="34">
        <f t="shared" si="490"/>
        <v>69780</v>
      </c>
      <c r="U370" s="31">
        <f t="shared" si="491"/>
        <v>0</v>
      </c>
      <c r="V370" s="34">
        <f t="shared" si="492"/>
        <v>69780</v>
      </c>
      <c r="W370" s="43">
        <v>69780</v>
      </c>
      <c r="X370" s="34">
        <f>SUMIF(헤몬팜마진!$B$7:$B$32,$C370,헤몬팜마진!$R$7:$R$32)</f>
        <v>13276.289999999999</v>
      </c>
      <c r="Y370" s="34" t="e">
        <f t="shared" si="493"/>
        <v>#REF!</v>
      </c>
      <c r="Z370" s="34">
        <f t="shared" si="494"/>
        <v>44911.9</v>
      </c>
      <c r="AA370" s="234">
        <v>40829</v>
      </c>
      <c r="AB370" s="36"/>
      <c r="AC370" s="204">
        <f t="shared" si="501"/>
        <v>0</v>
      </c>
      <c r="AD370" s="152">
        <v>0.108</v>
      </c>
      <c r="AE370" s="31">
        <f t="shared" si="503"/>
        <v>4825</v>
      </c>
      <c r="AF370" s="28">
        <f t="shared" si="496"/>
        <v>0.17714588707366008</v>
      </c>
      <c r="AG370" s="34">
        <f t="shared" si="497"/>
        <v>12361.27</v>
      </c>
      <c r="AH370" s="34" t="e">
        <f t="shared" si="498"/>
        <v>#REF!</v>
      </c>
      <c r="AI370" s="34" t="e">
        <f>SUMIF(헤몬팜마진!$B$7:$B$32,$C370,헤몬팜마진!$V$7:$V$32)</f>
        <v>#REF!</v>
      </c>
      <c r="AJ370" s="34" t="e">
        <f t="shared" si="499"/>
        <v>#REF!</v>
      </c>
      <c r="AK370" s="46" t="e">
        <f t="shared" si="500"/>
        <v>#REF!</v>
      </c>
      <c r="AL370" s="40">
        <f>SUMIF(헤몬팜마진!$B$7:$B$32,$C370,헤몬팜마진!$T$7:$T$32)</f>
        <v>371.52</v>
      </c>
      <c r="AM370" s="41">
        <f>SUMIF(헤몬팜마진!$B$7:$B$32,$C370,헤몬팜마진!$U$7:$U$32)</f>
        <v>1896.1279999999999</v>
      </c>
      <c r="AN370" s="36"/>
      <c r="AO370" s="235">
        <v>17242</v>
      </c>
      <c r="AP370" s="235">
        <v>47</v>
      </c>
      <c r="AQ370" s="126"/>
      <c r="AR370" s="126"/>
      <c r="AS370" s="126"/>
      <c r="AT370" s="118"/>
      <c r="AU370" s="118"/>
      <c r="AV370" s="118"/>
      <c r="AW370" s="118"/>
      <c r="AX370" s="118"/>
      <c r="AY370" s="118"/>
      <c r="AZ370" s="118"/>
      <c r="BA370" s="118"/>
      <c r="BB370" s="118"/>
      <c r="BC370" s="118"/>
      <c r="BD370" s="118"/>
      <c r="BE370" s="118"/>
      <c r="BF370" s="118"/>
      <c r="BG370" s="47"/>
      <c r="BH370" s="47"/>
      <c r="BI370" s="47"/>
      <c r="BJ370" s="47"/>
      <c r="BK370" s="47"/>
    </row>
    <row r="371" spans="1:63" ht="28.5" customHeight="1">
      <c r="A371" s="228" t="s">
        <v>133</v>
      </c>
      <c r="B371" s="200"/>
      <c r="C371" s="42" t="s">
        <v>111</v>
      </c>
      <c r="D371" s="28">
        <f t="shared" si="483"/>
        <v>-0.2036979243113517</v>
      </c>
      <c r="E371" s="201">
        <f t="shared" si="484"/>
        <v>0.39080855487254684</v>
      </c>
      <c r="F371" s="30">
        <f t="shared" si="485"/>
        <v>0.59450647918389854</v>
      </c>
      <c r="G371" s="30">
        <f t="shared" si="486"/>
        <v>5.1948051948051951E-2</v>
      </c>
      <c r="H371" s="35">
        <v>500</v>
      </c>
      <c r="I371" s="35">
        <f t="shared" si="487"/>
        <v>105</v>
      </c>
      <c r="J371" s="35">
        <f t="shared" si="488"/>
        <v>210</v>
      </c>
      <c r="K371" s="39">
        <v>577</v>
      </c>
      <c r="L371" s="39">
        <v>211</v>
      </c>
      <c r="M371" s="210"/>
      <c r="N371" s="44">
        <v>15</v>
      </c>
      <c r="O371" s="202">
        <v>9</v>
      </c>
      <c r="P371" s="31">
        <f t="shared" si="489"/>
        <v>9</v>
      </c>
      <c r="Q371" s="202"/>
      <c r="R371" s="233">
        <v>8</v>
      </c>
      <c r="S371" s="202"/>
      <c r="T371" s="34">
        <f t="shared" si="490"/>
        <v>145080</v>
      </c>
      <c r="U371" s="31">
        <f t="shared" si="491"/>
        <v>0</v>
      </c>
      <c r="V371" s="34">
        <f t="shared" si="492"/>
        <v>145080</v>
      </c>
      <c r="W371" s="43">
        <v>16120</v>
      </c>
      <c r="X371" s="34">
        <f>SUMIF(헤몬팜마진!$B$7:$B$32,$C371,헤몬팜마진!$R$7:$R$32)</f>
        <v>5089.2444999999998</v>
      </c>
      <c r="Y371" s="34">
        <f t="shared" si="493"/>
        <v>46136.9205</v>
      </c>
      <c r="Z371" s="34">
        <f t="shared" si="494"/>
        <v>86251</v>
      </c>
      <c r="AA371" s="234">
        <v>78410</v>
      </c>
      <c r="AB371" s="211"/>
      <c r="AC371" s="204">
        <f t="shared" si="501"/>
        <v>0</v>
      </c>
      <c r="AD371" s="152">
        <v>7.8E-2</v>
      </c>
      <c r="AE371" s="31">
        <f>2900*(P371)</f>
        <v>26100</v>
      </c>
      <c r="AF371" s="28">
        <f t="shared" si="496"/>
        <v>0.25790074441687344</v>
      </c>
      <c r="AG371" s="34">
        <f t="shared" si="497"/>
        <v>37416.269999999997</v>
      </c>
      <c r="AH371" s="34">
        <f t="shared" si="498"/>
        <v>4828.3043590909092</v>
      </c>
      <c r="AI371" s="34">
        <f>SUMIF(헤몬팜마진!$B$7:$B$32,$C371,헤몬팜마진!$V$7:$V$32)</f>
        <v>5126.3244999999997</v>
      </c>
      <c r="AJ371" s="34">
        <f t="shared" si="499"/>
        <v>56698.505140909096</v>
      </c>
      <c r="AK371" s="206">
        <f t="shared" si="500"/>
        <v>-29552.494859090904</v>
      </c>
      <c r="AL371" s="40">
        <f>SUMIF(헤몬팜마진!$B$7:$B$32,$C371,헤몬팜마진!$T$7:$T$32)</f>
        <v>6.0750000000000002</v>
      </c>
      <c r="AM371" s="41">
        <f>SUMIF(헤몬팜마진!$B$7:$B$32,$C371,헤몬팜마진!$U$7:$U$32)</f>
        <v>31.005000000000003</v>
      </c>
      <c r="AN371" s="36"/>
      <c r="AO371" s="235">
        <v>54223</v>
      </c>
      <c r="AP371" s="235">
        <v>154</v>
      </c>
      <c r="AQ371" s="126"/>
      <c r="AR371" s="126"/>
      <c r="AS371" s="126"/>
      <c r="AT371" s="118"/>
      <c r="AU371" s="118"/>
      <c r="AV371" s="118"/>
      <c r="AW371" s="118"/>
      <c r="AX371" s="118"/>
      <c r="AY371" s="118"/>
      <c r="AZ371" s="118"/>
      <c r="BA371" s="118"/>
      <c r="BB371" s="118"/>
      <c r="BC371" s="118"/>
      <c r="BD371" s="118"/>
      <c r="BE371" s="118"/>
      <c r="BF371" s="118"/>
      <c r="BG371" s="47"/>
      <c r="BH371" s="47"/>
      <c r="BI371" s="47"/>
      <c r="BJ371" s="47"/>
      <c r="BK371" s="47"/>
    </row>
    <row r="372" spans="1:63" ht="28.5" customHeight="1">
      <c r="A372" s="228" t="s">
        <v>135</v>
      </c>
      <c r="B372" s="200"/>
      <c r="C372" s="42" t="s">
        <v>114</v>
      </c>
      <c r="D372" s="28">
        <f t="shared" si="483"/>
        <v>4.2940368465909158E-2</v>
      </c>
      <c r="E372" s="201">
        <f t="shared" si="484"/>
        <v>0.36298880596590916</v>
      </c>
      <c r="F372" s="30">
        <f t="shared" si="485"/>
        <v>0.3200484375</v>
      </c>
      <c r="G372" s="30">
        <f t="shared" si="486"/>
        <v>3.8095238095238099E-2</v>
      </c>
      <c r="H372" s="35">
        <v>1750</v>
      </c>
      <c r="I372" s="35">
        <f t="shared" si="487"/>
        <v>350</v>
      </c>
      <c r="J372" s="35">
        <f t="shared" si="488"/>
        <v>700</v>
      </c>
      <c r="K372" s="39">
        <v>1449</v>
      </c>
      <c r="L372" s="39">
        <v>1217</v>
      </c>
      <c r="M372" s="210"/>
      <c r="N372" s="44">
        <v>50</v>
      </c>
      <c r="O372" s="202">
        <v>10</v>
      </c>
      <c r="P372" s="31">
        <f t="shared" si="489"/>
        <v>10</v>
      </c>
      <c r="Q372" s="36">
        <v>5</v>
      </c>
      <c r="R372" s="233">
        <v>4</v>
      </c>
      <c r="S372" s="36"/>
      <c r="T372" s="34">
        <f t="shared" si="490"/>
        <v>192000</v>
      </c>
      <c r="U372" s="31">
        <f t="shared" si="491"/>
        <v>0</v>
      </c>
      <c r="V372" s="34">
        <f t="shared" si="492"/>
        <v>192000</v>
      </c>
      <c r="W372" s="43">
        <v>19200</v>
      </c>
      <c r="X372" s="34">
        <f>SUMIF(헤몬팜마진!$B$7:$B$32,$C372,헤몬팜마진!$R$7:$R$32)</f>
        <v>6372.6191999999992</v>
      </c>
      <c r="Y372" s="34">
        <f t="shared" si="493"/>
        <v>67714.351999999984</v>
      </c>
      <c r="Z372" s="34">
        <f t="shared" si="494"/>
        <v>61449.3</v>
      </c>
      <c r="AA372" s="234">
        <v>55863</v>
      </c>
      <c r="AB372" s="36"/>
      <c r="AC372" s="204">
        <f t="shared" si="501"/>
        <v>11550</v>
      </c>
      <c r="AD372" s="152">
        <v>0.08</v>
      </c>
      <c r="AE372" s="31">
        <f>3350*(P372)</f>
        <v>33500</v>
      </c>
      <c r="AF372" s="28">
        <f t="shared" si="496"/>
        <v>0.25447916666666665</v>
      </c>
      <c r="AG372" s="34">
        <f t="shared" si="497"/>
        <v>48860.029999999992</v>
      </c>
      <c r="AH372" s="34">
        <f t="shared" si="498"/>
        <v>5731.7672545454534</v>
      </c>
      <c r="AI372" s="34">
        <f>SUMIF(헤몬팜마진!$B$7:$B$32,$C372,헤몬팜마진!$V$7:$V$32)</f>
        <v>6771.435199999999</v>
      </c>
      <c r="AJ372" s="34">
        <f t="shared" si="499"/>
        <v>69693.850745454562</v>
      </c>
      <c r="AK372" s="46">
        <f t="shared" si="500"/>
        <v>8244.5507454545586</v>
      </c>
      <c r="AL372" s="40">
        <f>SUMIF(헤몬팜마진!$B$7:$B$32,$C372,헤몬팜마진!$T$7:$T$32)</f>
        <v>65.34</v>
      </c>
      <c r="AM372" s="41">
        <f>SUMIF(헤몬팜마진!$B$7:$B$32,$C372,헤몬팜마진!$U$7:$U$32)</f>
        <v>333.476</v>
      </c>
      <c r="AN372" s="36"/>
      <c r="AO372" s="235">
        <v>52205</v>
      </c>
      <c r="AP372" s="235">
        <v>105</v>
      </c>
      <c r="AQ372" s="126"/>
      <c r="AR372" s="126"/>
      <c r="AS372" s="126"/>
      <c r="AT372" s="118"/>
      <c r="AU372" s="118"/>
      <c r="AV372" s="118"/>
      <c r="AW372" s="118"/>
      <c r="AX372" s="118"/>
      <c r="AY372" s="118"/>
      <c r="AZ372" s="118"/>
      <c r="BA372" s="118"/>
      <c r="BB372" s="118"/>
      <c r="BC372" s="118"/>
      <c r="BD372" s="118"/>
      <c r="BE372" s="118"/>
      <c r="BF372" s="118"/>
      <c r="BG372" s="47"/>
      <c r="BH372" s="47"/>
      <c r="BI372" s="47"/>
      <c r="BJ372" s="47"/>
      <c r="BK372" s="47"/>
    </row>
    <row r="373" spans="1:63" ht="28.5" customHeight="1">
      <c r="A373" s="327" t="s">
        <v>136</v>
      </c>
      <c r="B373" s="326"/>
      <c r="C373" s="42" t="s">
        <v>115</v>
      </c>
      <c r="D373" s="28" t="e">
        <f t="shared" si="483"/>
        <v>#REF!</v>
      </c>
      <c r="E373" s="201" t="e">
        <f t="shared" si="484"/>
        <v>#REF!</v>
      </c>
      <c r="F373" s="30">
        <f t="shared" si="485"/>
        <v>0.60775238858822744</v>
      </c>
      <c r="G373" s="30">
        <f t="shared" si="486"/>
        <v>1.3422818791946308E-2</v>
      </c>
      <c r="H373" s="35">
        <v>0</v>
      </c>
      <c r="I373" s="35">
        <f t="shared" si="487"/>
        <v>70</v>
      </c>
      <c r="J373" s="35">
        <f t="shared" si="488"/>
        <v>140</v>
      </c>
      <c r="K373" s="328">
        <v>494</v>
      </c>
      <c r="L373" s="39">
        <v>0</v>
      </c>
      <c r="M373" s="210"/>
      <c r="N373" s="44">
        <v>10</v>
      </c>
      <c r="O373" s="36">
        <v>3</v>
      </c>
      <c r="P373" s="31">
        <f t="shared" si="489"/>
        <v>3</v>
      </c>
      <c r="Q373" s="36">
        <v>1</v>
      </c>
      <c r="R373" s="233">
        <v>2</v>
      </c>
      <c r="S373" s="36"/>
      <c r="T373" s="34">
        <f t="shared" si="490"/>
        <v>149670</v>
      </c>
      <c r="U373" s="31">
        <f t="shared" si="491"/>
        <v>0</v>
      </c>
      <c r="V373" s="34">
        <f t="shared" si="492"/>
        <v>149670</v>
      </c>
      <c r="W373" s="43">
        <v>49890</v>
      </c>
      <c r="X373" s="34">
        <f>SUMIF(헤몬팜마진!$B$7:$B$32,$C373,헤몬팜마진!$R$7:$R$32)</f>
        <v>12169.932499999999</v>
      </c>
      <c r="Y373" s="34" t="e">
        <f t="shared" si="493"/>
        <v>#REF!</v>
      </c>
      <c r="Z373" s="34">
        <f t="shared" si="494"/>
        <v>90962.3</v>
      </c>
      <c r="AA373" s="234">
        <v>82693</v>
      </c>
      <c r="AB373" s="36"/>
      <c r="AC373" s="204">
        <f t="shared" si="501"/>
        <v>2310</v>
      </c>
      <c r="AD373" s="152">
        <v>7.8E-2</v>
      </c>
      <c r="AE373" s="31">
        <f t="shared" ref="AE373:AE374" si="504">4825*(P373)</f>
        <v>14475</v>
      </c>
      <c r="AF373" s="28">
        <f t="shared" si="496"/>
        <v>0.17471276808979755</v>
      </c>
      <c r="AG373" s="34">
        <f t="shared" si="497"/>
        <v>26149.289999999997</v>
      </c>
      <c r="AH373" s="34" t="e">
        <f t="shared" si="498"/>
        <v>#REF!</v>
      </c>
      <c r="AI373" s="34" t="e">
        <f>SUMIF(헤몬팜마진!$B$7:$B$32,$C373,헤몬팜마진!$V$7:$V$32)</f>
        <v>#REF!</v>
      </c>
      <c r="AJ373" s="34" t="e">
        <f t="shared" si="499"/>
        <v>#REF!</v>
      </c>
      <c r="AK373" s="206" t="e">
        <f t="shared" si="500"/>
        <v>#REF!</v>
      </c>
      <c r="AL373" s="40">
        <f>SUMIF(헤몬팜마진!$B$7:$B$32,$C373,헤몬팜마진!$T$7:$T$32)</f>
        <v>181.44000000000003</v>
      </c>
      <c r="AM373" s="41">
        <f>SUMIF(헤몬팜마진!$B$7:$B$32,$C373,헤몬팜마진!$U$7:$U$32)</f>
        <v>926.01600000000019</v>
      </c>
      <c r="AN373" s="36"/>
      <c r="AO373" s="235">
        <v>37605</v>
      </c>
      <c r="AP373" s="235">
        <v>149</v>
      </c>
      <c r="AQ373" s="126"/>
      <c r="AR373" s="126"/>
      <c r="AS373" s="126"/>
      <c r="AT373" s="118"/>
      <c r="AU373" s="118"/>
      <c r="AV373" s="118"/>
      <c r="AW373" s="118"/>
      <c r="AX373" s="118"/>
      <c r="AY373" s="118"/>
      <c r="AZ373" s="118"/>
      <c r="BA373" s="118"/>
      <c r="BB373" s="118"/>
      <c r="BC373" s="118"/>
      <c r="BD373" s="118"/>
      <c r="BE373" s="118"/>
      <c r="BF373" s="118"/>
      <c r="BG373" s="47"/>
      <c r="BH373" s="47"/>
      <c r="BI373" s="47"/>
      <c r="BJ373" s="47"/>
      <c r="BK373" s="47"/>
    </row>
    <row r="374" spans="1:63" ht="28.5" customHeight="1">
      <c r="A374" s="318"/>
      <c r="B374" s="324"/>
      <c r="C374" s="42" t="s">
        <v>116</v>
      </c>
      <c r="D374" s="28" t="e">
        <f t="shared" si="483"/>
        <v>#REF!</v>
      </c>
      <c r="E374" s="201" t="e">
        <f t="shared" si="484"/>
        <v>#REF!</v>
      </c>
      <c r="F374" s="30">
        <f t="shared" si="485"/>
        <v>0.59788547775094869</v>
      </c>
      <c r="G374" s="30">
        <f t="shared" si="486"/>
        <v>8.4745762711864406E-3</v>
      </c>
      <c r="H374" s="35">
        <v>0</v>
      </c>
      <c r="I374" s="35">
        <f t="shared" si="487"/>
        <v>70</v>
      </c>
      <c r="J374" s="35">
        <f t="shared" si="488"/>
        <v>140</v>
      </c>
      <c r="K374" s="310"/>
      <c r="L374" s="39">
        <v>1</v>
      </c>
      <c r="M374" s="210"/>
      <c r="N374" s="44">
        <v>10</v>
      </c>
      <c r="O374" s="202">
        <v>3</v>
      </c>
      <c r="P374" s="31">
        <f t="shared" si="489"/>
        <v>3</v>
      </c>
      <c r="Q374" s="202">
        <v>2</v>
      </c>
      <c r="R374" s="233">
        <v>2</v>
      </c>
      <c r="S374" s="36"/>
      <c r="T374" s="34">
        <f t="shared" si="490"/>
        <v>173940</v>
      </c>
      <c r="U374" s="31">
        <f t="shared" si="491"/>
        <v>0</v>
      </c>
      <c r="V374" s="34">
        <f t="shared" si="492"/>
        <v>173940</v>
      </c>
      <c r="W374" s="43">
        <v>57980</v>
      </c>
      <c r="X374" s="34">
        <f>SUMIF(헤몬팜마진!$B$7:$B$32,$C374,헤몬팜마진!$R$7:$R$32)</f>
        <v>12169.932499999999</v>
      </c>
      <c r="Y374" s="34" t="e">
        <f t="shared" si="493"/>
        <v>#REF!</v>
      </c>
      <c r="Z374" s="34">
        <f t="shared" si="494"/>
        <v>103996.20000000001</v>
      </c>
      <c r="AA374" s="234">
        <v>94542</v>
      </c>
      <c r="AB374" s="36"/>
      <c r="AC374" s="204">
        <f t="shared" si="501"/>
        <v>4620</v>
      </c>
      <c r="AD374" s="152">
        <v>7.8E-2</v>
      </c>
      <c r="AE374" s="31">
        <f t="shared" si="504"/>
        <v>14475</v>
      </c>
      <c r="AF374" s="28">
        <f t="shared" si="496"/>
        <v>0.16121835115557087</v>
      </c>
      <c r="AG374" s="34">
        <f t="shared" si="497"/>
        <v>28042.349999999995</v>
      </c>
      <c r="AH374" s="34" t="e">
        <f t="shared" si="498"/>
        <v>#REF!</v>
      </c>
      <c r="AI374" s="34" t="e">
        <f>SUMIF(헤몬팜마진!$B$7:$B$32,$C374,헤몬팜마진!$V$7:$V$32)</f>
        <v>#REF!</v>
      </c>
      <c r="AJ374" s="34" t="e">
        <f t="shared" si="499"/>
        <v>#REF!</v>
      </c>
      <c r="AK374" s="46" t="e">
        <f t="shared" si="500"/>
        <v>#REF!</v>
      </c>
      <c r="AL374" s="40">
        <f>SUMIF(헤몬팜마진!$B$7:$B$32,$C374,헤몬팜마진!$T$7:$T$32)</f>
        <v>181.44000000000003</v>
      </c>
      <c r="AM374" s="41">
        <f>SUMIF(헤몬팜마진!$B$7:$B$32,$C374,헤몬팜마진!$U$7:$U$32)</f>
        <v>926.01600000000019</v>
      </c>
      <c r="AN374" s="36"/>
      <c r="AO374" s="235">
        <v>37157</v>
      </c>
      <c r="AP374" s="235">
        <v>236</v>
      </c>
      <c r="AQ374" s="126"/>
      <c r="AR374" s="126"/>
      <c r="AS374" s="126"/>
      <c r="AT374" s="118"/>
      <c r="AU374" s="118"/>
      <c r="AV374" s="118"/>
      <c r="AW374" s="118"/>
      <c r="AX374" s="118"/>
      <c r="AY374" s="118"/>
      <c r="AZ374" s="118"/>
      <c r="BA374" s="118"/>
      <c r="BB374" s="118"/>
      <c r="BC374" s="118"/>
      <c r="BD374" s="118"/>
      <c r="BE374" s="118"/>
      <c r="BF374" s="118"/>
      <c r="BG374" s="47"/>
      <c r="BH374" s="47"/>
      <c r="BI374" s="47"/>
      <c r="BJ374" s="47"/>
      <c r="BK374" s="47"/>
    </row>
    <row r="375" spans="1:63" ht="28.5" customHeight="1">
      <c r="A375" s="228" t="s">
        <v>137</v>
      </c>
      <c r="B375" s="200"/>
      <c r="C375" s="42" t="s">
        <v>117</v>
      </c>
      <c r="D375" s="28">
        <f t="shared" si="483"/>
        <v>0.31925610165847668</v>
      </c>
      <c r="E375" s="201">
        <f t="shared" si="484"/>
        <v>0.49826623679361182</v>
      </c>
      <c r="F375" s="30">
        <f t="shared" si="485"/>
        <v>0.17901013513513514</v>
      </c>
      <c r="G375" s="30">
        <f t="shared" si="486"/>
        <v>1.5625E-2</v>
      </c>
      <c r="H375" s="35">
        <v>2000</v>
      </c>
      <c r="I375" s="35">
        <f t="shared" si="487"/>
        <v>700</v>
      </c>
      <c r="J375" s="35">
        <f t="shared" si="488"/>
        <v>1400</v>
      </c>
      <c r="K375" s="39">
        <v>2373</v>
      </c>
      <c r="L375" s="39">
        <v>3</v>
      </c>
      <c r="M375" s="210"/>
      <c r="N375" s="44">
        <v>100</v>
      </c>
      <c r="O375" s="202">
        <v>15</v>
      </c>
      <c r="P375" s="31">
        <f t="shared" si="489"/>
        <v>15</v>
      </c>
      <c r="Q375" s="202">
        <v>1</v>
      </c>
      <c r="R375" s="233">
        <v>4</v>
      </c>
      <c r="S375" s="36"/>
      <c r="T375" s="34">
        <f t="shared" si="490"/>
        <v>266400</v>
      </c>
      <c r="U375" s="31">
        <f t="shared" si="491"/>
        <v>0</v>
      </c>
      <c r="V375" s="34">
        <f t="shared" si="492"/>
        <v>266400</v>
      </c>
      <c r="W375" s="43">
        <v>17760</v>
      </c>
      <c r="X375" s="34">
        <f>SUMIF(헤몬팜마진!$B$7:$B$32,$C375,헤몬팜마진!$R$7:$R$32)</f>
        <v>3982.8869999999997</v>
      </c>
      <c r="Y375" s="34">
        <f t="shared" si="493"/>
        <v>72558.152999999991</v>
      </c>
      <c r="Z375" s="34">
        <f t="shared" si="494"/>
        <v>47688.3</v>
      </c>
      <c r="AA375" s="234">
        <f>23846+19507</f>
        <v>43353</v>
      </c>
      <c r="AB375" s="36"/>
      <c r="AC375" s="204">
        <f t="shared" si="501"/>
        <v>2310</v>
      </c>
      <c r="AD375" s="152">
        <v>7.8E-2</v>
      </c>
      <c r="AE375" s="31">
        <f>1900*(P375)</f>
        <v>28500</v>
      </c>
      <c r="AF375" s="28">
        <f t="shared" si="496"/>
        <v>0.18498198198198199</v>
      </c>
      <c r="AG375" s="34">
        <f t="shared" si="497"/>
        <v>49279.23</v>
      </c>
      <c r="AH375" s="34">
        <f t="shared" si="498"/>
        <v>11824.491518181818</v>
      </c>
      <c r="AI375" s="34">
        <f>SUMIF(헤몬팜마진!$B$7:$B$32,$C375,헤몬팜마진!$V$7:$V$32)</f>
        <v>4837.2101999999995</v>
      </c>
      <c r="AJ375" s="34">
        <f t="shared" si="499"/>
        <v>132738.12548181819</v>
      </c>
      <c r="AK375" s="46">
        <f t="shared" si="500"/>
        <v>85049.825481818189</v>
      </c>
      <c r="AL375" s="40">
        <f>SUMIF(헤몬팜마진!$B$7:$B$32,$C375,헤몬팜마진!$T$7:$T$32)</f>
        <v>139.96800000000002</v>
      </c>
      <c r="AM375" s="41">
        <f>SUMIF(헤몬팜마진!$B$7:$B$32,$C375,헤몬팜마진!$U$7:$U$32)</f>
        <v>714.35519999999997</v>
      </c>
      <c r="AN375" s="36"/>
      <c r="AO375" s="235">
        <v>57045</v>
      </c>
      <c r="AP375" s="235">
        <v>256</v>
      </c>
      <c r="AQ375" s="126"/>
      <c r="AR375" s="126"/>
      <c r="AS375" s="126"/>
      <c r="AT375" s="118"/>
      <c r="AU375" s="118"/>
      <c r="AV375" s="118"/>
      <c r="AW375" s="118"/>
      <c r="AX375" s="118"/>
      <c r="AY375" s="118"/>
      <c r="AZ375" s="118"/>
      <c r="BA375" s="118"/>
      <c r="BB375" s="118"/>
      <c r="BC375" s="118"/>
      <c r="BD375" s="118"/>
      <c r="BE375" s="118"/>
      <c r="BF375" s="118"/>
      <c r="BG375" s="47"/>
      <c r="BH375" s="47"/>
      <c r="BI375" s="47"/>
      <c r="BJ375" s="47"/>
      <c r="BK375" s="47"/>
    </row>
    <row r="376" spans="1:63" ht="28.5" customHeight="1">
      <c r="A376" s="228" t="s">
        <v>139</v>
      </c>
      <c r="B376" s="127" t="s">
        <v>127</v>
      </c>
      <c r="C376" s="42" t="s">
        <v>119</v>
      </c>
      <c r="D376" s="28">
        <f t="shared" si="483"/>
        <v>0.18789662819807598</v>
      </c>
      <c r="E376" s="201">
        <f t="shared" si="484"/>
        <v>0.43444842519763421</v>
      </c>
      <c r="F376" s="30">
        <f t="shared" si="485"/>
        <v>0.2465517969995582</v>
      </c>
      <c r="G376" s="30">
        <f t="shared" si="486"/>
        <v>0.1092436974789916</v>
      </c>
      <c r="H376" s="35">
        <v>2000</v>
      </c>
      <c r="I376" s="35">
        <f t="shared" si="487"/>
        <v>280</v>
      </c>
      <c r="J376" s="35">
        <f t="shared" si="488"/>
        <v>560</v>
      </c>
      <c r="K376" s="213">
        <v>1048</v>
      </c>
      <c r="L376" s="39">
        <f>311+240+1</f>
        <v>552</v>
      </c>
      <c r="M376" s="210"/>
      <c r="N376" s="44">
        <v>40</v>
      </c>
      <c r="O376" s="202">
        <v>21</v>
      </c>
      <c r="P376" s="31">
        <f t="shared" si="489"/>
        <v>21</v>
      </c>
      <c r="Q376" s="202">
        <v>6</v>
      </c>
      <c r="R376" s="233">
        <v>13</v>
      </c>
      <c r="S376" s="36"/>
      <c r="T376" s="34">
        <f t="shared" si="490"/>
        <v>520590</v>
      </c>
      <c r="U376" s="31">
        <f t="shared" si="491"/>
        <v>0</v>
      </c>
      <c r="V376" s="34">
        <f t="shared" si="492"/>
        <v>520590</v>
      </c>
      <c r="W376" s="43">
        <v>24790</v>
      </c>
      <c r="X376" s="34">
        <f>SUMIF(헤몬팜마진!$B$7:$B$32,$C376,헤몬팜마진!$R$7:$R$32)</f>
        <v>6859.4164999999994</v>
      </c>
      <c r="Y376" s="34">
        <f t="shared" si="493"/>
        <v>152325.98009999999</v>
      </c>
      <c r="Z376" s="34">
        <f t="shared" si="494"/>
        <v>128352.40000000001</v>
      </c>
      <c r="AA376" s="234">
        <v>116684</v>
      </c>
      <c r="AB376" s="209"/>
      <c r="AC376" s="204">
        <f t="shared" si="501"/>
        <v>13860</v>
      </c>
      <c r="AD376" s="152">
        <v>0.108</v>
      </c>
      <c r="AE376" s="31">
        <f>3150*(P376)</f>
        <v>66150</v>
      </c>
      <c r="AF376" s="28">
        <f t="shared" si="496"/>
        <v>0.23506736587333604</v>
      </c>
      <c r="AG376" s="34">
        <f t="shared" si="497"/>
        <v>122373.75000000001</v>
      </c>
      <c r="AH376" s="34">
        <f t="shared" si="498"/>
        <v>19720.764226363637</v>
      </c>
      <c r="AI376" s="34">
        <f>SUMIF(헤몬팜마진!$B$7:$B$32,$C376,헤몬팜마진!$V$7:$V$32)</f>
        <v>7253.6180999999988</v>
      </c>
      <c r="AJ376" s="34">
        <f t="shared" si="499"/>
        <v>226169.50567363639</v>
      </c>
      <c r="AK376" s="206">
        <f t="shared" si="500"/>
        <v>97817.105673636383</v>
      </c>
      <c r="AL376" s="40">
        <f>SUMIF(헤몬팜마진!$B$7:$B$32,$C376,헤몬팜마진!$T$7:$T$32)</f>
        <v>64.584000000000003</v>
      </c>
      <c r="AM376" s="41">
        <f>SUMIF(헤몬팜마진!$B$7:$B$32,$C376,헤몬팜마진!$U$7:$U$32)</f>
        <v>329.61759999999998</v>
      </c>
      <c r="AN376" s="36"/>
      <c r="AO376" s="235">
        <v>39257</v>
      </c>
      <c r="AP376" s="235">
        <v>119</v>
      </c>
      <c r="AQ376" s="126"/>
      <c r="AR376" s="126"/>
      <c r="AS376" s="126"/>
      <c r="AT376" s="118"/>
      <c r="AU376" s="118"/>
      <c r="AV376" s="118"/>
      <c r="AW376" s="118"/>
      <c r="AX376" s="118"/>
      <c r="AY376" s="118"/>
      <c r="AZ376" s="118"/>
      <c r="BA376" s="118"/>
      <c r="BB376" s="118"/>
      <c r="BC376" s="118"/>
      <c r="BD376" s="118"/>
      <c r="BE376" s="118"/>
      <c r="BF376" s="118"/>
      <c r="BG376" s="47"/>
      <c r="BH376" s="47"/>
      <c r="BI376" s="47"/>
      <c r="BJ376" s="47"/>
      <c r="BK376" s="47"/>
    </row>
    <row r="377" spans="1:63" ht="28.5" customHeight="1">
      <c r="A377" s="228"/>
      <c r="B377" s="214" t="s">
        <v>128</v>
      </c>
      <c r="C377" s="42" t="s">
        <v>120</v>
      </c>
      <c r="D377" s="28">
        <f t="shared" si="483"/>
        <v>1.3104098603471905</v>
      </c>
      <c r="E377" s="201">
        <f t="shared" si="484"/>
        <v>0.41263850356327086</v>
      </c>
      <c r="F377" s="30">
        <f t="shared" si="485"/>
        <v>-0.89777135678391962</v>
      </c>
      <c r="G377" s="30">
        <f t="shared" si="486"/>
        <v>0</v>
      </c>
      <c r="H377" s="35">
        <v>0</v>
      </c>
      <c r="I377" s="35">
        <f t="shared" si="487"/>
        <v>105</v>
      </c>
      <c r="J377" s="35">
        <f t="shared" si="488"/>
        <v>210</v>
      </c>
      <c r="K377" s="238"/>
      <c r="L377" s="39">
        <f>22+3</f>
        <v>25</v>
      </c>
      <c r="M377" s="210"/>
      <c r="N377" s="44">
        <v>15</v>
      </c>
      <c r="O377" s="36">
        <v>-1</v>
      </c>
      <c r="P377" s="31">
        <f t="shared" si="489"/>
        <v>-1</v>
      </c>
      <c r="Q377" s="36">
        <v>1</v>
      </c>
      <c r="R377" s="167"/>
      <c r="S377" s="36"/>
      <c r="T377" s="34">
        <f t="shared" si="490"/>
        <v>-39800</v>
      </c>
      <c r="U377" s="31">
        <f t="shared" si="491"/>
        <v>0</v>
      </c>
      <c r="V377" s="34">
        <f t="shared" si="492"/>
        <v>-39800</v>
      </c>
      <c r="W377" s="43">
        <v>39800</v>
      </c>
      <c r="X377" s="34">
        <f>SUMIF(헤몬팜마진!$B$7:$B$32,$C377,헤몬팜마진!$R$7:$R$32)</f>
        <v>13718.832999999999</v>
      </c>
      <c r="Y377" s="34">
        <f t="shared" si="493"/>
        <v>-14113.034599999999</v>
      </c>
      <c r="Z377" s="34">
        <f t="shared" si="494"/>
        <v>35731.300000000003</v>
      </c>
      <c r="AA377" s="234">
        <v>32483</v>
      </c>
      <c r="AB377" s="209"/>
      <c r="AC377" s="204">
        <f t="shared" si="501"/>
        <v>2310</v>
      </c>
      <c r="AD377" s="152">
        <v>0.108</v>
      </c>
      <c r="AE377" s="31">
        <f>3550*(P377)</f>
        <v>-3550</v>
      </c>
      <c r="AF377" s="28">
        <f t="shared" si="496"/>
        <v>0.1971959798994975</v>
      </c>
      <c r="AG377" s="34">
        <f t="shared" si="497"/>
        <v>-7848.3700000000008</v>
      </c>
      <c r="AH377" s="34">
        <f t="shared" si="498"/>
        <v>-1415.582958181818</v>
      </c>
      <c r="AI377" s="34">
        <f>SUMIF(헤몬팜마진!$B$7:$B$32,$C377,헤몬팜마진!$V$7:$V$32)</f>
        <v>14113.034599999999</v>
      </c>
      <c r="AJ377" s="34">
        <f t="shared" si="499"/>
        <v>-16423.01244181818</v>
      </c>
      <c r="AK377" s="206">
        <f t="shared" si="500"/>
        <v>-52154.312441818183</v>
      </c>
      <c r="AL377" s="40">
        <f>SUMIF(헤몬팜마진!$B$7:$B$32,$C377,헤몬팜마진!$T$7:$T$32)</f>
        <v>64.584000000000003</v>
      </c>
      <c r="AM377" s="41">
        <f>SUMIF(헤몬팜마진!$B$7:$B$32,$C377,헤몬팜마진!$U$7:$U$32)</f>
        <v>329.61759999999998</v>
      </c>
      <c r="AN377" s="36"/>
      <c r="AO377" s="235">
        <v>37507</v>
      </c>
      <c r="AP377" s="235">
        <v>89</v>
      </c>
      <c r="AQ377" s="126"/>
      <c r="AR377" s="126"/>
      <c r="AS377" s="126"/>
      <c r="AT377" s="118"/>
      <c r="AU377" s="118"/>
      <c r="AV377" s="118"/>
      <c r="AW377" s="118"/>
      <c r="AX377" s="118"/>
      <c r="AY377" s="118"/>
      <c r="AZ377" s="118"/>
      <c r="BA377" s="118"/>
      <c r="BB377" s="118"/>
      <c r="BC377" s="118"/>
      <c r="BD377" s="118"/>
      <c r="BE377" s="118"/>
      <c r="BF377" s="118"/>
      <c r="BG377" s="47"/>
      <c r="BH377" s="47"/>
      <c r="BI377" s="47"/>
      <c r="BJ377" s="47"/>
      <c r="BK377" s="47"/>
    </row>
    <row r="378" spans="1:63" ht="28.5" customHeight="1">
      <c r="A378" s="12"/>
      <c r="B378" s="214" t="s">
        <v>126</v>
      </c>
      <c r="C378" s="42" t="s">
        <v>31</v>
      </c>
      <c r="D378" s="28">
        <f t="shared" si="483"/>
        <v>-3.5239942424242429E-2</v>
      </c>
      <c r="E378" s="201">
        <f t="shared" si="484"/>
        <v>0.37869339090909093</v>
      </c>
      <c r="F378" s="30">
        <f t="shared" si="485"/>
        <v>0.41393333333333338</v>
      </c>
      <c r="G378" s="30">
        <f t="shared" si="486"/>
        <v>1.155115511551155E-2</v>
      </c>
      <c r="H378" s="35">
        <v>700</v>
      </c>
      <c r="I378" s="35">
        <f t="shared" si="487"/>
        <v>210</v>
      </c>
      <c r="J378" s="35">
        <f t="shared" si="488"/>
        <v>420</v>
      </c>
      <c r="K378" s="39">
        <v>954</v>
      </c>
      <c r="L378" s="39">
        <v>2</v>
      </c>
      <c r="M378" s="210"/>
      <c r="N378" s="44">
        <v>30</v>
      </c>
      <c r="O378" s="36">
        <v>15</v>
      </c>
      <c r="P378" s="31">
        <f t="shared" si="489"/>
        <v>15</v>
      </c>
      <c r="Q378" s="36">
        <v>3</v>
      </c>
      <c r="R378" s="233">
        <v>7</v>
      </c>
      <c r="S378" s="36"/>
      <c r="T378" s="34">
        <f t="shared" si="490"/>
        <v>297000</v>
      </c>
      <c r="U378" s="31">
        <f t="shared" si="491"/>
        <v>0</v>
      </c>
      <c r="V378" s="34">
        <f t="shared" si="492"/>
        <v>297000</v>
      </c>
      <c r="W378" s="43">
        <v>19800</v>
      </c>
      <c r="X378" s="34">
        <f>SUMIF(헤몬팜마진!$B$7:$B$32,$C378,헤몬팜마진!$R$7:$R$32)</f>
        <v>6638.1449999999995</v>
      </c>
      <c r="Y378" s="34">
        <f t="shared" si="493"/>
        <v>100284.11099999999</v>
      </c>
      <c r="Z378" s="34">
        <f t="shared" si="494"/>
        <v>122938.20000000001</v>
      </c>
      <c r="AA378" s="234">
        <v>111762</v>
      </c>
      <c r="AB378" s="211"/>
      <c r="AC378" s="204">
        <f t="shared" si="501"/>
        <v>6930</v>
      </c>
      <c r="AD378" s="152">
        <v>0.08</v>
      </c>
      <c r="AE378" s="31">
        <f>3400*(P378)</f>
        <v>51000</v>
      </c>
      <c r="AF378" s="28">
        <f t="shared" si="496"/>
        <v>0.25171717171717173</v>
      </c>
      <c r="AG378" s="34">
        <f t="shared" si="497"/>
        <v>74760.03</v>
      </c>
      <c r="AH378" s="34">
        <f t="shared" si="498"/>
        <v>9483.9218999999975</v>
      </c>
      <c r="AI378" s="34">
        <f>SUMIF(헤몬팜마진!$B$7:$B$32,$C378,헤몬팜마진!$V$7:$V$32)</f>
        <v>6685.607399999999</v>
      </c>
      <c r="AJ378" s="34">
        <f t="shared" si="499"/>
        <v>112471.93710000001</v>
      </c>
      <c r="AK378" s="206">
        <f t="shared" si="500"/>
        <v>-10466.262900000002</v>
      </c>
      <c r="AL378" s="40">
        <f>SUMIF(헤몬팜마진!$B$7:$B$32,$C378,헤몬팜마진!$T$7:$T$32)</f>
        <v>7.7759999999999998</v>
      </c>
      <c r="AM378" s="41">
        <f>SUMIF(헤몬팜마진!$B$7:$B$32,$C378,헤몬팜마진!$U$7:$U$32)</f>
        <v>39.686400000000006</v>
      </c>
      <c r="AN378" s="36"/>
      <c r="AO378" s="235">
        <v>222852</v>
      </c>
      <c r="AP378" s="235">
        <v>606</v>
      </c>
      <c r="AQ378" s="126"/>
      <c r="AR378" s="126"/>
      <c r="AS378" s="126"/>
      <c r="AT378" s="118"/>
      <c r="AU378" s="118"/>
      <c r="AV378" s="118"/>
      <c r="AW378" s="118"/>
      <c r="AX378" s="118"/>
      <c r="AY378" s="118"/>
      <c r="AZ378" s="118"/>
      <c r="BA378" s="118"/>
      <c r="BB378" s="118"/>
      <c r="BC378" s="118"/>
      <c r="BD378" s="118"/>
      <c r="BE378" s="118"/>
      <c r="BF378" s="118"/>
      <c r="BG378" s="47"/>
      <c r="BH378" s="47"/>
      <c r="BI378" s="47"/>
      <c r="BJ378" s="47"/>
      <c r="BK378" s="47"/>
    </row>
    <row r="379" spans="1:63" ht="28.5" customHeight="1">
      <c r="A379" s="228" t="s">
        <v>138</v>
      </c>
      <c r="B379" s="200"/>
      <c r="C379" s="42" t="s">
        <v>118</v>
      </c>
      <c r="D379" s="28">
        <f t="shared" si="483"/>
        <v>0.43889265909090908</v>
      </c>
      <c r="E379" s="201">
        <f t="shared" si="484"/>
        <v>0.43889265909090908</v>
      </c>
      <c r="F379" s="30">
        <f t="shared" si="485"/>
        <v>0</v>
      </c>
      <c r="G379" s="30" t="e">
        <f t="shared" si="486"/>
        <v>#DIV/0!</v>
      </c>
      <c r="H379" s="35">
        <v>0</v>
      </c>
      <c r="I379" s="35">
        <f t="shared" si="487"/>
        <v>350</v>
      </c>
      <c r="J379" s="35">
        <f t="shared" si="488"/>
        <v>700</v>
      </c>
      <c r="K379" s="39">
        <v>87</v>
      </c>
      <c r="L379" s="39">
        <v>0</v>
      </c>
      <c r="M379" s="210"/>
      <c r="N379" s="44">
        <v>50</v>
      </c>
      <c r="O379" s="202">
        <v>-2</v>
      </c>
      <c r="P379" s="31">
        <f t="shared" si="489"/>
        <v>-2</v>
      </c>
      <c r="Q379" s="36">
        <v>2</v>
      </c>
      <c r="R379" s="203"/>
      <c r="S379" s="36"/>
      <c r="T379" s="34">
        <f t="shared" si="490"/>
        <v>-49600</v>
      </c>
      <c r="U379" s="31">
        <f t="shared" si="491"/>
        <v>0</v>
      </c>
      <c r="V379" s="34">
        <f t="shared" si="492"/>
        <v>-49600</v>
      </c>
      <c r="W379" s="43">
        <v>24800</v>
      </c>
      <c r="X379" s="34">
        <f>SUMIF(헤몬팜마진!$B$7:$B$32,$C379,헤몬팜마진!$R$7:$R$32)</f>
        <v>8408.3169999999991</v>
      </c>
      <c r="Y379" s="34">
        <f t="shared" si="493"/>
        <v>-17159.417999999998</v>
      </c>
      <c r="Z379" s="34">
        <f t="shared" si="494"/>
        <v>0</v>
      </c>
      <c r="AA379" s="49"/>
      <c r="AB379" s="209"/>
      <c r="AC379" s="204">
        <f t="shared" si="501"/>
        <v>4620</v>
      </c>
      <c r="AD379" s="152">
        <v>0.1</v>
      </c>
      <c r="AE379" s="31">
        <f>1900*(P379)</f>
        <v>-3800</v>
      </c>
      <c r="AF379" s="28">
        <f t="shared" si="496"/>
        <v>0.17661290322580647</v>
      </c>
      <c r="AG379" s="34">
        <f t="shared" si="497"/>
        <v>-8759.9700000000012</v>
      </c>
      <c r="AH379" s="34">
        <f t="shared" si="498"/>
        <v>-1911.5361090909091</v>
      </c>
      <c r="AI379" s="34">
        <f>SUMIF(헤몬팜마진!$B$7:$B$32,$C379,헤몬팜마진!$V$7:$V$32)</f>
        <v>8579.7089999999989</v>
      </c>
      <c r="AJ379" s="34">
        <f t="shared" si="499"/>
        <v>-21769.075890909091</v>
      </c>
      <c r="AK379" s="206">
        <f t="shared" si="500"/>
        <v>-21769.075890909091</v>
      </c>
      <c r="AL379" s="40">
        <f>SUMIF(헤몬팜마진!$B$7:$B$32,$C379,헤몬팜마진!$T$7:$T$32)</f>
        <v>28.079999999999995</v>
      </c>
      <c r="AM379" s="41">
        <f>SUMIF(헤몬팜마진!$B$7:$B$32,$C379,헤몬팜마진!$U$7:$U$32)</f>
        <v>143.31199999999998</v>
      </c>
      <c r="AN379" s="36"/>
      <c r="AO379" s="202"/>
      <c r="AP379" s="205"/>
      <c r="AQ379" s="126"/>
      <c r="AR379" s="126"/>
      <c r="AS379" s="126"/>
      <c r="AT379" s="118"/>
      <c r="AU379" s="118"/>
      <c r="AV379" s="118"/>
      <c r="AW379" s="118"/>
      <c r="AX379" s="118"/>
      <c r="AY379" s="118"/>
      <c r="AZ379" s="118"/>
      <c r="BA379" s="118"/>
      <c r="BB379" s="118"/>
      <c r="BC379" s="118"/>
      <c r="BD379" s="118"/>
      <c r="BE379" s="118"/>
      <c r="BF379" s="118"/>
      <c r="BG379" s="47"/>
      <c r="BH379" s="47"/>
      <c r="BI379" s="47"/>
      <c r="BJ379" s="47"/>
      <c r="BK379" s="47"/>
    </row>
    <row r="380" spans="1:63" ht="28.5" customHeight="1">
      <c r="A380" s="12"/>
      <c r="B380" s="216"/>
      <c r="C380" s="217"/>
      <c r="D380" s="51" t="e">
        <f t="shared" si="483"/>
        <v>#REF!</v>
      </c>
      <c r="E380" s="218" t="e">
        <f t="shared" si="484"/>
        <v>#REF!</v>
      </c>
      <c r="F380" s="53">
        <f t="shared" si="485"/>
        <v>0.29675784723997267</v>
      </c>
      <c r="G380" s="219"/>
      <c r="H380" s="55"/>
      <c r="I380" s="55"/>
      <c r="J380" s="55"/>
      <c r="K380" s="55"/>
      <c r="L380" s="55"/>
      <c r="M380" s="55"/>
      <c r="N380" s="55"/>
      <c r="O380" s="130">
        <f>SUM(O363:O379)</f>
        <v>340</v>
      </c>
      <c r="P380" s="220">
        <f>SUM(P363:P378)</f>
        <v>342</v>
      </c>
      <c r="Q380" s="130">
        <f>SUM(Q363:Q379)</f>
        <v>42</v>
      </c>
      <c r="R380" s="130">
        <f t="shared" ref="R380:V380" si="505">SUM(R363:R378)</f>
        <v>244</v>
      </c>
      <c r="S380" s="130">
        <f t="shared" si="505"/>
        <v>0</v>
      </c>
      <c r="T380" s="130">
        <f t="shared" si="505"/>
        <v>9467660</v>
      </c>
      <c r="U380" s="130">
        <f t="shared" si="505"/>
        <v>0</v>
      </c>
      <c r="V380" s="220">
        <f t="shared" si="505"/>
        <v>9467660</v>
      </c>
      <c r="W380" s="55"/>
      <c r="X380" s="130">
        <f t="shared" ref="X380:AC380" si="506">SUM(X363:X378)</f>
        <v>145176.23114999998</v>
      </c>
      <c r="Y380" s="220" t="e">
        <f t="shared" si="506"/>
        <v>#REF!</v>
      </c>
      <c r="Z380" s="130">
        <f t="shared" si="506"/>
        <v>2809602.4</v>
      </c>
      <c r="AA380" s="130">
        <f t="shared" si="506"/>
        <v>2554184</v>
      </c>
      <c r="AB380" s="130">
        <f t="shared" si="506"/>
        <v>0</v>
      </c>
      <c r="AC380" s="130">
        <f t="shared" si="506"/>
        <v>90192</v>
      </c>
      <c r="AD380" s="154">
        <v>0.09</v>
      </c>
      <c r="AE380" s="220">
        <f>SUM(AE363:AE378)</f>
        <v>1058725</v>
      </c>
      <c r="AF380" s="53">
        <f t="shared" si="496"/>
        <v>0.20182541409387325</v>
      </c>
      <c r="AG380" s="56">
        <f t="shared" ref="AG380:AI380" si="507">SUM(AG363:AG378)</f>
        <v>1981314.6</v>
      </c>
      <c r="AH380" s="56" t="e">
        <f t="shared" si="507"/>
        <v>#REF!</v>
      </c>
      <c r="AI380" s="56" t="e">
        <f t="shared" si="507"/>
        <v>#REF!</v>
      </c>
      <c r="AJ380" s="56" t="e">
        <f t="shared" si="499"/>
        <v>#REF!</v>
      </c>
      <c r="AK380" s="221" t="e">
        <f t="shared" si="500"/>
        <v>#REF!</v>
      </c>
      <c r="AL380" s="54"/>
      <c r="AM380" s="222"/>
      <c r="AN380" s="57"/>
      <c r="AO380" s="131">
        <f t="shared" ref="AO380:AP380" si="508">SUM(AO363:AO364)</f>
        <v>538830</v>
      </c>
      <c r="AP380" s="132">
        <f t="shared" si="508"/>
        <v>2995</v>
      </c>
      <c r="AQ380" s="126"/>
      <c r="AR380" s="126"/>
      <c r="AS380" s="126"/>
      <c r="AT380" s="118"/>
      <c r="AU380" s="118"/>
      <c r="AV380" s="118"/>
      <c r="AW380" s="118"/>
      <c r="AX380" s="118"/>
      <c r="AY380" s="118"/>
      <c r="AZ380" s="118"/>
      <c r="BA380" s="118"/>
      <c r="BB380" s="118"/>
      <c r="BC380" s="118"/>
      <c r="BD380" s="118"/>
      <c r="BE380" s="118"/>
      <c r="BF380" s="118"/>
      <c r="BG380" s="47"/>
      <c r="BH380" s="47"/>
      <c r="BI380" s="47"/>
      <c r="BJ380" s="47"/>
      <c r="BK380" s="47"/>
    </row>
    <row r="381" spans="1:63" ht="28.5" customHeight="1">
      <c r="A381" s="3"/>
      <c r="B381" s="120"/>
      <c r="C381" s="229"/>
      <c r="D381" s="230"/>
      <c r="E381" s="230"/>
      <c r="F381" s="230"/>
      <c r="G381" s="230"/>
      <c r="H381" s="231"/>
      <c r="I381" s="231"/>
      <c r="J381" s="231"/>
      <c r="K381" s="231"/>
      <c r="L381" s="231"/>
      <c r="M381" s="231"/>
      <c r="N381" s="231"/>
      <c r="O381" s="231"/>
      <c r="P381" s="232"/>
      <c r="Q381" s="231"/>
      <c r="R381" s="231"/>
      <c r="S381" s="231"/>
      <c r="T381" s="231"/>
      <c r="U381" s="231"/>
      <c r="V381" s="231"/>
      <c r="W381" s="231"/>
      <c r="X381" s="231"/>
      <c r="Y381" s="231"/>
      <c r="Z381" s="231"/>
      <c r="AA381" s="133"/>
      <c r="AB381" s="61"/>
      <c r="AC381" s="148"/>
      <c r="AD381" s="148"/>
      <c r="AE381" s="148"/>
      <c r="AF381" s="148"/>
      <c r="AG381" s="61"/>
      <c r="AH381" s="61"/>
      <c r="AI381" s="187"/>
      <c r="AJ381" s="118"/>
      <c r="AK381" s="126"/>
      <c r="AL381" s="126"/>
      <c r="AM381" s="126"/>
      <c r="AN381" s="118"/>
      <c r="AO381" s="118"/>
      <c r="AP381" s="118"/>
      <c r="AQ381" s="126"/>
      <c r="AR381" s="126"/>
      <c r="AS381" s="126"/>
      <c r="AT381" s="118"/>
      <c r="AU381" s="118"/>
      <c r="AV381" s="118"/>
      <c r="AW381" s="118"/>
      <c r="AX381" s="118"/>
      <c r="AY381" s="118"/>
      <c r="AZ381" s="118"/>
      <c r="BA381" s="118"/>
      <c r="BB381" s="118"/>
      <c r="BC381" s="118"/>
      <c r="BD381" s="118"/>
      <c r="BE381" s="118"/>
      <c r="BF381" s="118"/>
      <c r="BG381" s="47"/>
      <c r="BH381" s="47"/>
      <c r="BI381" s="47"/>
      <c r="BJ381" s="47"/>
      <c r="BK381" s="47"/>
    </row>
    <row r="382" spans="1:63" ht="28.5" customHeight="1">
      <c r="A382" s="12"/>
      <c r="B382" s="189"/>
      <c r="C382" s="134">
        <v>45950</v>
      </c>
      <c r="D382" s="122" t="s">
        <v>0</v>
      </c>
      <c r="E382" s="122" t="s">
        <v>1</v>
      </c>
      <c r="F382" s="122" t="s">
        <v>2</v>
      </c>
      <c r="G382" s="190" t="s">
        <v>3</v>
      </c>
      <c r="H382" s="191" t="s">
        <v>4</v>
      </c>
      <c r="I382" s="192" t="s">
        <v>5</v>
      </c>
      <c r="J382" s="192" t="s">
        <v>90</v>
      </c>
      <c r="K382" s="193" t="s">
        <v>6</v>
      </c>
      <c r="L382" s="194" t="s">
        <v>7</v>
      </c>
      <c r="M382" s="15" t="s">
        <v>91</v>
      </c>
      <c r="N382" s="123" t="s">
        <v>125</v>
      </c>
      <c r="O382" s="123" t="s">
        <v>8</v>
      </c>
      <c r="P382" s="123" t="s">
        <v>9</v>
      </c>
      <c r="Q382" s="195" t="s">
        <v>10</v>
      </c>
      <c r="R382" s="123" t="s">
        <v>92</v>
      </c>
      <c r="S382" s="196" t="s">
        <v>11</v>
      </c>
      <c r="T382" s="17" t="s">
        <v>12</v>
      </c>
      <c r="U382" s="17" t="s">
        <v>13</v>
      </c>
      <c r="V382" s="17" t="s">
        <v>14</v>
      </c>
      <c r="W382" s="17" t="s">
        <v>15</v>
      </c>
      <c r="X382" s="15" t="s">
        <v>16</v>
      </c>
      <c r="Y382" s="15" t="s">
        <v>17</v>
      </c>
      <c r="Z382" s="19" t="s">
        <v>18</v>
      </c>
      <c r="AA382" s="19" t="s">
        <v>19</v>
      </c>
      <c r="AB382" s="20" t="s">
        <v>20</v>
      </c>
      <c r="AC382" s="22" t="s">
        <v>93</v>
      </c>
      <c r="AD382" s="197" t="s">
        <v>21</v>
      </c>
      <c r="AE382" s="122" t="s">
        <v>22</v>
      </c>
      <c r="AF382" s="21" t="s">
        <v>23</v>
      </c>
      <c r="AG382" s="21" t="s">
        <v>21</v>
      </c>
      <c r="AH382" s="122" t="s">
        <v>24</v>
      </c>
      <c r="AI382" s="15" t="s">
        <v>25</v>
      </c>
      <c r="AJ382" s="15" t="s">
        <v>26</v>
      </c>
      <c r="AK382" s="122" t="s">
        <v>27</v>
      </c>
      <c r="AL382" s="198" t="s">
        <v>28</v>
      </c>
      <c r="AM382" s="199" t="s">
        <v>29</v>
      </c>
      <c r="AN382" s="124" t="s">
        <v>30</v>
      </c>
      <c r="AO382" s="124" t="s">
        <v>94</v>
      </c>
      <c r="AP382" s="125" t="s">
        <v>95</v>
      </c>
      <c r="AQ382" s="126"/>
      <c r="AR382" s="126"/>
      <c r="AS382" s="126"/>
      <c r="AT382" s="118"/>
      <c r="AU382" s="118"/>
      <c r="AV382" s="118"/>
      <c r="AW382" s="118"/>
      <c r="AX382" s="118"/>
      <c r="AY382" s="118"/>
      <c r="AZ382" s="118"/>
      <c r="BA382" s="118"/>
      <c r="BB382" s="118"/>
      <c r="BC382" s="118"/>
      <c r="BD382" s="118"/>
      <c r="BE382" s="118"/>
      <c r="BF382" s="118"/>
      <c r="BG382" s="47"/>
      <c r="BH382" s="47"/>
      <c r="BI382" s="47"/>
      <c r="BJ382" s="47"/>
      <c r="BK382" s="47"/>
    </row>
    <row r="383" spans="1:63" ht="28.5" customHeight="1">
      <c r="A383" s="12" t="s">
        <v>129</v>
      </c>
      <c r="B383" s="200"/>
      <c r="C383" s="42" t="s">
        <v>107</v>
      </c>
      <c r="D383" s="28">
        <f t="shared" ref="D383:D400" si="509">AK383/V383</f>
        <v>0.16201024229071229</v>
      </c>
      <c r="E383" s="201">
        <f t="shared" ref="E383:E400" si="510">AJ383/V383</f>
        <v>0.42270749789546319</v>
      </c>
      <c r="F383" s="30">
        <f t="shared" ref="F383:F400" si="511">(Z383+AB383)/V383</f>
        <v>0.26069725560475088</v>
      </c>
      <c r="G383" s="30">
        <f t="shared" ref="G383:G399" si="512">R383/AP383</f>
        <v>5.8059862964298596E-2</v>
      </c>
      <c r="H383" s="35">
        <v>7410</v>
      </c>
      <c r="I383" s="35">
        <f t="shared" ref="I383:I399" si="513">N383*7</f>
        <v>1400</v>
      </c>
      <c r="J383" s="35">
        <f t="shared" ref="J383:J399" si="514">N383*14</f>
        <v>2800</v>
      </c>
      <c r="K383" s="49">
        <v>76</v>
      </c>
      <c r="L383" s="49">
        <f>1906+1320</f>
        <v>3226</v>
      </c>
      <c r="M383" s="48"/>
      <c r="N383" s="44">
        <v>200</v>
      </c>
      <c r="O383" s="227">
        <v>204</v>
      </c>
      <c r="P383" s="31">
        <f t="shared" ref="P383:P399" si="515">O383-S383</f>
        <v>204</v>
      </c>
      <c r="Q383" s="227">
        <v>23</v>
      </c>
      <c r="R383" s="233">
        <v>161</v>
      </c>
      <c r="S383" s="36"/>
      <c r="T383" s="34">
        <f t="shared" ref="T383:T399" si="516">W383*O383</f>
        <v>5691600</v>
      </c>
      <c r="U383" s="31">
        <f t="shared" ref="U383:U399" si="517">W383*S383</f>
        <v>0</v>
      </c>
      <c r="V383" s="34">
        <f t="shared" ref="V383:V399" si="518">T383-U383</f>
        <v>5691600</v>
      </c>
      <c r="W383" s="34">
        <v>27900</v>
      </c>
      <c r="X383" s="34">
        <f>SUMIF(헤몬팜마진!$B$7:$B$32,$C383,헤몬팜마진!$R$7:$R$32)</f>
        <v>8850.86</v>
      </c>
      <c r="Y383" s="34">
        <f t="shared" ref="Y383:Y399" si="519">AI383*P383</f>
        <v>1885992.5664000001</v>
      </c>
      <c r="Z383" s="34">
        <f t="shared" ref="Z383:Z399" si="520">AA383*1.1</f>
        <v>1483784.5000000002</v>
      </c>
      <c r="AA383" s="234">
        <v>1348895</v>
      </c>
      <c r="AB383" s="36"/>
      <c r="AC383" s="204">
        <f t="shared" ref="AC383:AC384" si="521">(1072+1100)*Q383</f>
        <v>49956</v>
      </c>
      <c r="AD383" s="152">
        <v>0.1</v>
      </c>
      <c r="AE383" s="31">
        <f>3050*(P383)</f>
        <v>622200</v>
      </c>
      <c r="AF383" s="28">
        <f t="shared" ref="AF383:AF400" si="522">AD383+(AE383/V383)</f>
        <v>0.20931899641577062</v>
      </c>
      <c r="AG383" s="34">
        <f t="shared" ref="AG383:AG399" si="523">IFERROR(V383*AF383+3%,0)</f>
        <v>1191360.03</v>
      </c>
      <c r="AH383" s="34">
        <f t="shared" ref="AH383:AH399" si="524">V383/1.1*10%-((AI383*P383)+AG383+(AN383*P383)+(AL383*P383))*10%</f>
        <v>208365.40857818176</v>
      </c>
      <c r="AI383" s="34">
        <f>SUMIF(헤몬팜마진!$B$7:$B$32,$C383,헤몬팜마진!$V$7:$V$32)</f>
        <v>9245.0616000000009</v>
      </c>
      <c r="AJ383" s="34">
        <f t="shared" ref="AJ383:AJ400" si="525">V383-(Y383+AG383+AH383+(AN383*P383))</f>
        <v>2405881.9950218182</v>
      </c>
      <c r="AK383" s="46">
        <f t="shared" ref="AK383:AK400" si="526">AJ383-Z383-AB383</f>
        <v>922097.49502181797</v>
      </c>
      <c r="AL383" s="40">
        <f>SUMIF(헤몬팜마진!$B$7:$B$32,$C383,헤몬팜마진!$T$7:$T$32)</f>
        <v>64.584000000000003</v>
      </c>
      <c r="AM383" s="41">
        <f>SUMIF(헤몬팜마진!$B$7:$B$32,$C383,헤몬팜마진!$U$7:$U$32)</f>
        <v>329.61759999999998</v>
      </c>
      <c r="AN383" s="36"/>
      <c r="AO383" s="235">
        <v>527019</v>
      </c>
      <c r="AP383" s="235">
        <v>2773</v>
      </c>
      <c r="AQ383" s="126"/>
      <c r="AR383" s="126"/>
      <c r="AS383" s="126"/>
      <c r="AT383" s="118"/>
      <c r="AU383" s="118"/>
      <c r="AV383" s="118"/>
      <c r="AW383" s="118"/>
      <c r="AX383" s="118"/>
      <c r="AY383" s="118"/>
      <c r="AZ383" s="118"/>
      <c r="BA383" s="118"/>
      <c r="BB383" s="118"/>
      <c r="BC383" s="118"/>
      <c r="BD383" s="118"/>
      <c r="BE383" s="118"/>
      <c r="BF383" s="118"/>
      <c r="BG383" s="47"/>
      <c r="BH383" s="47"/>
      <c r="BI383" s="47"/>
      <c r="BJ383" s="47"/>
      <c r="BK383" s="47"/>
    </row>
    <row r="384" spans="1:63" ht="28.5" customHeight="1">
      <c r="A384" s="228" t="s">
        <v>130</v>
      </c>
      <c r="B384" s="200"/>
      <c r="C384" s="42" t="s">
        <v>108</v>
      </c>
      <c r="D384" s="28" t="e">
        <f t="shared" si="509"/>
        <v>#DIV/0!</v>
      </c>
      <c r="E384" s="201" t="e">
        <f t="shared" si="510"/>
        <v>#DIV/0!</v>
      </c>
      <c r="F384" s="30" t="e">
        <f t="shared" si="511"/>
        <v>#DIV/0!</v>
      </c>
      <c r="G384" s="30" t="e">
        <f t="shared" si="512"/>
        <v>#DIV/0!</v>
      </c>
      <c r="H384" s="35">
        <v>1460</v>
      </c>
      <c r="I384" s="35">
        <f t="shared" si="513"/>
        <v>140</v>
      </c>
      <c r="J384" s="35">
        <f t="shared" si="514"/>
        <v>280</v>
      </c>
      <c r="K384" s="39">
        <v>325</v>
      </c>
      <c r="L384" s="39">
        <v>0</v>
      </c>
      <c r="M384" s="210"/>
      <c r="N384" s="44">
        <v>20</v>
      </c>
      <c r="O384" s="202">
        <v>0</v>
      </c>
      <c r="P384" s="31">
        <f t="shared" si="515"/>
        <v>0</v>
      </c>
      <c r="Q384" s="36"/>
      <c r="R384" s="167"/>
      <c r="S384" s="36"/>
      <c r="T384" s="34">
        <f t="shared" si="516"/>
        <v>0</v>
      </c>
      <c r="U384" s="31">
        <f t="shared" si="517"/>
        <v>0</v>
      </c>
      <c r="V384" s="34">
        <f t="shared" si="518"/>
        <v>0</v>
      </c>
      <c r="W384" s="43">
        <v>22700</v>
      </c>
      <c r="X384" s="34">
        <f>SUMIF(헤몬팜마진!$B$7:$B$32,$C384,헤몬팜마진!$R$7:$R$32)</f>
        <v>7080.6879999999992</v>
      </c>
      <c r="Y384" s="34">
        <f t="shared" si="519"/>
        <v>0</v>
      </c>
      <c r="Z384" s="34">
        <f t="shared" si="520"/>
        <v>0</v>
      </c>
      <c r="AA384" s="234"/>
      <c r="AB384" s="36"/>
      <c r="AC384" s="204">
        <f t="shared" si="521"/>
        <v>0</v>
      </c>
      <c r="AD384" s="152">
        <v>0.1</v>
      </c>
      <c r="AE384" s="31">
        <f>2950*(P384)</f>
        <v>0</v>
      </c>
      <c r="AF384" s="28" t="e">
        <f t="shared" si="522"/>
        <v>#DIV/0!</v>
      </c>
      <c r="AG384" s="34">
        <f t="shared" si="523"/>
        <v>0</v>
      </c>
      <c r="AH384" s="34">
        <f t="shared" si="524"/>
        <v>0</v>
      </c>
      <c r="AI384" s="34">
        <f>SUMIF(헤몬팜마진!$B$7:$B$32,$C384,헤몬팜마진!$V$7:$V$32)</f>
        <v>7377.3279999999995</v>
      </c>
      <c r="AJ384" s="34">
        <f t="shared" si="525"/>
        <v>0</v>
      </c>
      <c r="AK384" s="46">
        <f t="shared" si="526"/>
        <v>0</v>
      </c>
      <c r="AL384" s="40">
        <f>SUMIF(헤몬팜마진!$B$7:$B$32,$C384,헤몬팜마진!$T$7:$T$32)</f>
        <v>48.6</v>
      </c>
      <c r="AM384" s="41">
        <f>SUMIF(헤몬팜마진!$B$7:$B$32,$C384,헤몬팜마진!$U$7:$U$32)</f>
        <v>248.04000000000002</v>
      </c>
      <c r="AN384" s="36"/>
      <c r="AO384" s="235"/>
      <c r="AP384" s="235"/>
      <c r="AQ384" s="126"/>
      <c r="AR384" s="126"/>
      <c r="AS384" s="126"/>
      <c r="AT384" s="118"/>
      <c r="AU384" s="118"/>
      <c r="AV384" s="118"/>
      <c r="AW384" s="118"/>
      <c r="AX384" s="118"/>
      <c r="AY384" s="118"/>
      <c r="AZ384" s="118"/>
      <c r="BA384" s="118"/>
      <c r="BB384" s="118"/>
      <c r="BC384" s="118"/>
      <c r="BD384" s="118"/>
      <c r="BE384" s="118"/>
      <c r="BF384" s="118"/>
      <c r="BG384" s="47"/>
      <c r="BH384" s="47"/>
      <c r="BI384" s="47"/>
      <c r="BJ384" s="47"/>
      <c r="BK384" s="47"/>
    </row>
    <row r="385" spans="1:63" ht="28.5" customHeight="1">
      <c r="A385" s="228" t="s">
        <v>131</v>
      </c>
      <c r="B385" s="323"/>
      <c r="C385" s="42" t="s">
        <v>109</v>
      </c>
      <c r="D385" s="28" t="e">
        <f t="shared" si="509"/>
        <v>#REF!</v>
      </c>
      <c r="E385" s="201" t="e">
        <f t="shared" si="510"/>
        <v>#REF!</v>
      </c>
      <c r="F385" s="30">
        <f t="shared" si="511"/>
        <v>0.26524890829694325</v>
      </c>
      <c r="G385" s="30">
        <f t="shared" si="512"/>
        <v>2.2598870056497175E-2</v>
      </c>
      <c r="H385" s="35">
        <v>0</v>
      </c>
      <c r="I385" s="35">
        <f t="shared" si="513"/>
        <v>105</v>
      </c>
      <c r="J385" s="35">
        <f t="shared" si="514"/>
        <v>210</v>
      </c>
      <c r="K385" s="50">
        <v>430</v>
      </c>
      <c r="L385" s="49">
        <f>40+3+3</f>
        <v>46</v>
      </c>
      <c r="M385" s="48"/>
      <c r="N385" s="44">
        <v>15</v>
      </c>
      <c r="O385" s="202">
        <v>5</v>
      </c>
      <c r="P385" s="31">
        <f t="shared" si="515"/>
        <v>5</v>
      </c>
      <c r="Q385" s="36">
        <v>1</v>
      </c>
      <c r="R385" s="203">
        <v>4</v>
      </c>
      <c r="S385" s="36"/>
      <c r="T385" s="34">
        <f t="shared" si="516"/>
        <v>229000</v>
      </c>
      <c r="U385" s="31">
        <f t="shared" si="517"/>
        <v>0</v>
      </c>
      <c r="V385" s="34">
        <f t="shared" si="518"/>
        <v>229000</v>
      </c>
      <c r="W385" s="43">
        <v>45800</v>
      </c>
      <c r="X385" s="34">
        <f>SUMIF(헤몬팜마진!$B$7:$B$32,$C385,헤몬팜마진!$R$7:$R$32)</f>
        <v>9990.4082249999992</v>
      </c>
      <c r="Y385" s="34" t="e">
        <f t="shared" si="519"/>
        <v>#REF!</v>
      </c>
      <c r="Z385" s="34">
        <f t="shared" si="520"/>
        <v>60742.000000000007</v>
      </c>
      <c r="AA385" s="234">
        <v>55220</v>
      </c>
      <c r="AB385" s="36"/>
      <c r="AC385" s="204">
        <f t="shared" ref="AC385:AC399" si="527">(1210+1100)*Q385</f>
        <v>2310</v>
      </c>
      <c r="AD385" s="152">
        <v>0.11</v>
      </c>
      <c r="AE385" s="31">
        <f t="shared" ref="AE385:AE387" si="528">4150*(P385)</f>
        <v>20750</v>
      </c>
      <c r="AF385" s="28">
        <f t="shared" si="522"/>
        <v>0.2006113537117904</v>
      </c>
      <c r="AG385" s="34">
        <f t="shared" si="523"/>
        <v>45940.03</v>
      </c>
      <c r="AH385" s="34" t="e">
        <f t="shared" si="524"/>
        <v>#REF!</v>
      </c>
      <c r="AI385" s="34" t="e">
        <f>SUMIF(헤몬팜마진!$B$7:$B$32,$C385,헤몬팜마진!$V$7:$V$32)</f>
        <v>#REF!</v>
      </c>
      <c r="AJ385" s="34" t="e">
        <f t="shared" si="525"/>
        <v>#REF!</v>
      </c>
      <c r="AK385" s="46" t="e">
        <f t="shared" si="526"/>
        <v>#REF!</v>
      </c>
      <c r="AL385" s="40">
        <f>SUMIF(헤몬팜마진!$B$7:$B$32,$C385,헤몬팜마진!$T$7:$T$32)</f>
        <v>162</v>
      </c>
      <c r="AM385" s="41">
        <f>SUMIF(헤몬팜마진!$B$7:$B$32,$C385,헤몬팜마진!$U$7:$U$32)</f>
        <v>826.80000000000007</v>
      </c>
      <c r="AN385" s="36"/>
      <c r="AO385" s="235">
        <v>48468</v>
      </c>
      <c r="AP385" s="235">
        <v>177</v>
      </c>
      <c r="AQ385" s="126"/>
      <c r="AR385" s="126"/>
      <c r="AS385" s="126"/>
      <c r="AT385" s="118"/>
      <c r="AU385" s="118"/>
      <c r="AV385" s="118"/>
      <c r="AW385" s="118"/>
      <c r="AX385" s="118"/>
      <c r="AY385" s="118"/>
      <c r="AZ385" s="118"/>
      <c r="BA385" s="118"/>
      <c r="BB385" s="118"/>
      <c r="BC385" s="118"/>
      <c r="BD385" s="118"/>
      <c r="BE385" s="118"/>
      <c r="BF385" s="118"/>
      <c r="BG385" s="47"/>
      <c r="BH385" s="47"/>
      <c r="BI385" s="47"/>
      <c r="BJ385" s="47"/>
      <c r="BK385" s="47"/>
    </row>
    <row r="386" spans="1:63" ht="28.5" customHeight="1">
      <c r="A386" s="228"/>
      <c r="B386" s="324"/>
      <c r="C386" s="42" t="s">
        <v>110</v>
      </c>
      <c r="D386" s="28" t="e">
        <f t="shared" si="509"/>
        <v>#REF!</v>
      </c>
      <c r="E386" s="201" t="e">
        <f t="shared" si="510"/>
        <v>#REF!</v>
      </c>
      <c r="F386" s="30">
        <f t="shared" si="511"/>
        <v>0.16313924501424504</v>
      </c>
      <c r="G386" s="30">
        <f t="shared" si="512"/>
        <v>2.030456852791878E-2</v>
      </c>
      <c r="H386" s="35">
        <v>0</v>
      </c>
      <c r="I386" s="35">
        <f t="shared" si="513"/>
        <v>105</v>
      </c>
      <c r="J386" s="35">
        <f t="shared" si="514"/>
        <v>210</v>
      </c>
      <c r="K386" s="236"/>
      <c r="L386" s="49">
        <f>13+2</f>
        <v>15</v>
      </c>
      <c r="M386" s="48"/>
      <c r="N386" s="44">
        <v>15</v>
      </c>
      <c r="O386" s="202">
        <v>6</v>
      </c>
      <c r="P386" s="31">
        <f t="shared" si="515"/>
        <v>6</v>
      </c>
      <c r="Q386" s="202">
        <v>2</v>
      </c>
      <c r="R386" s="233">
        <v>4</v>
      </c>
      <c r="S386" s="36"/>
      <c r="T386" s="34">
        <f t="shared" si="516"/>
        <v>280800</v>
      </c>
      <c r="U386" s="31">
        <f t="shared" si="517"/>
        <v>0</v>
      </c>
      <c r="V386" s="34">
        <f t="shared" si="518"/>
        <v>280800</v>
      </c>
      <c r="W386" s="43">
        <v>46800</v>
      </c>
      <c r="X386" s="34">
        <f>SUMIF(헤몬팜마진!$B$7:$B$32,$C386,헤몬팜마진!$R$7:$R$32)</f>
        <v>9990.4082249999992</v>
      </c>
      <c r="Y386" s="34" t="e">
        <f t="shared" si="519"/>
        <v>#REF!</v>
      </c>
      <c r="Z386" s="34">
        <f t="shared" si="520"/>
        <v>45809.500000000007</v>
      </c>
      <c r="AA386" s="234">
        <v>41645</v>
      </c>
      <c r="AB386" s="36"/>
      <c r="AC386" s="204">
        <f t="shared" si="527"/>
        <v>4620</v>
      </c>
      <c r="AD386" s="152">
        <v>0.11</v>
      </c>
      <c r="AE386" s="31">
        <f t="shared" si="528"/>
        <v>24900</v>
      </c>
      <c r="AF386" s="28">
        <f t="shared" si="522"/>
        <v>0.19867521367521368</v>
      </c>
      <c r="AG386" s="34">
        <f t="shared" si="523"/>
        <v>55788.03</v>
      </c>
      <c r="AH386" s="34" t="e">
        <f t="shared" si="524"/>
        <v>#REF!</v>
      </c>
      <c r="AI386" s="34" t="e">
        <f>SUMIF(헤몬팜마진!$B$7:$B$32,$C386,헤몬팜마진!$V$7:$V$32)</f>
        <v>#REF!</v>
      </c>
      <c r="AJ386" s="34" t="e">
        <f t="shared" si="525"/>
        <v>#REF!</v>
      </c>
      <c r="AK386" s="206" t="e">
        <f t="shared" si="526"/>
        <v>#REF!</v>
      </c>
      <c r="AL386" s="40">
        <f>SUMIF(헤몬팜마진!$B$7:$B$32,$C386,헤몬팜마진!$T$7:$T$32)</f>
        <v>162</v>
      </c>
      <c r="AM386" s="41">
        <f>SUMIF(헤몬팜마진!$B$7:$B$32,$C386,헤몬팜마진!$U$7:$U$32)</f>
        <v>826.80000000000007</v>
      </c>
      <c r="AN386" s="36"/>
      <c r="AO386" s="235">
        <v>52465</v>
      </c>
      <c r="AP386" s="235">
        <v>197</v>
      </c>
      <c r="AQ386" s="126"/>
      <c r="AR386" s="126"/>
      <c r="AS386" s="126"/>
      <c r="AT386" s="118"/>
      <c r="AU386" s="118"/>
      <c r="AV386" s="118"/>
      <c r="AW386" s="118"/>
      <c r="AX386" s="118"/>
      <c r="AY386" s="118"/>
      <c r="AZ386" s="118"/>
      <c r="BA386" s="118"/>
      <c r="BB386" s="118"/>
      <c r="BC386" s="118"/>
      <c r="BD386" s="118"/>
      <c r="BE386" s="118"/>
      <c r="BF386" s="118"/>
      <c r="BG386" s="47"/>
      <c r="BH386" s="47"/>
      <c r="BI386" s="47"/>
      <c r="BJ386" s="47"/>
      <c r="BK386" s="47"/>
    </row>
    <row r="387" spans="1:63" ht="28.5" customHeight="1">
      <c r="A387" s="228" t="s">
        <v>134</v>
      </c>
      <c r="B387" s="207"/>
      <c r="C387" s="42" t="s">
        <v>112</v>
      </c>
      <c r="D387" s="29" t="e">
        <f t="shared" si="509"/>
        <v>#REF!</v>
      </c>
      <c r="E387" s="201" t="e">
        <f t="shared" si="510"/>
        <v>#REF!</v>
      </c>
      <c r="F387" s="30">
        <f t="shared" si="511"/>
        <v>0.24839547738693468</v>
      </c>
      <c r="G387" s="30">
        <f t="shared" si="512"/>
        <v>3.5294117647058823E-2</v>
      </c>
      <c r="H387" s="37">
        <v>0</v>
      </c>
      <c r="I387" s="35">
        <f t="shared" si="513"/>
        <v>140</v>
      </c>
      <c r="J387" s="35">
        <f t="shared" si="514"/>
        <v>280</v>
      </c>
      <c r="K387" s="50">
        <v>343</v>
      </c>
      <c r="L387" s="39">
        <f>97+42+48+31+19+10</f>
        <v>247</v>
      </c>
      <c r="M387" s="210"/>
      <c r="N387" s="44">
        <v>20</v>
      </c>
      <c r="O387" s="202">
        <v>5</v>
      </c>
      <c r="P387" s="31">
        <f t="shared" si="515"/>
        <v>5</v>
      </c>
      <c r="Q387" s="202">
        <v>0</v>
      </c>
      <c r="R387" s="233">
        <v>3</v>
      </c>
      <c r="S387" s="36"/>
      <c r="T387" s="34">
        <f t="shared" si="516"/>
        <v>199000</v>
      </c>
      <c r="U387" s="31">
        <f t="shared" si="517"/>
        <v>0</v>
      </c>
      <c r="V387" s="34">
        <f t="shared" si="518"/>
        <v>199000</v>
      </c>
      <c r="W387" s="43">
        <v>39800</v>
      </c>
      <c r="X387" s="34">
        <f>SUMIF(헤몬팜마진!$B$7:$B$32,$C387,헤몬팜마진!$R$7:$R$32)</f>
        <v>7855.1382499999991</v>
      </c>
      <c r="Y387" s="34" t="e">
        <f t="shared" si="519"/>
        <v>#REF!</v>
      </c>
      <c r="Z387" s="34">
        <f t="shared" si="520"/>
        <v>49430.700000000004</v>
      </c>
      <c r="AA387" s="234">
        <v>44937</v>
      </c>
      <c r="AB387" s="209"/>
      <c r="AC387" s="204">
        <f t="shared" si="527"/>
        <v>0</v>
      </c>
      <c r="AD387" s="152">
        <v>0.08</v>
      </c>
      <c r="AE387" s="31">
        <f t="shared" si="528"/>
        <v>20750</v>
      </c>
      <c r="AF387" s="28">
        <f t="shared" si="522"/>
        <v>0.18427135678391959</v>
      </c>
      <c r="AG387" s="34">
        <f t="shared" si="523"/>
        <v>36670.03</v>
      </c>
      <c r="AH387" s="34" t="e">
        <f t="shared" si="524"/>
        <v>#REF!</v>
      </c>
      <c r="AI387" s="34" t="e">
        <f>SUMIF(헤몬팜마진!$B$7:$B$32,$C387,헤몬팜마진!$V$7:$V$32)</f>
        <v>#REF!</v>
      </c>
      <c r="AJ387" s="34" t="e">
        <f t="shared" si="525"/>
        <v>#REF!</v>
      </c>
      <c r="AK387" s="46" t="e">
        <f t="shared" si="526"/>
        <v>#REF!</v>
      </c>
      <c r="AL387" s="40">
        <f>SUMIF(헤몬팜마진!$B$7:$B$32,$C387,헤몬팜마진!$T$7:$T$32)</f>
        <v>176.41799999999998</v>
      </c>
      <c r="AM387" s="41">
        <f>SUMIF(헤몬팜마진!$B$7:$B$32,$C387,헤몬팜마진!$U$7:$U$32)</f>
        <v>900.38519999999994</v>
      </c>
      <c r="AN387" s="36"/>
      <c r="AO387" s="235">
        <v>38437</v>
      </c>
      <c r="AP387" s="235">
        <v>85</v>
      </c>
      <c r="AQ387" s="126"/>
      <c r="AR387" s="126"/>
      <c r="AS387" s="126"/>
      <c r="AT387" s="118"/>
      <c r="AU387" s="118"/>
      <c r="AV387" s="118"/>
      <c r="AW387" s="118"/>
      <c r="AX387" s="118"/>
      <c r="AY387" s="118"/>
      <c r="AZ387" s="118"/>
      <c r="BA387" s="118"/>
      <c r="BB387" s="118"/>
      <c r="BC387" s="118"/>
      <c r="BD387" s="118"/>
      <c r="BE387" s="118"/>
      <c r="BF387" s="118"/>
      <c r="BG387" s="47"/>
      <c r="BH387" s="47"/>
      <c r="BI387" s="47"/>
      <c r="BJ387" s="47"/>
      <c r="BK387" s="47"/>
    </row>
    <row r="388" spans="1:63" ht="28.5" customHeight="1">
      <c r="A388" s="228"/>
      <c r="B388" s="237"/>
      <c r="C388" s="42" t="s">
        <v>113</v>
      </c>
      <c r="D388" s="28" t="e">
        <f t="shared" si="509"/>
        <v>#REF!</v>
      </c>
      <c r="E388" s="201" t="e">
        <f t="shared" si="510"/>
        <v>#REF!</v>
      </c>
      <c r="F388" s="30">
        <f t="shared" si="511"/>
        <v>0.33129487179487183</v>
      </c>
      <c r="G388" s="30">
        <f t="shared" si="512"/>
        <v>3.0303030303030304E-2</v>
      </c>
      <c r="H388" s="135"/>
      <c r="I388" s="35">
        <f t="shared" si="513"/>
        <v>105</v>
      </c>
      <c r="J388" s="35">
        <f t="shared" si="514"/>
        <v>210</v>
      </c>
      <c r="K388" s="236"/>
      <c r="L388" s="39">
        <f>74+42+48+18+8+2</f>
        <v>192</v>
      </c>
      <c r="M388" s="210"/>
      <c r="N388" s="44">
        <v>15</v>
      </c>
      <c r="O388" s="36">
        <v>2</v>
      </c>
      <c r="P388" s="31">
        <f t="shared" si="515"/>
        <v>2</v>
      </c>
      <c r="Q388" s="36">
        <v>2</v>
      </c>
      <c r="R388" s="233">
        <v>2</v>
      </c>
      <c r="S388" s="36"/>
      <c r="T388" s="34">
        <f t="shared" si="516"/>
        <v>85800</v>
      </c>
      <c r="U388" s="31">
        <f t="shared" si="517"/>
        <v>0</v>
      </c>
      <c r="V388" s="34">
        <f t="shared" si="518"/>
        <v>85800</v>
      </c>
      <c r="W388" s="43">
        <v>42900</v>
      </c>
      <c r="X388" s="34">
        <f>SUMIF(헤몬팜마진!$B$7:$B$32,$C388,헤몬팜마진!$R$7:$R$32)</f>
        <v>7855.1382499999991</v>
      </c>
      <c r="Y388" s="34" t="e">
        <f t="shared" si="519"/>
        <v>#REF!</v>
      </c>
      <c r="Z388" s="34">
        <f t="shared" si="520"/>
        <v>28425.100000000002</v>
      </c>
      <c r="AA388" s="234">
        <v>25841</v>
      </c>
      <c r="AB388" s="36"/>
      <c r="AC388" s="204">
        <f t="shared" si="527"/>
        <v>4620</v>
      </c>
      <c r="AD388" s="152">
        <v>7.8E-2</v>
      </c>
      <c r="AE388" s="31">
        <f>1900*(P388)</f>
        <v>3800</v>
      </c>
      <c r="AF388" s="28">
        <f t="shared" si="522"/>
        <v>0.12228904428904429</v>
      </c>
      <c r="AG388" s="34">
        <f t="shared" si="523"/>
        <v>10492.43</v>
      </c>
      <c r="AH388" s="34" t="e">
        <f t="shared" si="524"/>
        <v>#REF!</v>
      </c>
      <c r="AI388" s="34" t="e">
        <f>SUMIF(헤몬팜마진!$B$7:$B$32,$C388,헤몬팜마진!$V$7:$V$32)</f>
        <v>#REF!</v>
      </c>
      <c r="AJ388" s="34" t="e">
        <f t="shared" si="525"/>
        <v>#REF!</v>
      </c>
      <c r="AK388" s="206" t="e">
        <f t="shared" si="526"/>
        <v>#REF!</v>
      </c>
      <c r="AL388" s="40">
        <f>SUMIF(헤몬팜마진!$B$7:$B$32,$C388,헤몬팜마진!$T$7:$T$32)</f>
        <v>176.41799999999998</v>
      </c>
      <c r="AM388" s="41">
        <f>SUMIF(헤몬팜마진!$B$7:$B$32,$C388,헤몬팜마진!$U$7:$U$32)</f>
        <v>900.38519999999994</v>
      </c>
      <c r="AN388" s="36"/>
      <c r="AO388" s="235">
        <v>31691</v>
      </c>
      <c r="AP388" s="235">
        <v>66</v>
      </c>
      <c r="AQ388" s="126"/>
      <c r="AR388" s="126"/>
      <c r="AS388" s="126"/>
      <c r="AT388" s="118"/>
      <c r="AU388" s="118"/>
      <c r="AV388" s="118"/>
      <c r="AW388" s="118"/>
      <c r="AX388" s="118"/>
      <c r="AY388" s="118"/>
      <c r="AZ388" s="118"/>
      <c r="BA388" s="118"/>
      <c r="BB388" s="118"/>
      <c r="BC388" s="118"/>
      <c r="BD388" s="118"/>
      <c r="BE388" s="118"/>
      <c r="BF388" s="118"/>
      <c r="BG388" s="47"/>
      <c r="BH388" s="47"/>
      <c r="BI388" s="47"/>
      <c r="BJ388" s="47"/>
      <c r="BK388" s="47"/>
    </row>
    <row r="389" spans="1:63" ht="28.5" customHeight="1">
      <c r="A389" s="12" t="s">
        <v>132</v>
      </c>
      <c r="B389" s="207"/>
      <c r="C389" s="42" t="s">
        <v>32</v>
      </c>
      <c r="D389" s="28" t="e">
        <f t="shared" si="509"/>
        <v>#REF!</v>
      </c>
      <c r="E389" s="201" t="e">
        <f t="shared" si="510"/>
        <v>#REF!</v>
      </c>
      <c r="F389" s="30" t="e">
        <f t="shared" si="511"/>
        <v>#DIV/0!</v>
      </c>
      <c r="G389" s="30" t="e">
        <f t="shared" si="512"/>
        <v>#DIV/0!</v>
      </c>
      <c r="H389" s="37">
        <v>3504</v>
      </c>
      <c r="I389" s="35">
        <f t="shared" si="513"/>
        <v>210</v>
      </c>
      <c r="J389" s="35">
        <f t="shared" si="514"/>
        <v>420</v>
      </c>
      <c r="K389" s="50">
        <v>626</v>
      </c>
      <c r="L389" s="39">
        <f>30+13+6</f>
        <v>49</v>
      </c>
      <c r="M389" s="210"/>
      <c r="N389" s="208">
        <v>30</v>
      </c>
      <c r="O389" s="202"/>
      <c r="P389" s="31">
        <f t="shared" si="515"/>
        <v>0</v>
      </c>
      <c r="Q389" s="36"/>
      <c r="R389" s="203"/>
      <c r="S389" s="36"/>
      <c r="T389" s="34">
        <f t="shared" si="516"/>
        <v>0</v>
      </c>
      <c r="U389" s="31">
        <f t="shared" si="517"/>
        <v>0</v>
      </c>
      <c r="V389" s="34">
        <f t="shared" si="518"/>
        <v>0</v>
      </c>
      <c r="W389" s="43">
        <v>59800</v>
      </c>
      <c r="X389" s="34">
        <f>SUMIF(헤몬팜마진!$B$7:$B$32,$C389,헤몬팜마진!$R$7:$R$32)</f>
        <v>13276.289999999999</v>
      </c>
      <c r="Y389" s="34" t="e">
        <f t="shared" si="519"/>
        <v>#REF!</v>
      </c>
      <c r="Z389" s="34">
        <f t="shared" si="520"/>
        <v>0</v>
      </c>
      <c r="AA389" s="234"/>
      <c r="AB389" s="209"/>
      <c r="AC389" s="204">
        <f t="shared" si="527"/>
        <v>0</v>
      </c>
      <c r="AD389" s="152">
        <v>0.108</v>
      </c>
      <c r="AE389" s="31">
        <f t="shared" ref="AE389:AE390" si="529">4825*(P389)</f>
        <v>0</v>
      </c>
      <c r="AF389" s="28" t="e">
        <f t="shared" si="522"/>
        <v>#DIV/0!</v>
      </c>
      <c r="AG389" s="34">
        <f t="shared" si="523"/>
        <v>0</v>
      </c>
      <c r="AH389" s="34" t="e">
        <f t="shared" si="524"/>
        <v>#REF!</v>
      </c>
      <c r="AI389" s="34" t="e">
        <f>SUMIF(헤몬팜마진!$B$7:$B$32,$C389,헤몬팜마진!$V$7:$V$32)</f>
        <v>#REF!</v>
      </c>
      <c r="AJ389" s="34" t="e">
        <f t="shared" si="525"/>
        <v>#REF!</v>
      </c>
      <c r="AK389" s="46" t="e">
        <f t="shared" si="526"/>
        <v>#REF!</v>
      </c>
      <c r="AL389" s="40">
        <f>SUMIF(헤몬팜마진!$B$7:$B$32,$C389,헤몬팜마진!$T$7:$T$32)</f>
        <v>371.52</v>
      </c>
      <c r="AM389" s="41">
        <f>SUMIF(헤몬팜마진!$B$7:$B$32,$C389,헤몬팜마진!$U$7:$U$32)</f>
        <v>1896.1279999999999</v>
      </c>
      <c r="AN389" s="36"/>
      <c r="AO389" s="202"/>
      <c r="AP389" s="205"/>
      <c r="AQ389" s="126"/>
      <c r="AR389" s="126"/>
      <c r="AS389" s="126"/>
      <c r="AT389" s="118"/>
      <c r="AU389" s="118"/>
      <c r="AV389" s="118"/>
      <c r="AW389" s="118"/>
      <c r="AX389" s="118"/>
      <c r="AY389" s="118"/>
      <c r="AZ389" s="118"/>
      <c r="BA389" s="118"/>
      <c r="BB389" s="118"/>
      <c r="BC389" s="118"/>
      <c r="BD389" s="118"/>
      <c r="BE389" s="118"/>
      <c r="BF389" s="118"/>
      <c r="BG389" s="47"/>
      <c r="BH389" s="47"/>
      <c r="BI389" s="47"/>
      <c r="BJ389" s="47"/>
      <c r="BK389" s="47"/>
    </row>
    <row r="390" spans="1:63" ht="28.5" customHeight="1">
      <c r="A390" s="12" t="s">
        <v>132</v>
      </c>
      <c r="B390" s="237"/>
      <c r="C390" s="42" t="s">
        <v>33</v>
      </c>
      <c r="D390" s="28" t="e">
        <f t="shared" si="509"/>
        <v>#REF!</v>
      </c>
      <c r="E390" s="201" t="e">
        <f t="shared" si="510"/>
        <v>#REF!</v>
      </c>
      <c r="F390" s="30" t="e">
        <f t="shared" si="511"/>
        <v>#DIV/0!</v>
      </c>
      <c r="G390" s="30">
        <f t="shared" si="512"/>
        <v>2.4390243902439025E-2</v>
      </c>
      <c r="H390" s="35">
        <v>0</v>
      </c>
      <c r="I390" s="35">
        <f t="shared" si="513"/>
        <v>210</v>
      </c>
      <c r="J390" s="35">
        <f t="shared" si="514"/>
        <v>420</v>
      </c>
      <c r="K390" s="236"/>
      <c r="L390" s="39">
        <f>4+11+18+38+129</f>
        <v>200</v>
      </c>
      <c r="M390" s="210"/>
      <c r="N390" s="44">
        <v>30</v>
      </c>
      <c r="O390" s="202"/>
      <c r="P390" s="31">
        <f t="shared" si="515"/>
        <v>0</v>
      </c>
      <c r="Q390" s="36">
        <v>1</v>
      </c>
      <c r="R390" s="203">
        <v>1</v>
      </c>
      <c r="S390" s="36"/>
      <c r="T390" s="34">
        <f t="shared" si="516"/>
        <v>0</v>
      </c>
      <c r="U390" s="31">
        <f t="shared" si="517"/>
        <v>0</v>
      </c>
      <c r="V390" s="34">
        <f t="shared" si="518"/>
        <v>0</v>
      </c>
      <c r="W390" s="43">
        <v>69780</v>
      </c>
      <c r="X390" s="34">
        <f>SUMIF(헤몬팜마진!$B$7:$B$32,$C390,헤몬팜마진!$R$7:$R$32)</f>
        <v>13276.289999999999</v>
      </c>
      <c r="Y390" s="34" t="e">
        <f t="shared" si="519"/>
        <v>#REF!</v>
      </c>
      <c r="Z390" s="34">
        <f t="shared" si="520"/>
        <v>46192.3</v>
      </c>
      <c r="AA390" s="234">
        <v>41993</v>
      </c>
      <c r="AB390" s="36"/>
      <c r="AC390" s="204">
        <f t="shared" si="527"/>
        <v>2310</v>
      </c>
      <c r="AD390" s="152">
        <v>0.108</v>
      </c>
      <c r="AE390" s="31">
        <f t="shared" si="529"/>
        <v>0</v>
      </c>
      <c r="AF390" s="28" t="e">
        <f t="shared" si="522"/>
        <v>#DIV/0!</v>
      </c>
      <c r="AG390" s="34">
        <f t="shared" si="523"/>
        <v>0</v>
      </c>
      <c r="AH390" s="34" t="e">
        <f t="shared" si="524"/>
        <v>#REF!</v>
      </c>
      <c r="AI390" s="34" t="e">
        <f>SUMIF(헤몬팜마진!$B$7:$B$32,$C390,헤몬팜마진!$V$7:$V$32)</f>
        <v>#REF!</v>
      </c>
      <c r="AJ390" s="34" t="e">
        <f t="shared" si="525"/>
        <v>#REF!</v>
      </c>
      <c r="AK390" s="46" t="e">
        <f t="shared" si="526"/>
        <v>#REF!</v>
      </c>
      <c r="AL390" s="40">
        <f>SUMIF(헤몬팜마진!$B$7:$B$32,$C390,헤몬팜마진!$T$7:$T$32)</f>
        <v>371.52</v>
      </c>
      <c r="AM390" s="41">
        <f>SUMIF(헤몬팜마진!$B$7:$B$32,$C390,헤몬팜마진!$U$7:$U$32)</f>
        <v>1896.1279999999999</v>
      </c>
      <c r="AN390" s="36"/>
      <c r="AO390" s="235">
        <v>25321</v>
      </c>
      <c r="AP390" s="235">
        <v>41</v>
      </c>
      <c r="AQ390" s="126"/>
      <c r="AR390" s="126"/>
      <c r="AS390" s="126"/>
      <c r="AT390" s="118"/>
      <c r="AU390" s="118"/>
      <c r="AV390" s="118"/>
      <c r="AW390" s="118"/>
      <c r="AX390" s="118"/>
      <c r="AY390" s="118"/>
      <c r="AZ390" s="118"/>
      <c r="BA390" s="118"/>
      <c r="BB390" s="118"/>
      <c r="BC390" s="118"/>
      <c r="BD390" s="118"/>
      <c r="BE390" s="118"/>
      <c r="BF390" s="118"/>
      <c r="BG390" s="47"/>
      <c r="BH390" s="47"/>
      <c r="BI390" s="47"/>
      <c r="BJ390" s="47"/>
      <c r="BK390" s="47"/>
    </row>
    <row r="391" spans="1:63" ht="28.5" customHeight="1">
      <c r="A391" s="228" t="s">
        <v>133</v>
      </c>
      <c r="B391" s="200"/>
      <c r="C391" s="42" t="s">
        <v>111</v>
      </c>
      <c r="D391" s="28">
        <f t="shared" si="509"/>
        <v>2.5970379648267355E-2</v>
      </c>
      <c r="E391" s="201">
        <f t="shared" si="510"/>
        <v>0.3908086121353832</v>
      </c>
      <c r="F391" s="30">
        <f t="shared" si="511"/>
        <v>0.36483823248711589</v>
      </c>
      <c r="G391" s="30">
        <f t="shared" si="512"/>
        <v>8.4112149532710276E-2</v>
      </c>
      <c r="H391" s="35">
        <v>500</v>
      </c>
      <c r="I391" s="35">
        <f t="shared" si="513"/>
        <v>105</v>
      </c>
      <c r="J391" s="35">
        <f t="shared" si="514"/>
        <v>210</v>
      </c>
      <c r="K391" s="39">
        <v>577</v>
      </c>
      <c r="L391" s="39">
        <v>211</v>
      </c>
      <c r="M391" s="210"/>
      <c r="N391" s="44">
        <v>15</v>
      </c>
      <c r="O391" s="202">
        <v>13</v>
      </c>
      <c r="P391" s="31">
        <f t="shared" si="515"/>
        <v>13</v>
      </c>
      <c r="Q391" s="202">
        <v>1</v>
      </c>
      <c r="R391" s="233">
        <v>9</v>
      </c>
      <c r="S391" s="202"/>
      <c r="T391" s="34">
        <f t="shared" si="516"/>
        <v>209560</v>
      </c>
      <c r="U391" s="31">
        <f t="shared" si="517"/>
        <v>0</v>
      </c>
      <c r="V391" s="34">
        <f t="shared" si="518"/>
        <v>209560</v>
      </c>
      <c r="W391" s="43">
        <v>16120</v>
      </c>
      <c r="X391" s="34">
        <f>SUMIF(헤몬팜마진!$B$7:$B$32,$C391,헤몬팜마진!$R$7:$R$32)</f>
        <v>5089.2444999999998</v>
      </c>
      <c r="Y391" s="34">
        <f t="shared" si="519"/>
        <v>66642.218500000003</v>
      </c>
      <c r="Z391" s="34">
        <f t="shared" si="520"/>
        <v>76455.5</v>
      </c>
      <c r="AA391" s="234">
        <v>69505</v>
      </c>
      <c r="AB391" s="211"/>
      <c r="AC391" s="204">
        <f t="shared" si="527"/>
        <v>2310</v>
      </c>
      <c r="AD391" s="152">
        <v>7.8E-2</v>
      </c>
      <c r="AE391" s="31">
        <f>2900*(P391)</f>
        <v>37700</v>
      </c>
      <c r="AF391" s="28">
        <f t="shared" si="522"/>
        <v>0.25790074441687344</v>
      </c>
      <c r="AG391" s="34">
        <f t="shared" si="523"/>
        <v>54045.71</v>
      </c>
      <c r="AH391" s="34">
        <f t="shared" si="524"/>
        <v>6974.2187409090857</v>
      </c>
      <c r="AI391" s="34">
        <f>SUMIF(헤몬팜마진!$B$7:$B$32,$C391,헤몬팜마진!$V$7:$V$32)</f>
        <v>5126.3244999999997</v>
      </c>
      <c r="AJ391" s="34">
        <f t="shared" si="525"/>
        <v>81897.852759090907</v>
      </c>
      <c r="AK391" s="206">
        <f t="shared" si="526"/>
        <v>5442.3527590909071</v>
      </c>
      <c r="AL391" s="40">
        <f>SUMIF(헤몬팜마진!$B$7:$B$32,$C391,헤몬팜마진!$T$7:$T$32)</f>
        <v>6.0750000000000002</v>
      </c>
      <c r="AM391" s="41">
        <f>SUMIF(헤몬팜마진!$B$7:$B$32,$C391,헤몬팜마진!$U$7:$U$32)</f>
        <v>31.005000000000003</v>
      </c>
      <c r="AN391" s="36"/>
      <c r="AO391" s="235">
        <v>42851</v>
      </c>
      <c r="AP391" s="235">
        <v>107</v>
      </c>
      <c r="AQ391" s="126"/>
      <c r="AR391" s="126"/>
      <c r="AS391" s="126"/>
      <c r="AT391" s="118"/>
      <c r="AU391" s="118"/>
      <c r="AV391" s="118"/>
      <c r="AW391" s="118"/>
      <c r="AX391" s="118"/>
      <c r="AY391" s="118"/>
      <c r="AZ391" s="118"/>
      <c r="BA391" s="118"/>
      <c r="BB391" s="118"/>
      <c r="BC391" s="118"/>
      <c r="BD391" s="118"/>
      <c r="BE391" s="118"/>
      <c r="BF391" s="118"/>
      <c r="BG391" s="47"/>
      <c r="BH391" s="47"/>
      <c r="BI391" s="47"/>
      <c r="BJ391" s="47"/>
      <c r="BK391" s="47"/>
    </row>
    <row r="392" spans="1:63" ht="28.5" customHeight="1">
      <c r="A392" s="228" t="s">
        <v>135</v>
      </c>
      <c r="B392" s="200"/>
      <c r="C392" s="42" t="s">
        <v>114</v>
      </c>
      <c r="D392" s="28">
        <f t="shared" si="509"/>
        <v>0.13102253339646464</v>
      </c>
      <c r="E392" s="201">
        <f t="shared" si="510"/>
        <v>0.36298885284090909</v>
      </c>
      <c r="F392" s="30">
        <f t="shared" si="511"/>
        <v>0.23196631944444446</v>
      </c>
      <c r="G392" s="30">
        <f t="shared" si="512"/>
        <v>0.10204081632653061</v>
      </c>
      <c r="H392" s="35">
        <v>1750</v>
      </c>
      <c r="I392" s="35">
        <f t="shared" si="513"/>
        <v>350</v>
      </c>
      <c r="J392" s="35">
        <f t="shared" si="514"/>
        <v>700</v>
      </c>
      <c r="K392" s="39">
        <v>1449</v>
      </c>
      <c r="L392" s="39">
        <v>1217</v>
      </c>
      <c r="M392" s="210"/>
      <c r="N392" s="44">
        <v>50</v>
      </c>
      <c r="O392" s="202">
        <v>15</v>
      </c>
      <c r="P392" s="31">
        <f t="shared" si="515"/>
        <v>15</v>
      </c>
      <c r="Q392" s="36">
        <v>3</v>
      </c>
      <c r="R392" s="233">
        <v>10</v>
      </c>
      <c r="S392" s="36"/>
      <c r="T392" s="34">
        <f t="shared" si="516"/>
        <v>288000</v>
      </c>
      <c r="U392" s="31">
        <f t="shared" si="517"/>
        <v>0</v>
      </c>
      <c r="V392" s="34">
        <f t="shared" si="518"/>
        <v>288000</v>
      </c>
      <c r="W392" s="43">
        <v>19200</v>
      </c>
      <c r="X392" s="34">
        <f>SUMIF(헤몬팜마진!$B$7:$B$32,$C392,헤몬팜마진!$R$7:$R$32)</f>
        <v>6372.6191999999992</v>
      </c>
      <c r="Y392" s="34">
        <f t="shared" si="519"/>
        <v>101571.52799999999</v>
      </c>
      <c r="Z392" s="34">
        <f t="shared" si="520"/>
        <v>66806.3</v>
      </c>
      <c r="AA392" s="234">
        <v>60733</v>
      </c>
      <c r="AB392" s="36"/>
      <c r="AC392" s="204">
        <f t="shared" si="527"/>
        <v>6930</v>
      </c>
      <c r="AD392" s="152">
        <v>0.08</v>
      </c>
      <c r="AE392" s="31">
        <f>3350*(P392)</f>
        <v>50250</v>
      </c>
      <c r="AF392" s="28">
        <f t="shared" si="522"/>
        <v>0.25447916666666665</v>
      </c>
      <c r="AG392" s="34">
        <f t="shared" si="523"/>
        <v>73290.03</v>
      </c>
      <c r="AH392" s="34">
        <f t="shared" si="524"/>
        <v>8597.6523818181813</v>
      </c>
      <c r="AI392" s="34">
        <f>SUMIF(헤몬팜마진!$B$7:$B$32,$C392,헤몬팜마진!$V$7:$V$32)</f>
        <v>6771.435199999999</v>
      </c>
      <c r="AJ392" s="34">
        <f t="shared" si="525"/>
        <v>104540.78961818182</v>
      </c>
      <c r="AK392" s="46">
        <f t="shared" si="526"/>
        <v>37734.489618181819</v>
      </c>
      <c r="AL392" s="40">
        <f>SUMIF(헤몬팜마진!$B$7:$B$32,$C392,헤몬팜마진!$T$7:$T$32)</f>
        <v>65.34</v>
      </c>
      <c r="AM392" s="41">
        <f>SUMIF(헤몬팜마진!$B$7:$B$32,$C392,헤몬팜마진!$U$7:$U$32)</f>
        <v>333.476</v>
      </c>
      <c r="AN392" s="36"/>
      <c r="AO392" s="235">
        <v>45121</v>
      </c>
      <c r="AP392" s="235">
        <v>98</v>
      </c>
      <c r="AQ392" s="126"/>
      <c r="AR392" s="126"/>
      <c r="AS392" s="126"/>
      <c r="AT392" s="118"/>
      <c r="AU392" s="118"/>
      <c r="AV392" s="118"/>
      <c r="AW392" s="118"/>
      <c r="AX392" s="118"/>
      <c r="AY392" s="118"/>
      <c r="AZ392" s="118"/>
      <c r="BA392" s="118"/>
      <c r="BB392" s="118"/>
      <c r="BC392" s="118"/>
      <c r="BD392" s="118"/>
      <c r="BE392" s="118"/>
      <c r="BF392" s="118"/>
      <c r="BG392" s="47"/>
      <c r="BH392" s="47"/>
      <c r="BI392" s="47"/>
      <c r="BJ392" s="47"/>
      <c r="BK392" s="47"/>
    </row>
    <row r="393" spans="1:63" ht="28.5" customHeight="1">
      <c r="A393" s="327" t="s">
        <v>136</v>
      </c>
      <c r="B393" s="326"/>
      <c r="C393" s="42" t="s">
        <v>115</v>
      </c>
      <c r="D393" s="28" t="e">
        <f t="shared" si="509"/>
        <v>#REF!</v>
      </c>
      <c r="E393" s="201" t="e">
        <f t="shared" si="510"/>
        <v>#REF!</v>
      </c>
      <c r="F393" s="30">
        <f t="shared" si="511"/>
        <v>0.21810934054920827</v>
      </c>
      <c r="G393" s="30">
        <f t="shared" si="512"/>
        <v>5.6074766355140186E-2</v>
      </c>
      <c r="H393" s="35">
        <v>0</v>
      </c>
      <c r="I393" s="35">
        <f t="shared" si="513"/>
        <v>70</v>
      </c>
      <c r="J393" s="35">
        <f t="shared" si="514"/>
        <v>140</v>
      </c>
      <c r="K393" s="328">
        <v>494</v>
      </c>
      <c r="L393" s="39">
        <v>0</v>
      </c>
      <c r="M393" s="210"/>
      <c r="N393" s="44">
        <v>10</v>
      </c>
      <c r="O393" s="36">
        <v>8</v>
      </c>
      <c r="P393" s="31">
        <f t="shared" si="515"/>
        <v>8</v>
      </c>
      <c r="Q393" s="36">
        <v>1</v>
      </c>
      <c r="R393" s="233">
        <v>6</v>
      </c>
      <c r="S393" s="36"/>
      <c r="T393" s="34">
        <f t="shared" si="516"/>
        <v>399120</v>
      </c>
      <c r="U393" s="31">
        <f t="shared" si="517"/>
        <v>0</v>
      </c>
      <c r="V393" s="34">
        <f t="shared" si="518"/>
        <v>399120</v>
      </c>
      <c r="W393" s="43">
        <v>49890</v>
      </c>
      <c r="X393" s="34">
        <f>SUMIF(헤몬팜마진!$B$7:$B$32,$C393,헤몬팜마진!$R$7:$R$32)</f>
        <v>12169.932499999999</v>
      </c>
      <c r="Y393" s="34" t="e">
        <f t="shared" si="519"/>
        <v>#REF!</v>
      </c>
      <c r="Z393" s="34">
        <f t="shared" si="520"/>
        <v>87051.8</v>
      </c>
      <c r="AA393" s="234">
        <v>79138</v>
      </c>
      <c r="AB393" s="36"/>
      <c r="AC393" s="204">
        <f t="shared" si="527"/>
        <v>2310</v>
      </c>
      <c r="AD393" s="152">
        <v>7.8E-2</v>
      </c>
      <c r="AE393" s="31">
        <f t="shared" ref="AE393:AE394" si="530">4825*(P393)</f>
        <v>38600</v>
      </c>
      <c r="AF393" s="28">
        <f t="shared" si="522"/>
        <v>0.17471276808979755</v>
      </c>
      <c r="AG393" s="34">
        <f t="shared" si="523"/>
        <v>69731.39</v>
      </c>
      <c r="AH393" s="34" t="e">
        <f t="shared" si="524"/>
        <v>#REF!</v>
      </c>
      <c r="AI393" s="34" t="e">
        <f>SUMIF(헤몬팜마진!$B$7:$B$32,$C393,헤몬팜마진!$V$7:$V$32)</f>
        <v>#REF!</v>
      </c>
      <c r="AJ393" s="34" t="e">
        <f t="shared" si="525"/>
        <v>#REF!</v>
      </c>
      <c r="AK393" s="206" t="e">
        <f t="shared" si="526"/>
        <v>#REF!</v>
      </c>
      <c r="AL393" s="40">
        <f>SUMIF(헤몬팜마진!$B$7:$B$32,$C393,헤몬팜마진!$T$7:$T$32)</f>
        <v>181.44000000000003</v>
      </c>
      <c r="AM393" s="41">
        <f>SUMIF(헤몬팜마진!$B$7:$B$32,$C393,헤몬팜마진!$U$7:$U$32)</f>
        <v>926.01600000000019</v>
      </c>
      <c r="AN393" s="36"/>
      <c r="AO393" s="235">
        <v>11309</v>
      </c>
      <c r="AP393" s="235">
        <v>107</v>
      </c>
      <c r="AQ393" s="126"/>
      <c r="AR393" s="126"/>
      <c r="AS393" s="126"/>
      <c r="AT393" s="118"/>
      <c r="AU393" s="118"/>
      <c r="AV393" s="118"/>
      <c r="AW393" s="118"/>
      <c r="AX393" s="118"/>
      <c r="AY393" s="118"/>
      <c r="AZ393" s="118"/>
      <c r="BA393" s="118"/>
      <c r="BB393" s="118"/>
      <c r="BC393" s="118"/>
      <c r="BD393" s="118"/>
      <c r="BE393" s="118"/>
      <c r="BF393" s="118"/>
      <c r="BG393" s="47"/>
      <c r="BH393" s="47"/>
      <c r="BI393" s="47"/>
      <c r="BJ393" s="47"/>
      <c r="BK393" s="47"/>
    </row>
    <row r="394" spans="1:63" ht="28.5" customHeight="1">
      <c r="A394" s="318"/>
      <c r="B394" s="324"/>
      <c r="C394" s="42" t="s">
        <v>116</v>
      </c>
      <c r="D394" s="28" t="e">
        <f t="shared" si="509"/>
        <v>#REF!</v>
      </c>
      <c r="E394" s="201" t="e">
        <f t="shared" si="510"/>
        <v>#REF!</v>
      </c>
      <c r="F394" s="30">
        <f t="shared" si="511"/>
        <v>0.3130674370472577</v>
      </c>
      <c r="G394" s="30">
        <f t="shared" si="512"/>
        <v>1.7751479289940829E-2</v>
      </c>
      <c r="H394" s="35">
        <v>0</v>
      </c>
      <c r="I394" s="35">
        <f t="shared" si="513"/>
        <v>70</v>
      </c>
      <c r="J394" s="35">
        <f t="shared" si="514"/>
        <v>140</v>
      </c>
      <c r="K394" s="310"/>
      <c r="L394" s="39">
        <v>1</v>
      </c>
      <c r="M394" s="210"/>
      <c r="N394" s="44">
        <v>10</v>
      </c>
      <c r="O394" s="202">
        <v>6</v>
      </c>
      <c r="P394" s="31">
        <f t="shared" si="515"/>
        <v>6</v>
      </c>
      <c r="Q394" s="202">
        <v>2</v>
      </c>
      <c r="R394" s="233">
        <v>3</v>
      </c>
      <c r="S394" s="36"/>
      <c r="T394" s="34">
        <f t="shared" si="516"/>
        <v>347880</v>
      </c>
      <c r="U394" s="31">
        <f t="shared" si="517"/>
        <v>0</v>
      </c>
      <c r="V394" s="34">
        <f t="shared" si="518"/>
        <v>347880</v>
      </c>
      <c r="W394" s="43">
        <v>57980</v>
      </c>
      <c r="X394" s="34">
        <f>SUMIF(헤몬팜마진!$B$7:$B$32,$C394,헤몬팜마진!$R$7:$R$32)</f>
        <v>12169.932499999999</v>
      </c>
      <c r="Y394" s="34" t="e">
        <f t="shared" si="519"/>
        <v>#REF!</v>
      </c>
      <c r="Z394" s="34">
        <f t="shared" si="520"/>
        <v>108909.90000000001</v>
      </c>
      <c r="AA394" s="234">
        <v>99009</v>
      </c>
      <c r="AB394" s="36"/>
      <c r="AC394" s="204">
        <f t="shared" si="527"/>
        <v>4620</v>
      </c>
      <c r="AD394" s="152">
        <v>7.8E-2</v>
      </c>
      <c r="AE394" s="31">
        <f t="shared" si="530"/>
        <v>28950</v>
      </c>
      <c r="AF394" s="28">
        <f t="shared" si="522"/>
        <v>0.16121835115557087</v>
      </c>
      <c r="AG394" s="34">
        <f t="shared" si="523"/>
        <v>56084.669999999991</v>
      </c>
      <c r="AH394" s="34" t="e">
        <f t="shared" si="524"/>
        <v>#REF!</v>
      </c>
      <c r="AI394" s="34" t="e">
        <f>SUMIF(헤몬팜마진!$B$7:$B$32,$C394,헤몬팜마진!$V$7:$V$32)</f>
        <v>#REF!</v>
      </c>
      <c r="AJ394" s="34" t="e">
        <f t="shared" si="525"/>
        <v>#REF!</v>
      </c>
      <c r="AK394" s="46" t="e">
        <f t="shared" si="526"/>
        <v>#REF!</v>
      </c>
      <c r="AL394" s="40">
        <f>SUMIF(헤몬팜마진!$B$7:$B$32,$C394,헤몬팜마진!$T$7:$T$32)</f>
        <v>181.44000000000003</v>
      </c>
      <c r="AM394" s="41">
        <f>SUMIF(헤몬팜마진!$B$7:$B$32,$C394,헤몬팜마진!$U$7:$U$32)</f>
        <v>926.01600000000019</v>
      </c>
      <c r="AN394" s="36"/>
      <c r="AO394" s="235">
        <v>12543</v>
      </c>
      <c r="AP394" s="235">
        <v>169</v>
      </c>
      <c r="AQ394" s="126"/>
      <c r="AR394" s="126"/>
      <c r="AS394" s="126"/>
      <c r="AT394" s="118"/>
      <c r="AU394" s="118"/>
      <c r="AV394" s="118"/>
      <c r="AW394" s="118"/>
      <c r="AX394" s="118"/>
      <c r="AY394" s="118"/>
      <c r="AZ394" s="118"/>
      <c r="BA394" s="118"/>
      <c r="BB394" s="118"/>
      <c r="BC394" s="118"/>
      <c r="BD394" s="118"/>
      <c r="BE394" s="118"/>
      <c r="BF394" s="118"/>
      <c r="BG394" s="47"/>
      <c r="BH394" s="47"/>
      <c r="BI394" s="47"/>
      <c r="BJ394" s="47"/>
      <c r="BK394" s="47"/>
    </row>
    <row r="395" spans="1:63" ht="28.5" customHeight="1">
      <c r="A395" s="228" t="s">
        <v>137</v>
      </c>
      <c r="B395" s="200"/>
      <c r="C395" s="42" t="s">
        <v>117</v>
      </c>
      <c r="D395" s="28">
        <f t="shared" si="509"/>
        <v>0.27507242215270689</v>
      </c>
      <c r="E395" s="201">
        <f t="shared" si="510"/>
        <v>0.43835753451225745</v>
      </c>
      <c r="F395" s="30">
        <f t="shared" si="511"/>
        <v>0.16328511235955059</v>
      </c>
      <c r="G395" s="30">
        <f t="shared" si="512"/>
        <v>3.215434083601286E-2</v>
      </c>
      <c r="H395" s="35">
        <v>2000</v>
      </c>
      <c r="I395" s="35">
        <f t="shared" si="513"/>
        <v>700</v>
      </c>
      <c r="J395" s="35">
        <f t="shared" si="514"/>
        <v>1400</v>
      </c>
      <c r="K395" s="39">
        <v>2373</v>
      </c>
      <c r="L395" s="39">
        <v>3</v>
      </c>
      <c r="M395" s="210"/>
      <c r="N395" s="44">
        <v>100</v>
      </c>
      <c r="O395" s="202">
        <v>16</v>
      </c>
      <c r="P395" s="31">
        <f t="shared" si="515"/>
        <v>16</v>
      </c>
      <c r="Q395" s="202">
        <v>7</v>
      </c>
      <c r="R395" s="233">
        <v>10</v>
      </c>
      <c r="S395" s="36"/>
      <c r="T395" s="34">
        <f t="shared" si="516"/>
        <v>284800</v>
      </c>
      <c r="U395" s="31">
        <f t="shared" si="517"/>
        <v>0</v>
      </c>
      <c r="V395" s="34">
        <f t="shared" si="518"/>
        <v>284800</v>
      </c>
      <c r="W395" s="43">
        <v>17800</v>
      </c>
      <c r="X395" s="34">
        <f>SUMIF(헤몬팜마진!$B$7:$B$32,$C395,헤몬팜마진!$R$7:$R$32)</f>
        <v>3982.8869999999997</v>
      </c>
      <c r="Y395" s="34">
        <f t="shared" si="519"/>
        <v>77395.363199999993</v>
      </c>
      <c r="Z395" s="34">
        <f t="shared" si="520"/>
        <v>46503.600000000006</v>
      </c>
      <c r="AA395" s="234">
        <f>30619+11657</f>
        <v>42276</v>
      </c>
      <c r="AB395" s="36"/>
      <c r="AC395" s="204">
        <f t="shared" si="527"/>
        <v>16170</v>
      </c>
      <c r="AD395" s="152">
        <v>7.8E-2</v>
      </c>
      <c r="AE395" s="31">
        <f>3100*(P395)</f>
        <v>49600</v>
      </c>
      <c r="AF395" s="28">
        <f t="shared" si="522"/>
        <v>0.25215730337078651</v>
      </c>
      <c r="AG395" s="34">
        <f t="shared" si="523"/>
        <v>71814.429999999993</v>
      </c>
      <c r="AH395" s="34">
        <f t="shared" si="524"/>
        <v>10745.980970909088</v>
      </c>
      <c r="AI395" s="34">
        <f>SUMIF(헤몬팜마진!$B$7:$B$32,$C395,헤몬팜마진!$V$7:$V$32)</f>
        <v>4837.2101999999995</v>
      </c>
      <c r="AJ395" s="34">
        <f t="shared" si="525"/>
        <v>124844.22582909092</v>
      </c>
      <c r="AK395" s="46">
        <f t="shared" si="526"/>
        <v>78340.625829090917</v>
      </c>
      <c r="AL395" s="40">
        <f>SUMIF(헤몬팜마진!$B$7:$B$32,$C395,헤몬팜마진!$T$7:$T$32)</f>
        <v>139.96800000000002</v>
      </c>
      <c r="AM395" s="41">
        <f>SUMIF(헤몬팜마진!$B$7:$B$32,$C395,헤몬팜마진!$U$7:$U$32)</f>
        <v>714.35519999999997</v>
      </c>
      <c r="AN395" s="36"/>
      <c r="AO395" s="235">
        <v>87572</v>
      </c>
      <c r="AP395" s="235">
        <v>311</v>
      </c>
      <c r="AQ395" s="126"/>
      <c r="AR395" s="126"/>
      <c r="AS395" s="126"/>
      <c r="AT395" s="118"/>
      <c r="AU395" s="118"/>
      <c r="AV395" s="118"/>
      <c r="AW395" s="118"/>
      <c r="AX395" s="118"/>
      <c r="AY395" s="118"/>
      <c r="AZ395" s="118"/>
      <c r="BA395" s="118"/>
      <c r="BB395" s="118"/>
      <c r="BC395" s="118"/>
      <c r="BD395" s="118"/>
      <c r="BE395" s="118"/>
      <c r="BF395" s="118"/>
      <c r="BG395" s="47"/>
      <c r="BH395" s="47"/>
      <c r="BI395" s="47"/>
      <c r="BJ395" s="47"/>
      <c r="BK395" s="47"/>
    </row>
    <row r="396" spans="1:63" ht="28.5" customHeight="1">
      <c r="A396" s="228" t="s">
        <v>139</v>
      </c>
      <c r="B396" s="127" t="s">
        <v>127</v>
      </c>
      <c r="C396" s="42" t="s">
        <v>119</v>
      </c>
      <c r="D396" s="28">
        <f t="shared" si="509"/>
        <v>0.25586814830026777</v>
      </c>
      <c r="E396" s="201">
        <f t="shared" si="510"/>
        <v>0.43444842260442273</v>
      </c>
      <c r="F396" s="30">
        <f t="shared" si="511"/>
        <v>0.17858027430415491</v>
      </c>
      <c r="G396" s="30">
        <f t="shared" si="512"/>
        <v>0.1326530612244898</v>
      </c>
      <c r="H396" s="35">
        <v>2000</v>
      </c>
      <c r="I396" s="35">
        <f t="shared" si="513"/>
        <v>280</v>
      </c>
      <c r="J396" s="35">
        <f t="shared" si="514"/>
        <v>560</v>
      </c>
      <c r="K396" s="213">
        <v>1048</v>
      </c>
      <c r="L396" s="39">
        <f>311+240+1</f>
        <v>552</v>
      </c>
      <c r="M396" s="210"/>
      <c r="N396" s="44">
        <v>40</v>
      </c>
      <c r="O396" s="202">
        <v>20</v>
      </c>
      <c r="P396" s="31">
        <f t="shared" si="515"/>
        <v>20</v>
      </c>
      <c r="Q396" s="202">
        <v>6</v>
      </c>
      <c r="R396" s="233">
        <v>13</v>
      </c>
      <c r="S396" s="36"/>
      <c r="T396" s="34">
        <f t="shared" si="516"/>
        <v>495800</v>
      </c>
      <c r="U396" s="31">
        <f t="shared" si="517"/>
        <v>0</v>
      </c>
      <c r="V396" s="34">
        <f t="shared" si="518"/>
        <v>495800</v>
      </c>
      <c r="W396" s="43">
        <v>24790</v>
      </c>
      <c r="X396" s="34">
        <f>SUMIF(헤몬팜마진!$B$7:$B$32,$C396,헤몬팜마진!$R$7:$R$32)</f>
        <v>6859.4164999999994</v>
      </c>
      <c r="Y396" s="34">
        <f t="shared" si="519"/>
        <v>145072.36199999996</v>
      </c>
      <c r="Z396" s="34">
        <f t="shared" si="520"/>
        <v>88540.1</v>
      </c>
      <c r="AA396" s="234">
        <v>80491</v>
      </c>
      <c r="AB396" s="209"/>
      <c r="AC396" s="204">
        <f t="shared" si="527"/>
        <v>13860</v>
      </c>
      <c r="AD396" s="152">
        <v>0.108</v>
      </c>
      <c r="AE396" s="31">
        <f>3150*(P396)</f>
        <v>63000</v>
      </c>
      <c r="AF396" s="28">
        <f t="shared" si="522"/>
        <v>0.23506736587333604</v>
      </c>
      <c r="AG396" s="34">
        <f t="shared" si="523"/>
        <v>116546.43000000001</v>
      </c>
      <c r="AH396" s="34">
        <f t="shared" si="524"/>
        <v>18781.680072727275</v>
      </c>
      <c r="AI396" s="34">
        <f>SUMIF(헤몬팜마진!$B$7:$B$32,$C396,헤몬팜마진!$V$7:$V$32)</f>
        <v>7253.6180999999988</v>
      </c>
      <c r="AJ396" s="34">
        <f t="shared" si="525"/>
        <v>215399.52792727278</v>
      </c>
      <c r="AK396" s="206">
        <f t="shared" si="526"/>
        <v>126859.42792727277</v>
      </c>
      <c r="AL396" s="40">
        <f>SUMIF(헤몬팜마진!$B$7:$B$32,$C396,헤몬팜마진!$T$7:$T$32)</f>
        <v>64.584000000000003</v>
      </c>
      <c r="AM396" s="41">
        <f>SUMIF(헤몬팜마진!$B$7:$B$32,$C396,헤몬팜마진!$U$7:$U$32)</f>
        <v>329.61759999999998</v>
      </c>
      <c r="AN396" s="36"/>
      <c r="AO396" s="235">
        <v>34789</v>
      </c>
      <c r="AP396" s="235">
        <v>98</v>
      </c>
      <c r="AQ396" s="126"/>
      <c r="AR396" s="126"/>
      <c r="AS396" s="126"/>
      <c r="AT396" s="118"/>
      <c r="AU396" s="118"/>
      <c r="AV396" s="118"/>
      <c r="AW396" s="118"/>
      <c r="AX396" s="118"/>
      <c r="AY396" s="118"/>
      <c r="AZ396" s="118"/>
      <c r="BA396" s="118"/>
      <c r="BB396" s="118"/>
      <c r="BC396" s="118"/>
      <c r="BD396" s="118"/>
      <c r="BE396" s="118"/>
      <c r="BF396" s="118"/>
      <c r="BG396" s="47"/>
      <c r="BH396" s="47"/>
      <c r="BI396" s="47"/>
      <c r="BJ396" s="47"/>
      <c r="BK396" s="47"/>
    </row>
    <row r="397" spans="1:63" ht="28.5" customHeight="1">
      <c r="A397" s="228"/>
      <c r="B397" s="214" t="s">
        <v>128</v>
      </c>
      <c r="C397" s="42" t="s">
        <v>120</v>
      </c>
      <c r="D397" s="28">
        <f t="shared" si="509"/>
        <v>-0.51973722507994513</v>
      </c>
      <c r="E397" s="201">
        <f t="shared" si="510"/>
        <v>0.41263714677935137</v>
      </c>
      <c r="F397" s="30">
        <f t="shared" si="511"/>
        <v>0.9323743718592965</v>
      </c>
      <c r="G397" s="30">
        <f t="shared" si="512"/>
        <v>0</v>
      </c>
      <c r="H397" s="35">
        <v>0</v>
      </c>
      <c r="I397" s="35">
        <f t="shared" si="513"/>
        <v>105</v>
      </c>
      <c r="J397" s="35">
        <f t="shared" si="514"/>
        <v>210</v>
      </c>
      <c r="K397" s="238"/>
      <c r="L397" s="39">
        <f>22+3</f>
        <v>25</v>
      </c>
      <c r="M397" s="210"/>
      <c r="N397" s="44">
        <v>15</v>
      </c>
      <c r="O397" s="36">
        <v>1</v>
      </c>
      <c r="P397" s="31">
        <f t="shared" si="515"/>
        <v>1</v>
      </c>
      <c r="Q397" s="36"/>
      <c r="R397" s="167"/>
      <c r="S397" s="36"/>
      <c r="T397" s="34">
        <f t="shared" si="516"/>
        <v>39800</v>
      </c>
      <c r="U397" s="31">
        <f t="shared" si="517"/>
        <v>0</v>
      </c>
      <c r="V397" s="34">
        <f t="shared" si="518"/>
        <v>39800</v>
      </c>
      <c r="W397" s="43">
        <v>39800</v>
      </c>
      <c r="X397" s="34">
        <f>SUMIF(헤몬팜마진!$B$7:$B$32,$C397,헤몬팜마진!$R$7:$R$32)</f>
        <v>13718.832999999999</v>
      </c>
      <c r="Y397" s="34">
        <f t="shared" si="519"/>
        <v>14113.034599999999</v>
      </c>
      <c r="Z397" s="34">
        <f t="shared" si="520"/>
        <v>37108.5</v>
      </c>
      <c r="AA397" s="234">
        <v>33735</v>
      </c>
      <c r="AB397" s="209"/>
      <c r="AC397" s="204">
        <f t="shared" si="527"/>
        <v>0</v>
      </c>
      <c r="AD397" s="152">
        <v>0.108</v>
      </c>
      <c r="AE397" s="31">
        <f>3550*(P397)</f>
        <v>3550</v>
      </c>
      <c r="AF397" s="28">
        <f t="shared" si="522"/>
        <v>0.1971959798994975</v>
      </c>
      <c r="AG397" s="34">
        <f t="shared" si="523"/>
        <v>7848.43</v>
      </c>
      <c r="AH397" s="34">
        <f t="shared" si="524"/>
        <v>1415.5769581818181</v>
      </c>
      <c r="AI397" s="34">
        <f>SUMIF(헤몬팜마진!$B$7:$B$32,$C397,헤몬팜마진!$V$7:$V$32)</f>
        <v>14113.034599999999</v>
      </c>
      <c r="AJ397" s="34">
        <f t="shared" si="525"/>
        <v>16422.958441818184</v>
      </c>
      <c r="AK397" s="206">
        <f t="shared" si="526"/>
        <v>-20685.541558181816</v>
      </c>
      <c r="AL397" s="40">
        <f>SUMIF(헤몬팜마진!$B$7:$B$32,$C397,헤몬팜마진!$T$7:$T$32)</f>
        <v>64.584000000000003</v>
      </c>
      <c r="AM397" s="41">
        <f>SUMIF(헤몬팜마진!$B$7:$B$32,$C397,헤몬팜마진!$U$7:$U$32)</f>
        <v>329.61759999999998</v>
      </c>
      <c r="AN397" s="36"/>
      <c r="AO397" s="235">
        <v>32862</v>
      </c>
      <c r="AP397" s="235">
        <v>104</v>
      </c>
      <c r="AQ397" s="126"/>
      <c r="AR397" s="126"/>
      <c r="AS397" s="126"/>
      <c r="AT397" s="118"/>
      <c r="AU397" s="118"/>
      <c r="AV397" s="118"/>
      <c r="AW397" s="118"/>
      <c r="AX397" s="118"/>
      <c r="AY397" s="118"/>
      <c r="AZ397" s="118"/>
      <c r="BA397" s="118"/>
      <c r="BB397" s="118"/>
      <c r="BC397" s="118"/>
      <c r="BD397" s="118"/>
      <c r="BE397" s="118"/>
      <c r="BF397" s="118"/>
      <c r="BG397" s="47"/>
      <c r="BH397" s="47"/>
      <c r="BI397" s="47"/>
      <c r="BJ397" s="47"/>
      <c r="BK397" s="47"/>
    </row>
    <row r="398" spans="1:63" ht="28.5" customHeight="1">
      <c r="A398" s="12"/>
      <c r="B398" s="214" t="s">
        <v>126</v>
      </c>
      <c r="C398" s="42" t="s">
        <v>31</v>
      </c>
      <c r="D398" s="28">
        <f t="shared" si="509"/>
        <v>2.627948220668232E-2</v>
      </c>
      <c r="E398" s="201">
        <f t="shared" si="510"/>
        <v>0.3786934293706295</v>
      </c>
      <c r="F398" s="30">
        <f t="shared" si="511"/>
        <v>0.35241394716394719</v>
      </c>
      <c r="G398" s="30">
        <f t="shared" si="512"/>
        <v>2.2792022792022793E-2</v>
      </c>
      <c r="H398" s="35">
        <v>700</v>
      </c>
      <c r="I398" s="35">
        <f t="shared" si="513"/>
        <v>210</v>
      </c>
      <c r="J398" s="35">
        <f t="shared" si="514"/>
        <v>420</v>
      </c>
      <c r="K398" s="39">
        <v>954</v>
      </c>
      <c r="L398" s="39">
        <v>2</v>
      </c>
      <c r="M398" s="210"/>
      <c r="N398" s="44">
        <v>30</v>
      </c>
      <c r="O398" s="36">
        <v>28</v>
      </c>
      <c r="P398" s="31">
        <f t="shared" si="515"/>
        <v>26</v>
      </c>
      <c r="Q398" s="36">
        <v>3</v>
      </c>
      <c r="R398" s="233">
        <v>16</v>
      </c>
      <c r="S398" s="36">
        <v>2</v>
      </c>
      <c r="T398" s="34">
        <f t="shared" si="516"/>
        <v>554400</v>
      </c>
      <c r="U398" s="31">
        <f t="shared" si="517"/>
        <v>39600</v>
      </c>
      <c r="V398" s="34">
        <f t="shared" si="518"/>
        <v>514800</v>
      </c>
      <c r="W398" s="43">
        <v>19800</v>
      </c>
      <c r="X398" s="34">
        <f>SUMIF(헤몬팜마진!$B$7:$B$32,$C398,헤몬팜마진!$R$7:$R$32)</f>
        <v>6638.1449999999995</v>
      </c>
      <c r="Y398" s="34">
        <f t="shared" si="519"/>
        <v>173825.79239999998</v>
      </c>
      <c r="Z398" s="34">
        <f t="shared" si="520"/>
        <v>160904.70000000001</v>
      </c>
      <c r="AA398" s="234">
        <v>146277</v>
      </c>
      <c r="AB398" s="211">
        <f>((19800*0.015)+(19800*0.19)+2100+2200+1900)*2</f>
        <v>20518</v>
      </c>
      <c r="AC398" s="204">
        <f t="shared" si="527"/>
        <v>6930</v>
      </c>
      <c r="AD398" s="152">
        <v>0.08</v>
      </c>
      <c r="AE398" s="31">
        <f>3400*(P398)</f>
        <v>88400</v>
      </c>
      <c r="AF398" s="28">
        <f t="shared" si="522"/>
        <v>0.25171717171717173</v>
      </c>
      <c r="AG398" s="34">
        <f t="shared" si="523"/>
        <v>129584.03</v>
      </c>
      <c r="AH398" s="34">
        <f t="shared" si="524"/>
        <v>16438.800160000006</v>
      </c>
      <c r="AI398" s="34">
        <f>SUMIF(헤몬팜마진!$B$7:$B$32,$C398,헤몬팜마진!$V$7:$V$32)</f>
        <v>6685.607399999999</v>
      </c>
      <c r="AJ398" s="34">
        <f t="shared" si="525"/>
        <v>194951.37744000007</v>
      </c>
      <c r="AK398" s="206">
        <f t="shared" si="526"/>
        <v>13528.677440000058</v>
      </c>
      <c r="AL398" s="40">
        <f>SUMIF(헤몬팜마진!$B$7:$B$32,$C398,헤몬팜마진!$T$7:$T$32)</f>
        <v>7.7759999999999998</v>
      </c>
      <c r="AM398" s="41">
        <f>SUMIF(헤몬팜마진!$B$7:$B$32,$C398,헤몬팜마진!$U$7:$U$32)</f>
        <v>39.686400000000006</v>
      </c>
      <c r="AN398" s="36"/>
      <c r="AO398" s="235">
        <v>225658</v>
      </c>
      <c r="AP398" s="235">
        <v>702</v>
      </c>
      <c r="AQ398" s="126"/>
      <c r="AR398" s="126"/>
      <c r="AS398" s="126"/>
      <c r="AT398" s="118"/>
      <c r="AU398" s="118"/>
      <c r="AV398" s="118"/>
      <c r="AW398" s="118"/>
      <c r="AX398" s="118"/>
      <c r="AY398" s="118"/>
      <c r="AZ398" s="118"/>
      <c r="BA398" s="118"/>
      <c r="BB398" s="118"/>
      <c r="BC398" s="118"/>
      <c r="BD398" s="118"/>
      <c r="BE398" s="118"/>
      <c r="BF398" s="118"/>
      <c r="BG398" s="47"/>
      <c r="BH398" s="47"/>
      <c r="BI398" s="47"/>
      <c r="BJ398" s="47"/>
      <c r="BK398" s="47"/>
    </row>
    <row r="399" spans="1:63" ht="28.5" customHeight="1">
      <c r="A399" s="228"/>
      <c r="B399" s="200"/>
      <c r="C399" s="239" t="s">
        <v>141</v>
      </c>
      <c r="D399" s="28" t="e">
        <f t="shared" si="509"/>
        <v>#DIV/0!</v>
      </c>
      <c r="E399" s="201" t="e">
        <f t="shared" si="510"/>
        <v>#DIV/0!</v>
      </c>
      <c r="F399" s="30" t="e">
        <f t="shared" si="511"/>
        <v>#DIV/0!</v>
      </c>
      <c r="G399" s="30" t="e">
        <f t="shared" si="512"/>
        <v>#DIV/0!</v>
      </c>
      <c r="H399" s="35">
        <v>0</v>
      </c>
      <c r="I399" s="35">
        <f t="shared" si="513"/>
        <v>350</v>
      </c>
      <c r="J399" s="35">
        <f t="shared" si="514"/>
        <v>700</v>
      </c>
      <c r="K399" s="39">
        <v>87</v>
      </c>
      <c r="L399" s="39">
        <v>0</v>
      </c>
      <c r="M399" s="210"/>
      <c r="N399" s="44">
        <v>50</v>
      </c>
      <c r="O399" s="202">
        <v>2</v>
      </c>
      <c r="P399" s="31">
        <f t="shared" si="515"/>
        <v>0</v>
      </c>
      <c r="Q399" s="36"/>
      <c r="R399" s="203"/>
      <c r="S399" s="36">
        <v>2</v>
      </c>
      <c r="T399" s="34">
        <f t="shared" si="516"/>
        <v>151800</v>
      </c>
      <c r="U399" s="31">
        <f t="shared" si="517"/>
        <v>151800</v>
      </c>
      <c r="V399" s="34">
        <f t="shared" si="518"/>
        <v>0</v>
      </c>
      <c r="W399" s="43">
        <v>75900</v>
      </c>
      <c r="X399" s="34">
        <f>SUMIF(헤몬팜마진!$B$7:$B$32,$C399,헤몬팜마진!$R$7:$R$32)</f>
        <v>28986.566499999994</v>
      </c>
      <c r="Y399" s="34">
        <f t="shared" si="519"/>
        <v>0</v>
      </c>
      <c r="Z399" s="34">
        <f t="shared" si="520"/>
        <v>0</v>
      </c>
      <c r="AA399" s="49"/>
      <c r="AB399" s="211">
        <f>((75900*0.015)+(75900*0.19)+2100+2200+1900)*2</f>
        <v>43519</v>
      </c>
      <c r="AC399" s="204">
        <f t="shared" si="527"/>
        <v>0</v>
      </c>
      <c r="AD399" s="152">
        <v>0.1</v>
      </c>
      <c r="AE399" s="31">
        <f>1900*(P399)</f>
        <v>0</v>
      </c>
      <c r="AF399" s="28" t="e">
        <f t="shared" si="522"/>
        <v>#DIV/0!</v>
      </c>
      <c r="AG399" s="34">
        <f t="shared" si="523"/>
        <v>0</v>
      </c>
      <c r="AH399" s="34">
        <f t="shared" si="524"/>
        <v>0</v>
      </c>
      <c r="AI399" s="34">
        <f>SUMIF(헤몬팜마진!$B$7:$B$32,$C399,헤몬팜마진!$V$7:$V$32)</f>
        <v>29157.958499999997</v>
      </c>
      <c r="AJ399" s="34">
        <f t="shared" si="525"/>
        <v>0</v>
      </c>
      <c r="AK399" s="206">
        <f t="shared" si="526"/>
        <v>-43519</v>
      </c>
      <c r="AL399" s="40">
        <f>SUMIF(헤몬팜마진!$B$7:$B$32,$C399,헤몬팜마진!$T$7:$T$32)</f>
        <v>28.079999999999995</v>
      </c>
      <c r="AM399" s="41">
        <f>SUMIF(헤몬팜마진!$B$7:$B$32,$C399,헤몬팜마진!$U$7:$U$32)</f>
        <v>143.31199999999998</v>
      </c>
      <c r="AN399" s="36"/>
      <c r="AO399" s="202"/>
      <c r="AP399" s="205"/>
      <c r="AQ399" s="126"/>
      <c r="AR399" s="126"/>
      <c r="AS399" s="126"/>
      <c r="AT399" s="118"/>
      <c r="AU399" s="118"/>
      <c r="AV399" s="118"/>
      <c r="AW399" s="118"/>
      <c r="AX399" s="118"/>
      <c r="AY399" s="118"/>
      <c r="AZ399" s="118"/>
      <c r="BA399" s="118"/>
      <c r="BB399" s="118"/>
      <c r="BC399" s="118"/>
      <c r="BD399" s="118"/>
      <c r="BE399" s="118"/>
      <c r="BF399" s="118"/>
      <c r="BG399" s="47"/>
      <c r="BH399" s="47"/>
      <c r="BI399" s="47"/>
      <c r="BJ399" s="47"/>
      <c r="BK399" s="47"/>
    </row>
    <row r="400" spans="1:63" ht="28.5" customHeight="1">
      <c r="A400" s="12"/>
      <c r="B400" s="216"/>
      <c r="C400" s="217"/>
      <c r="D400" s="51" t="e">
        <f t="shared" si="509"/>
        <v>#REF!</v>
      </c>
      <c r="E400" s="218" t="e">
        <f t="shared" si="510"/>
        <v>#REF!</v>
      </c>
      <c r="F400" s="53">
        <f t="shared" si="511"/>
        <v>0.26551876469783681</v>
      </c>
      <c r="G400" s="219"/>
      <c r="H400" s="55"/>
      <c r="I400" s="55"/>
      <c r="J400" s="55"/>
      <c r="K400" s="55"/>
      <c r="L400" s="55"/>
      <c r="M400" s="55"/>
      <c r="N400" s="55"/>
      <c r="O400" s="130">
        <f>SUM(O383:O399)</f>
        <v>331</v>
      </c>
      <c r="P400" s="220">
        <f>SUM(P383:P398)</f>
        <v>327</v>
      </c>
      <c r="Q400" s="130">
        <f>SUM(Q383:Q399)</f>
        <v>52</v>
      </c>
      <c r="R400" s="130">
        <f>SUM(R383:R398)</f>
        <v>242</v>
      </c>
      <c r="S400" s="130">
        <f>SUM(S383:S399)</f>
        <v>4</v>
      </c>
      <c r="T400" s="130">
        <f t="shared" ref="T400:V400" si="531">SUM(T383:T398)</f>
        <v>9105560</v>
      </c>
      <c r="U400" s="130">
        <f t="shared" si="531"/>
        <v>39600</v>
      </c>
      <c r="V400" s="220">
        <f t="shared" si="531"/>
        <v>9065960</v>
      </c>
      <c r="W400" s="55"/>
      <c r="X400" s="130">
        <f t="shared" ref="X400:AC400" si="532">SUM(X383:X398)</f>
        <v>145176.23114999998</v>
      </c>
      <c r="Y400" s="220" t="e">
        <f t="shared" si="532"/>
        <v>#REF!</v>
      </c>
      <c r="Z400" s="130">
        <f t="shared" si="532"/>
        <v>2386664.5000000005</v>
      </c>
      <c r="AA400" s="130">
        <f t="shared" si="532"/>
        <v>2169695</v>
      </c>
      <c r="AB400" s="130">
        <f t="shared" si="532"/>
        <v>20518</v>
      </c>
      <c r="AC400" s="130">
        <f t="shared" si="532"/>
        <v>116946</v>
      </c>
      <c r="AD400" s="154">
        <v>0.09</v>
      </c>
      <c r="AE400" s="220">
        <f>SUM(AE383:AE398)</f>
        <v>1052450</v>
      </c>
      <c r="AF400" s="53">
        <f t="shared" si="522"/>
        <v>0.20608809216012425</v>
      </c>
      <c r="AG400" s="56">
        <f t="shared" ref="AG400:AI400" si="533">SUM(AG383:AG398)</f>
        <v>1919195.6699999997</v>
      </c>
      <c r="AH400" s="56" t="e">
        <f t="shared" si="533"/>
        <v>#REF!</v>
      </c>
      <c r="AI400" s="56" t="e">
        <f t="shared" si="533"/>
        <v>#REF!</v>
      </c>
      <c r="AJ400" s="56" t="e">
        <f t="shared" si="525"/>
        <v>#REF!</v>
      </c>
      <c r="AK400" s="221" t="e">
        <f t="shared" si="526"/>
        <v>#REF!</v>
      </c>
      <c r="AL400" s="54"/>
      <c r="AM400" s="222"/>
      <c r="AN400" s="57"/>
      <c r="AO400" s="131">
        <f t="shared" ref="AO400:AP400" si="534">SUM(AO383:AO384)</f>
        <v>527019</v>
      </c>
      <c r="AP400" s="132">
        <f t="shared" si="534"/>
        <v>2773</v>
      </c>
      <c r="AQ400" s="126"/>
      <c r="AR400" s="126"/>
      <c r="AS400" s="126"/>
      <c r="AT400" s="118"/>
      <c r="AU400" s="118"/>
      <c r="AV400" s="118"/>
      <c r="AW400" s="118"/>
      <c r="AX400" s="118"/>
      <c r="AY400" s="118"/>
      <c r="AZ400" s="118"/>
      <c r="BA400" s="118"/>
      <c r="BB400" s="118"/>
      <c r="BC400" s="118"/>
      <c r="BD400" s="118"/>
      <c r="BE400" s="118"/>
      <c r="BF400" s="118"/>
      <c r="BG400" s="47"/>
      <c r="BH400" s="47"/>
      <c r="BI400" s="47"/>
      <c r="BJ400" s="47"/>
      <c r="BK400" s="47"/>
    </row>
    <row r="401" spans="1:63" ht="28.5" customHeight="1">
      <c r="A401" s="3"/>
      <c r="B401" s="120"/>
      <c r="C401" s="229"/>
      <c r="D401" s="230"/>
      <c r="E401" s="230"/>
      <c r="F401" s="230"/>
      <c r="G401" s="230"/>
      <c r="H401" s="231"/>
      <c r="I401" s="231"/>
      <c r="J401" s="231"/>
      <c r="K401" s="231"/>
      <c r="L401" s="231"/>
      <c r="M401" s="231"/>
      <c r="N401" s="231"/>
      <c r="O401" s="231"/>
      <c r="P401" s="232"/>
      <c r="Q401" s="231"/>
      <c r="R401" s="231"/>
      <c r="S401" s="231"/>
      <c r="T401" s="231"/>
      <c r="U401" s="231"/>
      <c r="V401" s="231"/>
      <c r="W401" s="231"/>
      <c r="X401" s="231"/>
      <c r="Y401" s="231"/>
      <c r="Z401" s="231"/>
      <c r="AA401" s="133"/>
      <c r="AB401" s="61"/>
      <c r="AC401" s="148"/>
      <c r="AD401" s="148"/>
      <c r="AE401" s="148"/>
      <c r="AF401" s="148"/>
      <c r="AG401" s="61"/>
      <c r="AH401" s="61"/>
      <c r="AI401" s="187"/>
      <c r="AJ401" s="118"/>
      <c r="AK401" s="126"/>
      <c r="AL401" s="126"/>
      <c r="AM401" s="126"/>
      <c r="AN401" s="118"/>
      <c r="AO401" s="118"/>
      <c r="AP401" s="118"/>
      <c r="AQ401" s="126"/>
      <c r="AR401" s="126"/>
      <c r="AS401" s="126"/>
      <c r="AT401" s="118"/>
      <c r="AU401" s="118"/>
      <c r="AV401" s="118"/>
      <c r="AW401" s="118"/>
      <c r="AX401" s="118"/>
      <c r="AY401" s="118"/>
      <c r="AZ401" s="118"/>
      <c r="BA401" s="118"/>
      <c r="BB401" s="118"/>
      <c r="BC401" s="118"/>
      <c r="BD401" s="118"/>
      <c r="BE401" s="118"/>
      <c r="BF401" s="118"/>
      <c r="BG401" s="47"/>
      <c r="BH401" s="47"/>
      <c r="BI401" s="47"/>
      <c r="BJ401" s="47"/>
      <c r="BK401" s="47"/>
    </row>
    <row r="402" spans="1:63" ht="28.5" customHeight="1">
      <c r="A402" s="12"/>
      <c r="B402" s="189"/>
      <c r="C402" s="134">
        <v>45951</v>
      </c>
      <c r="D402" s="122" t="s">
        <v>0</v>
      </c>
      <c r="E402" s="122" t="s">
        <v>1</v>
      </c>
      <c r="F402" s="122" t="s">
        <v>2</v>
      </c>
      <c r="G402" s="190" t="s">
        <v>3</v>
      </c>
      <c r="H402" s="191" t="s">
        <v>4</v>
      </c>
      <c r="I402" s="192" t="s">
        <v>5</v>
      </c>
      <c r="J402" s="192" t="s">
        <v>90</v>
      </c>
      <c r="K402" s="193" t="s">
        <v>6</v>
      </c>
      <c r="L402" s="194" t="s">
        <v>7</v>
      </c>
      <c r="M402" s="15" t="s">
        <v>91</v>
      </c>
      <c r="N402" s="123" t="s">
        <v>125</v>
      </c>
      <c r="O402" s="123" t="s">
        <v>8</v>
      </c>
      <c r="P402" s="123" t="s">
        <v>9</v>
      </c>
      <c r="Q402" s="195" t="s">
        <v>10</v>
      </c>
      <c r="R402" s="123" t="s">
        <v>92</v>
      </c>
      <c r="S402" s="196" t="s">
        <v>11</v>
      </c>
      <c r="T402" s="17" t="s">
        <v>12</v>
      </c>
      <c r="U402" s="17" t="s">
        <v>13</v>
      </c>
      <c r="V402" s="17" t="s">
        <v>14</v>
      </c>
      <c r="W402" s="17" t="s">
        <v>15</v>
      </c>
      <c r="X402" s="15" t="s">
        <v>16</v>
      </c>
      <c r="Y402" s="15" t="s">
        <v>17</v>
      </c>
      <c r="Z402" s="19" t="s">
        <v>18</v>
      </c>
      <c r="AA402" s="19" t="s">
        <v>19</v>
      </c>
      <c r="AB402" s="20" t="s">
        <v>20</v>
      </c>
      <c r="AC402" s="22" t="s">
        <v>93</v>
      </c>
      <c r="AD402" s="197" t="s">
        <v>21</v>
      </c>
      <c r="AE402" s="122" t="s">
        <v>22</v>
      </c>
      <c r="AF402" s="21" t="s">
        <v>23</v>
      </c>
      <c r="AG402" s="21" t="s">
        <v>21</v>
      </c>
      <c r="AH402" s="122" t="s">
        <v>24</v>
      </c>
      <c r="AI402" s="15" t="s">
        <v>25</v>
      </c>
      <c r="AJ402" s="15" t="s">
        <v>26</v>
      </c>
      <c r="AK402" s="122" t="s">
        <v>27</v>
      </c>
      <c r="AL402" s="198" t="s">
        <v>28</v>
      </c>
      <c r="AM402" s="199" t="s">
        <v>29</v>
      </c>
      <c r="AN402" s="124" t="s">
        <v>30</v>
      </c>
      <c r="AO402" s="124" t="s">
        <v>94</v>
      </c>
      <c r="AP402" s="125" t="s">
        <v>95</v>
      </c>
      <c r="AQ402" s="126"/>
      <c r="AR402" s="126"/>
      <c r="AS402" s="126"/>
      <c r="AT402" s="118"/>
      <c r="AU402" s="118"/>
      <c r="AV402" s="118"/>
      <c r="AW402" s="118"/>
      <c r="AX402" s="118"/>
      <c r="AY402" s="118"/>
      <c r="AZ402" s="118"/>
      <c r="BA402" s="118"/>
      <c r="BB402" s="118"/>
      <c r="BC402" s="118"/>
      <c r="BD402" s="118"/>
      <c r="BE402" s="118"/>
      <c r="BF402" s="118"/>
      <c r="BG402" s="47"/>
      <c r="BH402" s="47"/>
      <c r="BI402" s="47"/>
      <c r="BJ402" s="47"/>
      <c r="BK402" s="47"/>
    </row>
    <row r="403" spans="1:63" ht="28.5" customHeight="1">
      <c r="A403" s="12" t="s">
        <v>129</v>
      </c>
      <c r="B403" s="200"/>
      <c r="C403" s="42" t="s">
        <v>107</v>
      </c>
      <c r="D403" s="28">
        <f t="shared" ref="D403:D420" si="535">AK403/V403</f>
        <v>0.17201110277729853</v>
      </c>
      <c r="E403" s="201">
        <f t="shared" ref="E403:E420" si="536">AJ403/V403</f>
        <v>0.42270749746420555</v>
      </c>
      <c r="F403" s="30">
        <f t="shared" ref="F403:F420" si="537">(Z403+AB403)/V403</f>
        <v>0.25069639468690702</v>
      </c>
      <c r="G403" s="30">
        <f t="shared" ref="G403:G419" si="538">R403/AP403</f>
        <v>6.1299550469963222E-2</v>
      </c>
      <c r="H403" s="35">
        <v>7410</v>
      </c>
      <c r="I403" s="35">
        <f t="shared" ref="I403:I418" si="539">N403*7</f>
        <v>1400</v>
      </c>
      <c r="J403" s="35">
        <f t="shared" ref="J403:J418" si="540">N403*14</f>
        <v>2800</v>
      </c>
      <c r="K403" s="49">
        <v>76</v>
      </c>
      <c r="L403" s="49">
        <f>1906+1320</f>
        <v>3226</v>
      </c>
      <c r="M403" s="48"/>
      <c r="N403" s="44">
        <v>200</v>
      </c>
      <c r="O403" s="227">
        <v>187</v>
      </c>
      <c r="P403" s="31">
        <f t="shared" ref="P403:P419" si="541">O403-S403</f>
        <v>187</v>
      </c>
      <c r="Q403" s="227">
        <v>20</v>
      </c>
      <c r="R403" s="233">
        <v>150</v>
      </c>
      <c r="S403" s="36"/>
      <c r="T403" s="34">
        <f t="shared" ref="T403:T419" si="542">W403*O403</f>
        <v>5217300</v>
      </c>
      <c r="U403" s="31">
        <f t="shared" ref="U403:U419" si="543">W403*S403</f>
        <v>0</v>
      </c>
      <c r="V403" s="34">
        <f t="shared" ref="V403:V419" si="544">T403-U403</f>
        <v>5217300</v>
      </c>
      <c r="W403" s="34">
        <v>27900</v>
      </c>
      <c r="X403" s="34">
        <f>SUMIF(헤몬팜마진!$B$7:$B$32,$C403,헤몬팜마진!$R$7:$R$32)</f>
        <v>8850.86</v>
      </c>
      <c r="Y403" s="34">
        <f t="shared" ref="Y403:Y419" si="545">AI403*P403</f>
        <v>1728826.5192000002</v>
      </c>
      <c r="Z403" s="34">
        <f t="shared" ref="Z403:Z419" si="546">AA403*1.1</f>
        <v>1307958.3</v>
      </c>
      <c r="AA403" s="234">
        <v>1189053</v>
      </c>
      <c r="AB403" s="36"/>
      <c r="AC403" s="204">
        <f t="shared" ref="AC403:AC404" si="547">(1072+1100)*Q403</f>
        <v>43440</v>
      </c>
      <c r="AD403" s="152">
        <v>0.1</v>
      </c>
      <c r="AE403" s="31">
        <f>3050*(P403)</f>
        <v>570350</v>
      </c>
      <c r="AF403" s="28">
        <f t="shared" ref="AF403:AF420" si="548">AD403+(AE403/V403)</f>
        <v>0.20931899641577062</v>
      </c>
      <c r="AG403" s="34">
        <f t="shared" ref="AG403:AG419" si="549">IFERROR(V403*AF403+3%,0)</f>
        <v>1092080.03</v>
      </c>
      <c r="AH403" s="34">
        <f t="shared" ref="AH403:AH419" si="550">V403/1.1*10%-((AI403*P403)+AG403+(AN403*P403)+(AL403*P403))*10%</f>
        <v>191001.62427999993</v>
      </c>
      <c r="AI403" s="34">
        <f>SUMIF(헤몬팜마진!$B$7:$B$32,$C403,헤몬팜마진!$V$7:$V$32)</f>
        <v>9245.0616000000009</v>
      </c>
      <c r="AJ403" s="34">
        <f t="shared" ref="AJ403:AJ420" si="551">V403-(Y403+AG403+AH403+(AN403*P403))</f>
        <v>2205391.8265199997</v>
      </c>
      <c r="AK403" s="46">
        <f t="shared" ref="AK403:AK420" si="552">AJ403-Z403-AB403</f>
        <v>897433.52651999961</v>
      </c>
      <c r="AL403" s="40">
        <f>SUMIF(헤몬팜마진!$B$7:$B$32,$C403,헤몬팜마진!$T$7:$T$32)</f>
        <v>64.584000000000003</v>
      </c>
      <c r="AM403" s="41">
        <f>SUMIF(헤몬팜마진!$B$7:$B$32,$C403,헤몬팜마진!$U$7:$U$32)</f>
        <v>329.61759999999998</v>
      </c>
      <c r="AN403" s="36"/>
      <c r="AO403" s="235">
        <v>520585</v>
      </c>
      <c r="AP403" s="235">
        <v>2447</v>
      </c>
      <c r="AQ403" s="126"/>
      <c r="AR403" s="126"/>
      <c r="AS403" s="126"/>
      <c r="AT403" s="118"/>
      <c r="AU403" s="118"/>
      <c r="AV403" s="118"/>
      <c r="AW403" s="118"/>
      <c r="AX403" s="118"/>
      <c r="AY403" s="118"/>
      <c r="AZ403" s="118"/>
      <c r="BA403" s="118"/>
      <c r="BB403" s="118"/>
      <c r="BC403" s="118"/>
      <c r="BD403" s="118"/>
      <c r="BE403" s="118"/>
      <c r="BF403" s="118"/>
      <c r="BG403" s="47"/>
      <c r="BH403" s="47"/>
      <c r="BI403" s="47"/>
      <c r="BJ403" s="47"/>
      <c r="BK403" s="47"/>
    </row>
    <row r="404" spans="1:63" ht="28.5" customHeight="1">
      <c r="A404" s="228" t="s">
        <v>130</v>
      </c>
      <c r="B404" s="200"/>
      <c r="C404" s="42" t="s">
        <v>108</v>
      </c>
      <c r="D404" s="28">
        <f t="shared" si="535"/>
        <v>0.40985028354024833</v>
      </c>
      <c r="E404" s="201">
        <f t="shared" si="536"/>
        <v>0.40985028354024833</v>
      </c>
      <c r="F404" s="30">
        <f t="shared" si="537"/>
        <v>0</v>
      </c>
      <c r="G404" s="30" t="e">
        <f t="shared" si="538"/>
        <v>#DIV/0!</v>
      </c>
      <c r="H404" s="35">
        <v>1460</v>
      </c>
      <c r="I404" s="35">
        <f t="shared" si="539"/>
        <v>140</v>
      </c>
      <c r="J404" s="35">
        <f t="shared" si="540"/>
        <v>280</v>
      </c>
      <c r="K404" s="39">
        <v>325</v>
      </c>
      <c r="L404" s="39">
        <v>0</v>
      </c>
      <c r="M404" s="210"/>
      <c r="N404" s="44">
        <v>20</v>
      </c>
      <c r="O404" s="202">
        <v>1</v>
      </c>
      <c r="P404" s="31">
        <f t="shared" si="541"/>
        <v>1</v>
      </c>
      <c r="Q404" s="36"/>
      <c r="R404" s="167"/>
      <c r="S404" s="36"/>
      <c r="T404" s="34">
        <f t="shared" si="542"/>
        <v>22700</v>
      </c>
      <c r="U404" s="31">
        <f t="shared" si="543"/>
        <v>0</v>
      </c>
      <c r="V404" s="34">
        <f t="shared" si="544"/>
        <v>22700</v>
      </c>
      <c r="W404" s="43">
        <v>22700</v>
      </c>
      <c r="X404" s="34">
        <f>SUMIF(헤몬팜마진!$B$7:$B$32,$C404,헤몬팜마진!$R$7:$R$32)</f>
        <v>7080.6879999999992</v>
      </c>
      <c r="Y404" s="34">
        <f t="shared" si="545"/>
        <v>7377.3279999999995</v>
      </c>
      <c r="Z404" s="34">
        <f t="shared" si="546"/>
        <v>0</v>
      </c>
      <c r="AA404" s="234"/>
      <c r="AB404" s="36"/>
      <c r="AC404" s="204">
        <f t="shared" si="547"/>
        <v>0</v>
      </c>
      <c r="AD404" s="152">
        <v>0.1</v>
      </c>
      <c r="AE404" s="31">
        <f>2950*(P404)</f>
        <v>2950</v>
      </c>
      <c r="AF404" s="28">
        <f t="shared" si="548"/>
        <v>0.22995594713656389</v>
      </c>
      <c r="AG404" s="34">
        <f t="shared" si="549"/>
        <v>5220.03</v>
      </c>
      <c r="AH404" s="34">
        <f t="shared" si="550"/>
        <v>799.04056363636346</v>
      </c>
      <c r="AI404" s="34">
        <f>SUMIF(헤몬팜마진!$B$7:$B$32,$C404,헤몬팜마진!$V$7:$V$32)</f>
        <v>7377.3279999999995</v>
      </c>
      <c r="AJ404" s="34">
        <f t="shared" si="551"/>
        <v>9303.6014363636368</v>
      </c>
      <c r="AK404" s="46">
        <f t="shared" si="552"/>
        <v>9303.6014363636368</v>
      </c>
      <c r="AL404" s="40">
        <f>SUMIF(헤몬팜마진!$B$7:$B$32,$C404,헤몬팜마진!$T$7:$T$32)</f>
        <v>48.6</v>
      </c>
      <c r="AM404" s="41">
        <f>SUMIF(헤몬팜마진!$B$7:$B$32,$C404,헤몬팜마진!$U$7:$U$32)</f>
        <v>248.04000000000002</v>
      </c>
      <c r="AN404" s="36"/>
      <c r="AO404" s="235"/>
      <c r="AP404" s="235"/>
      <c r="AQ404" s="126"/>
      <c r="AR404" s="126"/>
      <c r="AS404" s="126"/>
      <c r="AT404" s="118"/>
      <c r="AU404" s="118"/>
      <c r="AV404" s="118"/>
      <c r="AW404" s="118"/>
      <c r="AX404" s="118"/>
      <c r="AY404" s="118"/>
      <c r="AZ404" s="118"/>
      <c r="BA404" s="118"/>
      <c r="BB404" s="118"/>
      <c r="BC404" s="118"/>
      <c r="BD404" s="118"/>
      <c r="BE404" s="118"/>
      <c r="BF404" s="118"/>
      <c r="BG404" s="47"/>
      <c r="BH404" s="47"/>
      <c r="BI404" s="47"/>
      <c r="BJ404" s="47"/>
      <c r="BK404" s="47"/>
    </row>
    <row r="405" spans="1:63" ht="28.5" customHeight="1">
      <c r="A405" s="228" t="s">
        <v>131</v>
      </c>
      <c r="B405" s="323"/>
      <c r="C405" s="42" t="s">
        <v>109</v>
      </c>
      <c r="D405" s="28" t="e">
        <f t="shared" si="535"/>
        <v>#REF!</v>
      </c>
      <c r="E405" s="201" t="e">
        <f t="shared" si="536"/>
        <v>#REF!</v>
      </c>
      <c r="F405" s="30">
        <f t="shared" si="537"/>
        <v>1.5099061135371181</v>
      </c>
      <c r="G405" s="30">
        <f t="shared" si="538"/>
        <v>5.8479532163742687E-3</v>
      </c>
      <c r="H405" s="35">
        <v>0</v>
      </c>
      <c r="I405" s="35">
        <f t="shared" si="539"/>
        <v>105</v>
      </c>
      <c r="J405" s="35">
        <f t="shared" si="540"/>
        <v>210</v>
      </c>
      <c r="K405" s="50">
        <v>430</v>
      </c>
      <c r="L405" s="49">
        <f>40+3+3</f>
        <v>46</v>
      </c>
      <c r="M405" s="48"/>
      <c r="N405" s="44">
        <v>15</v>
      </c>
      <c r="O405" s="202">
        <v>1</v>
      </c>
      <c r="P405" s="31">
        <f t="shared" si="541"/>
        <v>1</v>
      </c>
      <c r="Q405" s="36"/>
      <c r="R405" s="203">
        <v>1</v>
      </c>
      <c r="S405" s="36"/>
      <c r="T405" s="34">
        <f t="shared" si="542"/>
        <v>45800</v>
      </c>
      <c r="U405" s="31">
        <f t="shared" si="543"/>
        <v>0</v>
      </c>
      <c r="V405" s="34">
        <f t="shared" si="544"/>
        <v>45800</v>
      </c>
      <c r="W405" s="43">
        <v>45800</v>
      </c>
      <c r="X405" s="34">
        <f>SUMIF(헤몬팜마진!$B$7:$B$32,$C405,헤몬팜마진!$R$7:$R$32)</f>
        <v>9990.4082249999992</v>
      </c>
      <c r="Y405" s="34" t="e">
        <f t="shared" si="545"/>
        <v>#REF!</v>
      </c>
      <c r="Z405" s="34">
        <f t="shared" si="546"/>
        <v>69153.700000000012</v>
      </c>
      <c r="AA405" s="234">
        <v>62867</v>
      </c>
      <c r="AB405" s="36"/>
      <c r="AC405" s="204">
        <f t="shared" ref="AC405:AC419" si="553">(1210+1100)*Q405</f>
        <v>0</v>
      </c>
      <c r="AD405" s="152">
        <v>0.11</v>
      </c>
      <c r="AE405" s="31">
        <f t="shared" ref="AE405:AE407" si="554">4150*(P405)</f>
        <v>4150</v>
      </c>
      <c r="AF405" s="28">
        <f t="shared" si="548"/>
        <v>0.2006113537117904</v>
      </c>
      <c r="AG405" s="34">
        <f t="shared" si="549"/>
        <v>9188.0300000000007</v>
      </c>
      <c r="AH405" s="34" t="e">
        <f t="shared" si="550"/>
        <v>#REF!</v>
      </c>
      <c r="AI405" s="34" t="e">
        <f>SUMIF(헤몬팜마진!$B$7:$B$32,$C405,헤몬팜마진!$V$7:$V$32)</f>
        <v>#REF!</v>
      </c>
      <c r="AJ405" s="34" t="e">
        <f t="shared" si="551"/>
        <v>#REF!</v>
      </c>
      <c r="AK405" s="46" t="e">
        <f t="shared" si="552"/>
        <v>#REF!</v>
      </c>
      <c r="AL405" s="40">
        <f>SUMIF(헤몬팜마진!$B$7:$B$32,$C405,헤몬팜마진!$T$7:$T$32)</f>
        <v>162</v>
      </c>
      <c r="AM405" s="41">
        <f>SUMIF(헤몬팜마진!$B$7:$B$32,$C405,헤몬팜마진!$U$7:$U$32)</f>
        <v>826.80000000000007</v>
      </c>
      <c r="AN405" s="36"/>
      <c r="AO405" s="235">
        <v>69471</v>
      </c>
      <c r="AP405" s="235">
        <v>171</v>
      </c>
      <c r="AQ405" s="126"/>
      <c r="AR405" s="126"/>
      <c r="AS405" s="126"/>
      <c r="AT405" s="118"/>
      <c r="AU405" s="118"/>
      <c r="AV405" s="118"/>
      <c r="AW405" s="118"/>
      <c r="AX405" s="118"/>
      <c r="AY405" s="118"/>
      <c r="AZ405" s="118"/>
      <c r="BA405" s="118"/>
      <c r="BB405" s="118"/>
      <c r="BC405" s="118"/>
      <c r="BD405" s="118"/>
      <c r="BE405" s="118"/>
      <c r="BF405" s="118"/>
      <c r="BG405" s="47"/>
      <c r="BH405" s="47"/>
      <c r="BI405" s="47"/>
      <c r="BJ405" s="47"/>
      <c r="BK405" s="47"/>
    </row>
    <row r="406" spans="1:63" ht="28.5" customHeight="1">
      <c r="A406" s="228"/>
      <c r="B406" s="324"/>
      <c r="C406" s="42" t="s">
        <v>110</v>
      </c>
      <c r="D406" s="28" t="e">
        <f t="shared" si="535"/>
        <v>#REF!</v>
      </c>
      <c r="E406" s="201" t="e">
        <f t="shared" si="536"/>
        <v>#REF!</v>
      </c>
      <c r="F406" s="30">
        <f t="shared" si="537"/>
        <v>0.33302421652421654</v>
      </c>
      <c r="G406" s="30">
        <f t="shared" si="538"/>
        <v>2.4590163934426229E-2</v>
      </c>
      <c r="H406" s="35">
        <v>0</v>
      </c>
      <c r="I406" s="35">
        <f t="shared" si="539"/>
        <v>105</v>
      </c>
      <c r="J406" s="35">
        <f t="shared" si="540"/>
        <v>210</v>
      </c>
      <c r="K406" s="236"/>
      <c r="L406" s="49">
        <f>13+2</f>
        <v>15</v>
      </c>
      <c r="M406" s="48"/>
      <c r="N406" s="44">
        <v>15</v>
      </c>
      <c r="O406" s="202">
        <v>3</v>
      </c>
      <c r="P406" s="31">
        <f t="shared" si="541"/>
        <v>3</v>
      </c>
      <c r="Q406" s="202">
        <v>2</v>
      </c>
      <c r="R406" s="233">
        <v>3</v>
      </c>
      <c r="S406" s="36"/>
      <c r="T406" s="34">
        <f t="shared" si="542"/>
        <v>140400</v>
      </c>
      <c r="U406" s="31">
        <f t="shared" si="543"/>
        <v>0</v>
      </c>
      <c r="V406" s="34">
        <f t="shared" si="544"/>
        <v>140400</v>
      </c>
      <c r="W406" s="43">
        <v>46800</v>
      </c>
      <c r="X406" s="34">
        <f>SUMIF(헤몬팜마진!$B$7:$B$32,$C406,헤몬팜마진!$R$7:$R$32)</f>
        <v>9990.4082249999992</v>
      </c>
      <c r="Y406" s="34" t="e">
        <f t="shared" si="545"/>
        <v>#REF!</v>
      </c>
      <c r="Z406" s="34">
        <f t="shared" si="546"/>
        <v>46756.600000000006</v>
      </c>
      <c r="AA406" s="234">
        <v>42506</v>
      </c>
      <c r="AB406" s="36"/>
      <c r="AC406" s="204">
        <f t="shared" si="553"/>
        <v>4620</v>
      </c>
      <c r="AD406" s="152">
        <v>0.11</v>
      </c>
      <c r="AE406" s="31">
        <f t="shared" si="554"/>
        <v>12450</v>
      </c>
      <c r="AF406" s="28">
        <f t="shared" si="548"/>
        <v>0.19867521367521368</v>
      </c>
      <c r="AG406" s="34">
        <f t="shared" si="549"/>
        <v>27894.03</v>
      </c>
      <c r="AH406" s="34" t="e">
        <f t="shared" si="550"/>
        <v>#REF!</v>
      </c>
      <c r="AI406" s="34" t="e">
        <f>SUMIF(헤몬팜마진!$B$7:$B$32,$C406,헤몬팜마진!$V$7:$V$32)</f>
        <v>#REF!</v>
      </c>
      <c r="AJ406" s="34" t="e">
        <f t="shared" si="551"/>
        <v>#REF!</v>
      </c>
      <c r="AK406" s="206" t="e">
        <f t="shared" si="552"/>
        <v>#REF!</v>
      </c>
      <c r="AL406" s="40">
        <f>SUMIF(헤몬팜마진!$B$7:$B$32,$C406,헤몬팜마진!$T$7:$T$32)</f>
        <v>162</v>
      </c>
      <c r="AM406" s="41">
        <f>SUMIF(헤몬팜마진!$B$7:$B$32,$C406,헤몬팜마진!$U$7:$U$32)</f>
        <v>826.80000000000007</v>
      </c>
      <c r="AN406" s="36"/>
      <c r="AO406" s="235">
        <v>25726</v>
      </c>
      <c r="AP406" s="235">
        <v>122</v>
      </c>
      <c r="AQ406" s="126"/>
      <c r="AR406" s="126"/>
      <c r="AS406" s="126"/>
      <c r="AT406" s="118"/>
      <c r="AU406" s="118"/>
      <c r="AV406" s="118"/>
      <c r="AW406" s="118"/>
      <c r="AX406" s="118"/>
      <c r="AY406" s="118"/>
      <c r="AZ406" s="118"/>
      <c r="BA406" s="118"/>
      <c r="BB406" s="118"/>
      <c r="BC406" s="118"/>
      <c r="BD406" s="118"/>
      <c r="BE406" s="118"/>
      <c r="BF406" s="118"/>
      <c r="BG406" s="47"/>
      <c r="BH406" s="47"/>
      <c r="BI406" s="47"/>
      <c r="BJ406" s="47"/>
      <c r="BK406" s="47"/>
    </row>
    <row r="407" spans="1:63" ht="28.5" customHeight="1">
      <c r="A407" s="228" t="s">
        <v>134</v>
      </c>
      <c r="B407" s="207"/>
      <c r="C407" s="42" t="s">
        <v>112</v>
      </c>
      <c r="D407" s="29" t="e">
        <f t="shared" si="535"/>
        <v>#REF!</v>
      </c>
      <c r="E407" s="201" t="e">
        <f t="shared" si="536"/>
        <v>#REF!</v>
      </c>
      <c r="F407" s="30">
        <f t="shared" si="537"/>
        <v>0.35499183417085428</v>
      </c>
      <c r="G407" s="30">
        <f t="shared" si="538"/>
        <v>3.9215686274509803E-2</v>
      </c>
      <c r="H407" s="37">
        <v>0</v>
      </c>
      <c r="I407" s="35">
        <f t="shared" si="539"/>
        <v>140</v>
      </c>
      <c r="J407" s="35">
        <f t="shared" si="540"/>
        <v>280</v>
      </c>
      <c r="K407" s="50">
        <v>343</v>
      </c>
      <c r="L407" s="39">
        <f>97+42+48+31+19+10</f>
        <v>247</v>
      </c>
      <c r="M407" s="210"/>
      <c r="N407" s="44">
        <v>20</v>
      </c>
      <c r="O407" s="202">
        <v>4</v>
      </c>
      <c r="P407" s="31">
        <f t="shared" si="541"/>
        <v>4</v>
      </c>
      <c r="Q407" s="202">
        <v>1</v>
      </c>
      <c r="R407" s="233">
        <v>4</v>
      </c>
      <c r="S407" s="36"/>
      <c r="T407" s="34">
        <f t="shared" si="542"/>
        <v>159200</v>
      </c>
      <c r="U407" s="31">
        <f t="shared" si="543"/>
        <v>0</v>
      </c>
      <c r="V407" s="34">
        <f t="shared" si="544"/>
        <v>159200</v>
      </c>
      <c r="W407" s="43">
        <v>39800</v>
      </c>
      <c r="X407" s="34">
        <f>SUMIF(헤몬팜마진!$B$7:$B$32,$C407,헤몬팜마진!$R$7:$R$32)</f>
        <v>7855.1382499999991</v>
      </c>
      <c r="Y407" s="34" t="e">
        <f t="shared" si="545"/>
        <v>#REF!</v>
      </c>
      <c r="Z407" s="34">
        <f t="shared" si="546"/>
        <v>56514.700000000004</v>
      </c>
      <c r="AA407" s="234">
        <v>51377</v>
      </c>
      <c r="AB407" s="209"/>
      <c r="AC407" s="204">
        <f t="shared" si="553"/>
        <v>2310</v>
      </c>
      <c r="AD407" s="152">
        <v>0.08</v>
      </c>
      <c r="AE407" s="31">
        <f t="shared" si="554"/>
        <v>16600</v>
      </c>
      <c r="AF407" s="28">
        <f t="shared" si="548"/>
        <v>0.18427135678391959</v>
      </c>
      <c r="AG407" s="34">
        <f t="shared" si="549"/>
        <v>29336.03</v>
      </c>
      <c r="AH407" s="34" t="e">
        <f t="shared" si="550"/>
        <v>#REF!</v>
      </c>
      <c r="AI407" s="34" t="e">
        <f>SUMIF(헤몬팜마진!$B$7:$B$32,$C407,헤몬팜마진!$V$7:$V$32)</f>
        <v>#REF!</v>
      </c>
      <c r="AJ407" s="34" t="e">
        <f t="shared" si="551"/>
        <v>#REF!</v>
      </c>
      <c r="AK407" s="46" t="e">
        <f t="shared" si="552"/>
        <v>#REF!</v>
      </c>
      <c r="AL407" s="40">
        <f>SUMIF(헤몬팜마진!$B$7:$B$32,$C407,헤몬팜마진!$T$7:$T$32)</f>
        <v>176.41799999999998</v>
      </c>
      <c r="AM407" s="41">
        <f>SUMIF(헤몬팜마진!$B$7:$B$32,$C407,헤몬팜마진!$U$7:$U$32)</f>
        <v>900.38519999999994</v>
      </c>
      <c r="AN407" s="36"/>
      <c r="AO407" s="235">
        <v>36908</v>
      </c>
      <c r="AP407" s="235">
        <v>102</v>
      </c>
      <c r="AQ407" s="126"/>
      <c r="AR407" s="126"/>
      <c r="AS407" s="126"/>
      <c r="AT407" s="118"/>
      <c r="AU407" s="118"/>
      <c r="AV407" s="118"/>
      <c r="AW407" s="118"/>
      <c r="AX407" s="118"/>
      <c r="AY407" s="118"/>
      <c r="AZ407" s="118"/>
      <c r="BA407" s="118"/>
      <c r="BB407" s="118"/>
      <c r="BC407" s="118"/>
      <c r="BD407" s="118"/>
      <c r="BE407" s="118"/>
      <c r="BF407" s="118"/>
      <c r="BG407" s="47"/>
      <c r="BH407" s="47"/>
      <c r="BI407" s="47"/>
      <c r="BJ407" s="47"/>
      <c r="BK407" s="47"/>
    </row>
    <row r="408" spans="1:63" ht="28.5" customHeight="1">
      <c r="A408" s="228"/>
      <c r="B408" s="237"/>
      <c r="C408" s="42" t="s">
        <v>113</v>
      </c>
      <c r="D408" s="28" t="e">
        <f t="shared" si="535"/>
        <v>#REF!</v>
      </c>
      <c r="E408" s="201" t="e">
        <f t="shared" si="536"/>
        <v>#REF!</v>
      </c>
      <c r="F408" s="30">
        <f t="shared" si="537"/>
        <v>-0.28633333333333333</v>
      </c>
      <c r="G408" s="30">
        <f t="shared" si="538"/>
        <v>0</v>
      </c>
      <c r="H408" s="135"/>
      <c r="I408" s="35">
        <f t="shared" si="539"/>
        <v>105</v>
      </c>
      <c r="J408" s="35">
        <f t="shared" si="540"/>
        <v>210</v>
      </c>
      <c r="K408" s="236"/>
      <c r="L408" s="39">
        <f>74+42+48+18+8+2</f>
        <v>192</v>
      </c>
      <c r="M408" s="210"/>
      <c r="N408" s="44">
        <v>15</v>
      </c>
      <c r="O408" s="36">
        <v>-1</v>
      </c>
      <c r="P408" s="31">
        <f t="shared" si="541"/>
        <v>-1</v>
      </c>
      <c r="Q408" s="36">
        <v>1</v>
      </c>
      <c r="R408" s="233"/>
      <c r="S408" s="36"/>
      <c r="T408" s="34">
        <f t="shared" si="542"/>
        <v>-42900</v>
      </c>
      <c r="U408" s="31">
        <f t="shared" si="543"/>
        <v>0</v>
      </c>
      <c r="V408" s="34">
        <f t="shared" si="544"/>
        <v>-42900</v>
      </c>
      <c r="W408" s="43">
        <v>42900</v>
      </c>
      <c r="X408" s="34">
        <f>SUMIF(헤몬팜마진!$B$7:$B$32,$C408,헤몬팜마진!$R$7:$R$32)</f>
        <v>7855.1382499999991</v>
      </c>
      <c r="Y408" s="34" t="e">
        <f t="shared" si="545"/>
        <v>#REF!</v>
      </c>
      <c r="Z408" s="34">
        <f t="shared" si="546"/>
        <v>12283.7</v>
      </c>
      <c r="AA408" s="234">
        <v>11167</v>
      </c>
      <c r="AB408" s="36"/>
      <c r="AC408" s="204">
        <f t="shared" si="553"/>
        <v>2310</v>
      </c>
      <c r="AD408" s="152">
        <v>7.8E-2</v>
      </c>
      <c r="AE408" s="31">
        <f>1900*(P408)</f>
        <v>-1900</v>
      </c>
      <c r="AF408" s="28">
        <f t="shared" si="548"/>
        <v>0.12228904428904429</v>
      </c>
      <c r="AG408" s="34">
        <f t="shared" si="549"/>
        <v>-5246.17</v>
      </c>
      <c r="AH408" s="34" t="e">
        <f t="shared" si="550"/>
        <v>#REF!</v>
      </c>
      <c r="AI408" s="34" t="e">
        <f>SUMIF(헤몬팜마진!$B$7:$B$32,$C408,헤몬팜마진!$V$7:$V$32)</f>
        <v>#REF!</v>
      </c>
      <c r="AJ408" s="34" t="e">
        <f t="shared" si="551"/>
        <v>#REF!</v>
      </c>
      <c r="AK408" s="206" t="e">
        <f t="shared" si="552"/>
        <v>#REF!</v>
      </c>
      <c r="AL408" s="40">
        <f>SUMIF(헤몬팜마진!$B$7:$B$32,$C408,헤몬팜마진!$T$7:$T$32)</f>
        <v>176.41799999999998</v>
      </c>
      <c r="AM408" s="41">
        <f>SUMIF(헤몬팜마진!$B$7:$B$32,$C408,헤몬팜마진!$U$7:$U$32)</f>
        <v>900.38519999999994</v>
      </c>
      <c r="AN408" s="36"/>
      <c r="AO408" s="235">
        <v>23970</v>
      </c>
      <c r="AP408" s="235">
        <v>35</v>
      </c>
      <c r="AQ408" s="126"/>
      <c r="AR408" s="126"/>
      <c r="AS408" s="126"/>
      <c r="AT408" s="118"/>
      <c r="AU408" s="118"/>
      <c r="AV408" s="118"/>
      <c r="AW408" s="118"/>
      <c r="AX408" s="118"/>
      <c r="AY408" s="118"/>
      <c r="AZ408" s="118"/>
      <c r="BA408" s="118"/>
      <c r="BB408" s="118"/>
      <c r="BC408" s="118"/>
      <c r="BD408" s="118"/>
      <c r="BE408" s="118"/>
      <c r="BF408" s="118"/>
      <c r="BG408" s="47"/>
      <c r="BH408" s="47"/>
      <c r="BI408" s="47"/>
      <c r="BJ408" s="47"/>
      <c r="BK408" s="47"/>
    </row>
    <row r="409" spans="1:63" ht="28.5" customHeight="1">
      <c r="A409" s="12" t="s">
        <v>132</v>
      </c>
      <c r="B409" s="207"/>
      <c r="C409" s="42" t="s">
        <v>32</v>
      </c>
      <c r="D409" s="28" t="e">
        <f t="shared" si="535"/>
        <v>#REF!</v>
      </c>
      <c r="E409" s="201" t="e">
        <f t="shared" si="536"/>
        <v>#REF!</v>
      </c>
      <c r="F409" s="30" t="e">
        <f t="shared" si="537"/>
        <v>#DIV/0!</v>
      </c>
      <c r="G409" s="30" t="e">
        <f t="shared" si="538"/>
        <v>#DIV/0!</v>
      </c>
      <c r="H409" s="37">
        <v>3504</v>
      </c>
      <c r="I409" s="35">
        <f t="shared" si="539"/>
        <v>210</v>
      </c>
      <c r="J409" s="35">
        <f t="shared" si="540"/>
        <v>420</v>
      </c>
      <c r="K409" s="50">
        <v>626</v>
      </c>
      <c r="L409" s="39">
        <f>30+13+6</f>
        <v>49</v>
      </c>
      <c r="M409" s="210"/>
      <c r="N409" s="208">
        <v>30</v>
      </c>
      <c r="O409" s="202">
        <v>0</v>
      </c>
      <c r="P409" s="31">
        <f t="shared" si="541"/>
        <v>0</v>
      </c>
      <c r="Q409" s="36"/>
      <c r="R409" s="203"/>
      <c r="S409" s="36"/>
      <c r="T409" s="34">
        <f t="shared" si="542"/>
        <v>0</v>
      </c>
      <c r="U409" s="31">
        <f t="shared" si="543"/>
        <v>0</v>
      </c>
      <c r="V409" s="34">
        <f t="shared" si="544"/>
        <v>0</v>
      </c>
      <c r="W409" s="43">
        <v>59800</v>
      </c>
      <c r="X409" s="34">
        <f>SUMIF(헤몬팜마진!$B$7:$B$32,$C409,헤몬팜마진!$R$7:$R$32)</f>
        <v>13276.289999999999</v>
      </c>
      <c r="Y409" s="34" t="e">
        <f t="shared" si="545"/>
        <v>#REF!</v>
      </c>
      <c r="Z409" s="34">
        <f t="shared" si="546"/>
        <v>0</v>
      </c>
      <c r="AA409" s="234"/>
      <c r="AB409" s="209"/>
      <c r="AC409" s="204">
        <f t="shared" si="553"/>
        <v>0</v>
      </c>
      <c r="AD409" s="152">
        <v>0.108</v>
      </c>
      <c r="AE409" s="31">
        <f t="shared" ref="AE409:AE410" si="555">4825*(P409)</f>
        <v>0</v>
      </c>
      <c r="AF409" s="28" t="e">
        <f t="shared" si="548"/>
        <v>#DIV/0!</v>
      </c>
      <c r="AG409" s="34">
        <f t="shared" si="549"/>
        <v>0</v>
      </c>
      <c r="AH409" s="34" t="e">
        <f t="shared" si="550"/>
        <v>#REF!</v>
      </c>
      <c r="AI409" s="34" t="e">
        <f>SUMIF(헤몬팜마진!$B$7:$B$32,$C409,헤몬팜마진!$V$7:$V$32)</f>
        <v>#REF!</v>
      </c>
      <c r="AJ409" s="34" t="e">
        <f t="shared" si="551"/>
        <v>#REF!</v>
      </c>
      <c r="AK409" s="46" t="e">
        <f t="shared" si="552"/>
        <v>#REF!</v>
      </c>
      <c r="AL409" s="40">
        <f>SUMIF(헤몬팜마진!$B$7:$B$32,$C409,헤몬팜마진!$T$7:$T$32)</f>
        <v>371.52</v>
      </c>
      <c r="AM409" s="41">
        <f>SUMIF(헤몬팜마진!$B$7:$B$32,$C409,헤몬팜마진!$U$7:$U$32)</f>
        <v>1896.1279999999999</v>
      </c>
      <c r="AN409" s="36"/>
      <c r="AO409" s="202"/>
      <c r="AP409" s="205"/>
      <c r="AQ409" s="126"/>
      <c r="AR409" s="126"/>
      <c r="AS409" s="126"/>
      <c r="AT409" s="118"/>
      <c r="AU409" s="118"/>
      <c r="AV409" s="118"/>
      <c r="AW409" s="118"/>
      <c r="AX409" s="118"/>
      <c r="AY409" s="118"/>
      <c r="AZ409" s="118"/>
      <c r="BA409" s="118"/>
      <c r="BB409" s="118"/>
      <c r="BC409" s="118"/>
      <c r="BD409" s="118"/>
      <c r="BE409" s="118"/>
      <c r="BF409" s="118"/>
      <c r="BG409" s="47"/>
      <c r="BH409" s="47"/>
      <c r="BI409" s="47"/>
      <c r="BJ409" s="47"/>
      <c r="BK409" s="47"/>
    </row>
    <row r="410" spans="1:63" ht="28.5" customHeight="1">
      <c r="A410" s="12" t="s">
        <v>132</v>
      </c>
      <c r="B410" s="237"/>
      <c r="C410" s="42" t="s">
        <v>33</v>
      </c>
      <c r="D410" s="28" t="e">
        <f t="shared" si="535"/>
        <v>#REF!</v>
      </c>
      <c r="E410" s="201" t="e">
        <f t="shared" si="536"/>
        <v>#REF!</v>
      </c>
      <c r="F410" s="30">
        <f t="shared" si="537"/>
        <v>0.41668529664660364</v>
      </c>
      <c r="G410" s="30">
        <f t="shared" si="538"/>
        <v>1.9607843137254902E-2</v>
      </c>
      <c r="H410" s="35">
        <v>0</v>
      </c>
      <c r="I410" s="35">
        <f t="shared" si="539"/>
        <v>210</v>
      </c>
      <c r="J410" s="35">
        <f t="shared" si="540"/>
        <v>420</v>
      </c>
      <c r="K410" s="236"/>
      <c r="L410" s="39">
        <f>4+11+18+38+129</f>
        <v>200</v>
      </c>
      <c r="M410" s="210"/>
      <c r="N410" s="44">
        <v>30</v>
      </c>
      <c r="O410" s="202">
        <v>2</v>
      </c>
      <c r="P410" s="31">
        <f t="shared" si="541"/>
        <v>2</v>
      </c>
      <c r="Q410" s="36"/>
      <c r="R410" s="203">
        <v>1</v>
      </c>
      <c r="S410" s="36"/>
      <c r="T410" s="34">
        <f t="shared" si="542"/>
        <v>139560</v>
      </c>
      <c r="U410" s="31">
        <f t="shared" si="543"/>
        <v>0</v>
      </c>
      <c r="V410" s="34">
        <f t="shared" si="544"/>
        <v>139560</v>
      </c>
      <c r="W410" s="43">
        <v>69780</v>
      </c>
      <c r="X410" s="34">
        <f>SUMIF(헤몬팜마진!$B$7:$B$32,$C410,헤몬팜마진!$R$7:$R$32)</f>
        <v>13276.289999999999</v>
      </c>
      <c r="Y410" s="34" t="e">
        <f t="shared" si="545"/>
        <v>#REF!</v>
      </c>
      <c r="Z410" s="34">
        <f t="shared" si="546"/>
        <v>58152.600000000006</v>
      </c>
      <c r="AA410" s="234">
        <v>52866</v>
      </c>
      <c r="AB410" s="36"/>
      <c r="AC410" s="204">
        <f t="shared" si="553"/>
        <v>0</v>
      </c>
      <c r="AD410" s="152">
        <v>0.108</v>
      </c>
      <c r="AE410" s="31">
        <f t="shared" si="555"/>
        <v>9650</v>
      </c>
      <c r="AF410" s="28">
        <f t="shared" si="548"/>
        <v>0.17714588707366008</v>
      </c>
      <c r="AG410" s="34">
        <f t="shared" si="549"/>
        <v>24722.51</v>
      </c>
      <c r="AH410" s="34" t="e">
        <f t="shared" si="550"/>
        <v>#REF!</v>
      </c>
      <c r="AI410" s="34" t="e">
        <f>SUMIF(헤몬팜마진!$B$7:$B$32,$C410,헤몬팜마진!$V$7:$V$32)</f>
        <v>#REF!</v>
      </c>
      <c r="AJ410" s="34" t="e">
        <f t="shared" si="551"/>
        <v>#REF!</v>
      </c>
      <c r="AK410" s="46" t="e">
        <f t="shared" si="552"/>
        <v>#REF!</v>
      </c>
      <c r="AL410" s="40">
        <f>SUMIF(헤몬팜마진!$B$7:$B$32,$C410,헤몬팜마진!$T$7:$T$32)</f>
        <v>371.52</v>
      </c>
      <c r="AM410" s="41">
        <f>SUMIF(헤몬팜마진!$B$7:$B$32,$C410,헤몬팜마진!$U$7:$U$32)</f>
        <v>1896.1279999999999</v>
      </c>
      <c r="AN410" s="36"/>
      <c r="AO410" s="235">
        <v>25471</v>
      </c>
      <c r="AP410" s="235">
        <v>51</v>
      </c>
      <c r="AQ410" s="126"/>
      <c r="AR410" s="126"/>
      <c r="AS410" s="126"/>
      <c r="AT410" s="118"/>
      <c r="AU410" s="118"/>
      <c r="AV410" s="118"/>
      <c r="AW410" s="118"/>
      <c r="AX410" s="118"/>
      <c r="AY410" s="118"/>
      <c r="AZ410" s="118"/>
      <c r="BA410" s="118"/>
      <c r="BB410" s="118"/>
      <c r="BC410" s="118"/>
      <c r="BD410" s="118"/>
      <c r="BE410" s="118"/>
      <c r="BF410" s="118"/>
      <c r="BG410" s="47"/>
      <c r="BH410" s="47"/>
      <c r="BI410" s="47"/>
      <c r="BJ410" s="47"/>
      <c r="BK410" s="47"/>
    </row>
    <row r="411" spans="1:63" ht="28.5" customHeight="1">
      <c r="A411" s="228" t="s">
        <v>133</v>
      </c>
      <c r="B411" s="200"/>
      <c r="C411" s="42" t="s">
        <v>111</v>
      </c>
      <c r="D411" s="28">
        <f t="shared" si="535"/>
        <v>-0.23054624248063765</v>
      </c>
      <c r="E411" s="201">
        <f t="shared" si="536"/>
        <v>0.3908081826641101</v>
      </c>
      <c r="F411" s="30">
        <f t="shared" si="537"/>
        <v>0.6213544251447477</v>
      </c>
      <c r="G411" s="30">
        <f t="shared" si="538"/>
        <v>3.1746031746031744E-2</v>
      </c>
      <c r="H411" s="35">
        <v>500</v>
      </c>
      <c r="I411" s="35">
        <f t="shared" si="539"/>
        <v>105</v>
      </c>
      <c r="J411" s="35">
        <f t="shared" si="540"/>
        <v>210</v>
      </c>
      <c r="K411" s="39">
        <v>577</v>
      </c>
      <c r="L411" s="39">
        <v>211</v>
      </c>
      <c r="M411" s="210"/>
      <c r="N411" s="44">
        <v>15</v>
      </c>
      <c r="O411" s="202">
        <v>3</v>
      </c>
      <c r="P411" s="31">
        <f t="shared" si="541"/>
        <v>3</v>
      </c>
      <c r="Q411" s="202"/>
      <c r="R411" s="233">
        <v>2</v>
      </c>
      <c r="S411" s="202"/>
      <c r="T411" s="34">
        <f t="shared" si="542"/>
        <v>48360</v>
      </c>
      <c r="U411" s="31">
        <f t="shared" si="543"/>
        <v>0</v>
      </c>
      <c r="V411" s="34">
        <f t="shared" si="544"/>
        <v>48360</v>
      </c>
      <c r="W411" s="43">
        <v>16120</v>
      </c>
      <c r="X411" s="34">
        <f>SUMIF(헤몬팜마진!$B$7:$B$32,$C411,헤몬팜마진!$R$7:$R$32)</f>
        <v>5089.2444999999998</v>
      </c>
      <c r="Y411" s="34">
        <f t="shared" si="545"/>
        <v>15378.9735</v>
      </c>
      <c r="Z411" s="34">
        <f t="shared" si="546"/>
        <v>30048.7</v>
      </c>
      <c r="AA411" s="234">
        <v>27317</v>
      </c>
      <c r="AB411" s="211"/>
      <c r="AC411" s="204">
        <f t="shared" si="553"/>
        <v>0</v>
      </c>
      <c r="AD411" s="152">
        <v>7.8E-2</v>
      </c>
      <c r="AE411" s="31">
        <f>2900*(P411)</f>
        <v>8700</v>
      </c>
      <c r="AF411" s="28">
        <f t="shared" si="548"/>
        <v>0.25790074441687344</v>
      </c>
      <c r="AG411" s="34">
        <f t="shared" si="549"/>
        <v>12472.11</v>
      </c>
      <c r="AH411" s="34">
        <f t="shared" si="550"/>
        <v>1609.4327863636358</v>
      </c>
      <c r="AI411" s="34">
        <f>SUMIF(헤몬팜마진!$B$7:$B$32,$C411,헤몬팜마진!$V$7:$V$32)</f>
        <v>5126.3244999999997</v>
      </c>
      <c r="AJ411" s="34">
        <f t="shared" si="551"/>
        <v>18899.483713636364</v>
      </c>
      <c r="AK411" s="206">
        <f t="shared" si="552"/>
        <v>-11149.216286363637</v>
      </c>
      <c r="AL411" s="40">
        <f>SUMIF(헤몬팜마진!$B$7:$B$32,$C411,헤몬팜마진!$T$7:$T$32)</f>
        <v>6.0750000000000002</v>
      </c>
      <c r="AM411" s="41">
        <f>SUMIF(헤몬팜마진!$B$7:$B$32,$C411,헤몬팜마진!$U$7:$U$32)</f>
        <v>31.005000000000003</v>
      </c>
      <c r="AN411" s="36"/>
      <c r="AO411" s="235">
        <v>36491</v>
      </c>
      <c r="AP411" s="235">
        <v>63</v>
      </c>
      <c r="AQ411" s="126"/>
      <c r="AR411" s="126"/>
      <c r="AS411" s="126"/>
      <c r="AT411" s="118"/>
      <c r="AU411" s="118"/>
      <c r="AV411" s="118"/>
      <c r="AW411" s="118"/>
      <c r="AX411" s="118"/>
      <c r="AY411" s="118"/>
      <c r="AZ411" s="118"/>
      <c r="BA411" s="118"/>
      <c r="BB411" s="118"/>
      <c r="BC411" s="118"/>
      <c r="BD411" s="118"/>
      <c r="BE411" s="118"/>
      <c r="BF411" s="118"/>
      <c r="BG411" s="47"/>
      <c r="BH411" s="47"/>
      <c r="BI411" s="47"/>
      <c r="BJ411" s="47"/>
      <c r="BK411" s="47"/>
    </row>
    <row r="412" spans="1:63" ht="28.5" customHeight="1">
      <c r="A412" s="228" t="s">
        <v>135</v>
      </c>
      <c r="B412" s="200"/>
      <c r="C412" s="42" t="s">
        <v>114</v>
      </c>
      <c r="D412" s="28">
        <f t="shared" si="535"/>
        <v>0.13508256875000005</v>
      </c>
      <c r="E412" s="201">
        <f t="shared" si="536"/>
        <v>0.36298881875000005</v>
      </c>
      <c r="F412" s="30">
        <f t="shared" si="537"/>
        <v>0.22790625</v>
      </c>
      <c r="G412" s="30">
        <f t="shared" si="538"/>
        <v>8.4507042253521125E-2</v>
      </c>
      <c r="H412" s="35">
        <v>1750</v>
      </c>
      <c r="I412" s="35">
        <f t="shared" si="539"/>
        <v>350</v>
      </c>
      <c r="J412" s="35">
        <f t="shared" si="540"/>
        <v>700</v>
      </c>
      <c r="K412" s="39">
        <v>1449</v>
      </c>
      <c r="L412" s="39">
        <v>1217</v>
      </c>
      <c r="M412" s="210"/>
      <c r="N412" s="44">
        <v>50</v>
      </c>
      <c r="O412" s="202">
        <v>11</v>
      </c>
      <c r="P412" s="31">
        <f t="shared" si="541"/>
        <v>11</v>
      </c>
      <c r="Q412" s="36"/>
      <c r="R412" s="233">
        <v>6</v>
      </c>
      <c r="S412" s="36"/>
      <c r="T412" s="34">
        <f t="shared" si="542"/>
        <v>211200</v>
      </c>
      <c r="U412" s="31">
        <f t="shared" si="543"/>
        <v>0</v>
      </c>
      <c r="V412" s="34">
        <f t="shared" si="544"/>
        <v>211200</v>
      </c>
      <c r="W412" s="43">
        <v>19200</v>
      </c>
      <c r="X412" s="34">
        <f>SUMIF(헤몬팜마진!$B$7:$B$32,$C412,헤몬팜마진!$R$7:$R$32)</f>
        <v>6372.6191999999992</v>
      </c>
      <c r="Y412" s="34">
        <f t="shared" si="545"/>
        <v>74485.787199999992</v>
      </c>
      <c r="Z412" s="34">
        <f t="shared" si="546"/>
        <v>48133.8</v>
      </c>
      <c r="AA412" s="234">
        <v>43758</v>
      </c>
      <c r="AB412" s="36"/>
      <c r="AC412" s="204">
        <f t="shared" si="553"/>
        <v>0</v>
      </c>
      <c r="AD412" s="152">
        <v>0.08</v>
      </c>
      <c r="AE412" s="31">
        <f>3350*(P412)</f>
        <v>36850</v>
      </c>
      <c r="AF412" s="28">
        <f t="shared" si="548"/>
        <v>0.25447916666666665</v>
      </c>
      <c r="AG412" s="34">
        <f t="shared" si="549"/>
        <v>53746.029999999992</v>
      </c>
      <c r="AH412" s="34">
        <f t="shared" si="550"/>
        <v>6304.9442799999961</v>
      </c>
      <c r="AI412" s="34">
        <f>SUMIF(헤몬팜마진!$B$7:$B$32,$C412,헤몬팜마진!$V$7:$V$32)</f>
        <v>6771.435199999999</v>
      </c>
      <c r="AJ412" s="34">
        <f t="shared" si="551"/>
        <v>76663.238520000014</v>
      </c>
      <c r="AK412" s="46">
        <f t="shared" si="552"/>
        <v>28529.438520000011</v>
      </c>
      <c r="AL412" s="40">
        <f>SUMIF(헤몬팜마진!$B$7:$B$32,$C412,헤몬팜마진!$T$7:$T$32)</f>
        <v>65.34</v>
      </c>
      <c r="AM412" s="41">
        <f>SUMIF(헤몬팜마진!$B$7:$B$32,$C412,헤몬팜마진!$U$7:$U$32)</f>
        <v>333.476</v>
      </c>
      <c r="AN412" s="36"/>
      <c r="AO412" s="235">
        <v>24106</v>
      </c>
      <c r="AP412" s="235">
        <v>71</v>
      </c>
      <c r="AQ412" s="126"/>
      <c r="AR412" s="126"/>
      <c r="AS412" s="126"/>
      <c r="AT412" s="118"/>
      <c r="AU412" s="118"/>
      <c r="AV412" s="118"/>
      <c r="AW412" s="118"/>
      <c r="AX412" s="118"/>
      <c r="AY412" s="118"/>
      <c r="AZ412" s="118"/>
      <c r="BA412" s="118"/>
      <c r="BB412" s="118"/>
      <c r="BC412" s="118"/>
      <c r="BD412" s="118"/>
      <c r="BE412" s="118"/>
      <c r="BF412" s="118"/>
      <c r="BG412" s="47"/>
      <c r="BH412" s="47"/>
      <c r="BI412" s="47"/>
      <c r="BJ412" s="47"/>
      <c r="BK412" s="47"/>
    </row>
    <row r="413" spans="1:63" ht="28.5" customHeight="1">
      <c r="A413" s="327" t="s">
        <v>136</v>
      </c>
      <c r="B413" s="326"/>
      <c r="C413" s="42" t="s">
        <v>115</v>
      </c>
      <c r="D413" s="28" t="e">
        <f t="shared" si="535"/>
        <v>#REF!</v>
      </c>
      <c r="E413" s="201" t="e">
        <f t="shared" si="536"/>
        <v>#REF!</v>
      </c>
      <c r="F413" s="30">
        <f t="shared" si="537"/>
        <v>0.27700420926037289</v>
      </c>
      <c r="G413" s="30">
        <f t="shared" si="538"/>
        <v>2.8571428571428571E-2</v>
      </c>
      <c r="H413" s="35">
        <v>0</v>
      </c>
      <c r="I413" s="35">
        <f t="shared" si="539"/>
        <v>70</v>
      </c>
      <c r="J413" s="35">
        <f t="shared" si="540"/>
        <v>140</v>
      </c>
      <c r="K413" s="328">
        <v>494</v>
      </c>
      <c r="L413" s="39">
        <v>0</v>
      </c>
      <c r="M413" s="210"/>
      <c r="N413" s="44">
        <v>10</v>
      </c>
      <c r="O413" s="36">
        <v>5</v>
      </c>
      <c r="P413" s="31">
        <f t="shared" si="541"/>
        <v>5</v>
      </c>
      <c r="Q413" s="36">
        <v>1</v>
      </c>
      <c r="R413" s="233">
        <v>3</v>
      </c>
      <c r="S413" s="36"/>
      <c r="T413" s="34">
        <f t="shared" si="542"/>
        <v>249450</v>
      </c>
      <c r="U413" s="31">
        <f t="shared" si="543"/>
        <v>0</v>
      </c>
      <c r="V413" s="34">
        <f t="shared" si="544"/>
        <v>249450</v>
      </c>
      <c r="W413" s="43">
        <v>49890</v>
      </c>
      <c r="X413" s="34">
        <f>SUMIF(헤몬팜마진!$B$7:$B$32,$C413,헤몬팜마진!$R$7:$R$32)</f>
        <v>12169.932499999999</v>
      </c>
      <c r="Y413" s="34" t="e">
        <f t="shared" si="545"/>
        <v>#REF!</v>
      </c>
      <c r="Z413" s="34">
        <f t="shared" si="546"/>
        <v>69098.700000000012</v>
      </c>
      <c r="AA413" s="234">
        <v>62817</v>
      </c>
      <c r="AB413" s="36"/>
      <c r="AC413" s="204">
        <f t="shared" si="553"/>
        <v>2310</v>
      </c>
      <c r="AD413" s="152">
        <v>7.8E-2</v>
      </c>
      <c r="AE413" s="31">
        <f t="shared" ref="AE413:AE414" si="556">4825*(P413)</f>
        <v>24125</v>
      </c>
      <c r="AF413" s="28">
        <f t="shared" si="548"/>
        <v>0.17471276808979755</v>
      </c>
      <c r="AG413" s="34">
        <f t="shared" si="549"/>
        <v>43582.13</v>
      </c>
      <c r="AH413" s="34" t="e">
        <f t="shared" si="550"/>
        <v>#REF!</v>
      </c>
      <c r="AI413" s="34" t="e">
        <f>SUMIF(헤몬팜마진!$B$7:$B$32,$C413,헤몬팜마진!$V$7:$V$32)</f>
        <v>#REF!</v>
      </c>
      <c r="AJ413" s="34" t="e">
        <f t="shared" si="551"/>
        <v>#REF!</v>
      </c>
      <c r="AK413" s="206" t="e">
        <f t="shared" si="552"/>
        <v>#REF!</v>
      </c>
      <c r="AL413" s="40">
        <f>SUMIF(헤몬팜마진!$B$7:$B$32,$C413,헤몬팜마진!$T$7:$T$32)</f>
        <v>181.44000000000003</v>
      </c>
      <c r="AM413" s="41">
        <f>SUMIF(헤몬팜마진!$B$7:$B$32,$C413,헤몬팜마진!$U$7:$U$32)</f>
        <v>926.01600000000019</v>
      </c>
      <c r="AN413" s="36"/>
      <c r="AO413" s="235">
        <v>30254</v>
      </c>
      <c r="AP413" s="235">
        <v>105</v>
      </c>
      <c r="AQ413" s="126"/>
      <c r="AR413" s="126"/>
      <c r="AS413" s="126"/>
      <c r="AT413" s="118"/>
      <c r="AU413" s="118"/>
      <c r="AV413" s="118"/>
      <c r="AW413" s="118"/>
      <c r="AX413" s="118"/>
      <c r="AY413" s="118"/>
      <c r="AZ413" s="118"/>
      <c r="BA413" s="118"/>
      <c r="BB413" s="118"/>
      <c r="BC413" s="118"/>
      <c r="BD413" s="118"/>
      <c r="BE413" s="118"/>
      <c r="BF413" s="118"/>
      <c r="BG413" s="47"/>
      <c r="BH413" s="47"/>
      <c r="BI413" s="47"/>
      <c r="BJ413" s="47"/>
      <c r="BK413" s="47"/>
    </row>
    <row r="414" spans="1:63" ht="28.5" customHeight="1">
      <c r="A414" s="318"/>
      <c r="B414" s="324"/>
      <c r="C414" s="42" t="s">
        <v>116</v>
      </c>
      <c r="D414" s="28" t="e">
        <f t="shared" si="535"/>
        <v>#REF!</v>
      </c>
      <c r="E414" s="201" t="e">
        <f t="shared" si="536"/>
        <v>#REF!</v>
      </c>
      <c r="F414" s="30">
        <f t="shared" si="537"/>
        <v>0.27690479475681273</v>
      </c>
      <c r="G414" s="30">
        <f t="shared" si="538"/>
        <v>3.7433155080213901E-2</v>
      </c>
      <c r="H414" s="35">
        <v>0</v>
      </c>
      <c r="I414" s="35">
        <f t="shared" si="539"/>
        <v>70</v>
      </c>
      <c r="J414" s="35">
        <f t="shared" si="540"/>
        <v>140</v>
      </c>
      <c r="K414" s="310"/>
      <c r="L414" s="39">
        <v>1</v>
      </c>
      <c r="M414" s="210"/>
      <c r="N414" s="44">
        <v>10</v>
      </c>
      <c r="O414" s="202">
        <v>5</v>
      </c>
      <c r="P414" s="31">
        <f t="shared" si="541"/>
        <v>5</v>
      </c>
      <c r="Q414" s="202">
        <v>4</v>
      </c>
      <c r="R414" s="233">
        <v>7</v>
      </c>
      <c r="S414" s="36"/>
      <c r="T414" s="34">
        <f t="shared" si="542"/>
        <v>289900</v>
      </c>
      <c r="U414" s="31">
        <f t="shared" si="543"/>
        <v>0</v>
      </c>
      <c r="V414" s="34">
        <f t="shared" si="544"/>
        <v>289900</v>
      </c>
      <c r="W414" s="43">
        <v>57980</v>
      </c>
      <c r="X414" s="34">
        <f>SUMIF(헤몬팜마진!$B$7:$B$32,$C414,헤몬팜마진!$R$7:$R$32)</f>
        <v>12169.932499999999</v>
      </c>
      <c r="Y414" s="34" t="e">
        <f t="shared" si="545"/>
        <v>#REF!</v>
      </c>
      <c r="Z414" s="34">
        <f t="shared" si="546"/>
        <v>80274.700000000012</v>
      </c>
      <c r="AA414" s="234">
        <v>72977</v>
      </c>
      <c r="AB414" s="36"/>
      <c r="AC414" s="204">
        <f t="shared" si="553"/>
        <v>9240</v>
      </c>
      <c r="AD414" s="152">
        <v>7.8E-2</v>
      </c>
      <c r="AE414" s="31">
        <f t="shared" si="556"/>
        <v>24125</v>
      </c>
      <c r="AF414" s="28">
        <f t="shared" si="548"/>
        <v>0.16121835115557087</v>
      </c>
      <c r="AG414" s="34">
        <f t="shared" si="549"/>
        <v>46737.229999999996</v>
      </c>
      <c r="AH414" s="34" t="e">
        <f t="shared" si="550"/>
        <v>#REF!</v>
      </c>
      <c r="AI414" s="34" t="e">
        <f>SUMIF(헤몬팜마진!$B$7:$B$32,$C414,헤몬팜마진!$V$7:$V$32)</f>
        <v>#REF!</v>
      </c>
      <c r="AJ414" s="34" t="e">
        <f t="shared" si="551"/>
        <v>#REF!</v>
      </c>
      <c r="AK414" s="46" t="e">
        <f t="shared" si="552"/>
        <v>#REF!</v>
      </c>
      <c r="AL414" s="40">
        <f>SUMIF(헤몬팜마진!$B$7:$B$32,$C414,헤몬팜마진!$T$7:$T$32)</f>
        <v>181.44000000000003</v>
      </c>
      <c r="AM414" s="41">
        <f>SUMIF(헤몬팜마진!$B$7:$B$32,$C414,헤몬팜마진!$U$7:$U$32)</f>
        <v>926.01600000000019</v>
      </c>
      <c r="AN414" s="36"/>
      <c r="AO414" s="235">
        <v>33179</v>
      </c>
      <c r="AP414" s="235">
        <v>187</v>
      </c>
      <c r="AQ414" s="126"/>
      <c r="AR414" s="126"/>
      <c r="AS414" s="126"/>
      <c r="AT414" s="118"/>
      <c r="AU414" s="118"/>
      <c r="AV414" s="118"/>
      <c r="AW414" s="118"/>
      <c r="AX414" s="118"/>
      <c r="AY414" s="118"/>
      <c r="AZ414" s="118"/>
      <c r="BA414" s="118"/>
      <c r="BB414" s="118"/>
      <c r="BC414" s="118"/>
      <c r="BD414" s="118"/>
      <c r="BE414" s="118"/>
      <c r="BF414" s="118"/>
      <c r="BG414" s="47"/>
      <c r="BH414" s="47"/>
      <c r="BI414" s="47"/>
      <c r="BJ414" s="47"/>
      <c r="BK414" s="47"/>
    </row>
    <row r="415" spans="1:63" ht="28.5" customHeight="1">
      <c r="A415" s="228" t="s">
        <v>137</v>
      </c>
      <c r="B415" s="200"/>
      <c r="C415" s="42" t="s">
        <v>117</v>
      </c>
      <c r="D415" s="28">
        <f t="shared" si="535"/>
        <v>0.25715003755532856</v>
      </c>
      <c r="E415" s="201">
        <f t="shared" si="536"/>
        <v>0.43835752819203266</v>
      </c>
      <c r="F415" s="30">
        <f t="shared" si="537"/>
        <v>0.18120749063670413</v>
      </c>
      <c r="G415" s="30">
        <f t="shared" si="538"/>
        <v>2.358490566037736E-2</v>
      </c>
      <c r="H415" s="35">
        <v>2000</v>
      </c>
      <c r="I415" s="35">
        <f t="shared" si="539"/>
        <v>700</v>
      </c>
      <c r="J415" s="35">
        <f t="shared" si="540"/>
        <v>1400</v>
      </c>
      <c r="K415" s="39">
        <v>2373</v>
      </c>
      <c r="L415" s="39">
        <v>3</v>
      </c>
      <c r="M415" s="210"/>
      <c r="N415" s="44">
        <v>100</v>
      </c>
      <c r="O415" s="202">
        <v>15</v>
      </c>
      <c r="P415" s="31">
        <f t="shared" si="541"/>
        <v>15</v>
      </c>
      <c r="Q415" s="202">
        <v>3</v>
      </c>
      <c r="R415" s="233">
        <v>5</v>
      </c>
      <c r="S415" s="36"/>
      <c r="T415" s="34">
        <f t="shared" si="542"/>
        <v>267000</v>
      </c>
      <c r="U415" s="31">
        <f t="shared" si="543"/>
        <v>0</v>
      </c>
      <c r="V415" s="34">
        <f t="shared" si="544"/>
        <v>267000</v>
      </c>
      <c r="W415" s="43">
        <v>17800</v>
      </c>
      <c r="X415" s="34">
        <f>SUMIF(헤몬팜마진!$B$7:$B$32,$C415,헤몬팜마진!$R$7:$R$32)</f>
        <v>3982.8869999999997</v>
      </c>
      <c r="Y415" s="34">
        <f t="shared" si="545"/>
        <v>72558.152999999991</v>
      </c>
      <c r="Z415" s="34">
        <f t="shared" si="546"/>
        <v>48382.400000000001</v>
      </c>
      <c r="AA415" s="234">
        <f>26680+17304</f>
        <v>43984</v>
      </c>
      <c r="AB415" s="36"/>
      <c r="AC415" s="204">
        <f t="shared" si="553"/>
        <v>6930</v>
      </c>
      <c r="AD415" s="152">
        <v>7.8E-2</v>
      </c>
      <c r="AE415" s="31">
        <f>3100*(P415)</f>
        <v>46500</v>
      </c>
      <c r="AF415" s="28">
        <f t="shared" si="548"/>
        <v>0.25215730337078651</v>
      </c>
      <c r="AG415" s="34">
        <f t="shared" si="549"/>
        <v>67326.03</v>
      </c>
      <c r="AH415" s="34">
        <f t="shared" si="550"/>
        <v>10074.356972727273</v>
      </c>
      <c r="AI415" s="34">
        <f>SUMIF(헤몬팜마진!$B$7:$B$32,$C415,헤몬팜마진!$V$7:$V$32)</f>
        <v>4837.2101999999995</v>
      </c>
      <c r="AJ415" s="34">
        <f t="shared" si="551"/>
        <v>117041.46002727273</v>
      </c>
      <c r="AK415" s="46">
        <f t="shared" si="552"/>
        <v>68659.060027272732</v>
      </c>
      <c r="AL415" s="40">
        <f>SUMIF(헤몬팜마진!$B$7:$B$32,$C415,헤몬팜마진!$T$7:$T$32)</f>
        <v>139.96800000000002</v>
      </c>
      <c r="AM415" s="41">
        <f>SUMIF(헤몬팜마진!$B$7:$B$32,$C415,헤몬팜마진!$U$7:$U$32)</f>
        <v>714.35519999999997</v>
      </c>
      <c r="AN415" s="36"/>
      <c r="AO415" s="235">
        <v>58981</v>
      </c>
      <c r="AP415" s="235">
        <v>212</v>
      </c>
      <c r="AQ415" s="126"/>
      <c r="AR415" s="126"/>
      <c r="AS415" s="126"/>
      <c r="AT415" s="118"/>
      <c r="AU415" s="118"/>
      <c r="AV415" s="118"/>
      <c r="AW415" s="118"/>
      <c r="AX415" s="118"/>
      <c r="AY415" s="118"/>
      <c r="AZ415" s="118"/>
      <c r="BA415" s="118"/>
      <c r="BB415" s="118"/>
      <c r="BC415" s="118"/>
      <c r="BD415" s="118"/>
      <c r="BE415" s="118"/>
      <c r="BF415" s="118"/>
      <c r="BG415" s="47"/>
      <c r="BH415" s="47"/>
      <c r="BI415" s="47"/>
      <c r="BJ415" s="47"/>
      <c r="BK415" s="47"/>
    </row>
    <row r="416" spans="1:63" ht="28.5" customHeight="1">
      <c r="A416" s="228" t="s">
        <v>139</v>
      </c>
      <c r="B416" s="127" t="s">
        <v>127</v>
      </c>
      <c r="C416" s="42" t="s">
        <v>119</v>
      </c>
      <c r="D416" s="28">
        <f t="shared" si="535"/>
        <v>0.29898481659969722</v>
      </c>
      <c r="E416" s="201">
        <f t="shared" si="536"/>
        <v>0.43444842519763421</v>
      </c>
      <c r="F416" s="30">
        <f t="shared" si="537"/>
        <v>0.13546360859793696</v>
      </c>
      <c r="G416" s="30">
        <f t="shared" si="538"/>
        <v>0.10679611650485436</v>
      </c>
      <c r="H416" s="35">
        <v>2000</v>
      </c>
      <c r="I416" s="35">
        <f t="shared" si="539"/>
        <v>280</v>
      </c>
      <c r="J416" s="35">
        <f t="shared" si="540"/>
        <v>560</v>
      </c>
      <c r="K416" s="213">
        <v>1048</v>
      </c>
      <c r="L416" s="39">
        <f>311+240+1</f>
        <v>552</v>
      </c>
      <c r="M416" s="210"/>
      <c r="N416" s="44">
        <v>40</v>
      </c>
      <c r="O416" s="202">
        <v>21</v>
      </c>
      <c r="P416" s="31">
        <f t="shared" si="541"/>
        <v>21</v>
      </c>
      <c r="Q416" s="202">
        <v>3</v>
      </c>
      <c r="R416" s="233">
        <v>11</v>
      </c>
      <c r="S416" s="36"/>
      <c r="T416" s="34">
        <f t="shared" si="542"/>
        <v>520590</v>
      </c>
      <c r="U416" s="31">
        <f t="shared" si="543"/>
        <v>0</v>
      </c>
      <c r="V416" s="34">
        <f t="shared" si="544"/>
        <v>520590</v>
      </c>
      <c r="W416" s="43">
        <v>24790</v>
      </c>
      <c r="X416" s="34">
        <f>SUMIF(헤몬팜마진!$B$7:$B$32,$C416,헤몬팜마진!$R$7:$R$32)</f>
        <v>6859.4164999999994</v>
      </c>
      <c r="Y416" s="34">
        <f t="shared" si="545"/>
        <v>152325.98009999999</v>
      </c>
      <c r="Z416" s="34">
        <f t="shared" si="546"/>
        <v>70521</v>
      </c>
      <c r="AA416" s="234">
        <v>64110</v>
      </c>
      <c r="AB416" s="209"/>
      <c r="AC416" s="204">
        <f t="shared" si="553"/>
        <v>6930</v>
      </c>
      <c r="AD416" s="152">
        <v>0.108</v>
      </c>
      <c r="AE416" s="31">
        <f>3150*(P416)</f>
        <v>66150</v>
      </c>
      <c r="AF416" s="28">
        <f t="shared" si="548"/>
        <v>0.23506736587333604</v>
      </c>
      <c r="AG416" s="34">
        <f t="shared" si="549"/>
        <v>122373.75000000001</v>
      </c>
      <c r="AH416" s="34">
        <f t="shared" si="550"/>
        <v>19720.764226363637</v>
      </c>
      <c r="AI416" s="34">
        <f>SUMIF(헤몬팜마진!$B$7:$B$32,$C416,헤몬팜마진!$V$7:$V$32)</f>
        <v>7253.6180999999988</v>
      </c>
      <c r="AJ416" s="34">
        <f t="shared" si="551"/>
        <v>226169.50567363639</v>
      </c>
      <c r="AK416" s="206">
        <f t="shared" si="552"/>
        <v>155648.50567363639</v>
      </c>
      <c r="AL416" s="40">
        <f>SUMIF(헤몬팜마진!$B$7:$B$32,$C416,헤몬팜마진!$T$7:$T$32)</f>
        <v>64.584000000000003</v>
      </c>
      <c r="AM416" s="41">
        <f>SUMIF(헤몬팜마진!$B$7:$B$32,$C416,헤몬팜마진!$U$7:$U$32)</f>
        <v>329.61759999999998</v>
      </c>
      <c r="AN416" s="36"/>
      <c r="AO416" s="235">
        <v>30836</v>
      </c>
      <c r="AP416" s="235">
        <v>103</v>
      </c>
      <c r="AQ416" s="126"/>
      <c r="AR416" s="126"/>
      <c r="AS416" s="126"/>
      <c r="AT416" s="118"/>
      <c r="AU416" s="118"/>
      <c r="AV416" s="118"/>
      <c r="AW416" s="118"/>
      <c r="AX416" s="118"/>
      <c r="AY416" s="118"/>
      <c r="AZ416" s="118"/>
      <c r="BA416" s="118"/>
      <c r="BB416" s="118"/>
      <c r="BC416" s="118"/>
      <c r="BD416" s="118"/>
      <c r="BE416" s="118"/>
      <c r="BF416" s="118"/>
      <c r="BG416" s="47"/>
      <c r="BH416" s="47"/>
      <c r="BI416" s="47"/>
      <c r="BJ416" s="47"/>
      <c r="BK416" s="47"/>
    </row>
    <row r="417" spans="1:63" ht="28.5" customHeight="1">
      <c r="A417" s="228"/>
      <c r="B417" s="214" t="s">
        <v>128</v>
      </c>
      <c r="C417" s="42" t="s">
        <v>120</v>
      </c>
      <c r="D417" s="28">
        <f t="shared" si="535"/>
        <v>-0.44749099392416636</v>
      </c>
      <c r="E417" s="201">
        <f t="shared" si="536"/>
        <v>0.41263714677935137</v>
      </c>
      <c r="F417" s="30">
        <f t="shared" si="537"/>
        <v>0.86012814070351773</v>
      </c>
      <c r="G417" s="30">
        <f t="shared" si="538"/>
        <v>0</v>
      </c>
      <c r="H417" s="35">
        <v>0</v>
      </c>
      <c r="I417" s="35">
        <f t="shared" si="539"/>
        <v>105</v>
      </c>
      <c r="J417" s="35">
        <f t="shared" si="540"/>
        <v>210</v>
      </c>
      <c r="K417" s="238"/>
      <c r="L417" s="39">
        <f>22+3</f>
        <v>25</v>
      </c>
      <c r="M417" s="210"/>
      <c r="N417" s="44">
        <v>15</v>
      </c>
      <c r="O417" s="36">
        <v>1</v>
      </c>
      <c r="P417" s="31">
        <f t="shared" si="541"/>
        <v>1</v>
      </c>
      <c r="Q417" s="36"/>
      <c r="R417" s="167"/>
      <c r="S417" s="36"/>
      <c r="T417" s="34">
        <f t="shared" si="542"/>
        <v>39800</v>
      </c>
      <c r="U417" s="31">
        <f t="shared" si="543"/>
        <v>0</v>
      </c>
      <c r="V417" s="34">
        <f t="shared" si="544"/>
        <v>39800</v>
      </c>
      <c r="W417" s="43">
        <v>39800</v>
      </c>
      <c r="X417" s="34">
        <f>SUMIF(헤몬팜마진!$B$7:$B$32,$C417,헤몬팜마진!$R$7:$R$32)</f>
        <v>13718.832999999999</v>
      </c>
      <c r="Y417" s="34">
        <f t="shared" si="545"/>
        <v>14113.034599999999</v>
      </c>
      <c r="Z417" s="34">
        <f t="shared" si="546"/>
        <v>34233.100000000006</v>
      </c>
      <c r="AA417" s="234">
        <v>31121</v>
      </c>
      <c r="AB417" s="209"/>
      <c r="AC417" s="204">
        <f t="shared" si="553"/>
        <v>0</v>
      </c>
      <c r="AD417" s="152">
        <v>0.108</v>
      </c>
      <c r="AE417" s="31">
        <f>3550*(P417)</f>
        <v>3550</v>
      </c>
      <c r="AF417" s="28">
        <f t="shared" si="548"/>
        <v>0.1971959798994975</v>
      </c>
      <c r="AG417" s="34">
        <f t="shared" si="549"/>
        <v>7848.43</v>
      </c>
      <c r="AH417" s="34">
        <f t="shared" si="550"/>
        <v>1415.5769581818181</v>
      </c>
      <c r="AI417" s="34">
        <f>SUMIF(헤몬팜마진!$B$7:$B$32,$C417,헤몬팜마진!$V$7:$V$32)</f>
        <v>14113.034599999999</v>
      </c>
      <c r="AJ417" s="34">
        <f t="shared" si="551"/>
        <v>16422.958441818184</v>
      </c>
      <c r="AK417" s="206">
        <f t="shared" si="552"/>
        <v>-17810.141558181822</v>
      </c>
      <c r="AL417" s="40">
        <f>SUMIF(헤몬팜마진!$B$7:$B$32,$C417,헤몬팜마진!$T$7:$T$32)</f>
        <v>64.584000000000003</v>
      </c>
      <c r="AM417" s="41">
        <f>SUMIF(헤몬팜마진!$B$7:$B$32,$C417,헤몬팜마진!$U$7:$U$32)</f>
        <v>329.61759999999998</v>
      </c>
      <c r="AN417" s="36"/>
      <c r="AO417" s="235">
        <v>33060</v>
      </c>
      <c r="AP417" s="235">
        <v>127</v>
      </c>
      <c r="AQ417" s="126"/>
      <c r="AR417" s="126"/>
      <c r="AS417" s="126"/>
      <c r="AT417" s="118"/>
      <c r="AU417" s="118"/>
      <c r="AV417" s="118"/>
      <c r="AW417" s="118"/>
      <c r="AX417" s="118"/>
      <c r="AY417" s="118"/>
      <c r="AZ417" s="118"/>
      <c r="BA417" s="118"/>
      <c r="BB417" s="118"/>
      <c r="BC417" s="118"/>
      <c r="BD417" s="118"/>
      <c r="BE417" s="118"/>
      <c r="BF417" s="118"/>
      <c r="BG417" s="47"/>
      <c r="BH417" s="47"/>
      <c r="BI417" s="47"/>
      <c r="BJ417" s="47"/>
      <c r="BK417" s="47"/>
    </row>
    <row r="418" spans="1:63" ht="28.5" customHeight="1">
      <c r="A418" s="12"/>
      <c r="B418" s="214" t="s">
        <v>126</v>
      </c>
      <c r="C418" s="42" t="s">
        <v>31</v>
      </c>
      <c r="D418" s="28">
        <f t="shared" si="535"/>
        <v>1.8114773304473423E-2</v>
      </c>
      <c r="E418" s="201">
        <f t="shared" si="536"/>
        <v>0.37869341688311703</v>
      </c>
      <c r="F418" s="30">
        <f t="shared" si="537"/>
        <v>0.36057864357864361</v>
      </c>
      <c r="G418" s="30">
        <f t="shared" si="538"/>
        <v>2.8231797919762259E-2</v>
      </c>
      <c r="H418" s="35">
        <v>700</v>
      </c>
      <c r="I418" s="35">
        <f t="shared" si="539"/>
        <v>210</v>
      </c>
      <c r="J418" s="35">
        <f t="shared" si="540"/>
        <v>420</v>
      </c>
      <c r="K418" s="39">
        <v>954</v>
      </c>
      <c r="L418" s="39">
        <v>2</v>
      </c>
      <c r="M418" s="210"/>
      <c r="N418" s="44">
        <v>30</v>
      </c>
      <c r="O418" s="36">
        <v>23</v>
      </c>
      <c r="P418" s="31">
        <f t="shared" si="541"/>
        <v>21</v>
      </c>
      <c r="Q418" s="36">
        <v>8</v>
      </c>
      <c r="R418" s="233">
        <v>19</v>
      </c>
      <c r="S418" s="36">
        <v>2</v>
      </c>
      <c r="T418" s="34">
        <f t="shared" si="542"/>
        <v>455400</v>
      </c>
      <c r="U418" s="31">
        <f t="shared" si="543"/>
        <v>39600</v>
      </c>
      <c r="V418" s="34">
        <f t="shared" si="544"/>
        <v>415800</v>
      </c>
      <c r="W418" s="43">
        <v>19800</v>
      </c>
      <c r="X418" s="34">
        <f>SUMIF(헤몬팜마진!$B$7:$B$32,$C418,헤몬팜마진!$R$7:$R$32)</f>
        <v>6638.1449999999995</v>
      </c>
      <c r="Y418" s="34">
        <f t="shared" si="545"/>
        <v>140397.75539999997</v>
      </c>
      <c r="Z418" s="34">
        <f t="shared" si="546"/>
        <v>128959.6</v>
      </c>
      <c r="AA418" s="234">
        <v>117236</v>
      </c>
      <c r="AB418" s="211">
        <f>((20900*0.015)+(20900*0.19)+2100+2200+1900)*2</f>
        <v>20969</v>
      </c>
      <c r="AC418" s="204">
        <f t="shared" si="553"/>
        <v>18480</v>
      </c>
      <c r="AD418" s="152">
        <v>0.08</v>
      </c>
      <c r="AE418" s="31">
        <f>3400*(P418)</f>
        <v>71400</v>
      </c>
      <c r="AF418" s="28">
        <f t="shared" si="548"/>
        <v>0.25171717171717173</v>
      </c>
      <c r="AG418" s="34">
        <f t="shared" si="549"/>
        <v>104664.03</v>
      </c>
      <c r="AH418" s="34">
        <f t="shared" si="550"/>
        <v>13277.491859999995</v>
      </c>
      <c r="AI418" s="34">
        <f>SUMIF(헤몬팜마진!$B$7:$B$32,$C418,헤몬팜마진!$V$7:$V$32)</f>
        <v>6685.607399999999</v>
      </c>
      <c r="AJ418" s="34">
        <f t="shared" si="551"/>
        <v>157460.72274000006</v>
      </c>
      <c r="AK418" s="206">
        <f t="shared" si="552"/>
        <v>7532.1227400000498</v>
      </c>
      <c r="AL418" s="40">
        <f>SUMIF(헤몬팜마진!$B$7:$B$32,$C418,헤몬팜마진!$T$7:$T$32)</f>
        <v>7.7759999999999998</v>
      </c>
      <c r="AM418" s="41">
        <f>SUMIF(헤몬팜마진!$B$7:$B$32,$C418,헤몬팜마진!$U$7:$U$32)</f>
        <v>39.686400000000006</v>
      </c>
      <c r="AN418" s="36"/>
      <c r="AO418" s="235">
        <v>173625</v>
      </c>
      <c r="AP418" s="235">
        <v>673</v>
      </c>
      <c r="AQ418" s="126"/>
      <c r="AR418" s="126"/>
      <c r="AS418" s="126"/>
      <c r="AT418" s="118"/>
      <c r="AU418" s="118"/>
      <c r="AV418" s="118"/>
      <c r="AW418" s="118"/>
      <c r="AX418" s="118"/>
      <c r="AY418" s="118"/>
      <c r="AZ418" s="118"/>
      <c r="BA418" s="118"/>
      <c r="BB418" s="118"/>
      <c r="BC418" s="118"/>
      <c r="BD418" s="118"/>
      <c r="BE418" s="118"/>
      <c r="BF418" s="118"/>
      <c r="BG418" s="47"/>
      <c r="BH418" s="47"/>
      <c r="BI418" s="47"/>
      <c r="BJ418" s="47"/>
      <c r="BK418" s="47"/>
    </row>
    <row r="419" spans="1:63" ht="28.5" customHeight="1">
      <c r="A419" s="228" t="s">
        <v>142</v>
      </c>
      <c r="B419" s="200"/>
      <c r="C419" s="239" t="s">
        <v>141</v>
      </c>
      <c r="D419" s="28" t="e">
        <f t="shared" si="535"/>
        <v>#DIV/0!</v>
      </c>
      <c r="E419" s="201" t="e">
        <f t="shared" si="536"/>
        <v>#DIV/0!</v>
      </c>
      <c r="F419" s="30" t="e">
        <f t="shared" si="537"/>
        <v>#DIV/0!</v>
      </c>
      <c r="G419" s="30" t="e">
        <f t="shared" si="538"/>
        <v>#DIV/0!</v>
      </c>
      <c r="H419" s="35">
        <v>0</v>
      </c>
      <c r="I419" s="35"/>
      <c r="J419" s="35"/>
      <c r="K419" s="39"/>
      <c r="L419" s="39">
        <v>0</v>
      </c>
      <c r="M419" s="210"/>
      <c r="N419" s="44">
        <v>50</v>
      </c>
      <c r="O419" s="202">
        <v>2</v>
      </c>
      <c r="P419" s="31">
        <f t="shared" si="541"/>
        <v>0</v>
      </c>
      <c r="Q419" s="36"/>
      <c r="R419" s="203"/>
      <c r="S419" s="36">
        <v>2</v>
      </c>
      <c r="T419" s="34">
        <f t="shared" si="542"/>
        <v>49600</v>
      </c>
      <c r="U419" s="31">
        <f t="shared" si="543"/>
        <v>49600</v>
      </c>
      <c r="V419" s="34">
        <f t="shared" si="544"/>
        <v>0</v>
      </c>
      <c r="W419" s="43">
        <v>24800</v>
      </c>
      <c r="X419" s="34">
        <f>SUMIF(헤몬팜마진!$B$7:$B$32,$C419,헤몬팜마진!$R$7:$R$32)</f>
        <v>28986.566499999994</v>
      </c>
      <c r="Y419" s="34">
        <f t="shared" si="545"/>
        <v>0</v>
      </c>
      <c r="Z419" s="34">
        <f t="shared" si="546"/>
        <v>0</v>
      </c>
      <c r="AA419" s="49"/>
      <c r="AB419" s="211">
        <f>((75900*0.015)+(75900*0.19)+2100+2200+1900)*2</f>
        <v>43519</v>
      </c>
      <c r="AC419" s="204">
        <f t="shared" si="553"/>
        <v>0</v>
      </c>
      <c r="AD419" s="152">
        <v>0.1</v>
      </c>
      <c r="AE419" s="31">
        <f>1900*(P419)</f>
        <v>0</v>
      </c>
      <c r="AF419" s="28" t="e">
        <f t="shared" si="548"/>
        <v>#DIV/0!</v>
      </c>
      <c r="AG419" s="34">
        <f t="shared" si="549"/>
        <v>0</v>
      </c>
      <c r="AH419" s="34">
        <f t="shared" si="550"/>
        <v>0</v>
      </c>
      <c r="AI419" s="34">
        <f>SUMIF(헤몬팜마진!$B$7:$B$32,$C419,헤몬팜마진!$V$7:$V$32)</f>
        <v>29157.958499999997</v>
      </c>
      <c r="AJ419" s="34">
        <f t="shared" si="551"/>
        <v>0</v>
      </c>
      <c r="AK419" s="206">
        <f t="shared" si="552"/>
        <v>-43519</v>
      </c>
      <c r="AL419" s="40">
        <f>SUMIF(헤몬팜마진!$B$7:$B$32,$C419,헤몬팜마진!$T$7:$T$32)</f>
        <v>28.079999999999995</v>
      </c>
      <c r="AM419" s="41">
        <f>SUMIF(헤몬팜마진!$B$7:$B$32,$C419,헤몬팜마진!$U$7:$U$32)</f>
        <v>143.31199999999998</v>
      </c>
      <c r="AN419" s="36"/>
      <c r="AO419" s="202"/>
      <c r="AP419" s="205"/>
      <c r="AQ419" s="126"/>
      <c r="AR419" s="126"/>
      <c r="AS419" s="126"/>
      <c r="AT419" s="118"/>
      <c r="AU419" s="118"/>
      <c r="AV419" s="118"/>
      <c r="AW419" s="118"/>
      <c r="AX419" s="118"/>
      <c r="AY419" s="118"/>
      <c r="AZ419" s="118"/>
      <c r="BA419" s="118"/>
      <c r="BB419" s="118"/>
      <c r="BC419" s="118"/>
      <c r="BD419" s="118"/>
      <c r="BE419" s="118"/>
      <c r="BF419" s="118"/>
      <c r="BG419" s="47"/>
      <c r="BH419" s="47"/>
      <c r="BI419" s="47"/>
      <c r="BJ419" s="47"/>
      <c r="BK419" s="47"/>
    </row>
    <row r="420" spans="1:63" ht="28.5" customHeight="1">
      <c r="A420" s="12"/>
      <c r="B420" s="216"/>
      <c r="C420" s="217"/>
      <c r="D420" s="51" t="e">
        <f t="shared" si="535"/>
        <v>#REF!</v>
      </c>
      <c r="E420" s="218" t="e">
        <f t="shared" si="536"/>
        <v>#REF!</v>
      </c>
      <c r="F420" s="53">
        <f t="shared" si="537"/>
        <v>0.26947145061728395</v>
      </c>
      <c r="G420" s="219"/>
      <c r="H420" s="55"/>
      <c r="I420" s="55"/>
      <c r="J420" s="55"/>
      <c r="K420" s="55"/>
      <c r="L420" s="55"/>
      <c r="M420" s="55"/>
      <c r="N420" s="55"/>
      <c r="O420" s="130">
        <f>SUM(O403:O419)</f>
        <v>283</v>
      </c>
      <c r="P420" s="220">
        <f>SUM(P403:P418)</f>
        <v>279</v>
      </c>
      <c r="Q420" s="130">
        <f>SUM(Q403:Q419)</f>
        <v>43</v>
      </c>
      <c r="R420" s="130">
        <f>SUM(R403:R418)</f>
        <v>212</v>
      </c>
      <c r="S420" s="130">
        <f>SUM(S403:S419)</f>
        <v>4</v>
      </c>
      <c r="T420" s="130">
        <f t="shared" ref="T420:V420" si="557">SUM(T403:T418)</f>
        <v>7763760</v>
      </c>
      <c r="U420" s="130">
        <f t="shared" si="557"/>
        <v>39600</v>
      </c>
      <c r="V420" s="220">
        <f t="shared" si="557"/>
        <v>7724160</v>
      </c>
      <c r="W420" s="55"/>
      <c r="X420" s="130">
        <f t="shared" ref="X420:AC420" si="558">SUM(X403:X418)</f>
        <v>145176.23114999998</v>
      </c>
      <c r="Y420" s="220" t="e">
        <f t="shared" si="558"/>
        <v>#REF!</v>
      </c>
      <c r="Z420" s="130">
        <f t="shared" si="558"/>
        <v>2060471.6</v>
      </c>
      <c r="AA420" s="130">
        <f t="shared" si="558"/>
        <v>1873156</v>
      </c>
      <c r="AB420" s="130">
        <f t="shared" si="558"/>
        <v>20969</v>
      </c>
      <c r="AC420" s="130">
        <f t="shared" si="558"/>
        <v>96570</v>
      </c>
      <c r="AD420" s="154">
        <v>0.09</v>
      </c>
      <c r="AE420" s="220">
        <f>SUM(AE403:AE418)</f>
        <v>895650</v>
      </c>
      <c r="AF420" s="53">
        <f t="shared" si="548"/>
        <v>0.20595435620183944</v>
      </c>
      <c r="AG420" s="56">
        <f t="shared" ref="AG420:AI420" si="559">SUM(AG403:AG418)</f>
        <v>1641944.2300000002</v>
      </c>
      <c r="AH420" s="56" t="e">
        <f t="shared" si="559"/>
        <v>#REF!</v>
      </c>
      <c r="AI420" s="56" t="e">
        <f t="shared" si="559"/>
        <v>#REF!</v>
      </c>
      <c r="AJ420" s="56" t="e">
        <f t="shared" si="551"/>
        <v>#REF!</v>
      </c>
      <c r="AK420" s="221" t="e">
        <f t="shared" si="552"/>
        <v>#REF!</v>
      </c>
      <c r="AL420" s="54"/>
      <c r="AM420" s="222"/>
      <c r="AN420" s="57"/>
      <c r="AO420" s="131">
        <f t="shared" ref="AO420:AP420" si="560">SUM(AO403:AO404)</f>
        <v>520585</v>
      </c>
      <c r="AP420" s="132">
        <f t="shared" si="560"/>
        <v>2447</v>
      </c>
      <c r="AQ420" s="126"/>
      <c r="AR420" s="126"/>
      <c r="AS420" s="126"/>
      <c r="AT420" s="118"/>
      <c r="AU420" s="118"/>
      <c r="AV420" s="118"/>
      <c r="AW420" s="118"/>
      <c r="AX420" s="118"/>
      <c r="AY420" s="118"/>
      <c r="AZ420" s="118"/>
      <c r="BA420" s="118"/>
      <c r="BB420" s="118"/>
      <c r="BC420" s="118"/>
      <c r="BD420" s="118"/>
      <c r="BE420" s="118"/>
      <c r="BF420" s="118"/>
      <c r="BG420" s="47"/>
      <c r="BH420" s="47"/>
      <c r="BI420" s="47"/>
      <c r="BJ420" s="47"/>
      <c r="BK420" s="47"/>
    </row>
    <row r="421" spans="1:63" ht="28.5" customHeight="1">
      <c r="A421" s="3"/>
      <c r="B421" s="120"/>
      <c r="C421" s="229"/>
      <c r="D421" s="230"/>
      <c r="E421" s="230"/>
      <c r="F421" s="230"/>
      <c r="G421" s="230"/>
      <c r="H421" s="231"/>
      <c r="I421" s="231"/>
      <c r="J421" s="231"/>
      <c r="K421" s="231"/>
      <c r="L421" s="231"/>
      <c r="M421" s="231"/>
      <c r="N421" s="231"/>
      <c r="O421" s="231"/>
      <c r="P421" s="232"/>
      <c r="Q421" s="231"/>
      <c r="R421" s="231"/>
      <c r="S421" s="231"/>
      <c r="T421" s="231"/>
      <c r="U421" s="231"/>
      <c r="V421" s="231"/>
      <c r="W421" s="231"/>
      <c r="X421" s="231"/>
      <c r="Y421" s="231"/>
      <c r="Z421" s="231"/>
      <c r="AA421" s="133"/>
      <c r="AB421" s="61"/>
      <c r="AC421" s="148"/>
      <c r="AD421" s="148"/>
      <c r="AE421" s="148"/>
      <c r="AF421" s="148"/>
      <c r="AG421" s="61"/>
      <c r="AH421" s="61"/>
      <c r="AI421" s="187"/>
      <c r="AJ421" s="118"/>
      <c r="AK421" s="126"/>
      <c r="AL421" s="126"/>
      <c r="AM421" s="126"/>
      <c r="AN421" s="118"/>
      <c r="AO421" s="118"/>
      <c r="AP421" s="118"/>
      <c r="AQ421" s="126"/>
      <c r="AR421" s="126"/>
      <c r="AS421" s="126"/>
      <c r="AT421" s="118"/>
      <c r="AU421" s="118"/>
      <c r="AV421" s="118"/>
      <c r="AW421" s="118"/>
      <c r="AX421" s="118"/>
      <c r="AY421" s="118"/>
      <c r="AZ421" s="118"/>
      <c r="BA421" s="118"/>
      <c r="BB421" s="118"/>
      <c r="BC421" s="118"/>
      <c r="BD421" s="118"/>
      <c r="BE421" s="118"/>
      <c r="BF421" s="118"/>
      <c r="BG421" s="47"/>
      <c r="BH421" s="47"/>
      <c r="BI421" s="47"/>
      <c r="BJ421" s="47"/>
      <c r="BK421" s="47"/>
    </row>
    <row r="422" spans="1:63" ht="28.5" customHeight="1">
      <c r="A422" s="12"/>
      <c r="B422" s="189"/>
      <c r="C422" s="134">
        <v>45952</v>
      </c>
      <c r="D422" s="122" t="s">
        <v>0</v>
      </c>
      <c r="E422" s="122" t="s">
        <v>1</v>
      </c>
      <c r="F422" s="122" t="s">
        <v>2</v>
      </c>
      <c r="G422" s="190" t="s">
        <v>3</v>
      </c>
      <c r="H422" s="191" t="s">
        <v>4</v>
      </c>
      <c r="I422" s="192" t="s">
        <v>5</v>
      </c>
      <c r="J422" s="192" t="s">
        <v>90</v>
      </c>
      <c r="K422" s="193" t="s">
        <v>6</v>
      </c>
      <c r="L422" s="194" t="s">
        <v>7</v>
      </c>
      <c r="M422" s="15" t="s">
        <v>91</v>
      </c>
      <c r="N422" s="123" t="s">
        <v>125</v>
      </c>
      <c r="O422" s="123" t="s">
        <v>8</v>
      </c>
      <c r="P422" s="123" t="s">
        <v>9</v>
      </c>
      <c r="Q422" s="195" t="s">
        <v>10</v>
      </c>
      <c r="R422" s="123" t="s">
        <v>92</v>
      </c>
      <c r="S422" s="196" t="s">
        <v>11</v>
      </c>
      <c r="T422" s="17" t="s">
        <v>12</v>
      </c>
      <c r="U422" s="17" t="s">
        <v>13</v>
      </c>
      <c r="V422" s="17" t="s">
        <v>14</v>
      </c>
      <c r="W422" s="17" t="s">
        <v>15</v>
      </c>
      <c r="X422" s="15" t="s">
        <v>16</v>
      </c>
      <c r="Y422" s="15" t="s">
        <v>17</v>
      </c>
      <c r="Z422" s="19" t="s">
        <v>18</v>
      </c>
      <c r="AA422" s="19" t="s">
        <v>19</v>
      </c>
      <c r="AB422" s="20" t="s">
        <v>20</v>
      </c>
      <c r="AC422" s="22" t="s">
        <v>93</v>
      </c>
      <c r="AD422" s="197" t="s">
        <v>21</v>
      </c>
      <c r="AE422" s="122" t="s">
        <v>22</v>
      </c>
      <c r="AF422" s="21" t="s">
        <v>23</v>
      </c>
      <c r="AG422" s="21" t="s">
        <v>21</v>
      </c>
      <c r="AH422" s="122" t="s">
        <v>24</v>
      </c>
      <c r="AI422" s="15" t="s">
        <v>25</v>
      </c>
      <c r="AJ422" s="15" t="s">
        <v>26</v>
      </c>
      <c r="AK422" s="122" t="s">
        <v>27</v>
      </c>
      <c r="AL422" s="198" t="s">
        <v>28</v>
      </c>
      <c r="AM422" s="199" t="s">
        <v>29</v>
      </c>
      <c r="AN422" s="124" t="s">
        <v>30</v>
      </c>
      <c r="AO422" s="124" t="s">
        <v>94</v>
      </c>
      <c r="AP422" s="125" t="s">
        <v>95</v>
      </c>
      <c r="AQ422" s="126"/>
      <c r="AR422" s="126"/>
      <c r="AS422" s="126"/>
      <c r="AT422" s="118"/>
      <c r="AU422" s="118"/>
      <c r="AV422" s="118"/>
      <c r="AW422" s="118"/>
      <c r="AX422" s="118"/>
      <c r="AY422" s="118"/>
      <c r="AZ422" s="118"/>
      <c r="BA422" s="118"/>
      <c r="BB422" s="118"/>
      <c r="BC422" s="118"/>
      <c r="BD422" s="118"/>
      <c r="BE422" s="118"/>
      <c r="BF422" s="118"/>
      <c r="BG422" s="47"/>
      <c r="BH422" s="47"/>
      <c r="BI422" s="47"/>
      <c r="BJ422" s="47"/>
      <c r="BK422" s="47"/>
    </row>
    <row r="423" spans="1:63" ht="28.5" customHeight="1">
      <c r="A423" s="12" t="s">
        <v>129</v>
      </c>
      <c r="B423" s="200"/>
      <c r="C423" s="42" t="s">
        <v>107</v>
      </c>
      <c r="D423" s="28">
        <f t="shared" ref="D423:D440" si="561">AK423/V423</f>
        <v>0.20334446396924344</v>
      </c>
      <c r="E423" s="201">
        <f t="shared" ref="E423:E440" si="562">AJ423/V423</f>
        <v>0.42270749777627142</v>
      </c>
      <c r="F423" s="30">
        <f t="shared" ref="F423:F440" si="563">(Z423+AB423)/V423</f>
        <v>0.21936303380702799</v>
      </c>
      <c r="G423" s="30">
        <f t="shared" ref="G423:G439" si="564">R423/AP423</f>
        <v>5.3128689492325853E-2</v>
      </c>
      <c r="H423" s="35">
        <v>7410</v>
      </c>
      <c r="I423" s="35">
        <f t="shared" ref="I423:I438" si="565">N423*7</f>
        <v>1400</v>
      </c>
      <c r="J423" s="35">
        <f t="shared" ref="J423:J438" si="566">N423*14</f>
        <v>2800</v>
      </c>
      <c r="K423" s="49">
        <v>76</v>
      </c>
      <c r="L423" s="49">
        <f>1906+1320</f>
        <v>3226</v>
      </c>
      <c r="M423" s="48"/>
      <c r="N423" s="44">
        <v>200</v>
      </c>
      <c r="O423" s="227">
        <v>199</v>
      </c>
      <c r="P423" s="31">
        <f t="shared" ref="P423:P439" si="567">O423-S423</f>
        <v>199</v>
      </c>
      <c r="Q423" s="227">
        <v>14</v>
      </c>
      <c r="R423" s="233">
        <v>135</v>
      </c>
      <c r="S423" s="36"/>
      <c r="T423" s="34">
        <f t="shared" ref="T423:T439" si="568">W423*O423</f>
        <v>5552100</v>
      </c>
      <c r="U423" s="31">
        <f t="shared" ref="U423:U439" si="569">W423*S423</f>
        <v>0</v>
      </c>
      <c r="V423" s="34">
        <f t="shared" ref="V423:V439" si="570">T423-U423</f>
        <v>5552100</v>
      </c>
      <c r="W423" s="34">
        <v>27900</v>
      </c>
      <c r="X423" s="34">
        <f>SUMIF(헤몬팜마진!$B$7:$B$32,$C423,헤몬팜마진!$R$7:$R$32)</f>
        <v>8850.86</v>
      </c>
      <c r="Y423" s="34">
        <f t="shared" ref="Y423:Y439" si="571">AI423*P423</f>
        <v>1839767.2584000002</v>
      </c>
      <c r="Z423" s="34">
        <f t="shared" ref="Z423:Z439" si="572">AA423*1.1</f>
        <v>1217925.5</v>
      </c>
      <c r="AA423" s="234">
        <v>1107205</v>
      </c>
      <c r="AB423" s="36"/>
      <c r="AC423" s="204">
        <f t="shared" ref="AC423:AC424" si="573">(1072+1100)*Q423</f>
        <v>30408</v>
      </c>
      <c r="AD423" s="152">
        <v>0.1</v>
      </c>
      <c r="AE423" s="31">
        <f>3050*(P423)</f>
        <v>606950</v>
      </c>
      <c r="AF423" s="28">
        <f t="shared" ref="AF423:AF440" si="574">AD423+(AE423/V423)</f>
        <v>0.20931899641577062</v>
      </c>
      <c r="AG423" s="34">
        <f t="shared" ref="AG423:AG439" si="575">IFERROR(V423*AF423+3%,0)</f>
        <v>1162160.03</v>
      </c>
      <c r="AH423" s="34">
        <f t="shared" ref="AH423:AH439" si="576">V423/1.1*10%-((AI423*P423)+AG423+(AN423*P423)+(AL423*P423))*10%</f>
        <v>203258.4131963636</v>
      </c>
      <c r="AI423" s="34">
        <f>SUMIF(헤몬팜마진!$B$7:$B$32,$C423,헤몬팜마진!$V$7:$V$32)</f>
        <v>9245.0616000000009</v>
      </c>
      <c r="AJ423" s="34">
        <f t="shared" ref="AJ423:AJ440" si="577">V423-(Y423+AG423+AH423+(AN423*P423))</f>
        <v>2346914.2984036366</v>
      </c>
      <c r="AK423" s="46">
        <f t="shared" ref="AK423:AK440" si="578">AJ423-Z423-AB423</f>
        <v>1128988.7984036366</v>
      </c>
      <c r="AL423" s="40">
        <f>SUMIF(헤몬팜마진!$B$7:$B$32,$C423,헤몬팜마진!$T$7:$T$32)</f>
        <v>64.584000000000003</v>
      </c>
      <c r="AM423" s="41">
        <f>SUMIF(헤몬팜마진!$B$7:$B$32,$C423,헤몬팜마진!$U$7:$U$32)</f>
        <v>329.61759999999998</v>
      </c>
      <c r="AN423" s="36"/>
      <c r="AO423" s="235">
        <v>522043</v>
      </c>
      <c r="AP423" s="235">
        <v>2541</v>
      </c>
      <c r="AQ423" s="126"/>
      <c r="AR423" s="126"/>
      <c r="AS423" s="126"/>
      <c r="AT423" s="118"/>
      <c r="AU423" s="118"/>
      <c r="AV423" s="118"/>
      <c r="AW423" s="118"/>
      <c r="AX423" s="118"/>
      <c r="AY423" s="118"/>
      <c r="AZ423" s="118"/>
      <c r="BA423" s="118"/>
      <c r="BB423" s="118"/>
      <c r="BC423" s="118"/>
      <c r="BD423" s="118"/>
      <c r="BE423" s="118"/>
      <c r="BF423" s="118"/>
      <c r="BG423" s="47"/>
      <c r="BH423" s="47"/>
      <c r="BI423" s="47"/>
      <c r="BJ423" s="47"/>
      <c r="BK423" s="47"/>
    </row>
    <row r="424" spans="1:63" ht="28.5" customHeight="1">
      <c r="A424" s="228" t="s">
        <v>130</v>
      </c>
      <c r="B424" s="200"/>
      <c r="C424" s="42" t="s">
        <v>108</v>
      </c>
      <c r="D424" s="28" t="e">
        <f t="shared" si="561"/>
        <v>#DIV/0!</v>
      </c>
      <c r="E424" s="201" t="e">
        <f t="shared" si="562"/>
        <v>#DIV/0!</v>
      </c>
      <c r="F424" s="30" t="e">
        <f t="shared" si="563"/>
        <v>#DIV/0!</v>
      </c>
      <c r="G424" s="30" t="e">
        <f t="shared" si="564"/>
        <v>#DIV/0!</v>
      </c>
      <c r="H424" s="35">
        <v>1460</v>
      </c>
      <c r="I424" s="35">
        <f t="shared" si="565"/>
        <v>140</v>
      </c>
      <c r="J424" s="35">
        <f t="shared" si="566"/>
        <v>280</v>
      </c>
      <c r="K424" s="39">
        <v>325</v>
      </c>
      <c r="L424" s="39">
        <v>0</v>
      </c>
      <c r="M424" s="210"/>
      <c r="N424" s="44">
        <v>20</v>
      </c>
      <c r="O424" s="202">
        <v>0</v>
      </c>
      <c r="P424" s="31">
        <f t="shared" si="567"/>
        <v>0</v>
      </c>
      <c r="Q424" s="36"/>
      <c r="R424" s="167"/>
      <c r="S424" s="36"/>
      <c r="T424" s="34">
        <f t="shared" si="568"/>
        <v>0</v>
      </c>
      <c r="U424" s="31">
        <f t="shared" si="569"/>
        <v>0</v>
      </c>
      <c r="V424" s="34">
        <f t="shared" si="570"/>
        <v>0</v>
      </c>
      <c r="W424" s="43">
        <v>22700</v>
      </c>
      <c r="X424" s="34">
        <f>SUMIF(헤몬팜마진!$B$7:$B$32,$C424,헤몬팜마진!$R$7:$R$32)</f>
        <v>7080.6879999999992</v>
      </c>
      <c r="Y424" s="34">
        <f t="shared" si="571"/>
        <v>0</v>
      </c>
      <c r="Z424" s="34">
        <f t="shared" si="572"/>
        <v>0</v>
      </c>
      <c r="AA424" s="234"/>
      <c r="AB424" s="36"/>
      <c r="AC424" s="204">
        <f t="shared" si="573"/>
        <v>0</v>
      </c>
      <c r="AD424" s="152">
        <v>0.1</v>
      </c>
      <c r="AE424" s="31">
        <f>2950*(P424)</f>
        <v>0</v>
      </c>
      <c r="AF424" s="28" t="e">
        <f t="shared" si="574"/>
        <v>#DIV/0!</v>
      </c>
      <c r="AG424" s="34">
        <f t="shared" si="575"/>
        <v>0</v>
      </c>
      <c r="AH424" s="34">
        <f t="shared" si="576"/>
        <v>0</v>
      </c>
      <c r="AI424" s="34">
        <f>SUMIF(헤몬팜마진!$B$7:$B$32,$C424,헤몬팜마진!$V$7:$V$32)</f>
        <v>7377.3279999999995</v>
      </c>
      <c r="AJ424" s="34">
        <f t="shared" si="577"/>
        <v>0</v>
      </c>
      <c r="AK424" s="46">
        <f t="shared" si="578"/>
        <v>0</v>
      </c>
      <c r="AL424" s="40">
        <f>SUMIF(헤몬팜마진!$B$7:$B$32,$C424,헤몬팜마진!$T$7:$T$32)</f>
        <v>48.6</v>
      </c>
      <c r="AM424" s="41">
        <f>SUMIF(헤몬팜마진!$B$7:$B$32,$C424,헤몬팜마진!$U$7:$U$32)</f>
        <v>248.04000000000002</v>
      </c>
      <c r="AN424" s="36"/>
      <c r="AO424" s="235"/>
      <c r="AP424" s="235"/>
      <c r="AQ424" s="126"/>
      <c r="AR424" s="126"/>
      <c r="AS424" s="126"/>
      <c r="AT424" s="118"/>
      <c r="AU424" s="118"/>
      <c r="AV424" s="118"/>
      <c r="AW424" s="118"/>
      <c r="AX424" s="118"/>
      <c r="AY424" s="118"/>
      <c r="AZ424" s="118"/>
      <c r="BA424" s="118"/>
      <c r="BB424" s="118"/>
      <c r="BC424" s="118"/>
      <c r="BD424" s="118"/>
      <c r="BE424" s="118"/>
      <c r="BF424" s="118"/>
      <c r="BG424" s="47"/>
      <c r="BH424" s="47"/>
      <c r="BI424" s="47"/>
      <c r="BJ424" s="47"/>
      <c r="BK424" s="47"/>
    </row>
    <row r="425" spans="1:63" ht="28.5" customHeight="1">
      <c r="A425" s="228" t="s">
        <v>131</v>
      </c>
      <c r="B425" s="323"/>
      <c r="C425" s="42" t="s">
        <v>109</v>
      </c>
      <c r="D425" s="28" t="e">
        <f t="shared" si="561"/>
        <v>#REF!</v>
      </c>
      <c r="E425" s="201" t="e">
        <f t="shared" si="562"/>
        <v>#REF!</v>
      </c>
      <c r="F425" s="30">
        <f t="shared" si="563"/>
        <v>0.27033260553129551</v>
      </c>
      <c r="G425" s="30">
        <f t="shared" si="564"/>
        <v>1.5306122448979591E-2</v>
      </c>
      <c r="H425" s="35">
        <v>0</v>
      </c>
      <c r="I425" s="35">
        <f t="shared" si="565"/>
        <v>105</v>
      </c>
      <c r="J425" s="35">
        <f t="shared" si="566"/>
        <v>210</v>
      </c>
      <c r="K425" s="50">
        <v>430</v>
      </c>
      <c r="L425" s="49">
        <f>40+3+3</f>
        <v>46</v>
      </c>
      <c r="M425" s="48"/>
      <c r="N425" s="44">
        <v>15</v>
      </c>
      <c r="O425" s="202">
        <v>6</v>
      </c>
      <c r="P425" s="31">
        <f t="shared" si="567"/>
        <v>6</v>
      </c>
      <c r="Q425" s="36"/>
      <c r="R425" s="203">
        <v>3</v>
      </c>
      <c r="S425" s="36"/>
      <c r="T425" s="34">
        <f t="shared" si="568"/>
        <v>274800</v>
      </c>
      <c r="U425" s="31">
        <f t="shared" si="569"/>
        <v>0</v>
      </c>
      <c r="V425" s="34">
        <f t="shared" si="570"/>
        <v>274800</v>
      </c>
      <c r="W425" s="43">
        <v>45800</v>
      </c>
      <c r="X425" s="34">
        <f>SUMIF(헤몬팜마진!$B$7:$B$32,$C425,헤몬팜마진!$R$7:$R$32)</f>
        <v>9990.4082249999992</v>
      </c>
      <c r="Y425" s="34" t="e">
        <f t="shared" si="571"/>
        <v>#REF!</v>
      </c>
      <c r="Z425" s="34">
        <f t="shared" si="572"/>
        <v>74287.400000000009</v>
      </c>
      <c r="AA425" s="234">
        <v>67534</v>
      </c>
      <c r="AB425" s="36"/>
      <c r="AC425" s="204">
        <f t="shared" ref="AC425:AC439" si="579">(1210+1100)*Q425</f>
        <v>0</v>
      </c>
      <c r="AD425" s="152">
        <v>0.11</v>
      </c>
      <c r="AE425" s="31">
        <f t="shared" ref="AE425:AE427" si="580">4150*(P425)</f>
        <v>24900</v>
      </c>
      <c r="AF425" s="28">
        <f t="shared" si="574"/>
        <v>0.2006113537117904</v>
      </c>
      <c r="AG425" s="34">
        <f t="shared" si="575"/>
        <v>55128.03</v>
      </c>
      <c r="AH425" s="34" t="e">
        <f t="shared" si="576"/>
        <v>#REF!</v>
      </c>
      <c r="AI425" s="34" t="e">
        <f>SUMIF(헤몬팜마진!$B$7:$B$32,$C425,헤몬팜마진!$V$7:$V$32)</f>
        <v>#REF!</v>
      </c>
      <c r="AJ425" s="34" t="e">
        <f t="shared" si="577"/>
        <v>#REF!</v>
      </c>
      <c r="AK425" s="46" t="e">
        <f t="shared" si="578"/>
        <v>#REF!</v>
      </c>
      <c r="AL425" s="40">
        <f>SUMIF(헤몬팜마진!$B$7:$B$32,$C425,헤몬팜마진!$T$7:$T$32)</f>
        <v>162</v>
      </c>
      <c r="AM425" s="41">
        <f>SUMIF(헤몬팜마진!$B$7:$B$32,$C425,헤몬팜마진!$U$7:$U$32)</f>
        <v>826.80000000000007</v>
      </c>
      <c r="AN425" s="36"/>
      <c r="AO425" s="235">
        <v>61598</v>
      </c>
      <c r="AP425" s="235">
        <v>196</v>
      </c>
      <c r="AQ425" s="126"/>
      <c r="AR425" s="126"/>
      <c r="AS425" s="126"/>
      <c r="AT425" s="118"/>
      <c r="AU425" s="118"/>
      <c r="AV425" s="118"/>
      <c r="AW425" s="118"/>
      <c r="AX425" s="118"/>
      <c r="AY425" s="118"/>
      <c r="AZ425" s="118"/>
      <c r="BA425" s="118"/>
      <c r="BB425" s="118"/>
      <c r="BC425" s="118"/>
      <c r="BD425" s="118"/>
      <c r="BE425" s="118"/>
      <c r="BF425" s="118"/>
      <c r="BG425" s="47"/>
      <c r="BH425" s="47"/>
      <c r="BI425" s="47"/>
      <c r="BJ425" s="47"/>
      <c r="BK425" s="47"/>
    </row>
    <row r="426" spans="1:63" ht="28.5" customHeight="1">
      <c r="A426" s="228"/>
      <c r="B426" s="324"/>
      <c r="C426" s="42" t="s">
        <v>110</v>
      </c>
      <c r="D426" s="28" t="e">
        <f t="shared" si="561"/>
        <v>#REF!</v>
      </c>
      <c r="E426" s="201" t="e">
        <f t="shared" si="562"/>
        <v>#REF!</v>
      </c>
      <c r="F426" s="30">
        <f t="shared" si="563"/>
        <v>0.15455402930402931</v>
      </c>
      <c r="G426" s="30">
        <f t="shared" si="564"/>
        <v>2.3529411764705882E-2</v>
      </c>
      <c r="H426" s="35">
        <v>0</v>
      </c>
      <c r="I426" s="35">
        <f t="shared" si="565"/>
        <v>105</v>
      </c>
      <c r="J426" s="35">
        <f t="shared" si="566"/>
        <v>210</v>
      </c>
      <c r="K426" s="236"/>
      <c r="L426" s="49">
        <f>13+2</f>
        <v>15</v>
      </c>
      <c r="M426" s="48"/>
      <c r="N426" s="44">
        <v>15</v>
      </c>
      <c r="O426" s="202">
        <v>7</v>
      </c>
      <c r="P426" s="31">
        <f t="shared" si="567"/>
        <v>7</v>
      </c>
      <c r="Q426" s="202"/>
      <c r="R426" s="233">
        <v>4</v>
      </c>
      <c r="S426" s="36"/>
      <c r="T426" s="34">
        <f t="shared" si="568"/>
        <v>327600</v>
      </c>
      <c r="U426" s="31">
        <f t="shared" si="569"/>
        <v>0</v>
      </c>
      <c r="V426" s="34">
        <f t="shared" si="570"/>
        <v>327600</v>
      </c>
      <c r="W426" s="43">
        <v>46800</v>
      </c>
      <c r="X426" s="34">
        <f>SUMIF(헤몬팜마진!$B$7:$B$32,$C426,헤몬팜마진!$R$7:$R$32)</f>
        <v>9990.4082249999992</v>
      </c>
      <c r="Y426" s="34" t="e">
        <f t="shared" si="571"/>
        <v>#REF!</v>
      </c>
      <c r="Z426" s="34">
        <f t="shared" si="572"/>
        <v>50631.9</v>
      </c>
      <c r="AA426" s="234">
        <v>46029</v>
      </c>
      <c r="AB426" s="36"/>
      <c r="AC426" s="204">
        <f t="shared" si="579"/>
        <v>0</v>
      </c>
      <c r="AD426" s="152">
        <v>0.11</v>
      </c>
      <c r="AE426" s="31">
        <f t="shared" si="580"/>
        <v>29050</v>
      </c>
      <c r="AF426" s="28">
        <f t="shared" si="574"/>
        <v>0.19867521367521368</v>
      </c>
      <c r="AG426" s="34">
        <f t="shared" si="575"/>
        <v>65086.03</v>
      </c>
      <c r="AH426" s="34" t="e">
        <f t="shared" si="576"/>
        <v>#REF!</v>
      </c>
      <c r="AI426" s="34" t="e">
        <f>SUMIF(헤몬팜마진!$B$7:$B$32,$C426,헤몬팜마진!$V$7:$V$32)</f>
        <v>#REF!</v>
      </c>
      <c r="AJ426" s="34" t="e">
        <f t="shared" si="577"/>
        <v>#REF!</v>
      </c>
      <c r="AK426" s="206" t="e">
        <f t="shared" si="578"/>
        <v>#REF!</v>
      </c>
      <c r="AL426" s="40">
        <f>SUMIF(헤몬팜마진!$B$7:$B$32,$C426,헤몬팜마진!$T$7:$T$32)</f>
        <v>162</v>
      </c>
      <c r="AM426" s="41">
        <f>SUMIF(헤몬팜마진!$B$7:$B$32,$C426,헤몬팜마진!$U$7:$U$32)</f>
        <v>826.80000000000007</v>
      </c>
      <c r="AN426" s="36"/>
      <c r="AO426" s="235">
        <v>32461</v>
      </c>
      <c r="AP426" s="235">
        <v>170</v>
      </c>
      <c r="AQ426" s="126"/>
      <c r="AR426" s="126"/>
      <c r="AS426" s="126"/>
      <c r="AT426" s="118"/>
      <c r="AU426" s="118"/>
      <c r="AV426" s="118"/>
      <c r="AW426" s="118"/>
      <c r="AX426" s="118"/>
      <c r="AY426" s="118"/>
      <c r="AZ426" s="118"/>
      <c r="BA426" s="118"/>
      <c r="BB426" s="118"/>
      <c r="BC426" s="118"/>
      <c r="BD426" s="118"/>
      <c r="BE426" s="118"/>
      <c r="BF426" s="118"/>
      <c r="BG426" s="47"/>
      <c r="BH426" s="47"/>
      <c r="BI426" s="47"/>
      <c r="BJ426" s="47"/>
      <c r="BK426" s="47"/>
    </row>
    <row r="427" spans="1:63" ht="28.5" customHeight="1">
      <c r="A427" s="228" t="s">
        <v>134</v>
      </c>
      <c r="B427" s="207"/>
      <c r="C427" s="42" t="s">
        <v>112</v>
      </c>
      <c r="D427" s="29" t="e">
        <f t="shared" si="561"/>
        <v>#REF!</v>
      </c>
      <c r="E427" s="201" t="e">
        <f t="shared" si="562"/>
        <v>#REF!</v>
      </c>
      <c r="F427" s="30">
        <f t="shared" si="563"/>
        <v>0.46942546063651591</v>
      </c>
      <c r="G427" s="30">
        <f t="shared" si="564"/>
        <v>1.9047619047619049E-2</v>
      </c>
      <c r="H427" s="37">
        <v>0</v>
      </c>
      <c r="I427" s="35">
        <f t="shared" si="565"/>
        <v>140</v>
      </c>
      <c r="J427" s="35">
        <f t="shared" si="566"/>
        <v>280</v>
      </c>
      <c r="K427" s="50">
        <v>343</v>
      </c>
      <c r="L427" s="39">
        <f>97+42+48+31+19+10</f>
        <v>247</v>
      </c>
      <c r="M427" s="210"/>
      <c r="N427" s="44">
        <v>20</v>
      </c>
      <c r="O427" s="202">
        <v>3</v>
      </c>
      <c r="P427" s="31">
        <f t="shared" si="567"/>
        <v>3</v>
      </c>
      <c r="Q427" s="202">
        <v>1</v>
      </c>
      <c r="R427" s="233">
        <v>2</v>
      </c>
      <c r="S427" s="36"/>
      <c r="T427" s="34">
        <f t="shared" si="568"/>
        <v>119400</v>
      </c>
      <c r="U427" s="31">
        <f t="shared" si="569"/>
        <v>0</v>
      </c>
      <c r="V427" s="34">
        <f t="shared" si="570"/>
        <v>119400</v>
      </c>
      <c r="W427" s="43">
        <v>39800</v>
      </c>
      <c r="X427" s="34">
        <f>SUMIF(헤몬팜마진!$B$7:$B$32,$C427,헤몬팜마진!$R$7:$R$32)</f>
        <v>7855.1382499999991</v>
      </c>
      <c r="Y427" s="34" t="e">
        <f t="shared" si="571"/>
        <v>#REF!</v>
      </c>
      <c r="Z427" s="34">
        <f t="shared" si="572"/>
        <v>56049.4</v>
      </c>
      <c r="AA427" s="234">
        <v>50954</v>
      </c>
      <c r="AB427" s="209"/>
      <c r="AC427" s="204">
        <f t="shared" si="579"/>
        <v>2310</v>
      </c>
      <c r="AD427" s="152">
        <v>0.08</v>
      </c>
      <c r="AE427" s="31">
        <f t="shared" si="580"/>
        <v>12450</v>
      </c>
      <c r="AF427" s="28">
        <f t="shared" si="574"/>
        <v>0.18427135678391959</v>
      </c>
      <c r="AG427" s="34">
        <f t="shared" si="575"/>
        <v>22002.03</v>
      </c>
      <c r="AH427" s="34" t="e">
        <f t="shared" si="576"/>
        <v>#REF!</v>
      </c>
      <c r="AI427" s="34" t="e">
        <f>SUMIF(헤몬팜마진!$B$7:$B$32,$C427,헤몬팜마진!$V$7:$V$32)</f>
        <v>#REF!</v>
      </c>
      <c r="AJ427" s="34" t="e">
        <f t="shared" si="577"/>
        <v>#REF!</v>
      </c>
      <c r="AK427" s="46" t="e">
        <f t="shared" si="578"/>
        <v>#REF!</v>
      </c>
      <c r="AL427" s="40">
        <f>SUMIF(헤몬팜마진!$B$7:$B$32,$C427,헤몬팜마진!$T$7:$T$32)</f>
        <v>176.41799999999998</v>
      </c>
      <c r="AM427" s="41">
        <f>SUMIF(헤몬팜마진!$B$7:$B$32,$C427,헤몬팜마진!$U$7:$U$32)</f>
        <v>900.38519999999994</v>
      </c>
      <c r="AN427" s="36"/>
      <c r="AO427" s="235">
        <v>42193</v>
      </c>
      <c r="AP427" s="235">
        <v>105</v>
      </c>
      <c r="AQ427" s="126"/>
      <c r="AR427" s="126"/>
      <c r="AS427" s="126"/>
      <c r="AT427" s="118"/>
      <c r="AU427" s="118"/>
      <c r="AV427" s="118"/>
      <c r="AW427" s="118"/>
      <c r="AX427" s="118"/>
      <c r="AY427" s="118"/>
      <c r="AZ427" s="118"/>
      <c r="BA427" s="118"/>
      <c r="BB427" s="118"/>
      <c r="BC427" s="118"/>
      <c r="BD427" s="118"/>
      <c r="BE427" s="118"/>
      <c r="BF427" s="118"/>
      <c r="BG427" s="47"/>
      <c r="BH427" s="47"/>
      <c r="BI427" s="47"/>
      <c r="BJ427" s="47"/>
      <c r="BK427" s="47"/>
    </row>
    <row r="428" spans="1:63" ht="28.5" customHeight="1">
      <c r="A428" s="228"/>
      <c r="B428" s="237"/>
      <c r="C428" s="42" t="s">
        <v>113</v>
      </c>
      <c r="D428" s="28" t="e">
        <f t="shared" si="561"/>
        <v>#REF!</v>
      </c>
      <c r="E428" s="201" t="e">
        <f t="shared" si="562"/>
        <v>#REF!</v>
      </c>
      <c r="F428" s="30">
        <f t="shared" si="563"/>
        <v>0.33103846153846156</v>
      </c>
      <c r="G428" s="30">
        <f t="shared" si="564"/>
        <v>0</v>
      </c>
      <c r="H428" s="135"/>
      <c r="I428" s="35">
        <f t="shared" si="565"/>
        <v>105</v>
      </c>
      <c r="J428" s="35">
        <f t="shared" si="566"/>
        <v>210</v>
      </c>
      <c r="K428" s="236"/>
      <c r="L428" s="39">
        <f>74+42+48+18+8+2</f>
        <v>192</v>
      </c>
      <c r="M428" s="210"/>
      <c r="N428" s="44">
        <v>15</v>
      </c>
      <c r="O428" s="36">
        <v>2</v>
      </c>
      <c r="P428" s="31">
        <f t="shared" si="567"/>
        <v>2</v>
      </c>
      <c r="Q428" s="36">
        <v>2</v>
      </c>
      <c r="R428" s="233"/>
      <c r="S428" s="36"/>
      <c r="T428" s="34">
        <f t="shared" si="568"/>
        <v>85800</v>
      </c>
      <c r="U428" s="31">
        <f t="shared" si="569"/>
        <v>0</v>
      </c>
      <c r="V428" s="34">
        <f t="shared" si="570"/>
        <v>85800</v>
      </c>
      <c r="W428" s="43">
        <v>42900</v>
      </c>
      <c r="X428" s="34">
        <f>SUMIF(헤몬팜마진!$B$7:$B$32,$C428,헤몬팜마진!$R$7:$R$32)</f>
        <v>7855.1382499999991</v>
      </c>
      <c r="Y428" s="34" t="e">
        <f t="shared" si="571"/>
        <v>#REF!</v>
      </c>
      <c r="Z428" s="34">
        <f t="shared" si="572"/>
        <v>28403.100000000002</v>
      </c>
      <c r="AA428" s="234">
        <v>25821</v>
      </c>
      <c r="AB428" s="36"/>
      <c r="AC428" s="204">
        <f t="shared" si="579"/>
        <v>4620</v>
      </c>
      <c r="AD428" s="152">
        <v>7.8E-2</v>
      </c>
      <c r="AE428" s="31">
        <f>1900*(P428)</f>
        <v>3800</v>
      </c>
      <c r="AF428" s="28">
        <f t="shared" si="574"/>
        <v>0.12228904428904429</v>
      </c>
      <c r="AG428" s="34">
        <f t="shared" si="575"/>
        <v>10492.43</v>
      </c>
      <c r="AH428" s="34" t="e">
        <f t="shared" si="576"/>
        <v>#REF!</v>
      </c>
      <c r="AI428" s="34" t="e">
        <f>SUMIF(헤몬팜마진!$B$7:$B$32,$C428,헤몬팜마진!$V$7:$V$32)</f>
        <v>#REF!</v>
      </c>
      <c r="AJ428" s="34" t="e">
        <f t="shared" si="577"/>
        <v>#REF!</v>
      </c>
      <c r="AK428" s="206" t="e">
        <f t="shared" si="578"/>
        <v>#REF!</v>
      </c>
      <c r="AL428" s="40">
        <f>SUMIF(헤몬팜마진!$B$7:$B$32,$C428,헤몬팜마진!$T$7:$T$32)</f>
        <v>176.41799999999998</v>
      </c>
      <c r="AM428" s="41">
        <f>SUMIF(헤몬팜마진!$B$7:$B$32,$C428,헤몬팜마진!$U$7:$U$32)</f>
        <v>900.38519999999994</v>
      </c>
      <c r="AN428" s="36"/>
      <c r="AO428" s="235">
        <v>30934</v>
      </c>
      <c r="AP428" s="235">
        <v>55</v>
      </c>
      <c r="AQ428" s="126"/>
      <c r="AR428" s="126"/>
      <c r="AS428" s="126"/>
      <c r="AT428" s="118"/>
      <c r="AU428" s="118"/>
      <c r="AV428" s="118"/>
      <c r="AW428" s="118"/>
      <c r="AX428" s="118"/>
      <c r="AY428" s="118"/>
      <c r="AZ428" s="118"/>
      <c r="BA428" s="118"/>
      <c r="BB428" s="118"/>
      <c r="BC428" s="118"/>
      <c r="BD428" s="118"/>
      <c r="BE428" s="118"/>
      <c r="BF428" s="118"/>
      <c r="BG428" s="47"/>
      <c r="BH428" s="47"/>
      <c r="BI428" s="47"/>
      <c r="BJ428" s="47"/>
      <c r="BK428" s="47"/>
    </row>
    <row r="429" spans="1:63" ht="28.5" customHeight="1">
      <c r="A429" s="12" t="s">
        <v>132</v>
      </c>
      <c r="B429" s="207"/>
      <c r="C429" s="42" t="s">
        <v>32</v>
      </c>
      <c r="D429" s="28" t="e">
        <f t="shared" si="561"/>
        <v>#REF!</v>
      </c>
      <c r="E429" s="201" t="e">
        <f t="shared" si="562"/>
        <v>#REF!</v>
      </c>
      <c r="F429" s="30" t="e">
        <f t="shared" si="563"/>
        <v>#DIV/0!</v>
      </c>
      <c r="G429" s="30" t="e">
        <f t="shared" si="564"/>
        <v>#DIV/0!</v>
      </c>
      <c r="H429" s="37">
        <v>3504</v>
      </c>
      <c r="I429" s="35">
        <f t="shared" si="565"/>
        <v>210</v>
      </c>
      <c r="J429" s="35">
        <f t="shared" si="566"/>
        <v>420</v>
      </c>
      <c r="K429" s="50">
        <v>626</v>
      </c>
      <c r="L429" s="39">
        <f>30+13+6</f>
        <v>49</v>
      </c>
      <c r="M429" s="210"/>
      <c r="N429" s="208">
        <v>30</v>
      </c>
      <c r="O429" s="202">
        <v>0</v>
      </c>
      <c r="P429" s="31">
        <f t="shared" si="567"/>
        <v>0</v>
      </c>
      <c r="Q429" s="36"/>
      <c r="R429" s="203"/>
      <c r="S429" s="36"/>
      <c r="T429" s="34">
        <f t="shared" si="568"/>
        <v>0</v>
      </c>
      <c r="U429" s="31">
        <f t="shared" si="569"/>
        <v>0</v>
      </c>
      <c r="V429" s="34">
        <f t="shared" si="570"/>
        <v>0</v>
      </c>
      <c r="W429" s="43">
        <v>59800</v>
      </c>
      <c r="X429" s="34">
        <f>SUMIF(헤몬팜마진!$B$7:$B$32,$C429,헤몬팜마진!$R$7:$R$32)</f>
        <v>13276.289999999999</v>
      </c>
      <c r="Y429" s="34" t="e">
        <f t="shared" si="571"/>
        <v>#REF!</v>
      </c>
      <c r="Z429" s="34">
        <f t="shared" si="572"/>
        <v>0</v>
      </c>
      <c r="AA429" s="234"/>
      <c r="AB429" s="209"/>
      <c r="AC429" s="204">
        <f t="shared" si="579"/>
        <v>0</v>
      </c>
      <c r="AD429" s="152">
        <v>0.108</v>
      </c>
      <c r="AE429" s="31">
        <f t="shared" ref="AE429:AE430" si="581">4825*(P429)</f>
        <v>0</v>
      </c>
      <c r="AF429" s="28" t="e">
        <f t="shared" si="574"/>
        <v>#DIV/0!</v>
      </c>
      <c r="AG429" s="34">
        <f t="shared" si="575"/>
        <v>0</v>
      </c>
      <c r="AH429" s="34" t="e">
        <f t="shared" si="576"/>
        <v>#REF!</v>
      </c>
      <c r="AI429" s="34" t="e">
        <f>SUMIF(헤몬팜마진!$B$7:$B$32,$C429,헤몬팜마진!$V$7:$V$32)</f>
        <v>#REF!</v>
      </c>
      <c r="AJ429" s="34" t="e">
        <f t="shared" si="577"/>
        <v>#REF!</v>
      </c>
      <c r="AK429" s="46" t="e">
        <f t="shared" si="578"/>
        <v>#REF!</v>
      </c>
      <c r="AL429" s="40">
        <f>SUMIF(헤몬팜마진!$B$7:$B$32,$C429,헤몬팜마진!$T$7:$T$32)</f>
        <v>371.52</v>
      </c>
      <c r="AM429" s="41">
        <f>SUMIF(헤몬팜마진!$B$7:$B$32,$C429,헤몬팜마진!$U$7:$U$32)</f>
        <v>1896.1279999999999</v>
      </c>
      <c r="AN429" s="36"/>
      <c r="AO429" s="202"/>
      <c r="AP429" s="205"/>
      <c r="AQ429" s="126"/>
      <c r="AR429" s="126"/>
      <c r="AS429" s="126"/>
      <c r="AT429" s="118"/>
      <c r="AU429" s="118"/>
      <c r="AV429" s="118"/>
      <c r="AW429" s="118"/>
      <c r="AX429" s="118"/>
      <c r="AY429" s="118"/>
      <c r="AZ429" s="118"/>
      <c r="BA429" s="118"/>
      <c r="BB429" s="118"/>
      <c r="BC429" s="118"/>
      <c r="BD429" s="118"/>
      <c r="BE429" s="118"/>
      <c r="BF429" s="118"/>
      <c r="BG429" s="47"/>
      <c r="BH429" s="47"/>
      <c r="BI429" s="47"/>
      <c r="BJ429" s="47"/>
      <c r="BK429" s="47"/>
    </row>
    <row r="430" spans="1:63" ht="28.5" customHeight="1">
      <c r="A430" s="12" t="s">
        <v>132</v>
      </c>
      <c r="B430" s="237"/>
      <c r="C430" s="42" t="s">
        <v>33</v>
      </c>
      <c r="D430" s="28" t="e">
        <f t="shared" si="561"/>
        <v>#REF!</v>
      </c>
      <c r="E430" s="201" t="e">
        <f t="shared" si="562"/>
        <v>#REF!</v>
      </c>
      <c r="F430" s="30" t="e">
        <f t="shared" si="563"/>
        <v>#DIV/0!</v>
      </c>
      <c r="G430" s="30">
        <f t="shared" si="564"/>
        <v>0</v>
      </c>
      <c r="H430" s="35">
        <v>0</v>
      </c>
      <c r="I430" s="35">
        <f t="shared" si="565"/>
        <v>210</v>
      </c>
      <c r="J430" s="35">
        <f t="shared" si="566"/>
        <v>420</v>
      </c>
      <c r="K430" s="236"/>
      <c r="L430" s="39">
        <f>4+11+18+38+129</f>
        <v>200</v>
      </c>
      <c r="M430" s="210"/>
      <c r="N430" s="44">
        <v>30</v>
      </c>
      <c r="O430" s="202">
        <v>0</v>
      </c>
      <c r="P430" s="31">
        <f t="shared" si="567"/>
        <v>0</v>
      </c>
      <c r="Q430" s="36">
        <v>3</v>
      </c>
      <c r="R430" s="203"/>
      <c r="S430" s="36"/>
      <c r="T430" s="34">
        <f t="shared" si="568"/>
        <v>0</v>
      </c>
      <c r="U430" s="31">
        <f t="shared" si="569"/>
        <v>0</v>
      </c>
      <c r="V430" s="34">
        <f t="shared" si="570"/>
        <v>0</v>
      </c>
      <c r="W430" s="43">
        <v>69780</v>
      </c>
      <c r="X430" s="34">
        <f>SUMIF(헤몬팜마진!$B$7:$B$32,$C430,헤몬팜마진!$R$7:$R$32)</f>
        <v>13276.289999999999</v>
      </c>
      <c r="Y430" s="34" t="e">
        <f t="shared" si="571"/>
        <v>#REF!</v>
      </c>
      <c r="Z430" s="34">
        <f t="shared" si="572"/>
        <v>12331.000000000002</v>
      </c>
      <c r="AA430" s="234">
        <v>11210</v>
      </c>
      <c r="AB430" s="36"/>
      <c r="AC430" s="204">
        <f t="shared" si="579"/>
        <v>6930</v>
      </c>
      <c r="AD430" s="152">
        <v>0.108</v>
      </c>
      <c r="AE430" s="31">
        <f t="shared" si="581"/>
        <v>0</v>
      </c>
      <c r="AF430" s="28" t="e">
        <f t="shared" si="574"/>
        <v>#DIV/0!</v>
      </c>
      <c r="AG430" s="34">
        <f t="shared" si="575"/>
        <v>0</v>
      </c>
      <c r="AH430" s="34" t="e">
        <f t="shared" si="576"/>
        <v>#REF!</v>
      </c>
      <c r="AI430" s="34" t="e">
        <f>SUMIF(헤몬팜마진!$B$7:$B$32,$C430,헤몬팜마진!$V$7:$V$32)</f>
        <v>#REF!</v>
      </c>
      <c r="AJ430" s="34" t="e">
        <f t="shared" si="577"/>
        <v>#REF!</v>
      </c>
      <c r="AK430" s="46" t="e">
        <f t="shared" si="578"/>
        <v>#REF!</v>
      </c>
      <c r="AL430" s="40">
        <f>SUMIF(헤몬팜마진!$B$7:$B$32,$C430,헤몬팜마진!$T$7:$T$32)</f>
        <v>371.52</v>
      </c>
      <c r="AM430" s="41">
        <f>SUMIF(헤몬팜마진!$B$7:$B$32,$C430,헤몬팜마진!$U$7:$U$32)</f>
        <v>1896.1279999999999</v>
      </c>
      <c r="AN430" s="36"/>
      <c r="AO430" s="235">
        <v>6283</v>
      </c>
      <c r="AP430" s="235">
        <v>13</v>
      </c>
      <c r="AQ430" s="126"/>
      <c r="AR430" s="126"/>
      <c r="AS430" s="126"/>
      <c r="AT430" s="118"/>
      <c r="AU430" s="118"/>
      <c r="AV430" s="118"/>
      <c r="AW430" s="118"/>
      <c r="AX430" s="118"/>
      <c r="AY430" s="118"/>
      <c r="AZ430" s="118"/>
      <c r="BA430" s="118"/>
      <c r="BB430" s="118"/>
      <c r="BC430" s="118"/>
      <c r="BD430" s="118"/>
      <c r="BE430" s="118"/>
      <c r="BF430" s="118"/>
      <c r="BG430" s="47"/>
      <c r="BH430" s="47"/>
      <c r="BI430" s="47"/>
      <c r="BJ430" s="47"/>
      <c r="BK430" s="47"/>
    </row>
    <row r="431" spans="1:63" ht="28.5" customHeight="1">
      <c r="A431" s="228" t="s">
        <v>133</v>
      </c>
      <c r="B431" s="200"/>
      <c r="C431" s="42" t="s">
        <v>111</v>
      </c>
      <c r="D431" s="28">
        <f t="shared" si="561"/>
        <v>-0.25590811179411987</v>
      </c>
      <c r="E431" s="201">
        <f t="shared" si="562"/>
        <v>0.3908081826641101</v>
      </c>
      <c r="F431" s="30">
        <f t="shared" si="563"/>
        <v>0.64671629445822998</v>
      </c>
      <c r="G431" s="30">
        <f t="shared" si="564"/>
        <v>4.7619047619047616E-2</v>
      </c>
      <c r="H431" s="35">
        <v>500</v>
      </c>
      <c r="I431" s="35">
        <f t="shared" si="565"/>
        <v>105</v>
      </c>
      <c r="J431" s="35">
        <f t="shared" si="566"/>
        <v>210</v>
      </c>
      <c r="K431" s="39">
        <v>577</v>
      </c>
      <c r="L431" s="39">
        <v>211</v>
      </c>
      <c r="M431" s="210"/>
      <c r="N431" s="44">
        <v>15</v>
      </c>
      <c r="O431" s="202">
        <v>3</v>
      </c>
      <c r="P431" s="31">
        <f t="shared" si="567"/>
        <v>3</v>
      </c>
      <c r="Q431" s="202">
        <v>2</v>
      </c>
      <c r="R431" s="233">
        <v>3</v>
      </c>
      <c r="S431" s="202"/>
      <c r="T431" s="34">
        <f t="shared" si="568"/>
        <v>48360</v>
      </c>
      <c r="U431" s="31">
        <f t="shared" si="569"/>
        <v>0</v>
      </c>
      <c r="V431" s="34">
        <f t="shared" si="570"/>
        <v>48360</v>
      </c>
      <c r="W431" s="43">
        <v>16120</v>
      </c>
      <c r="X431" s="34">
        <f>SUMIF(헤몬팜마진!$B$7:$B$32,$C431,헤몬팜마진!$R$7:$R$32)</f>
        <v>5089.2444999999998</v>
      </c>
      <c r="Y431" s="34">
        <f t="shared" si="571"/>
        <v>15378.9735</v>
      </c>
      <c r="Z431" s="34">
        <f t="shared" si="572"/>
        <v>31275.200000000001</v>
      </c>
      <c r="AA431" s="234">
        <v>28432</v>
      </c>
      <c r="AB431" s="211"/>
      <c r="AC431" s="204">
        <f t="shared" si="579"/>
        <v>4620</v>
      </c>
      <c r="AD431" s="152">
        <v>7.8E-2</v>
      </c>
      <c r="AE431" s="31">
        <f>2900*(P431)</f>
        <v>8700</v>
      </c>
      <c r="AF431" s="28">
        <f t="shared" si="574"/>
        <v>0.25790074441687344</v>
      </c>
      <c r="AG431" s="34">
        <f t="shared" si="575"/>
        <v>12472.11</v>
      </c>
      <c r="AH431" s="34">
        <f t="shared" si="576"/>
        <v>1609.4327863636358</v>
      </c>
      <c r="AI431" s="34">
        <f>SUMIF(헤몬팜마진!$B$7:$B$32,$C431,헤몬팜마진!$V$7:$V$32)</f>
        <v>5126.3244999999997</v>
      </c>
      <c r="AJ431" s="34">
        <f t="shared" si="577"/>
        <v>18899.483713636364</v>
      </c>
      <c r="AK431" s="206">
        <f t="shared" si="578"/>
        <v>-12375.716286363637</v>
      </c>
      <c r="AL431" s="40">
        <f>SUMIF(헤몬팜마진!$B$7:$B$32,$C431,헤몬팜마진!$T$7:$T$32)</f>
        <v>6.0750000000000002</v>
      </c>
      <c r="AM431" s="41">
        <f>SUMIF(헤몬팜마진!$B$7:$B$32,$C431,헤몬팜마진!$U$7:$U$32)</f>
        <v>31.005000000000003</v>
      </c>
      <c r="AN431" s="36"/>
      <c r="AO431" s="235">
        <v>41371</v>
      </c>
      <c r="AP431" s="235">
        <v>63</v>
      </c>
      <c r="AQ431" s="126"/>
      <c r="AR431" s="126"/>
      <c r="AS431" s="126"/>
      <c r="AT431" s="118"/>
      <c r="AU431" s="118"/>
      <c r="AV431" s="118"/>
      <c r="AW431" s="118"/>
      <c r="AX431" s="118"/>
      <c r="AY431" s="118"/>
      <c r="AZ431" s="118"/>
      <c r="BA431" s="118"/>
      <c r="BB431" s="118"/>
      <c r="BC431" s="118"/>
      <c r="BD431" s="118"/>
      <c r="BE431" s="118"/>
      <c r="BF431" s="118"/>
      <c r="BG431" s="47"/>
      <c r="BH431" s="47"/>
      <c r="BI431" s="47"/>
      <c r="BJ431" s="47"/>
      <c r="BK431" s="47"/>
    </row>
    <row r="432" spans="1:63" ht="28.5" customHeight="1">
      <c r="A432" s="228" t="s">
        <v>135</v>
      </c>
      <c r="B432" s="200"/>
      <c r="C432" s="42" t="s">
        <v>114</v>
      </c>
      <c r="D432" s="28">
        <f t="shared" si="561"/>
        <v>0.1025148604166667</v>
      </c>
      <c r="E432" s="201">
        <f t="shared" si="562"/>
        <v>0.36298881875000005</v>
      </c>
      <c r="F432" s="30">
        <f t="shared" si="563"/>
        <v>0.26047395833333337</v>
      </c>
      <c r="G432" s="30">
        <f t="shared" si="564"/>
        <v>7.6923076923076927E-2</v>
      </c>
      <c r="H432" s="35">
        <v>1750</v>
      </c>
      <c r="I432" s="35">
        <f t="shared" si="565"/>
        <v>350</v>
      </c>
      <c r="J432" s="35">
        <f t="shared" si="566"/>
        <v>700</v>
      </c>
      <c r="K432" s="39">
        <v>1449</v>
      </c>
      <c r="L432" s="39">
        <v>1217</v>
      </c>
      <c r="M432" s="210"/>
      <c r="N432" s="44">
        <v>50</v>
      </c>
      <c r="O432" s="202">
        <v>11</v>
      </c>
      <c r="P432" s="31">
        <f t="shared" si="567"/>
        <v>11</v>
      </c>
      <c r="Q432" s="36">
        <v>1</v>
      </c>
      <c r="R432" s="233">
        <v>6</v>
      </c>
      <c r="S432" s="36"/>
      <c r="T432" s="34">
        <f t="shared" si="568"/>
        <v>211200</v>
      </c>
      <c r="U432" s="31">
        <f t="shared" si="569"/>
        <v>0</v>
      </c>
      <c r="V432" s="34">
        <f t="shared" si="570"/>
        <v>211200</v>
      </c>
      <c r="W432" s="43">
        <v>19200</v>
      </c>
      <c r="X432" s="34">
        <f>SUMIF(헤몬팜마진!$B$7:$B$32,$C432,헤몬팜마진!$R$7:$R$32)</f>
        <v>6372.6191999999992</v>
      </c>
      <c r="Y432" s="34">
        <f t="shared" si="571"/>
        <v>74485.787199999992</v>
      </c>
      <c r="Z432" s="34">
        <f t="shared" si="572"/>
        <v>55012.100000000006</v>
      </c>
      <c r="AA432" s="234">
        <v>50011</v>
      </c>
      <c r="AB432" s="36"/>
      <c r="AC432" s="204">
        <f t="shared" si="579"/>
        <v>2310</v>
      </c>
      <c r="AD432" s="152">
        <v>0.08</v>
      </c>
      <c r="AE432" s="31">
        <f>3350*(P432)</f>
        <v>36850</v>
      </c>
      <c r="AF432" s="28">
        <f t="shared" si="574"/>
        <v>0.25447916666666665</v>
      </c>
      <c r="AG432" s="34">
        <f t="shared" si="575"/>
        <v>53746.029999999992</v>
      </c>
      <c r="AH432" s="34">
        <f t="shared" si="576"/>
        <v>6304.9442799999961</v>
      </c>
      <c r="AI432" s="34">
        <f>SUMIF(헤몬팜마진!$B$7:$B$32,$C432,헤몬팜마진!$V$7:$V$32)</f>
        <v>6771.435199999999</v>
      </c>
      <c r="AJ432" s="34">
        <f t="shared" si="577"/>
        <v>76663.238520000014</v>
      </c>
      <c r="AK432" s="46">
        <f t="shared" si="578"/>
        <v>21651.138520000008</v>
      </c>
      <c r="AL432" s="40">
        <f>SUMIF(헤몬팜마진!$B$7:$B$32,$C432,헤몬팜마진!$T$7:$T$32)</f>
        <v>65.34</v>
      </c>
      <c r="AM432" s="41">
        <f>SUMIF(헤몬팜마진!$B$7:$B$32,$C432,헤몬팜마진!$U$7:$U$32)</f>
        <v>333.476</v>
      </c>
      <c r="AN432" s="36"/>
      <c r="AO432" s="235">
        <v>27815</v>
      </c>
      <c r="AP432" s="235">
        <v>78</v>
      </c>
      <c r="AQ432" s="126"/>
      <c r="AR432" s="126"/>
      <c r="AS432" s="126"/>
      <c r="AT432" s="118"/>
      <c r="AU432" s="118"/>
      <c r="AV432" s="118"/>
      <c r="AW432" s="118"/>
      <c r="AX432" s="118"/>
      <c r="AY432" s="118"/>
      <c r="AZ432" s="118"/>
      <c r="BA432" s="118"/>
      <c r="BB432" s="118"/>
      <c r="BC432" s="118"/>
      <c r="BD432" s="118"/>
      <c r="BE432" s="118"/>
      <c r="BF432" s="118"/>
      <c r="BG432" s="47"/>
      <c r="BH432" s="47"/>
      <c r="BI432" s="47"/>
      <c r="BJ432" s="47"/>
      <c r="BK432" s="47"/>
    </row>
    <row r="433" spans="1:63" ht="28.5" customHeight="1">
      <c r="A433" s="327" t="s">
        <v>136</v>
      </c>
      <c r="B433" s="326"/>
      <c r="C433" s="42" t="s">
        <v>115</v>
      </c>
      <c r="D433" s="28" t="e">
        <f t="shared" si="561"/>
        <v>#REF!</v>
      </c>
      <c r="E433" s="201" t="e">
        <f t="shared" si="562"/>
        <v>#REF!</v>
      </c>
      <c r="F433" s="30">
        <f t="shared" si="563"/>
        <v>0.77755261575466028</v>
      </c>
      <c r="G433" s="30">
        <f t="shared" si="564"/>
        <v>3.1578947368421054E-2</v>
      </c>
      <c r="H433" s="35">
        <v>0</v>
      </c>
      <c r="I433" s="35">
        <f t="shared" si="565"/>
        <v>70</v>
      </c>
      <c r="J433" s="35">
        <f t="shared" si="566"/>
        <v>140</v>
      </c>
      <c r="K433" s="328">
        <v>494</v>
      </c>
      <c r="L433" s="39">
        <v>0</v>
      </c>
      <c r="M433" s="210"/>
      <c r="N433" s="44">
        <v>10</v>
      </c>
      <c r="O433" s="36">
        <v>7</v>
      </c>
      <c r="P433" s="31">
        <f t="shared" si="567"/>
        <v>3</v>
      </c>
      <c r="Q433" s="36"/>
      <c r="R433" s="233">
        <v>3</v>
      </c>
      <c r="S433" s="36">
        <v>4</v>
      </c>
      <c r="T433" s="34">
        <f t="shared" si="568"/>
        <v>349230</v>
      </c>
      <c r="U433" s="31">
        <f t="shared" si="569"/>
        <v>199560</v>
      </c>
      <c r="V433" s="34">
        <f t="shared" si="570"/>
        <v>149670</v>
      </c>
      <c r="W433" s="43">
        <v>49890</v>
      </c>
      <c r="X433" s="34">
        <f>SUMIF(헤몬팜마진!$B$7:$B$32,$C433,헤몬팜마진!$R$7:$R$32)</f>
        <v>12169.932499999999</v>
      </c>
      <c r="Y433" s="34" t="e">
        <f t="shared" si="571"/>
        <v>#REF!</v>
      </c>
      <c r="Z433" s="34">
        <f t="shared" si="572"/>
        <v>49756.3</v>
      </c>
      <c r="AA433" s="234">
        <v>45233</v>
      </c>
      <c r="AB433" s="211">
        <f>((51000*0.015)+(51000*0.19)+2100+2200+1900)*4</f>
        <v>66620</v>
      </c>
      <c r="AC433" s="204">
        <f t="shared" si="579"/>
        <v>0</v>
      </c>
      <c r="AD433" s="152">
        <v>7.8E-2</v>
      </c>
      <c r="AE433" s="31">
        <f t="shared" ref="AE433:AE434" si="582">4825*(P433)</f>
        <v>14475</v>
      </c>
      <c r="AF433" s="28">
        <f t="shared" si="574"/>
        <v>0.17471276808979755</v>
      </c>
      <c r="AG433" s="34">
        <f t="shared" si="575"/>
        <v>26149.289999999997</v>
      </c>
      <c r="AH433" s="34" t="e">
        <f t="shared" si="576"/>
        <v>#REF!</v>
      </c>
      <c r="AI433" s="34" t="e">
        <f>SUMIF(헤몬팜마진!$B$7:$B$32,$C433,헤몬팜마진!$V$7:$V$32)</f>
        <v>#REF!</v>
      </c>
      <c r="AJ433" s="34" t="e">
        <f t="shared" si="577"/>
        <v>#REF!</v>
      </c>
      <c r="AK433" s="206" t="e">
        <f t="shared" si="578"/>
        <v>#REF!</v>
      </c>
      <c r="AL433" s="40">
        <f>SUMIF(헤몬팜마진!$B$7:$B$32,$C433,헤몬팜마진!$T$7:$T$32)</f>
        <v>181.44000000000003</v>
      </c>
      <c r="AM433" s="41">
        <f>SUMIF(헤몬팜마진!$B$7:$B$32,$C433,헤몬팜마진!$U$7:$U$32)</f>
        <v>926.01600000000019</v>
      </c>
      <c r="AN433" s="36"/>
      <c r="AO433" s="235">
        <v>34185</v>
      </c>
      <c r="AP433" s="235">
        <v>95</v>
      </c>
      <c r="AQ433" s="126"/>
      <c r="AR433" s="126"/>
      <c r="AS433" s="126"/>
      <c r="AT433" s="118"/>
      <c r="AU433" s="118"/>
      <c r="AV433" s="118"/>
      <c r="AW433" s="118"/>
      <c r="AX433" s="118"/>
      <c r="AY433" s="118"/>
      <c r="AZ433" s="118"/>
      <c r="BA433" s="118"/>
      <c r="BB433" s="118"/>
      <c r="BC433" s="118"/>
      <c r="BD433" s="118"/>
      <c r="BE433" s="118"/>
      <c r="BF433" s="118"/>
      <c r="BG433" s="47"/>
      <c r="BH433" s="47"/>
      <c r="BI433" s="47"/>
      <c r="BJ433" s="47"/>
      <c r="BK433" s="47"/>
    </row>
    <row r="434" spans="1:63" ht="28.5" customHeight="1">
      <c r="A434" s="318"/>
      <c r="B434" s="324"/>
      <c r="C434" s="42" t="s">
        <v>116</v>
      </c>
      <c r="D434" s="28" t="e">
        <f t="shared" si="561"/>
        <v>#REF!</v>
      </c>
      <c r="E434" s="201" t="e">
        <f t="shared" si="562"/>
        <v>#REF!</v>
      </c>
      <c r="F434" s="30">
        <f t="shared" si="563"/>
        <v>0.22050411471936138</v>
      </c>
      <c r="G434" s="30">
        <f t="shared" si="564"/>
        <v>3.5714285714285712E-2</v>
      </c>
      <c r="H434" s="35">
        <v>0</v>
      </c>
      <c r="I434" s="35">
        <f t="shared" si="565"/>
        <v>70</v>
      </c>
      <c r="J434" s="35">
        <f t="shared" si="566"/>
        <v>140</v>
      </c>
      <c r="K434" s="310"/>
      <c r="L434" s="39">
        <v>1</v>
      </c>
      <c r="M434" s="210"/>
      <c r="N434" s="44">
        <v>10</v>
      </c>
      <c r="O434" s="202">
        <v>7</v>
      </c>
      <c r="P434" s="31">
        <f t="shared" si="567"/>
        <v>7</v>
      </c>
      <c r="Q434" s="202">
        <v>2</v>
      </c>
      <c r="R434" s="233">
        <v>7</v>
      </c>
      <c r="S434" s="36"/>
      <c r="T434" s="34">
        <f t="shared" si="568"/>
        <v>405860</v>
      </c>
      <c r="U434" s="31">
        <f t="shared" si="569"/>
        <v>0</v>
      </c>
      <c r="V434" s="34">
        <f t="shared" si="570"/>
        <v>405860</v>
      </c>
      <c r="W434" s="43">
        <v>57980</v>
      </c>
      <c r="X434" s="34">
        <f>SUMIF(헤몬팜마진!$B$7:$B$32,$C434,헤몬팜마진!$R$7:$R$32)</f>
        <v>12169.932499999999</v>
      </c>
      <c r="Y434" s="34" t="e">
        <f t="shared" si="571"/>
        <v>#REF!</v>
      </c>
      <c r="Z434" s="34">
        <f t="shared" si="572"/>
        <v>89493.8</v>
      </c>
      <c r="AA434" s="234">
        <v>81358</v>
      </c>
      <c r="AB434" s="36"/>
      <c r="AC434" s="204">
        <f t="shared" si="579"/>
        <v>4620</v>
      </c>
      <c r="AD434" s="152">
        <v>7.8E-2</v>
      </c>
      <c r="AE434" s="31">
        <f t="shared" si="582"/>
        <v>33775</v>
      </c>
      <c r="AF434" s="28">
        <f t="shared" si="574"/>
        <v>0.16121835115557087</v>
      </c>
      <c r="AG434" s="34">
        <f t="shared" si="575"/>
        <v>65432.109999999993</v>
      </c>
      <c r="AH434" s="34" t="e">
        <f t="shared" si="576"/>
        <v>#REF!</v>
      </c>
      <c r="AI434" s="34" t="e">
        <f>SUMIF(헤몬팜마진!$B$7:$B$32,$C434,헤몬팜마진!$V$7:$V$32)</f>
        <v>#REF!</v>
      </c>
      <c r="AJ434" s="34" t="e">
        <f t="shared" si="577"/>
        <v>#REF!</v>
      </c>
      <c r="AK434" s="46" t="e">
        <f t="shared" si="578"/>
        <v>#REF!</v>
      </c>
      <c r="AL434" s="40">
        <f>SUMIF(헤몬팜마진!$B$7:$B$32,$C434,헤몬팜마진!$T$7:$T$32)</f>
        <v>181.44000000000003</v>
      </c>
      <c r="AM434" s="41">
        <f>SUMIF(헤몬팜마진!$B$7:$B$32,$C434,헤몬팜마진!$U$7:$U$32)</f>
        <v>926.01600000000019</v>
      </c>
      <c r="AN434" s="36"/>
      <c r="AO434" s="235">
        <v>32342</v>
      </c>
      <c r="AP434" s="235">
        <v>196</v>
      </c>
      <c r="AQ434" s="126"/>
      <c r="AR434" s="126"/>
      <c r="AS434" s="126"/>
      <c r="AT434" s="118"/>
      <c r="AU434" s="118"/>
      <c r="AV434" s="118"/>
      <c r="AW434" s="118"/>
      <c r="AX434" s="118"/>
      <c r="AY434" s="118"/>
      <c r="AZ434" s="118"/>
      <c r="BA434" s="118"/>
      <c r="BB434" s="118"/>
      <c r="BC434" s="118"/>
      <c r="BD434" s="118"/>
      <c r="BE434" s="118"/>
      <c r="BF434" s="118"/>
      <c r="BG434" s="47"/>
      <c r="BH434" s="47"/>
      <c r="BI434" s="47"/>
      <c r="BJ434" s="47"/>
      <c r="BK434" s="47"/>
    </row>
    <row r="435" spans="1:63" ht="28.5" customHeight="1">
      <c r="A435" s="228" t="s">
        <v>137</v>
      </c>
      <c r="B435" s="200"/>
      <c r="C435" s="42" t="s">
        <v>117</v>
      </c>
      <c r="D435" s="28">
        <f t="shared" si="561"/>
        <v>3.547722669390533E-2</v>
      </c>
      <c r="E435" s="201">
        <f t="shared" si="562"/>
        <v>0.43835737650663947</v>
      </c>
      <c r="F435" s="30">
        <f t="shared" si="563"/>
        <v>0.40288014981273412</v>
      </c>
      <c r="G435" s="30">
        <f t="shared" si="564"/>
        <v>1.6042780748663103E-2</v>
      </c>
      <c r="H435" s="35">
        <v>2000</v>
      </c>
      <c r="I435" s="35">
        <f t="shared" si="565"/>
        <v>700</v>
      </c>
      <c r="J435" s="35">
        <f t="shared" si="566"/>
        <v>1400</v>
      </c>
      <c r="K435" s="39">
        <v>2373</v>
      </c>
      <c r="L435" s="39">
        <v>3</v>
      </c>
      <c r="M435" s="210"/>
      <c r="N435" s="44">
        <v>100</v>
      </c>
      <c r="O435" s="202">
        <v>6</v>
      </c>
      <c r="P435" s="31">
        <f t="shared" si="567"/>
        <v>6</v>
      </c>
      <c r="Q435" s="202">
        <v>5</v>
      </c>
      <c r="R435" s="233">
        <v>3</v>
      </c>
      <c r="S435" s="36"/>
      <c r="T435" s="34">
        <f t="shared" si="568"/>
        <v>106800</v>
      </c>
      <c r="U435" s="31">
        <f t="shared" si="569"/>
        <v>0</v>
      </c>
      <c r="V435" s="34">
        <f t="shared" si="570"/>
        <v>106800</v>
      </c>
      <c r="W435" s="43">
        <v>17800</v>
      </c>
      <c r="X435" s="34">
        <f>SUMIF(헤몬팜마진!$B$7:$B$32,$C435,헤몬팜마진!$R$7:$R$32)</f>
        <v>3982.8869999999997</v>
      </c>
      <c r="Y435" s="34">
        <f t="shared" si="571"/>
        <v>29023.261199999997</v>
      </c>
      <c r="Z435" s="34">
        <f t="shared" si="572"/>
        <v>43027.600000000006</v>
      </c>
      <c r="AA435" s="234">
        <f>22221+16895</f>
        <v>39116</v>
      </c>
      <c r="AB435" s="36"/>
      <c r="AC435" s="204">
        <f t="shared" si="579"/>
        <v>11550</v>
      </c>
      <c r="AD435" s="152">
        <v>7.8E-2</v>
      </c>
      <c r="AE435" s="31">
        <f>3100*(P435)</f>
        <v>18600</v>
      </c>
      <c r="AF435" s="28">
        <f t="shared" si="574"/>
        <v>0.25215730337078651</v>
      </c>
      <c r="AG435" s="34">
        <f t="shared" si="575"/>
        <v>26930.429999999997</v>
      </c>
      <c r="AH435" s="34">
        <f t="shared" si="576"/>
        <v>4029.7409890909103</v>
      </c>
      <c r="AI435" s="34">
        <f>SUMIF(헤몬팜마진!$B$7:$B$32,$C435,헤몬팜마진!$V$7:$V$32)</f>
        <v>4837.2101999999995</v>
      </c>
      <c r="AJ435" s="34">
        <f t="shared" si="577"/>
        <v>46816.567810909095</v>
      </c>
      <c r="AK435" s="46">
        <f t="shared" si="578"/>
        <v>3788.9678109090892</v>
      </c>
      <c r="AL435" s="40">
        <f>SUMIF(헤몬팜마진!$B$7:$B$32,$C435,헤몬팜마진!$T$7:$T$32)</f>
        <v>139.96800000000002</v>
      </c>
      <c r="AM435" s="41">
        <f>SUMIF(헤몬팜마진!$B$7:$B$32,$C435,헤몬팜마진!$U$7:$U$32)</f>
        <v>714.35519999999997</v>
      </c>
      <c r="AN435" s="36"/>
      <c r="AO435" s="235">
        <v>46128</v>
      </c>
      <c r="AP435" s="235">
        <v>187</v>
      </c>
      <c r="AQ435" s="126"/>
      <c r="AR435" s="126"/>
      <c r="AS435" s="126"/>
      <c r="AT435" s="118"/>
      <c r="AU435" s="118"/>
      <c r="AV435" s="118"/>
      <c r="AW435" s="118"/>
      <c r="AX435" s="118"/>
      <c r="AY435" s="118"/>
      <c r="AZ435" s="118"/>
      <c r="BA435" s="118"/>
      <c r="BB435" s="118"/>
      <c r="BC435" s="118"/>
      <c r="BD435" s="118"/>
      <c r="BE435" s="118"/>
      <c r="BF435" s="118"/>
      <c r="BG435" s="47"/>
      <c r="BH435" s="47"/>
      <c r="BI435" s="47"/>
      <c r="BJ435" s="47"/>
      <c r="BK435" s="47"/>
    </row>
    <row r="436" spans="1:63" ht="28.5" customHeight="1">
      <c r="A436" s="228" t="s">
        <v>139</v>
      </c>
      <c r="B436" s="127" t="s">
        <v>127</v>
      </c>
      <c r="C436" s="42" t="s">
        <v>119</v>
      </c>
      <c r="D436" s="28">
        <f t="shared" si="561"/>
        <v>0.15075451348208069</v>
      </c>
      <c r="E436" s="201">
        <f t="shared" si="562"/>
        <v>0.4344483992655187</v>
      </c>
      <c r="F436" s="30">
        <f t="shared" si="563"/>
        <v>0.28369388578343802</v>
      </c>
      <c r="G436" s="30">
        <f t="shared" si="564"/>
        <v>9.9009900990099015E-2</v>
      </c>
      <c r="H436" s="35">
        <v>2000</v>
      </c>
      <c r="I436" s="35">
        <f t="shared" si="565"/>
        <v>280</v>
      </c>
      <c r="J436" s="35">
        <f t="shared" si="566"/>
        <v>560</v>
      </c>
      <c r="K436" s="213">
        <v>1048</v>
      </c>
      <c r="L436" s="39">
        <f>311+240+1</f>
        <v>552</v>
      </c>
      <c r="M436" s="210"/>
      <c r="N436" s="44">
        <v>40</v>
      </c>
      <c r="O436" s="202">
        <v>14</v>
      </c>
      <c r="P436" s="31">
        <f t="shared" si="567"/>
        <v>14</v>
      </c>
      <c r="Q436" s="202">
        <v>5</v>
      </c>
      <c r="R436" s="233">
        <v>10</v>
      </c>
      <c r="S436" s="36"/>
      <c r="T436" s="34">
        <f t="shared" si="568"/>
        <v>347060</v>
      </c>
      <c r="U436" s="31">
        <f t="shared" si="569"/>
        <v>0</v>
      </c>
      <c r="V436" s="34">
        <f t="shared" si="570"/>
        <v>347060</v>
      </c>
      <c r="W436" s="43">
        <v>24790</v>
      </c>
      <c r="X436" s="34">
        <f>SUMIF(헤몬팜마진!$B$7:$B$32,$C436,헤몬팜마진!$R$7:$R$32)</f>
        <v>6859.4164999999994</v>
      </c>
      <c r="Y436" s="34">
        <f t="shared" si="571"/>
        <v>101550.65339999998</v>
      </c>
      <c r="Z436" s="34">
        <f t="shared" si="572"/>
        <v>98458.8</v>
      </c>
      <c r="AA436" s="234">
        <v>89508</v>
      </c>
      <c r="AB436" s="209"/>
      <c r="AC436" s="204">
        <f t="shared" si="579"/>
        <v>11550</v>
      </c>
      <c r="AD436" s="152">
        <v>0.108</v>
      </c>
      <c r="AE436" s="31">
        <f>3150*(P436)</f>
        <v>44100</v>
      </c>
      <c r="AF436" s="28">
        <f t="shared" si="574"/>
        <v>0.23506736587333604</v>
      </c>
      <c r="AG436" s="34">
        <f t="shared" si="575"/>
        <v>81582.510000000009</v>
      </c>
      <c r="AH436" s="34">
        <f t="shared" si="576"/>
        <v>13147.175150909086</v>
      </c>
      <c r="AI436" s="34">
        <f>SUMIF(헤몬팜마진!$B$7:$B$32,$C436,헤몬팜마진!$V$7:$V$32)</f>
        <v>7253.6180999999988</v>
      </c>
      <c r="AJ436" s="34">
        <f t="shared" si="577"/>
        <v>150779.66144909093</v>
      </c>
      <c r="AK436" s="206">
        <f t="shared" si="578"/>
        <v>52320.861449090924</v>
      </c>
      <c r="AL436" s="40">
        <f>SUMIF(헤몬팜마진!$B$7:$B$32,$C436,헤몬팜마진!$T$7:$T$32)</f>
        <v>64.584000000000003</v>
      </c>
      <c r="AM436" s="41">
        <f>SUMIF(헤몬팜마진!$B$7:$B$32,$C436,헤몬팜마진!$U$7:$U$32)</f>
        <v>329.61759999999998</v>
      </c>
      <c r="AN436" s="36"/>
      <c r="AO436" s="235">
        <v>37946</v>
      </c>
      <c r="AP436" s="235">
        <v>101</v>
      </c>
      <c r="AQ436" s="126"/>
      <c r="AR436" s="126"/>
      <c r="AS436" s="126"/>
      <c r="AT436" s="118"/>
      <c r="AU436" s="118"/>
      <c r="AV436" s="118"/>
      <c r="AW436" s="118"/>
      <c r="AX436" s="118"/>
      <c r="AY436" s="118"/>
      <c r="AZ436" s="118"/>
      <c r="BA436" s="118"/>
      <c r="BB436" s="118"/>
      <c r="BC436" s="118"/>
      <c r="BD436" s="118"/>
      <c r="BE436" s="118"/>
      <c r="BF436" s="118"/>
      <c r="BG436" s="47"/>
      <c r="BH436" s="47"/>
      <c r="BI436" s="47"/>
      <c r="BJ436" s="47"/>
      <c r="BK436" s="47"/>
    </row>
    <row r="437" spans="1:63" ht="28.5" customHeight="1">
      <c r="A437" s="228"/>
      <c r="B437" s="214" t="s">
        <v>128</v>
      </c>
      <c r="C437" s="42" t="s">
        <v>120</v>
      </c>
      <c r="D437" s="28" t="e">
        <f t="shared" si="561"/>
        <v>#DIV/0!</v>
      </c>
      <c r="E437" s="201" t="e">
        <f t="shared" si="562"/>
        <v>#DIV/0!</v>
      </c>
      <c r="F437" s="30" t="e">
        <f t="shared" si="563"/>
        <v>#DIV/0!</v>
      </c>
      <c r="G437" s="30">
        <f t="shared" si="564"/>
        <v>0</v>
      </c>
      <c r="H437" s="35">
        <v>0</v>
      </c>
      <c r="I437" s="35">
        <f t="shared" si="565"/>
        <v>105</v>
      </c>
      <c r="J437" s="35">
        <f t="shared" si="566"/>
        <v>210</v>
      </c>
      <c r="K437" s="238"/>
      <c r="L437" s="39">
        <f>22+3</f>
        <v>25</v>
      </c>
      <c r="M437" s="210"/>
      <c r="N437" s="44">
        <v>15</v>
      </c>
      <c r="O437" s="36"/>
      <c r="P437" s="31">
        <f t="shared" si="567"/>
        <v>0</v>
      </c>
      <c r="Q437" s="36"/>
      <c r="R437" s="167"/>
      <c r="S437" s="36"/>
      <c r="T437" s="34">
        <f t="shared" si="568"/>
        <v>0</v>
      </c>
      <c r="U437" s="31">
        <f t="shared" si="569"/>
        <v>0</v>
      </c>
      <c r="V437" s="34">
        <f t="shared" si="570"/>
        <v>0</v>
      </c>
      <c r="W437" s="43">
        <v>39800</v>
      </c>
      <c r="X437" s="34">
        <f>SUMIF(헤몬팜마진!$B$7:$B$32,$C437,헤몬팜마진!$R$7:$R$32)</f>
        <v>13718.832999999999</v>
      </c>
      <c r="Y437" s="34">
        <f t="shared" si="571"/>
        <v>0</v>
      </c>
      <c r="Z437" s="34">
        <f t="shared" si="572"/>
        <v>28023.600000000002</v>
      </c>
      <c r="AA437" s="234">
        <v>25476</v>
      </c>
      <c r="AB437" s="209"/>
      <c r="AC437" s="204">
        <f t="shared" si="579"/>
        <v>0</v>
      </c>
      <c r="AD437" s="152">
        <v>0.108</v>
      </c>
      <c r="AE437" s="31">
        <f>3550*(P437)</f>
        <v>0</v>
      </c>
      <c r="AF437" s="28" t="e">
        <f t="shared" si="574"/>
        <v>#DIV/0!</v>
      </c>
      <c r="AG437" s="34">
        <f t="shared" si="575"/>
        <v>0</v>
      </c>
      <c r="AH437" s="34">
        <f t="shared" si="576"/>
        <v>0</v>
      </c>
      <c r="AI437" s="34">
        <f>SUMIF(헤몬팜마진!$B$7:$B$32,$C437,헤몬팜마진!$V$7:$V$32)</f>
        <v>14113.034599999999</v>
      </c>
      <c r="AJ437" s="34">
        <f t="shared" si="577"/>
        <v>0</v>
      </c>
      <c r="AK437" s="206">
        <f t="shared" si="578"/>
        <v>-28023.600000000002</v>
      </c>
      <c r="AL437" s="40">
        <f>SUMIF(헤몬팜마진!$B$7:$B$32,$C437,헤몬팜마진!$T$7:$T$32)</f>
        <v>64.584000000000003</v>
      </c>
      <c r="AM437" s="41">
        <f>SUMIF(헤몬팜마진!$B$7:$B$32,$C437,헤몬팜마진!$U$7:$U$32)</f>
        <v>329.61759999999998</v>
      </c>
      <c r="AN437" s="36"/>
      <c r="AO437" s="235">
        <v>29012</v>
      </c>
      <c r="AP437" s="235">
        <v>109</v>
      </c>
      <c r="AQ437" s="126"/>
      <c r="AR437" s="126"/>
      <c r="AS437" s="126"/>
      <c r="AT437" s="118"/>
      <c r="AU437" s="118"/>
      <c r="AV437" s="118"/>
      <c r="AW437" s="118"/>
      <c r="AX437" s="118"/>
      <c r="AY437" s="118"/>
      <c r="AZ437" s="118"/>
      <c r="BA437" s="118"/>
      <c r="BB437" s="118"/>
      <c r="BC437" s="118"/>
      <c r="BD437" s="118"/>
      <c r="BE437" s="118"/>
      <c r="BF437" s="118"/>
      <c r="BG437" s="47"/>
      <c r="BH437" s="47"/>
      <c r="BI437" s="47"/>
      <c r="BJ437" s="47"/>
      <c r="BK437" s="47"/>
    </row>
    <row r="438" spans="1:63" ht="28.5" customHeight="1">
      <c r="A438" s="12"/>
      <c r="B438" s="214" t="s">
        <v>126</v>
      </c>
      <c r="C438" s="42" t="s">
        <v>31</v>
      </c>
      <c r="D438" s="28">
        <f t="shared" si="561"/>
        <v>8.5406992303993651E-3</v>
      </c>
      <c r="E438" s="201">
        <f t="shared" si="562"/>
        <v>0.37869341688311703</v>
      </c>
      <c r="F438" s="30">
        <f t="shared" si="563"/>
        <v>0.37015271765271768</v>
      </c>
      <c r="G438" s="30">
        <f t="shared" si="564"/>
        <v>1.7150395778364115E-2</v>
      </c>
      <c r="H438" s="35">
        <v>700</v>
      </c>
      <c r="I438" s="35">
        <f t="shared" si="565"/>
        <v>210</v>
      </c>
      <c r="J438" s="35">
        <f t="shared" si="566"/>
        <v>420</v>
      </c>
      <c r="K438" s="39">
        <v>954</v>
      </c>
      <c r="L438" s="39">
        <v>2</v>
      </c>
      <c r="M438" s="210"/>
      <c r="N438" s="44">
        <v>30</v>
      </c>
      <c r="O438" s="36">
        <v>23</v>
      </c>
      <c r="P438" s="31">
        <f t="shared" si="567"/>
        <v>21</v>
      </c>
      <c r="Q438" s="36">
        <v>8</v>
      </c>
      <c r="R438" s="233">
        <v>13</v>
      </c>
      <c r="S438" s="36">
        <v>2</v>
      </c>
      <c r="T438" s="34">
        <f t="shared" si="568"/>
        <v>455400</v>
      </c>
      <c r="U438" s="31">
        <f t="shared" si="569"/>
        <v>39600</v>
      </c>
      <c r="V438" s="34">
        <f t="shared" si="570"/>
        <v>415800</v>
      </c>
      <c r="W438" s="43">
        <v>19800</v>
      </c>
      <c r="X438" s="34">
        <f>SUMIF(헤몬팜마진!$B$7:$B$32,$C438,헤몬팜마진!$R$7:$R$32)</f>
        <v>6638.1449999999995</v>
      </c>
      <c r="Y438" s="34">
        <f t="shared" si="571"/>
        <v>140397.75539999997</v>
      </c>
      <c r="Z438" s="34">
        <f t="shared" si="572"/>
        <v>132940.5</v>
      </c>
      <c r="AA438" s="234">
        <v>120855</v>
      </c>
      <c r="AB438" s="211">
        <f>((20900*0.015)+(20900*0.19)+2100+2200+1900)*2</f>
        <v>20969</v>
      </c>
      <c r="AC438" s="204">
        <f t="shared" si="579"/>
        <v>18480</v>
      </c>
      <c r="AD438" s="152">
        <v>0.08</v>
      </c>
      <c r="AE438" s="31">
        <f>3400*(P438)</f>
        <v>71400</v>
      </c>
      <c r="AF438" s="28">
        <f t="shared" si="574"/>
        <v>0.25171717171717173</v>
      </c>
      <c r="AG438" s="34">
        <f t="shared" si="575"/>
        <v>104664.03</v>
      </c>
      <c r="AH438" s="34">
        <f t="shared" si="576"/>
        <v>13277.491859999995</v>
      </c>
      <c r="AI438" s="34">
        <f>SUMIF(헤몬팜마진!$B$7:$B$32,$C438,헤몬팜마진!$V$7:$V$32)</f>
        <v>6685.607399999999</v>
      </c>
      <c r="AJ438" s="34">
        <f t="shared" si="577"/>
        <v>157460.72274000006</v>
      </c>
      <c r="AK438" s="206">
        <f t="shared" si="578"/>
        <v>3551.2227400000556</v>
      </c>
      <c r="AL438" s="40">
        <f>SUMIF(헤몬팜마진!$B$7:$B$32,$C438,헤몬팜마진!$T$7:$T$32)</f>
        <v>7.7759999999999998</v>
      </c>
      <c r="AM438" s="41">
        <f>SUMIF(헤몬팜마진!$B$7:$B$32,$C438,헤몬팜마진!$U$7:$U$32)</f>
        <v>39.686400000000006</v>
      </c>
      <c r="AN438" s="36"/>
      <c r="AO438" s="235">
        <v>160285</v>
      </c>
      <c r="AP438" s="235">
        <v>758</v>
      </c>
      <c r="AQ438" s="126"/>
      <c r="AR438" s="126"/>
      <c r="AS438" s="126"/>
      <c r="AT438" s="118"/>
      <c r="AU438" s="118"/>
      <c r="AV438" s="118"/>
      <c r="AW438" s="118"/>
      <c r="AX438" s="118"/>
      <c r="AY438" s="118"/>
      <c r="AZ438" s="118"/>
      <c r="BA438" s="118"/>
      <c r="BB438" s="118"/>
      <c r="BC438" s="118"/>
      <c r="BD438" s="118"/>
      <c r="BE438" s="118"/>
      <c r="BF438" s="118"/>
      <c r="BG438" s="47"/>
      <c r="BH438" s="47"/>
      <c r="BI438" s="47"/>
      <c r="BJ438" s="47"/>
      <c r="BK438" s="47"/>
    </row>
    <row r="439" spans="1:63" ht="28.5" customHeight="1">
      <c r="A439" s="228" t="s">
        <v>142</v>
      </c>
      <c r="B439" s="200"/>
      <c r="C439" s="239" t="s">
        <v>141</v>
      </c>
      <c r="D439" s="28" t="e">
        <f t="shared" si="561"/>
        <v>#DIV/0!</v>
      </c>
      <c r="E439" s="201" t="e">
        <f t="shared" si="562"/>
        <v>#DIV/0!</v>
      </c>
      <c r="F439" s="30" t="e">
        <f t="shared" si="563"/>
        <v>#DIV/0!</v>
      </c>
      <c r="G439" s="30" t="e">
        <f t="shared" si="564"/>
        <v>#DIV/0!</v>
      </c>
      <c r="H439" s="35">
        <v>0</v>
      </c>
      <c r="I439" s="35"/>
      <c r="J439" s="35"/>
      <c r="K439" s="39"/>
      <c r="L439" s="39">
        <v>0</v>
      </c>
      <c r="M439" s="210"/>
      <c r="N439" s="44">
        <v>50</v>
      </c>
      <c r="O439" s="202">
        <v>3</v>
      </c>
      <c r="P439" s="31">
        <f t="shared" si="567"/>
        <v>0</v>
      </c>
      <c r="Q439" s="36"/>
      <c r="R439" s="203"/>
      <c r="S439" s="36">
        <v>3</v>
      </c>
      <c r="T439" s="34">
        <f t="shared" si="568"/>
        <v>74400</v>
      </c>
      <c r="U439" s="31">
        <f t="shared" si="569"/>
        <v>74400</v>
      </c>
      <c r="V439" s="34">
        <f t="shared" si="570"/>
        <v>0</v>
      </c>
      <c r="W439" s="43">
        <v>24800</v>
      </c>
      <c r="X439" s="34">
        <f>SUMIF(헤몬팜마진!$B$7:$B$32,$C439,헤몬팜마진!$R$7:$R$32)</f>
        <v>28986.566499999994</v>
      </c>
      <c r="Y439" s="34">
        <f t="shared" si="571"/>
        <v>0</v>
      </c>
      <c r="Z439" s="34">
        <f t="shared" si="572"/>
        <v>9817.5</v>
      </c>
      <c r="AA439" s="49">
        <v>8925</v>
      </c>
      <c r="AB439" s="211">
        <f>((75900*0.015)+(75900*0.19)+2100+2200+1900)*3</f>
        <v>65278.5</v>
      </c>
      <c r="AC439" s="204">
        <f t="shared" si="579"/>
        <v>0</v>
      </c>
      <c r="AD439" s="152">
        <v>0.1</v>
      </c>
      <c r="AE439" s="31">
        <f>1900*(P439)</f>
        <v>0</v>
      </c>
      <c r="AF439" s="28" t="e">
        <f t="shared" si="574"/>
        <v>#DIV/0!</v>
      </c>
      <c r="AG439" s="34">
        <f t="shared" si="575"/>
        <v>0</v>
      </c>
      <c r="AH439" s="34">
        <f t="shared" si="576"/>
        <v>0</v>
      </c>
      <c r="AI439" s="34">
        <f>SUMIF(헤몬팜마진!$B$7:$B$32,$C439,헤몬팜마진!$V$7:$V$32)</f>
        <v>29157.958499999997</v>
      </c>
      <c r="AJ439" s="34">
        <f t="shared" si="577"/>
        <v>0</v>
      </c>
      <c r="AK439" s="206">
        <f t="shared" si="578"/>
        <v>-75096</v>
      </c>
      <c r="AL439" s="40">
        <f>SUMIF(헤몬팜마진!$B$7:$B$32,$C439,헤몬팜마진!$T$7:$T$32)</f>
        <v>28.079999999999995</v>
      </c>
      <c r="AM439" s="41">
        <f>SUMIF(헤몬팜마진!$B$7:$B$32,$C439,헤몬팜마진!$U$7:$U$32)</f>
        <v>143.31199999999998</v>
      </c>
      <c r="AN439" s="36"/>
      <c r="AO439" s="202"/>
      <c r="AP439" s="205"/>
      <c r="AQ439" s="126"/>
      <c r="AR439" s="126"/>
      <c r="AS439" s="126"/>
      <c r="AT439" s="118"/>
      <c r="AU439" s="118"/>
      <c r="AV439" s="118"/>
      <c r="AW439" s="118"/>
      <c r="AX439" s="118"/>
      <c r="AY439" s="118"/>
      <c r="AZ439" s="118"/>
      <c r="BA439" s="118"/>
      <c r="BB439" s="118"/>
      <c r="BC439" s="118"/>
      <c r="BD439" s="118"/>
      <c r="BE439" s="118"/>
      <c r="BF439" s="118"/>
      <c r="BG439" s="47"/>
      <c r="BH439" s="47"/>
      <c r="BI439" s="47"/>
      <c r="BJ439" s="47"/>
      <c r="BK439" s="47"/>
    </row>
    <row r="440" spans="1:63" ht="28.5" customHeight="1">
      <c r="A440" s="12"/>
      <c r="B440" s="216"/>
      <c r="C440" s="217"/>
      <c r="D440" s="51" t="e">
        <f t="shared" si="561"/>
        <v>#REF!</v>
      </c>
      <c r="E440" s="218" t="e">
        <f t="shared" si="562"/>
        <v>#REF!</v>
      </c>
      <c r="F440" s="53">
        <f t="shared" si="563"/>
        <v>0.25548113295501867</v>
      </c>
      <c r="G440" s="219"/>
      <c r="H440" s="55"/>
      <c r="I440" s="55"/>
      <c r="J440" s="55"/>
      <c r="K440" s="55"/>
      <c r="L440" s="55"/>
      <c r="M440" s="55"/>
      <c r="N440" s="55"/>
      <c r="O440" s="130">
        <f>SUM(O423:O439)</f>
        <v>291</v>
      </c>
      <c r="P440" s="220">
        <f>SUM(P423:P438)</f>
        <v>282</v>
      </c>
      <c r="Q440" s="130">
        <f>SUM(Q423:Q439)</f>
        <v>43</v>
      </c>
      <c r="R440" s="130">
        <f>SUM(R423:R438)</f>
        <v>189</v>
      </c>
      <c r="S440" s="130">
        <f>SUM(S423:S439)</f>
        <v>9</v>
      </c>
      <c r="T440" s="130">
        <f t="shared" ref="T440:V440" si="583">SUM(T423:T438)</f>
        <v>8283610</v>
      </c>
      <c r="U440" s="130">
        <f t="shared" si="583"/>
        <v>239160</v>
      </c>
      <c r="V440" s="220">
        <f t="shared" si="583"/>
        <v>8044450</v>
      </c>
      <c r="W440" s="55"/>
      <c r="X440" s="130">
        <f t="shared" ref="X440:AC440" si="584">SUM(X423:X438)</f>
        <v>145176.23114999998</v>
      </c>
      <c r="Y440" s="220" t="e">
        <f t="shared" si="584"/>
        <v>#REF!</v>
      </c>
      <c r="Z440" s="130">
        <f t="shared" si="584"/>
        <v>1967616.2000000002</v>
      </c>
      <c r="AA440" s="130">
        <f t="shared" si="584"/>
        <v>1788742</v>
      </c>
      <c r="AB440" s="130">
        <f t="shared" si="584"/>
        <v>87589</v>
      </c>
      <c r="AC440" s="130">
        <f t="shared" si="584"/>
        <v>97398</v>
      </c>
      <c r="AD440" s="154">
        <v>0.09</v>
      </c>
      <c r="AE440" s="220">
        <f>SUM(AE423:AE438)</f>
        <v>905050</v>
      </c>
      <c r="AF440" s="53">
        <f t="shared" si="574"/>
        <v>0.2025061377720043</v>
      </c>
      <c r="AG440" s="56">
        <f t="shared" ref="AG440:AI440" si="585">SUM(AG423:AG438)</f>
        <v>1685845.0600000003</v>
      </c>
      <c r="AH440" s="56" t="e">
        <f t="shared" si="585"/>
        <v>#REF!</v>
      </c>
      <c r="AI440" s="56" t="e">
        <f t="shared" si="585"/>
        <v>#REF!</v>
      </c>
      <c r="AJ440" s="56" t="e">
        <f t="shared" si="577"/>
        <v>#REF!</v>
      </c>
      <c r="AK440" s="221" t="e">
        <f t="shared" si="578"/>
        <v>#REF!</v>
      </c>
      <c r="AL440" s="54"/>
      <c r="AM440" s="222"/>
      <c r="AN440" s="57"/>
      <c r="AO440" s="131">
        <f t="shared" ref="AO440:AP440" si="586">SUM(AO423:AO424)</f>
        <v>522043</v>
      </c>
      <c r="AP440" s="132">
        <f t="shared" si="586"/>
        <v>2541</v>
      </c>
      <c r="AQ440" s="126"/>
      <c r="AR440" s="126"/>
      <c r="AS440" s="126"/>
      <c r="AT440" s="118"/>
      <c r="AU440" s="118"/>
      <c r="AV440" s="118"/>
      <c r="AW440" s="118"/>
      <c r="AX440" s="118"/>
      <c r="AY440" s="118"/>
      <c r="AZ440" s="118"/>
      <c r="BA440" s="118"/>
      <c r="BB440" s="118"/>
      <c r="BC440" s="118"/>
      <c r="BD440" s="118"/>
      <c r="BE440" s="118"/>
      <c r="BF440" s="118"/>
      <c r="BG440" s="47"/>
      <c r="BH440" s="47"/>
      <c r="BI440" s="47"/>
      <c r="BJ440" s="47"/>
      <c r="BK440" s="47"/>
    </row>
    <row r="441" spans="1:63" ht="28.5" customHeight="1">
      <c r="A441" s="3"/>
      <c r="B441" s="120"/>
      <c r="C441" s="229"/>
      <c r="D441" s="230"/>
      <c r="E441" s="230"/>
      <c r="F441" s="230"/>
      <c r="G441" s="230"/>
      <c r="H441" s="231"/>
      <c r="I441" s="231"/>
      <c r="J441" s="231"/>
      <c r="K441" s="231"/>
      <c r="L441" s="231"/>
      <c r="M441" s="231"/>
      <c r="N441" s="231"/>
      <c r="O441" s="231"/>
      <c r="P441" s="232"/>
      <c r="Q441" s="231"/>
      <c r="R441" s="231"/>
      <c r="S441" s="231"/>
      <c r="T441" s="231"/>
      <c r="U441" s="231"/>
      <c r="V441" s="231"/>
      <c r="W441" s="231"/>
      <c r="X441" s="231"/>
      <c r="Y441" s="231"/>
      <c r="Z441" s="231"/>
      <c r="AA441" s="133"/>
      <c r="AB441" s="61"/>
      <c r="AC441" s="148"/>
      <c r="AD441" s="148"/>
      <c r="AE441" s="148"/>
      <c r="AF441" s="148"/>
      <c r="AG441" s="61"/>
      <c r="AH441" s="61"/>
      <c r="AI441" s="187"/>
      <c r="AJ441" s="118"/>
      <c r="AK441" s="126"/>
      <c r="AL441" s="126"/>
      <c r="AM441" s="126"/>
      <c r="AN441" s="118"/>
      <c r="AO441" s="118"/>
      <c r="AP441" s="118"/>
      <c r="AQ441" s="126"/>
      <c r="AR441" s="126"/>
      <c r="AS441" s="126"/>
      <c r="AT441" s="118"/>
      <c r="AU441" s="118"/>
      <c r="AV441" s="118"/>
      <c r="AW441" s="118"/>
      <c r="AX441" s="118"/>
      <c r="AY441" s="118"/>
      <c r="AZ441" s="118"/>
      <c r="BA441" s="118"/>
      <c r="BB441" s="118"/>
      <c r="BC441" s="118"/>
      <c r="BD441" s="118"/>
      <c r="BE441" s="118"/>
      <c r="BF441" s="118"/>
      <c r="BG441" s="47"/>
      <c r="BH441" s="47"/>
      <c r="BI441" s="47"/>
      <c r="BJ441" s="47"/>
      <c r="BK441" s="47"/>
    </row>
    <row r="442" spans="1:63" ht="28.5" customHeight="1">
      <c r="A442" s="12"/>
      <c r="B442" s="189"/>
      <c r="C442" s="134">
        <v>45953</v>
      </c>
      <c r="D442" s="122" t="s">
        <v>0</v>
      </c>
      <c r="E442" s="122" t="s">
        <v>1</v>
      </c>
      <c r="F442" s="122" t="s">
        <v>2</v>
      </c>
      <c r="G442" s="190" t="s">
        <v>3</v>
      </c>
      <c r="H442" s="191" t="s">
        <v>4</v>
      </c>
      <c r="I442" s="192" t="s">
        <v>5</v>
      </c>
      <c r="J442" s="192" t="s">
        <v>90</v>
      </c>
      <c r="K442" s="193" t="s">
        <v>6</v>
      </c>
      <c r="L442" s="194" t="s">
        <v>7</v>
      </c>
      <c r="M442" s="15" t="s">
        <v>91</v>
      </c>
      <c r="N442" s="123" t="s">
        <v>125</v>
      </c>
      <c r="O442" s="123" t="s">
        <v>8</v>
      </c>
      <c r="P442" s="123" t="s">
        <v>9</v>
      </c>
      <c r="Q442" s="195" t="s">
        <v>10</v>
      </c>
      <c r="R442" s="123" t="s">
        <v>92</v>
      </c>
      <c r="S442" s="196" t="s">
        <v>11</v>
      </c>
      <c r="T442" s="17" t="s">
        <v>12</v>
      </c>
      <c r="U442" s="17" t="s">
        <v>13</v>
      </c>
      <c r="V442" s="17" t="s">
        <v>14</v>
      </c>
      <c r="W442" s="17" t="s">
        <v>15</v>
      </c>
      <c r="X442" s="15" t="s">
        <v>16</v>
      </c>
      <c r="Y442" s="15" t="s">
        <v>17</v>
      </c>
      <c r="Z442" s="19" t="s">
        <v>18</v>
      </c>
      <c r="AA442" s="19" t="s">
        <v>19</v>
      </c>
      <c r="AB442" s="20" t="s">
        <v>20</v>
      </c>
      <c r="AC442" s="22" t="s">
        <v>93</v>
      </c>
      <c r="AD442" s="197" t="s">
        <v>21</v>
      </c>
      <c r="AE442" s="122" t="s">
        <v>22</v>
      </c>
      <c r="AF442" s="21" t="s">
        <v>23</v>
      </c>
      <c r="AG442" s="21" t="s">
        <v>21</v>
      </c>
      <c r="AH442" s="122" t="s">
        <v>24</v>
      </c>
      <c r="AI442" s="15" t="s">
        <v>25</v>
      </c>
      <c r="AJ442" s="15" t="s">
        <v>26</v>
      </c>
      <c r="AK442" s="122" t="s">
        <v>27</v>
      </c>
      <c r="AL442" s="198" t="s">
        <v>28</v>
      </c>
      <c r="AM442" s="199" t="s">
        <v>29</v>
      </c>
      <c r="AN442" s="124" t="s">
        <v>30</v>
      </c>
      <c r="AO442" s="124" t="s">
        <v>94</v>
      </c>
      <c r="AP442" s="125" t="s">
        <v>95</v>
      </c>
      <c r="AQ442" s="126"/>
      <c r="AR442" s="126"/>
      <c r="AS442" s="126"/>
      <c r="AT442" s="118"/>
      <c r="AU442" s="118"/>
      <c r="AV442" s="118"/>
      <c r="AW442" s="118"/>
      <c r="AX442" s="118"/>
      <c r="AY442" s="118"/>
      <c r="AZ442" s="118"/>
      <c r="BA442" s="118"/>
      <c r="BB442" s="118"/>
      <c r="BC442" s="118"/>
      <c r="BD442" s="118"/>
      <c r="BE442" s="118"/>
      <c r="BF442" s="118"/>
      <c r="BG442" s="47"/>
      <c r="BH442" s="47"/>
      <c r="BI442" s="47"/>
      <c r="BJ442" s="47"/>
      <c r="BK442" s="47"/>
    </row>
    <row r="443" spans="1:63" ht="28.5" customHeight="1">
      <c r="A443" s="12" t="s">
        <v>129</v>
      </c>
      <c r="B443" s="200"/>
      <c r="C443" s="42" t="s">
        <v>107</v>
      </c>
      <c r="D443" s="28">
        <f t="shared" ref="D443:D460" si="587">AK443/V443</f>
        <v>0.20516810020672077</v>
      </c>
      <c r="E443" s="201">
        <f t="shared" ref="E443:E460" si="588">AJ443/V443</f>
        <v>0.42270749735108887</v>
      </c>
      <c r="F443" s="30">
        <f t="shared" ref="F443:F460" si="589">(Z443+AB443)/V443</f>
        <v>0.2175393971443681</v>
      </c>
      <c r="G443" s="30">
        <f t="shared" ref="G443:G459" si="590">R443/AP443</f>
        <v>7.7732320280537698E-2</v>
      </c>
      <c r="H443" s="35">
        <v>7410</v>
      </c>
      <c r="I443" s="35">
        <f t="shared" ref="I443:I458" si="591">N443*7</f>
        <v>1400</v>
      </c>
      <c r="J443" s="35">
        <f t="shared" ref="J443:J458" si="592">N443*14</f>
        <v>2800</v>
      </c>
      <c r="K443" s="49">
        <v>76</v>
      </c>
      <c r="L443" s="49">
        <f>1906+1320</f>
        <v>3226</v>
      </c>
      <c r="M443" s="48"/>
      <c r="N443" s="44">
        <v>200</v>
      </c>
      <c r="O443" s="227">
        <v>183</v>
      </c>
      <c r="P443" s="31">
        <f t="shared" ref="P443:P459" si="593">O443-S443</f>
        <v>183</v>
      </c>
      <c r="Q443" s="227">
        <v>26</v>
      </c>
      <c r="R443" s="233">
        <v>133</v>
      </c>
      <c r="S443" s="36"/>
      <c r="T443" s="34">
        <f t="shared" ref="T443:T459" si="594">W443*O443</f>
        <v>5105700</v>
      </c>
      <c r="U443" s="31">
        <f t="shared" ref="U443:U459" si="595">W443*S443</f>
        <v>0</v>
      </c>
      <c r="V443" s="34">
        <f t="shared" ref="V443:V459" si="596">T443-U443</f>
        <v>5105700</v>
      </c>
      <c r="W443" s="34">
        <v>27900</v>
      </c>
      <c r="X443" s="34">
        <f>SUMIF(헤몬팜마진!$B$7:$B$32,$C443,헤몬팜마진!$R$7:$R$32)</f>
        <v>8850.86</v>
      </c>
      <c r="Y443" s="34">
        <f t="shared" ref="Y443:Y459" si="597">AI443*P443</f>
        <v>1691846.2728000002</v>
      </c>
      <c r="Z443" s="34">
        <f t="shared" ref="Z443:Z459" si="598">AA443*1.1</f>
        <v>1110690.9000000001</v>
      </c>
      <c r="AA443" s="234">
        <v>1009719</v>
      </c>
      <c r="AB443" s="36"/>
      <c r="AC443" s="204">
        <f t="shared" ref="AC443:AC444" si="599">(1072+1100)*Q443</f>
        <v>56472</v>
      </c>
      <c r="AD443" s="152">
        <v>0.1</v>
      </c>
      <c r="AE443" s="31">
        <f>3050*(P443)</f>
        <v>558150</v>
      </c>
      <c r="AF443" s="28">
        <f t="shared" ref="AF443:AF460" si="600">AD443+(AE443/V443)</f>
        <v>0.20931899641577062</v>
      </c>
      <c r="AG443" s="34">
        <f t="shared" ref="AG443:AG459" si="601">IFERROR(V443*AF443+3%,0)</f>
        <v>1068720.03</v>
      </c>
      <c r="AH443" s="34">
        <f t="shared" ref="AH443:AH459" si="602">V443/1.1*10%-((AI443*P443)+AG443+(AN443*P443)+(AL443*P443))*10%</f>
        <v>186916.02797454537</v>
      </c>
      <c r="AI443" s="34">
        <f>SUMIF(헤몬팜마진!$B$7:$B$32,$C443,헤몬팜마진!$V$7:$V$32)</f>
        <v>9245.0616000000009</v>
      </c>
      <c r="AJ443" s="34">
        <f t="shared" ref="AJ443:AJ460" si="603">V443-(Y443+AG443+AH443+(AN443*P443))</f>
        <v>2158217.6692254543</v>
      </c>
      <c r="AK443" s="46">
        <f t="shared" ref="AK443:AK460" si="604">AJ443-Z443-AB443</f>
        <v>1047526.7692254542</v>
      </c>
      <c r="AL443" s="40">
        <f>SUMIF(헤몬팜마진!$B$7:$B$32,$C443,헤몬팜마진!$T$7:$T$32)</f>
        <v>64.584000000000003</v>
      </c>
      <c r="AM443" s="41">
        <f>SUMIF(헤몬팜마진!$B$7:$B$32,$C443,헤몬팜마진!$U$7:$U$32)</f>
        <v>329.61759999999998</v>
      </c>
      <c r="AN443" s="36"/>
      <c r="AO443" s="235">
        <v>510455</v>
      </c>
      <c r="AP443" s="235">
        <v>1711</v>
      </c>
      <c r="AQ443" s="126"/>
      <c r="AR443" s="126"/>
      <c r="AS443" s="126"/>
      <c r="AT443" s="118"/>
      <c r="AU443" s="118"/>
      <c r="AV443" s="118"/>
      <c r="AW443" s="118"/>
      <c r="AX443" s="118"/>
      <c r="AY443" s="118"/>
      <c r="AZ443" s="118"/>
      <c r="BA443" s="118"/>
      <c r="BB443" s="118"/>
      <c r="BC443" s="118"/>
      <c r="BD443" s="118"/>
      <c r="BE443" s="118"/>
      <c r="BF443" s="118"/>
      <c r="BG443" s="47"/>
      <c r="BH443" s="47"/>
      <c r="BI443" s="47"/>
      <c r="BJ443" s="47"/>
      <c r="BK443" s="47"/>
    </row>
    <row r="444" spans="1:63" ht="28.5" customHeight="1">
      <c r="A444" s="228" t="s">
        <v>130</v>
      </c>
      <c r="B444" s="200"/>
      <c r="C444" s="42" t="s">
        <v>108</v>
      </c>
      <c r="D444" s="28" t="e">
        <f t="shared" si="587"/>
        <v>#DIV/0!</v>
      </c>
      <c r="E444" s="201" t="e">
        <f t="shared" si="588"/>
        <v>#DIV/0!</v>
      </c>
      <c r="F444" s="30" t="e">
        <f t="shared" si="589"/>
        <v>#DIV/0!</v>
      </c>
      <c r="G444" s="30" t="e">
        <f t="shared" si="590"/>
        <v>#DIV/0!</v>
      </c>
      <c r="H444" s="35">
        <v>1460</v>
      </c>
      <c r="I444" s="35">
        <f t="shared" si="591"/>
        <v>140</v>
      </c>
      <c r="J444" s="35">
        <f t="shared" si="592"/>
        <v>280</v>
      </c>
      <c r="K444" s="39">
        <v>325</v>
      </c>
      <c r="L444" s="39">
        <v>0</v>
      </c>
      <c r="M444" s="210"/>
      <c r="N444" s="44">
        <v>20</v>
      </c>
      <c r="O444" s="202">
        <v>0</v>
      </c>
      <c r="P444" s="31">
        <f t="shared" si="593"/>
        <v>0</v>
      </c>
      <c r="Q444" s="36"/>
      <c r="R444" s="167"/>
      <c r="S444" s="36"/>
      <c r="T444" s="34">
        <f t="shared" si="594"/>
        <v>0</v>
      </c>
      <c r="U444" s="31">
        <f t="shared" si="595"/>
        <v>0</v>
      </c>
      <c r="V444" s="34">
        <f t="shared" si="596"/>
        <v>0</v>
      </c>
      <c r="W444" s="43">
        <v>22700</v>
      </c>
      <c r="X444" s="34">
        <f>SUMIF(헤몬팜마진!$B$7:$B$32,$C444,헤몬팜마진!$R$7:$R$32)</f>
        <v>7080.6879999999992</v>
      </c>
      <c r="Y444" s="34">
        <f t="shared" si="597"/>
        <v>0</v>
      </c>
      <c r="Z444" s="34">
        <f t="shared" si="598"/>
        <v>0</v>
      </c>
      <c r="AA444" s="234"/>
      <c r="AB444" s="36"/>
      <c r="AC444" s="204">
        <f t="shared" si="599"/>
        <v>0</v>
      </c>
      <c r="AD444" s="152">
        <v>0.1</v>
      </c>
      <c r="AE444" s="31">
        <f>2950*(P444)</f>
        <v>0</v>
      </c>
      <c r="AF444" s="28" t="e">
        <f t="shared" si="600"/>
        <v>#DIV/0!</v>
      </c>
      <c r="AG444" s="34">
        <f t="shared" si="601"/>
        <v>0</v>
      </c>
      <c r="AH444" s="34">
        <f t="shared" si="602"/>
        <v>0</v>
      </c>
      <c r="AI444" s="34">
        <f>SUMIF(헤몬팜마진!$B$7:$B$32,$C444,헤몬팜마진!$V$7:$V$32)</f>
        <v>7377.3279999999995</v>
      </c>
      <c r="AJ444" s="34">
        <f t="shared" si="603"/>
        <v>0</v>
      </c>
      <c r="AK444" s="46">
        <f t="shared" si="604"/>
        <v>0</v>
      </c>
      <c r="AL444" s="40">
        <f>SUMIF(헤몬팜마진!$B$7:$B$32,$C444,헤몬팜마진!$T$7:$T$32)</f>
        <v>48.6</v>
      </c>
      <c r="AM444" s="41">
        <f>SUMIF(헤몬팜마진!$B$7:$B$32,$C444,헤몬팜마진!$U$7:$U$32)</f>
        <v>248.04000000000002</v>
      </c>
      <c r="AN444" s="36"/>
      <c r="AO444" s="235"/>
      <c r="AP444" s="235"/>
      <c r="AQ444" s="126"/>
      <c r="AR444" s="126"/>
      <c r="AS444" s="126"/>
      <c r="AT444" s="118"/>
      <c r="AU444" s="118"/>
      <c r="AV444" s="118"/>
      <c r="AW444" s="118"/>
      <c r="AX444" s="118"/>
      <c r="AY444" s="118"/>
      <c r="AZ444" s="118"/>
      <c r="BA444" s="118"/>
      <c r="BB444" s="118"/>
      <c r="BC444" s="118"/>
      <c r="BD444" s="118"/>
      <c r="BE444" s="118"/>
      <c r="BF444" s="118"/>
      <c r="BG444" s="47"/>
      <c r="BH444" s="47"/>
      <c r="BI444" s="47"/>
      <c r="BJ444" s="47"/>
      <c r="BK444" s="47"/>
    </row>
    <row r="445" spans="1:63" ht="28.5" customHeight="1">
      <c r="A445" s="228" t="s">
        <v>131</v>
      </c>
      <c r="B445" s="323"/>
      <c r="C445" s="42" t="s">
        <v>109</v>
      </c>
      <c r="D445" s="28" t="e">
        <f t="shared" si="587"/>
        <v>#REF!</v>
      </c>
      <c r="E445" s="201" t="e">
        <f t="shared" si="588"/>
        <v>#REF!</v>
      </c>
      <c r="F445" s="30">
        <f t="shared" si="589"/>
        <v>0.40516666666666667</v>
      </c>
      <c r="G445" s="30">
        <f t="shared" si="590"/>
        <v>9.0909090909090905E-3</v>
      </c>
      <c r="H445" s="35">
        <v>0</v>
      </c>
      <c r="I445" s="35">
        <f t="shared" si="591"/>
        <v>105</v>
      </c>
      <c r="J445" s="35">
        <f t="shared" si="592"/>
        <v>210</v>
      </c>
      <c r="K445" s="50">
        <v>430</v>
      </c>
      <c r="L445" s="49">
        <f>40+3+3</f>
        <v>46</v>
      </c>
      <c r="M445" s="48"/>
      <c r="N445" s="44">
        <v>15</v>
      </c>
      <c r="O445" s="202">
        <v>3</v>
      </c>
      <c r="P445" s="31">
        <f t="shared" si="593"/>
        <v>3</v>
      </c>
      <c r="Q445" s="36"/>
      <c r="R445" s="203">
        <v>1</v>
      </c>
      <c r="S445" s="36"/>
      <c r="T445" s="34">
        <f t="shared" si="594"/>
        <v>137400</v>
      </c>
      <c r="U445" s="31">
        <f t="shared" si="595"/>
        <v>0</v>
      </c>
      <c r="V445" s="34">
        <f t="shared" si="596"/>
        <v>137400</v>
      </c>
      <c r="W445" s="43">
        <v>45800</v>
      </c>
      <c r="X445" s="34">
        <f>SUMIF(헤몬팜마진!$B$7:$B$32,$C445,헤몬팜마진!$R$7:$R$32)</f>
        <v>9990.4082249999992</v>
      </c>
      <c r="Y445" s="34" t="e">
        <f t="shared" si="597"/>
        <v>#REF!</v>
      </c>
      <c r="Z445" s="34">
        <f t="shared" si="598"/>
        <v>55669.9</v>
      </c>
      <c r="AA445" s="234">
        <v>50609</v>
      </c>
      <c r="AB445" s="36"/>
      <c r="AC445" s="204">
        <f t="shared" ref="AC445:AC459" si="605">(1210+1100)*Q445</f>
        <v>0</v>
      </c>
      <c r="AD445" s="152">
        <v>0.11</v>
      </c>
      <c r="AE445" s="31">
        <f t="shared" ref="AE445:AE447" si="606">4150*(P445)</f>
        <v>12450</v>
      </c>
      <c r="AF445" s="28">
        <f t="shared" si="600"/>
        <v>0.2006113537117904</v>
      </c>
      <c r="AG445" s="34">
        <f t="shared" si="601"/>
        <v>27564.03</v>
      </c>
      <c r="AH445" s="34" t="e">
        <f t="shared" si="602"/>
        <v>#REF!</v>
      </c>
      <c r="AI445" s="34" t="e">
        <f>SUMIF(헤몬팜마진!$B$7:$B$32,$C445,헤몬팜마진!$V$7:$V$32)</f>
        <v>#REF!</v>
      </c>
      <c r="AJ445" s="34" t="e">
        <f t="shared" si="603"/>
        <v>#REF!</v>
      </c>
      <c r="AK445" s="46" t="e">
        <f t="shared" si="604"/>
        <v>#REF!</v>
      </c>
      <c r="AL445" s="40">
        <f>SUMIF(헤몬팜마진!$B$7:$B$32,$C445,헤몬팜마진!$T$7:$T$32)</f>
        <v>162</v>
      </c>
      <c r="AM445" s="41">
        <f>SUMIF(헤몬팜마진!$B$7:$B$32,$C445,헤몬팜마진!$U$7:$U$32)</f>
        <v>826.80000000000007</v>
      </c>
      <c r="AN445" s="36"/>
      <c r="AO445" s="235">
        <v>51229</v>
      </c>
      <c r="AP445" s="235">
        <v>110</v>
      </c>
      <c r="AQ445" s="126"/>
      <c r="AR445" s="126"/>
      <c r="AS445" s="126"/>
      <c r="AT445" s="118"/>
      <c r="AU445" s="118"/>
      <c r="AV445" s="118"/>
      <c r="AW445" s="118"/>
      <c r="AX445" s="118"/>
      <c r="AY445" s="118"/>
      <c r="AZ445" s="118"/>
      <c r="BA445" s="118"/>
      <c r="BB445" s="118"/>
      <c r="BC445" s="118"/>
      <c r="BD445" s="118"/>
      <c r="BE445" s="118"/>
      <c r="BF445" s="118"/>
      <c r="BG445" s="47"/>
      <c r="BH445" s="47"/>
      <c r="BI445" s="47"/>
      <c r="BJ445" s="47"/>
      <c r="BK445" s="47"/>
    </row>
    <row r="446" spans="1:63" ht="28.5" customHeight="1">
      <c r="A446" s="228"/>
      <c r="B446" s="324"/>
      <c r="C446" s="42" t="s">
        <v>110</v>
      </c>
      <c r="D446" s="28" t="e">
        <f t="shared" si="587"/>
        <v>#REF!</v>
      </c>
      <c r="E446" s="201" t="e">
        <f t="shared" si="588"/>
        <v>#REF!</v>
      </c>
      <c r="F446" s="30">
        <f t="shared" si="589"/>
        <v>0.33517094017094023</v>
      </c>
      <c r="G446" s="30">
        <f t="shared" si="590"/>
        <v>6.9444444444444441E-3</v>
      </c>
      <c r="H446" s="35">
        <v>0</v>
      </c>
      <c r="I446" s="35">
        <f t="shared" si="591"/>
        <v>105</v>
      </c>
      <c r="J446" s="35">
        <f t="shared" si="592"/>
        <v>210</v>
      </c>
      <c r="K446" s="236"/>
      <c r="L446" s="49">
        <f>13+2</f>
        <v>15</v>
      </c>
      <c r="M446" s="48"/>
      <c r="N446" s="44">
        <v>15</v>
      </c>
      <c r="O446" s="202">
        <v>4</v>
      </c>
      <c r="P446" s="31">
        <f t="shared" si="593"/>
        <v>4</v>
      </c>
      <c r="Q446" s="202"/>
      <c r="R446" s="233">
        <v>1</v>
      </c>
      <c r="S446" s="36"/>
      <c r="T446" s="34">
        <f t="shared" si="594"/>
        <v>187200</v>
      </c>
      <c r="U446" s="31">
        <f t="shared" si="595"/>
        <v>0</v>
      </c>
      <c r="V446" s="34">
        <f t="shared" si="596"/>
        <v>187200</v>
      </c>
      <c r="W446" s="43">
        <v>46800</v>
      </c>
      <c r="X446" s="34">
        <f>SUMIF(헤몬팜마진!$B$7:$B$32,$C446,헤몬팜마진!$R$7:$R$32)</f>
        <v>9990.4082249999992</v>
      </c>
      <c r="Y446" s="34" t="e">
        <f t="shared" si="597"/>
        <v>#REF!</v>
      </c>
      <c r="Z446" s="34">
        <f t="shared" si="598"/>
        <v>62744.000000000007</v>
      </c>
      <c r="AA446" s="234">
        <v>57040</v>
      </c>
      <c r="AB446" s="36"/>
      <c r="AC446" s="204">
        <f t="shared" si="605"/>
        <v>0</v>
      </c>
      <c r="AD446" s="152">
        <v>0.11</v>
      </c>
      <c r="AE446" s="31">
        <f t="shared" si="606"/>
        <v>16600</v>
      </c>
      <c r="AF446" s="28">
        <f t="shared" si="600"/>
        <v>0.19867521367521368</v>
      </c>
      <c r="AG446" s="34">
        <f t="shared" si="601"/>
        <v>37192.03</v>
      </c>
      <c r="AH446" s="34" t="e">
        <f t="shared" si="602"/>
        <v>#REF!</v>
      </c>
      <c r="AI446" s="34" t="e">
        <f>SUMIF(헤몬팜마진!$B$7:$B$32,$C446,헤몬팜마진!$V$7:$V$32)</f>
        <v>#REF!</v>
      </c>
      <c r="AJ446" s="34" t="e">
        <f t="shared" si="603"/>
        <v>#REF!</v>
      </c>
      <c r="AK446" s="206" t="e">
        <f t="shared" si="604"/>
        <v>#REF!</v>
      </c>
      <c r="AL446" s="40">
        <f>SUMIF(헤몬팜마진!$B$7:$B$32,$C446,헤몬팜마진!$T$7:$T$32)</f>
        <v>162</v>
      </c>
      <c r="AM446" s="41">
        <f>SUMIF(헤몬팜마진!$B$7:$B$32,$C446,헤몬팜마진!$U$7:$U$32)</f>
        <v>826.80000000000007</v>
      </c>
      <c r="AN446" s="36"/>
      <c r="AO446" s="235">
        <v>44425</v>
      </c>
      <c r="AP446" s="235">
        <v>144</v>
      </c>
      <c r="AQ446" s="126"/>
      <c r="AR446" s="126"/>
      <c r="AS446" s="126"/>
      <c r="AT446" s="118"/>
      <c r="AU446" s="118"/>
      <c r="AV446" s="118"/>
      <c r="AW446" s="118"/>
      <c r="AX446" s="118"/>
      <c r="AY446" s="118"/>
      <c r="AZ446" s="118"/>
      <c r="BA446" s="118"/>
      <c r="BB446" s="118"/>
      <c r="BC446" s="118"/>
      <c r="BD446" s="118"/>
      <c r="BE446" s="118"/>
      <c r="BF446" s="118"/>
      <c r="BG446" s="47"/>
      <c r="BH446" s="47"/>
      <c r="BI446" s="47"/>
      <c r="BJ446" s="47"/>
      <c r="BK446" s="47"/>
    </row>
    <row r="447" spans="1:63" ht="28.5" customHeight="1">
      <c r="A447" s="228" t="s">
        <v>134</v>
      </c>
      <c r="B447" s="207"/>
      <c r="C447" s="42" t="s">
        <v>112</v>
      </c>
      <c r="D447" s="29" t="e">
        <f t="shared" si="587"/>
        <v>#REF!</v>
      </c>
      <c r="E447" s="201" t="e">
        <f t="shared" si="588"/>
        <v>#REF!</v>
      </c>
      <c r="F447" s="30">
        <f t="shared" si="589"/>
        <v>0.26924434673366837</v>
      </c>
      <c r="G447" s="30">
        <f t="shared" si="590"/>
        <v>1.4492753623188406E-2</v>
      </c>
      <c r="H447" s="37">
        <v>0</v>
      </c>
      <c r="I447" s="35">
        <f t="shared" si="591"/>
        <v>140</v>
      </c>
      <c r="J447" s="35">
        <f t="shared" si="592"/>
        <v>280</v>
      </c>
      <c r="K447" s="50">
        <v>343</v>
      </c>
      <c r="L447" s="39">
        <f>97+42+48+31+19+10</f>
        <v>247</v>
      </c>
      <c r="M447" s="210"/>
      <c r="N447" s="44">
        <v>20</v>
      </c>
      <c r="O447" s="202">
        <v>4</v>
      </c>
      <c r="P447" s="31">
        <f t="shared" si="593"/>
        <v>4</v>
      </c>
      <c r="Q447" s="202"/>
      <c r="R447" s="233">
        <v>1</v>
      </c>
      <c r="S447" s="36"/>
      <c r="T447" s="34">
        <f t="shared" si="594"/>
        <v>159200</v>
      </c>
      <c r="U447" s="31">
        <f t="shared" si="595"/>
        <v>0</v>
      </c>
      <c r="V447" s="34">
        <f t="shared" si="596"/>
        <v>159200</v>
      </c>
      <c r="W447" s="43">
        <v>39800</v>
      </c>
      <c r="X447" s="34">
        <f>SUMIF(헤몬팜마진!$B$7:$B$32,$C447,헤몬팜마진!$R$7:$R$32)</f>
        <v>7855.1382499999991</v>
      </c>
      <c r="Y447" s="34" t="e">
        <f t="shared" si="597"/>
        <v>#REF!</v>
      </c>
      <c r="Z447" s="34">
        <f t="shared" si="598"/>
        <v>42863.700000000004</v>
      </c>
      <c r="AA447" s="234">
        <v>38967</v>
      </c>
      <c r="AB447" s="209"/>
      <c r="AC447" s="204">
        <f t="shared" si="605"/>
        <v>0</v>
      </c>
      <c r="AD447" s="152">
        <v>0.08</v>
      </c>
      <c r="AE447" s="31">
        <f t="shared" si="606"/>
        <v>16600</v>
      </c>
      <c r="AF447" s="28">
        <f t="shared" si="600"/>
        <v>0.18427135678391959</v>
      </c>
      <c r="AG447" s="34">
        <f t="shared" si="601"/>
        <v>29336.03</v>
      </c>
      <c r="AH447" s="34" t="e">
        <f t="shared" si="602"/>
        <v>#REF!</v>
      </c>
      <c r="AI447" s="34" t="e">
        <f>SUMIF(헤몬팜마진!$B$7:$B$32,$C447,헤몬팜마진!$V$7:$V$32)</f>
        <v>#REF!</v>
      </c>
      <c r="AJ447" s="34" t="e">
        <f t="shared" si="603"/>
        <v>#REF!</v>
      </c>
      <c r="AK447" s="46" t="e">
        <f t="shared" si="604"/>
        <v>#REF!</v>
      </c>
      <c r="AL447" s="40">
        <f>SUMIF(헤몬팜마진!$B$7:$B$32,$C447,헤몬팜마진!$T$7:$T$32)</f>
        <v>176.41799999999998</v>
      </c>
      <c r="AM447" s="41">
        <f>SUMIF(헤몬팜마진!$B$7:$B$32,$C447,헤몬팜마진!$U$7:$U$32)</f>
        <v>900.38519999999994</v>
      </c>
      <c r="AN447" s="36"/>
      <c r="AO447" s="235">
        <v>35832</v>
      </c>
      <c r="AP447" s="235">
        <v>69</v>
      </c>
      <c r="AQ447" s="126"/>
      <c r="AR447" s="126"/>
      <c r="AS447" s="126"/>
      <c r="AT447" s="118"/>
      <c r="AU447" s="118"/>
      <c r="AV447" s="118"/>
      <c r="AW447" s="118"/>
      <c r="AX447" s="118"/>
      <c r="AY447" s="118"/>
      <c r="AZ447" s="118"/>
      <c r="BA447" s="118"/>
      <c r="BB447" s="118"/>
      <c r="BC447" s="118"/>
      <c r="BD447" s="118"/>
      <c r="BE447" s="118"/>
      <c r="BF447" s="118"/>
      <c r="BG447" s="47"/>
      <c r="BH447" s="47"/>
      <c r="BI447" s="47"/>
      <c r="BJ447" s="47"/>
      <c r="BK447" s="47"/>
    </row>
    <row r="448" spans="1:63" ht="28.5" customHeight="1">
      <c r="A448" s="228"/>
      <c r="B448" s="237"/>
      <c r="C448" s="42" t="s">
        <v>113</v>
      </c>
      <c r="D448" s="28" t="e">
        <f t="shared" si="587"/>
        <v>#REF!</v>
      </c>
      <c r="E448" s="201" t="e">
        <f t="shared" si="588"/>
        <v>#REF!</v>
      </c>
      <c r="F448" s="30">
        <f t="shared" si="589"/>
        <v>0.11293589743589745</v>
      </c>
      <c r="G448" s="30">
        <f t="shared" si="590"/>
        <v>0</v>
      </c>
      <c r="H448" s="135"/>
      <c r="I448" s="35">
        <f t="shared" si="591"/>
        <v>105</v>
      </c>
      <c r="J448" s="35">
        <f t="shared" si="592"/>
        <v>210</v>
      </c>
      <c r="K448" s="236"/>
      <c r="L448" s="39">
        <f>74+42+48+18+8+2</f>
        <v>192</v>
      </c>
      <c r="M448" s="210"/>
      <c r="N448" s="44">
        <v>15</v>
      </c>
      <c r="O448" s="36">
        <v>2</v>
      </c>
      <c r="P448" s="31">
        <f t="shared" si="593"/>
        <v>2</v>
      </c>
      <c r="Q448" s="36">
        <v>1</v>
      </c>
      <c r="R448" s="233"/>
      <c r="S448" s="36"/>
      <c r="T448" s="34">
        <f t="shared" si="594"/>
        <v>85800</v>
      </c>
      <c r="U448" s="31">
        <f t="shared" si="595"/>
        <v>0</v>
      </c>
      <c r="V448" s="34">
        <f t="shared" si="596"/>
        <v>85800</v>
      </c>
      <c r="W448" s="43">
        <v>42900</v>
      </c>
      <c r="X448" s="34">
        <f>SUMIF(헤몬팜마진!$B$7:$B$32,$C448,헤몬팜마진!$R$7:$R$32)</f>
        <v>7855.1382499999991</v>
      </c>
      <c r="Y448" s="34" t="e">
        <f t="shared" si="597"/>
        <v>#REF!</v>
      </c>
      <c r="Z448" s="34">
        <f t="shared" si="598"/>
        <v>9689.9000000000015</v>
      </c>
      <c r="AA448" s="234">
        <v>8809</v>
      </c>
      <c r="AB448" s="36"/>
      <c r="AC448" s="204">
        <f t="shared" si="605"/>
        <v>2310</v>
      </c>
      <c r="AD448" s="152">
        <v>7.8E-2</v>
      </c>
      <c r="AE448" s="31">
        <f>1900*(P448)</f>
        <v>3800</v>
      </c>
      <c r="AF448" s="28">
        <f t="shared" si="600"/>
        <v>0.12228904428904429</v>
      </c>
      <c r="AG448" s="34">
        <f t="shared" si="601"/>
        <v>10492.43</v>
      </c>
      <c r="AH448" s="34" t="e">
        <f t="shared" si="602"/>
        <v>#REF!</v>
      </c>
      <c r="AI448" s="34" t="e">
        <f>SUMIF(헤몬팜마진!$B$7:$B$32,$C448,헤몬팜마진!$V$7:$V$32)</f>
        <v>#REF!</v>
      </c>
      <c r="AJ448" s="34" t="e">
        <f t="shared" si="603"/>
        <v>#REF!</v>
      </c>
      <c r="AK448" s="206" t="e">
        <f t="shared" si="604"/>
        <v>#REF!</v>
      </c>
      <c r="AL448" s="40">
        <f>SUMIF(헤몬팜마진!$B$7:$B$32,$C448,헤몬팜마진!$T$7:$T$32)</f>
        <v>176.41799999999998</v>
      </c>
      <c r="AM448" s="41">
        <f>SUMIF(헤몬팜마진!$B$7:$B$32,$C448,헤몬팜마진!$U$7:$U$32)</f>
        <v>900.38519999999994</v>
      </c>
      <c r="AN448" s="36"/>
      <c r="AO448" s="235">
        <v>23140</v>
      </c>
      <c r="AP448" s="235">
        <v>27</v>
      </c>
      <c r="AQ448" s="126"/>
      <c r="AR448" s="126"/>
      <c r="AS448" s="126"/>
      <c r="AT448" s="118"/>
      <c r="AU448" s="118"/>
      <c r="AV448" s="118"/>
      <c r="AW448" s="118"/>
      <c r="AX448" s="118"/>
      <c r="AY448" s="118"/>
      <c r="AZ448" s="118"/>
      <c r="BA448" s="118"/>
      <c r="BB448" s="118"/>
      <c r="BC448" s="118"/>
      <c r="BD448" s="118"/>
      <c r="BE448" s="118"/>
      <c r="BF448" s="118"/>
      <c r="BG448" s="47"/>
      <c r="BH448" s="47"/>
      <c r="BI448" s="47"/>
      <c r="BJ448" s="47"/>
      <c r="BK448" s="47"/>
    </row>
    <row r="449" spans="1:63" ht="28.5" customHeight="1">
      <c r="A449" s="12" t="s">
        <v>132</v>
      </c>
      <c r="B449" s="207"/>
      <c r="C449" s="42" t="s">
        <v>32</v>
      </c>
      <c r="D449" s="28" t="e">
        <f t="shared" si="587"/>
        <v>#REF!</v>
      </c>
      <c r="E449" s="201" t="e">
        <f t="shared" si="588"/>
        <v>#REF!</v>
      </c>
      <c r="F449" s="30" t="e">
        <f t="shared" si="589"/>
        <v>#DIV/0!</v>
      </c>
      <c r="G449" s="30" t="e">
        <f t="shared" si="590"/>
        <v>#DIV/0!</v>
      </c>
      <c r="H449" s="37">
        <v>3504</v>
      </c>
      <c r="I449" s="35">
        <f t="shared" si="591"/>
        <v>210</v>
      </c>
      <c r="J449" s="35">
        <f t="shared" si="592"/>
        <v>420</v>
      </c>
      <c r="K449" s="50">
        <v>626</v>
      </c>
      <c r="L449" s="39">
        <f>30+13+6</f>
        <v>49</v>
      </c>
      <c r="M449" s="210"/>
      <c r="N449" s="208">
        <v>30</v>
      </c>
      <c r="O449" s="202">
        <v>0</v>
      </c>
      <c r="P449" s="31">
        <f t="shared" si="593"/>
        <v>0</v>
      </c>
      <c r="Q449" s="36"/>
      <c r="R449" s="203"/>
      <c r="S449" s="36"/>
      <c r="T449" s="34">
        <f t="shared" si="594"/>
        <v>0</v>
      </c>
      <c r="U449" s="31">
        <f t="shared" si="595"/>
        <v>0</v>
      </c>
      <c r="V449" s="34">
        <f t="shared" si="596"/>
        <v>0</v>
      </c>
      <c r="W449" s="43">
        <v>59800</v>
      </c>
      <c r="X449" s="34">
        <f>SUMIF(헤몬팜마진!$B$7:$B$32,$C449,헤몬팜마진!$R$7:$R$32)</f>
        <v>13276.289999999999</v>
      </c>
      <c r="Y449" s="34" t="e">
        <f t="shared" si="597"/>
        <v>#REF!</v>
      </c>
      <c r="Z449" s="34">
        <f t="shared" si="598"/>
        <v>0</v>
      </c>
      <c r="AA449" s="234"/>
      <c r="AB449" s="209"/>
      <c r="AC449" s="204">
        <f t="shared" si="605"/>
        <v>0</v>
      </c>
      <c r="AD449" s="152">
        <v>0.108</v>
      </c>
      <c r="AE449" s="31">
        <f t="shared" ref="AE449:AE450" si="607">4825*(P449)</f>
        <v>0</v>
      </c>
      <c r="AF449" s="28" t="e">
        <f t="shared" si="600"/>
        <v>#DIV/0!</v>
      </c>
      <c r="AG449" s="34">
        <f t="shared" si="601"/>
        <v>0</v>
      </c>
      <c r="AH449" s="34" t="e">
        <f t="shared" si="602"/>
        <v>#REF!</v>
      </c>
      <c r="AI449" s="34" t="e">
        <f>SUMIF(헤몬팜마진!$B$7:$B$32,$C449,헤몬팜마진!$V$7:$V$32)</f>
        <v>#REF!</v>
      </c>
      <c r="AJ449" s="34" t="e">
        <f t="shared" si="603"/>
        <v>#REF!</v>
      </c>
      <c r="AK449" s="46" t="e">
        <f t="shared" si="604"/>
        <v>#REF!</v>
      </c>
      <c r="AL449" s="40">
        <f>SUMIF(헤몬팜마진!$B$7:$B$32,$C449,헤몬팜마진!$T$7:$T$32)</f>
        <v>371.52</v>
      </c>
      <c r="AM449" s="41">
        <f>SUMIF(헤몬팜마진!$B$7:$B$32,$C449,헤몬팜마진!$U$7:$U$32)</f>
        <v>1896.1279999999999</v>
      </c>
      <c r="AN449" s="36"/>
      <c r="AO449" s="202"/>
      <c r="AP449" s="205"/>
      <c r="AQ449" s="126"/>
      <c r="AR449" s="126"/>
      <c r="AS449" s="126"/>
      <c r="AT449" s="118"/>
      <c r="AU449" s="118"/>
      <c r="AV449" s="118"/>
      <c r="AW449" s="118"/>
      <c r="AX449" s="118"/>
      <c r="AY449" s="118"/>
      <c r="AZ449" s="118"/>
      <c r="BA449" s="118"/>
      <c r="BB449" s="118"/>
      <c r="BC449" s="118"/>
      <c r="BD449" s="118"/>
      <c r="BE449" s="118"/>
      <c r="BF449" s="118"/>
      <c r="BG449" s="47"/>
      <c r="BH449" s="47"/>
      <c r="BI449" s="47"/>
      <c r="BJ449" s="47"/>
      <c r="BK449" s="47"/>
    </row>
    <row r="450" spans="1:63" ht="28.5" customHeight="1">
      <c r="A450" s="12" t="s">
        <v>132</v>
      </c>
      <c r="B450" s="237"/>
      <c r="C450" s="42" t="s">
        <v>33</v>
      </c>
      <c r="D450" s="28" t="e">
        <f t="shared" si="587"/>
        <v>#REF!</v>
      </c>
      <c r="E450" s="201" t="e">
        <f t="shared" si="588"/>
        <v>#REF!</v>
      </c>
      <c r="F450" s="30" t="e">
        <f t="shared" si="589"/>
        <v>#DIV/0!</v>
      </c>
      <c r="G450" s="30" t="e">
        <f t="shared" si="590"/>
        <v>#DIV/0!</v>
      </c>
      <c r="H450" s="35">
        <v>0</v>
      </c>
      <c r="I450" s="35">
        <f t="shared" si="591"/>
        <v>210</v>
      </c>
      <c r="J450" s="35">
        <f t="shared" si="592"/>
        <v>420</v>
      </c>
      <c r="K450" s="236"/>
      <c r="L450" s="39">
        <f>4+11+18+38+129</f>
        <v>200</v>
      </c>
      <c r="M450" s="210"/>
      <c r="N450" s="44">
        <v>30</v>
      </c>
      <c r="O450" s="202">
        <v>0</v>
      </c>
      <c r="P450" s="31">
        <f t="shared" si="593"/>
        <v>0</v>
      </c>
      <c r="Q450" s="36"/>
      <c r="R450" s="203"/>
      <c r="S450" s="36"/>
      <c r="T450" s="34">
        <f t="shared" si="594"/>
        <v>0</v>
      </c>
      <c r="U450" s="31">
        <f t="shared" si="595"/>
        <v>0</v>
      </c>
      <c r="V450" s="34">
        <f t="shared" si="596"/>
        <v>0</v>
      </c>
      <c r="W450" s="43">
        <v>69780</v>
      </c>
      <c r="X450" s="34">
        <f>SUMIF(헤몬팜마진!$B$7:$B$32,$C450,헤몬팜마진!$R$7:$R$32)</f>
        <v>13276.289999999999</v>
      </c>
      <c r="Y450" s="34" t="e">
        <f t="shared" si="597"/>
        <v>#REF!</v>
      </c>
      <c r="Z450" s="34">
        <f t="shared" si="598"/>
        <v>0</v>
      </c>
      <c r="AA450" s="234"/>
      <c r="AB450" s="36"/>
      <c r="AC450" s="204">
        <f t="shared" si="605"/>
        <v>0</v>
      </c>
      <c r="AD450" s="152">
        <v>0.108</v>
      </c>
      <c r="AE450" s="31">
        <f t="shared" si="607"/>
        <v>0</v>
      </c>
      <c r="AF450" s="28" t="e">
        <f t="shared" si="600"/>
        <v>#DIV/0!</v>
      </c>
      <c r="AG450" s="34">
        <f t="shared" si="601"/>
        <v>0</v>
      </c>
      <c r="AH450" s="34" t="e">
        <f t="shared" si="602"/>
        <v>#REF!</v>
      </c>
      <c r="AI450" s="34" t="e">
        <f>SUMIF(헤몬팜마진!$B$7:$B$32,$C450,헤몬팜마진!$V$7:$V$32)</f>
        <v>#REF!</v>
      </c>
      <c r="AJ450" s="34" t="e">
        <f t="shared" si="603"/>
        <v>#REF!</v>
      </c>
      <c r="AK450" s="46" t="e">
        <f t="shared" si="604"/>
        <v>#REF!</v>
      </c>
      <c r="AL450" s="40">
        <f>SUMIF(헤몬팜마진!$B$7:$B$32,$C450,헤몬팜마진!$T$7:$T$32)</f>
        <v>371.52</v>
      </c>
      <c r="AM450" s="41">
        <f>SUMIF(헤몬팜마진!$B$7:$B$32,$C450,헤몬팜마진!$U$7:$U$32)</f>
        <v>1896.1279999999999</v>
      </c>
      <c r="AN450" s="36"/>
      <c r="AO450" s="235"/>
      <c r="AP450" s="235"/>
      <c r="AQ450" s="126"/>
      <c r="AR450" s="126"/>
      <c r="AS450" s="126"/>
      <c r="AT450" s="118"/>
      <c r="AU450" s="118"/>
      <c r="AV450" s="118"/>
      <c r="AW450" s="118"/>
      <c r="AX450" s="118"/>
      <c r="AY450" s="118"/>
      <c r="AZ450" s="118"/>
      <c r="BA450" s="118"/>
      <c r="BB450" s="118"/>
      <c r="BC450" s="118"/>
      <c r="BD450" s="118"/>
      <c r="BE450" s="118"/>
      <c r="BF450" s="118"/>
      <c r="BG450" s="47"/>
      <c r="BH450" s="47"/>
      <c r="BI450" s="47"/>
      <c r="BJ450" s="47"/>
      <c r="BK450" s="47"/>
    </row>
    <row r="451" spans="1:63" ht="28.5" customHeight="1">
      <c r="A451" s="228" t="s">
        <v>133</v>
      </c>
      <c r="B451" s="200"/>
      <c r="C451" s="42" t="s">
        <v>111</v>
      </c>
      <c r="D451" s="28">
        <f t="shared" si="587"/>
        <v>-0.14638827360139856</v>
      </c>
      <c r="E451" s="201">
        <f t="shared" si="588"/>
        <v>0.39080853160951962</v>
      </c>
      <c r="F451" s="30">
        <f t="shared" si="589"/>
        <v>0.53719680521091817</v>
      </c>
      <c r="G451" s="30">
        <f t="shared" si="590"/>
        <v>8.3333333333333329E-2</v>
      </c>
      <c r="H451" s="35">
        <v>500</v>
      </c>
      <c r="I451" s="35">
        <f t="shared" si="591"/>
        <v>105</v>
      </c>
      <c r="J451" s="35">
        <f t="shared" si="592"/>
        <v>210</v>
      </c>
      <c r="K451" s="39">
        <v>577</v>
      </c>
      <c r="L451" s="39">
        <v>211</v>
      </c>
      <c r="M451" s="210"/>
      <c r="N451" s="44">
        <v>15</v>
      </c>
      <c r="O451" s="202">
        <v>8</v>
      </c>
      <c r="P451" s="31">
        <f t="shared" si="593"/>
        <v>8</v>
      </c>
      <c r="Q451" s="202">
        <v>1</v>
      </c>
      <c r="R451" s="233">
        <v>8</v>
      </c>
      <c r="S451" s="202"/>
      <c r="T451" s="34">
        <f t="shared" si="594"/>
        <v>128960</v>
      </c>
      <c r="U451" s="31">
        <f t="shared" si="595"/>
        <v>0</v>
      </c>
      <c r="V451" s="34">
        <f t="shared" si="596"/>
        <v>128960</v>
      </c>
      <c r="W451" s="43">
        <v>16120</v>
      </c>
      <c r="X451" s="34">
        <f>SUMIF(헤몬팜마진!$B$7:$B$32,$C451,헤몬팜마진!$R$7:$R$32)</f>
        <v>5089.2444999999998</v>
      </c>
      <c r="Y451" s="34">
        <f t="shared" si="597"/>
        <v>41010.595999999998</v>
      </c>
      <c r="Z451" s="34">
        <f t="shared" si="598"/>
        <v>69276.900000000009</v>
      </c>
      <c r="AA451" s="234">
        <v>62979</v>
      </c>
      <c r="AB451" s="211"/>
      <c r="AC451" s="204">
        <f t="shared" si="605"/>
        <v>2310</v>
      </c>
      <c r="AD451" s="152">
        <v>7.8E-2</v>
      </c>
      <c r="AE451" s="31">
        <f>2900*(P451)</f>
        <v>23200</v>
      </c>
      <c r="AF451" s="28">
        <f t="shared" si="600"/>
        <v>0.25790074441687344</v>
      </c>
      <c r="AG451" s="34">
        <f t="shared" si="601"/>
        <v>33258.909999999996</v>
      </c>
      <c r="AH451" s="34">
        <f t="shared" si="602"/>
        <v>4291.8257636363633</v>
      </c>
      <c r="AI451" s="34">
        <f>SUMIF(헤몬팜마진!$B$7:$B$32,$C451,헤몬팜마진!$V$7:$V$32)</f>
        <v>5126.3244999999997</v>
      </c>
      <c r="AJ451" s="34">
        <f t="shared" si="603"/>
        <v>50398.66823636365</v>
      </c>
      <c r="AK451" s="206">
        <f t="shared" si="604"/>
        <v>-18878.231763636359</v>
      </c>
      <c r="AL451" s="40">
        <f>SUMIF(헤몬팜마진!$B$7:$B$32,$C451,헤몬팜마진!$T$7:$T$32)</f>
        <v>6.0750000000000002</v>
      </c>
      <c r="AM451" s="41">
        <f>SUMIF(헤몬팜마진!$B$7:$B$32,$C451,헤몬팜마진!$U$7:$U$32)</f>
        <v>31.005000000000003</v>
      </c>
      <c r="AN451" s="36"/>
      <c r="AO451" s="235">
        <v>48738</v>
      </c>
      <c r="AP451" s="235">
        <v>96</v>
      </c>
      <c r="AQ451" s="126"/>
      <c r="AR451" s="126"/>
      <c r="AS451" s="126"/>
      <c r="AT451" s="118"/>
      <c r="AU451" s="118"/>
      <c r="AV451" s="118"/>
      <c r="AW451" s="118"/>
      <c r="AX451" s="118"/>
      <c r="AY451" s="118"/>
      <c r="AZ451" s="118"/>
      <c r="BA451" s="118"/>
      <c r="BB451" s="118"/>
      <c r="BC451" s="118"/>
      <c r="BD451" s="118"/>
      <c r="BE451" s="118"/>
      <c r="BF451" s="118"/>
      <c r="BG451" s="47"/>
      <c r="BH451" s="47"/>
      <c r="BI451" s="47"/>
      <c r="BJ451" s="47"/>
      <c r="BK451" s="47"/>
    </row>
    <row r="452" spans="1:63" ht="28.5" customHeight="1">
      <c r="A452" s="228" t="s">
        <v>135</v>
      </c>
      <c r="B452" s="200"/>
      <c r="C452" s="42" t="s">
        <v>114</v>
      </c>
      <c r="D452" s="28">
        <f t="shared" si="587"/>
        <v>7.5223193750000042E-2</v>
      </c>
      <c r="E452" s="201">
        <f t="shared" si="588"/>
        <v>0.36298881875000005</v>
      </c>
      <c r="F452" s="30">
        <f t="shared" si="589"/>
        <v>0.28776562500000002</v>
      </c>
      <c r="G452" s="30">
        <f t="shared" si="590"/>
        <v>8.1081081081081086E-2</v>
      </c>
      <c r="H452" s="35">
        <v>1750</v>
      </c>
      <c r="I452" s="35">
        <f t="shared" si="591"/>
        <v>350</v>
      </c>
      <c r="J452" s="35">
        <f t="shared" si="592"/>
        <v>700</v>
      </c>
      <c r="K452" s="39">
        <v>1449</v>
      </c>
      <c r="L452" s="39">
        <v>1217</v>
      </c>
      <c r="M452" s="210"/>
      <c r="N452" s="44">
        <v>50</v>
      </c>
      <c r="O452" s="202">
        <v>11</v>
      </c>
      <c r="P452" s="31">
        <f t="shared" si="593"/>
        <v>11</v>
      </c>
      <c r="Q452" s="36"/>
      <c r="R452" s="233">
        <v>6</v>
      </c>
      <c r="S452" s="36"/>
      <c r="T452" s="34">
        <f t="shared" si="594"/>
        <v>211200</v>
      </c>
      <c r="U452" s="31">
        <f t="shared" si="595"/>
        <v>0</v>
      </c>
      <c r="V452" s="34">
        <f t="shared" si="596"/>
        <v>211200</v>
      </c>
      <c r="W452" s="43">
        <v>19200</v>
      </c>
      <c r="X452" s="34">
        <f>SUMIF(헤몬팜마진!$B$7:$B$32,$C452,헤몬팜마진!$R$7:$R$32)</f>
        <v>6372.6191999999992</v>
      </c>
      <c r="Y452" s="34">
        <f t="shared" si="597"/>
        <v>74485.787199999992</v>
      </c>
      <c r="Z452" s="34">
        <f t="shared" si="598"/>
        <v>60776.100000000006</v>
      </c>
      <c r="AA452" s="234">
        <v>55251</v>
      </c>
      <c r="AB452" s="36"/>
      <c r="AC452" s="204">
        <f t="shared" si="605"/>
        <v>0</v>
      </c>
      <c r="AD452" s="152">
        <v>0.08</v>
      </c>
      <c r="AE452" s="31">
        <f>3350*(P452)</f>
        <v>36850</v>
      </c>
      <c r="AF452" s="28">
        <f t="shared" si="600"/>
        <v>0.25447916666666665</v>
      </c>
      <c r="AG452" s="34">
        <f t="shared" si="601"/>
        <v>53746.029999999992</v>
      </c>
      <c r="AH452" s="34">
        <f t="shared" si="602"/>
        <v>6304.9442799999961</v>
      </c>
      <c r="AI452" s="34">
        <f>SUMIF(헤몬팜마진!$B$7:$B$32,$C452,헤몬팜마진!$V$7:$V$32)</f>
        <v>6771.435199999999</v>
      </c>
      <c r="AJ452" s="34">
        <f t="shared" si="603"/>
        <v>76663.238520000014</v>
      </c>
      <c r="AK452" s="46">
        <f t="shared" si="604"/>
        <v>15887.138520000008</v>
      </c>
      <c r="AL452" s="40">
        <f>SUMIF(헤몬팜마진!$B$7:$B$32,$C452,헤몬팜마진!$T$7:$T$32)</f>
        <v>65.34</v>
      </c>
      <c r="AM452" s="41">
        <f>SUMIF(헤몬팜마진!$B$7:$B$32,$C452,헤몬팜마진!$U$7:$U$32)</f>
        <v>333.476</v>
      </c>
      <c r="AN452" s="36"/>
      <c r="AO452" s="235">
        <v>25360</v>
      </c>
      <c r="AP452" s="235">
        <v>74</v>
      </c>
      <c r="AQ452" s="126"/>
      <c r="AR452" s="126"/>
      <c r="AS452" s="126"/>
      <c r="AT452" s="118"/>
      <c r="AU452" s="118"/>
      <c r="AV452" s="118"/>
      <c r="AW452" s="118"/>
      <c r="AX452" s="118"/>
      <c r="AY452" s="118"/>
      <c r="AZ452" s="118"/>
      <c r="BA452" s="118"/>
      <c r="BB452" s="118"/>
      <c r="BC452" s="118"/>
      <c r="BD452" s="118"/>
      <c r="BE452" s="118"/>
      <c r="BF452" s="118"/>
      <c r="BG452" s="47"/>
      <c r="BH452" s="47"/>
      <c r="BI452" s="47"/>
      <c r="BJ452" s="47"/>
      <c r="BK452" s="47"/>
    </row>
    <row r="453" spans="1:63" ht="28.5" customHeight="1">
      <c r="A453" s="327" t="s">
        <v>136</v>
      </c>
      <c r="B453" s="326"/>
      <c r="C453" s="42" t="s">
        <v>115</v>
      </c>
      <c r="D453" s="28" t="e">
        <f t="shared" si="587"/>
        <v>#REF!</v>
      </c>
      <c r="E453" s="201" t="e">
        <f t="shared" si="588"/>
        <v>#REF!</v>
      </c>
      <c r="F453" s="30">
        <f t="shared" si="589"/>
        <v>0.18316184494777399</v>
      </c>
      <c r="G453" s="30">
        <f t="shared" si="590"/>
        <v>5.185185185185185E-2</v>
      </c>
      <c r="H453" s="35">
        <v>0</v>
      </c>
      <c r="I453" s="35">
        <f t="shared" si="591"/>
        <v>70</v>
      </c>
      <c r="J453" s="35">
        <f t="shared" si="592"/>
        <v>140</v>
      </c>
      <c r="K453" s="328">
        <v>494</v>
      </c>
      <c r="L453" s="39">
        <v>0</v>
      </c>
      <c r="M453" s="210"/>
      <c r="N453" s="44">
        <v>10</v>
      </c>
      <c r="O453" s="36">
        <v>9</v>
      </c>
      <c r="P453" s="31">
        <f t="shared" si="593"/>
        <v>9</v>
      </c>
      <c r="Q453" s="36">
        <v>1</v>
      </c>
      <c r="R453" s="233">
        <v>7</v>
      </c>
      <c r="S453" s="36"/>
      <c r="T453" s="34">
        <f t="shared" si="594"/>
        <v>449010</v>
      </c>
      <c r="U453" s="31">
        <f t="shared" si="595"/>
        <v>0</v>
      </c>
      <c r="V453" s="34">
        <f t="shared" si="596"/>
        <v>449010</v>
      </c>
      <c r="W453" s="43">
        <v>49890</v>
      </c>
      <c r="X453" s="34">
        <f>SUMIF(헤몬팜마진!$B$7:$B$32,$C453,헤몬팜마진!$R$7:$R$32)</f>
        <v>12169.932499999999</v>
      </c>
      <c r="Y453" s="34" t="e">
        <f t="shared" si="597"/>
        <v>#REF!</v>
      </c>
      <c r="Z453" s="34">
        <f t="shared" si="598"/>
        <v>82241.5</v>
      </c>
      <c r="AA453" s="234">
        <v>74765</v>
      </c>
      <c r="AB453" s="211"/>
      <c r="AC453" s="204">
        <f t="shared" si="605"/>
        <v>2310</v>
      </c>
      <c r="AD453" s="152">
        <v>7.8E-2</v>
      </c>
      <c r="AE453" s="31">
        <f t="shared" ref="AE453:AE454" si="608">4825*(P453)</f>
        <v>43425</v>
      </c>
      <c r="AF453" s="28">
        <f t="shared" si="600"/>
        <v>0.17471276808979755</v>
      </c>
      <c r="AG453" s="34">
        <f t="shared" si="601"/>
        <v>78447.81</v>
      </c>
      <c r="AH453" s="34" t="e">
        <f t="shared" si="602"/>
        <v>#REF!</v>
      </c>
      <c r="AI453" s="34" t="e">
        <f>SUMIF(헤몬팜마진!$B$7:$B$32,$C453,헤몬팜마진!$V$7:$V$32)</f>
        <v>#REF!</v>
      </c>
      <c r="AJ453" s="34" t="e">
        <f t="shared" si="603"/>
        <v>#REF!</v>
      </c>
      <c r="AK453" s="206" t="e">
        <f t="shared" si="604"/>
        <v>#REF!</v>
      </c>
      <c r="AL453" s="40">
        <f>SUMIF(헤몬팜마진!$B$7:$B$32,$C453,헤몬팜마진!$T$7:$T$32)</f>
        <v>181.44000000000003</v>
      </c>
      <c r="AM453" s="41">
        <f>SUMIF(헤몬팜마진!$B$7:$B$32,$C453,헤몬팜마진!$U$7:$U$32)</f>
        <v>926.01600000000019</v>
      </c>
      <c r="AN453" s="36"/>
      <c r="AO453" s="235">
        <v>34368</v>
      </c>
      <c r="AP453" s="235">
        <v>135</v>
      </c>
      <c r="AQ453" s="126"/>
      <c r="AR453" s="126"/>
      <c r="AS453" s="126"/>
      <c r="AT453" s="118"/>
      <c r="AU453" s="118"/>
      <c r="AV453" s="118"/>
      <c r="AW453" s="118"/>
      <c r="AX453" s="118"/>
      <c r="AY453" s="118"/>
      <c r="AZ453" s="118"/>
      <c r="BA453" s="118"/>
      <c r="BB453" s="118"/>
      <c r="BC453" s="118"/>
      <c r="BD453" s="118"/>
      <c r="BE453" s="118"/>
      <c r="BF453" s="118"/>
      <c r="BG453" s="47"/>
      <c r="BH453" s="47"/>
      <c r="BI453" s="47"/>
      <c r="BJ453" s="47"/>
      <c r="BK453" s="47"/>
    </row>
    <row r="454" spans="1:63" ht="28.5" customHeight="1">
      <c r="A454" s="318"/>
      <c r="B454" s="324"/>
      <c r="C454" s="42" t="s">
        <v>116</v>
      </c>
      <c r="D454" s="28" t="e">
        <f t="shared" si="587"/>
        <v>#REF!</v>
      </c>
      <c r="E454" s="201" t="e">
        <f t="shared" si="588"/>
        <v>#REF!</v>
      </c>
      <c r="F454" s="30">
        <f t="shared" si="589"/>
        <v>8.7833045877888941E-2</v>
      </c>
      <c r="G454" s="30">
        <f t="shared" si="590"/>
        <v>4.0404040404040407E-2</v>
      </c>
      <c r="H454" s="35">
        <v>0</v>
      </c>
      <c r="I454" s="35">
        <f t="shared" si="591"/>
        <v>70</v>
      </c>
      <c r="J454" s="35">
        <f t="shared" si="592"/>
        <v>140</v>
      </c>
      <c r="K454" s="310"/>
      <c r="L454" s="39">
        <v>1</v>
      </c>
      <c r="M454" s="210"/>
      <c r="N454" s="44">
        <v>10</v>
      </c>
      <c r="O454" s="202">
        <v>10</v>
      </c>
      <c r="P454" s="31">
        <f t="shared" si="593"/>
        <v>10</v>
      </c>
      <c r="Q454" s="202">
        <v>2</v>
      </c>
      <c r="R454" s="233">
        <v>4</v>
      </c>
      <c r="S454" s="36"/>
      <c r="T454" s="34">
        <f t="shared" si="594"/>
        <v>579800</v>
      </c>
      <c r="U454" s="31">
        <f t="shared" si="595"/>
        <v>0</v>
      </c>
      <c r="V454" s="34">
        <f t="shared" si="596"/>
        <v>579800</v>
      </c>
      <c r="W454" s="43">
        <v>57980</v>
      </c>
      <c r="X454" s="34">
        <f>SUMIF(헤몬팜마진!$B$7:$B$32,$C454,헤몬팜마진!$R$7:$R$32)</f>
        <v>12169.932499999999</v>
      </c>
      <c r="Y454" s="34" t="e">
        <f t="shared" si="597"/>
        <v>#REF!</v>
      </c>
      <c r="Z454" s="34">
        <f t="shared" si="598"/>
        <v>50925.600000000006</v>
      </c>
      <c r="AA454" s="234">
        <v>46296</v>
      </c>
      <c r="AB454" s="36"/>
      <c r="AC454" s="204">
        <f t="shared" si="605"/>
        <v>4620</v>
      </c>
      <c r="AD454" s="152">
        <v>7.8E-2</v>
      </c>
      <c r="AE454" s="31">
        <f t="shared" si="608"/>
        <v>48250</v>
      </c>
      <c r="AF454" s="28">
        <f t="shared" si="600"/>
        <v>0.16121835115557087</v>
      </c>
      <c r="AG454" s="34">
        <f t="shared" si="601"/>
        <v>93474.43</v>
      </c>
      <c r="AH454" s="34" t="e">
        <f t="shared" si="602"/>
        <v>#REF!</v>
      </c>
      <c r="AI454" s="34" t="e">
        <f>SUMIF(헤몬팜마진!$B$7:$B$32,$C454,헤몬팜마진!$V$7:$V$32)</f>
        <v>#REF!</v>
      </c>
      <c r="AJ454" s="34" t="e">
        <f t="shared" si="603"/>
        <v>#REF!</v>
      </c>
      <c r="AK454" s="46" t="e">
        <f t="shared" si="604"/>
        <v>#REF!</v>
      </c>
      <c r="AL454" s="40">
        <f>SUMIF(헤몬팜마진!$B$7:$B$32,$C454,헤몬팜마진!$T$7:$T$32)</f>
        <v>181.44000000000003</v>
      </c>
      <c r="AM454" s="41">
        <f>SUMIF(헤몬팜마진!$B$7:$B$32,$C454,헤몬팜마진!$U$7:$U$32)</f>
        <v>926.01600000000019</v>
      </c>
      <c r="AN454" s="36"/>
      <c r="AO454" s="235">
        <v>31079</v>
      </c>
      <c r="AP454" s="235">
        <v>99</v>
      </c>
      <c r="AQ454" s="126"/>
      <c r="AR454" s="126"/>
      <c r="AS454" s="126"/>
      <c r="AT454" s="118"/>
      <c r="AU454" s="118"/>
      <c r="AV454" s="118"/>
      <c r="AW454" s="118"/>
      <c r="AX454" s="118"/>
      <c r="AY454" s="118"/>
      <c r="AZ454" s="118"/>
      <c r="BA454" s="118"/>
      <c r="BB454" s="118"/>
      <c r="BC454" s="118"/>
      <c r="BD454" s="118"/>
      <c r="BE454" s="118"/>
      <c r="BF454" s="118"/>
      <c r="BG454" s="47"/>
      <c r="BH454" s="47"/>
      <c r="BI454" s="47"/>
      <c r="BJ454" s="47"/>
      <c r="BK454" s="47"/>
    </row>
    <row r="455" spans="1:63" ht="28.5" customHeight="1">
      <c r="A455" s="228" t="s">
        <v>137</v>
      </c>
      <c r="B455" s="200"/>
      <c r="C455" s="42" t="s">
        <v>117</v>
      </c>
      <c r="D455" s="28">
        <f t="shared" si="587"/>
        <v>0.21094173043922373</v>
      </c>
      <c r="E455" s="201">
        <f t="shared" si="588"/>
        <v>0.43835746077630239</v>
      </c>
      <c r="F455" s="30">
        <f t="shared" si="589"/>
        <v>0.22741573033707865</v>
      </c>
      <c r="G455" s="30">
        <f t="shared" si="590"/>
        <v>6.5789473684210523E-2</v>
      </c>
      <c r="H455" s="35">
        <v>2000</v>
      </c>
      <c r="I455" s="35">
        <f t="shared" si="591"/>
        <v>700</v>
      </c>
      <c r="J455" s="35">
        <f t="shared" si="592"/>
        <v>1400</v>
      </c>
      <c r="K455" s="39">
        <v>2373</v>
      </c>
      <c r="L455" s="39">
        <v>3</v>
      </c>
      <c r="M455" s="210"/>
      <c r="N455" s="44">
        <v>100</v>
      </c>
      <c r="O455" s="202">
        <v>9</v>
      </c>
      <c r="P455" s="31">
        <f t="shared" si="593"/>
        <v>9</v>
      </c>
      <c r="Q455" s="202">
        <v>9</v>
      </c>
      <c r="R455" s="233">
        <v>5</v>
      </c>
      <c r="S455" s="36"/>
      <c r="T455" s="34">
        <f t="shared" si="594"/>
        <v>160200</v>
      </c>
      <c r="U455" s="31">
        <f t="shared" si="595"/>
        <v>0</v>
      </c>
      <c r="V455" s="34">
        <f t="shared" si="596"/>
        <v>160200</v>
      </c>
      <c r="W455" s="43">
        <v>17800</v>
      </c>
      <c r="X455" s="34">
        <f>SUMIF(헤몬팜마진!$B$7:$B$32,$C455,헤몬팜마진!$R$7:$R$32)</f>
        <v>3982.8869999999997</v>
      </c>
      <c r="Y455" s="34">
        <f t="shared" si="597"/>
        <v>43534.891799999998</v>
      </c>
      <c r="Z455" s="34">
        <f t="shared" si="598"/>
        <v>36432</v>
      </c>
      <c r="AA455" s="234">
        <f>13584+10729+8807</f>
        <v>33120</v>
      </c>
      <c r="AB455" s="36"/>
      <c r="AC455" s="204">
        <f t="shared" si="605"/>
        <v>20790</v>
      </c>
      <c r="AD455" s="152">
        <v>7.8E-2</v>
      </c>
      <c r="AE455" s="31">
        <f>3100*(P455)</f>
        <v>27900</v>
      </c>
      <c r="AF455" s="28">
        <f t="shared" si="600"/>
        <v>0.25215730337078651</v>
      </c>
      <c r="AG455" s="34">
        <f t="shared" si="601"/>
        <v>40395.629999999997</v>
      </c>
      <c r="AH455" s="34">
        <f t="shared" si="602"/>
        <v>6044.6129836363634</v>
      </c>
      <c r="AI455" s="34">
        <f>SUMIF(헤몬팜마진!$B$7:$B$32,$C455,헤몬팜마진!$V$7:$V$32)</f>
        <v>4837.2101999999995</v>
      </c>
      <c r="AJ455" s="34">
        <f t="shared" si="603"/>
        <v>70224.865216363643</v>
      </c>
      <c r="AK455" s="46">
        <f t="shared" si="604"/>
        <v>33792.865216363643</v>
      </c>
      <c r="AL455" s="40">
        <f>SUMIF(헤몬팜마진!$B$7:$B$32,$C455,헤몬팜마진!$T$7:$T$32)</f>
        <v>139.96800000000002</v>
      </c>
      <c r="AM455" s="41">
        <f>SUMIF(헤몬팜마진!$B$7:$B$32,$C455,헤몬팜마진!$U$7:$U$32)</f>
        <v>714.35519999999997</v>
      </c>
      <c r="AN455" s="36"/>
      <c r="AO455" s="235">
        <v>17118</v>
      </c>
      <c r="AP455" s="235">
        <v>76</v>
      </c>
      <c r="AQ455" s="126"/>
      <c r="AR455" s="126"/>
      <c r="AS455" s="126"/>
      <c r="AT455" s="118"/>
      <c r="AU455" s="118"/>
      <c r="AV455" s="118"/>
      <c r="AW455" s="118"/>
      <c r="AX455" s="118"/>
      <c r="AY455" s="118"/>
      <c r="AZ455" s="118"/>
      <c r="BA455" s="118"/>
      <c r="BB455" s="118"/>
      <c r="BC455" s="118"/>
      <c r="BD455" s="118"/>
      <c r="BE455" s="118"/>
      <c r="BF455" s="118"/>
      <c r="BG455" s="47"/>
      <c r="BH455" s="47"/>
      <c r="BI455" s="47"/>
      <c r="BJ455" s="47"/>
      <c r="BK455" s="47"/>
    </row>
    <row r="456" spans="1:63" ht="28.5" customHeight="1">
      <c r="A456" s="228" t="s">
        <v>139</v>
      </c>
      <c r="B456" s="127" t="s">
        <v>127</v>
      </c>
      <c r="C456" s="42" t="s">
        <v>119</v>
      </c>
      <c r="D456" s="28">
        <f t="shared" si="587"/>
        <v>0.25213418299167561</v>
      </c>
      <c r="E456" s="201">
        <f t="shared" si="588"/>
        <v>0.43444842260442273</v>
      </c>
      <c r="F456" s="30">
        <f t="shared" si="589"/>
        <v>0.18231423961274709</v>
      </c>
      <c r="G456" s="30">
        <f t="shared" si="590"/>
        <v>0.14285714285714285</v>
      </c>
      <c r="H456" s="35">
        <v>2000</v>
      </c>
      <c r="I456" s="35">
        <f t="shared" si="591"/>
        <v>280</v>
      </c>
      <c r="J456" s="35">
        <f t="shared" si="592"/>
        <v>560</v>
      </c>
      <c r="K456" s="213">
        <v>1048</v>
      </c>
      <c r="L456" s="39">
        <f>311+240+1</f>
        <v>552</v>
      </c>
      <c r="M456" s="210"/>
      <c r="N456" s="44">
        <v>40</v>
      </c>
      <c r="O456" s="202">
        <v>20</v>
      </c>
      <c r="P456" s="31">
        <f t="shared" si="593"/>
        <v>20</v>
      </c>
      <c r="Q456" s="202">
        <v>5</v>
      </c>
      <c r="R456" s="233">
        <v>14</v>
      </c>
      <c r="S456" s="36"/>
      <c r="T456" s="34">
        <f t="shared" si="594"/>
        <v>495800</v>
      </c>
      <c r="U456" s="31">
        <f t="shared" si="595"/>
        <v>0</v>
      </c>
      <c r="V456" s="34">
        <f t="shared" si="596"/>
        <v>495800</v>
      </c>
      <c r="W456" s="43">
        <v>24790</v>
      </c>
      <c r="X456" s="34">
        <f>SUMIF(헤몬팜마진!$B$7:$B$32,$C456,헤몬팜마진!$R$7:$R$32)</f>
        <v>6859.4164999999994</v>
      </c>
      <c r="Y456" s="34">
        <f t="shared" si="597"/>
        <v>145072.36199999996</v>
      </c>
      <c r="Z456" s="34">
        <f t="shared" si="598"/>
        <v>90391.400000000009</v>
      </c>
      <c r="AA456" s="234">
        <v>82174</v>
      </c>
      <c r="AB456" s="209"/>
      <c r="AC456" s="204">
        <f t="shared" si="605"/>
        <v>11550</v>
      </c>
      <c r="AD456" s="152">
        <v>0.108</v>
      </c>
      <c r="AE456" s="31">
        <f>3150*(P456)</f>
        <v>63000</v>
      </c>
      <c r="AF456" s="28">
        <f t="shared" si="600"/>
        <v>0.23506736587333604</v>
      </c>
      <c r="AG456" s="34">
        <f t="shared" si="601"/>
        <v>116546.43000000001</v>
      </c>
      <c r="AH456" s="34">
        <f t="shared" si="602"/>
        <v>18781.680072727275</v>
      </c>
      <c r="AI456" s="34">
        <f>SUMIF(헤몬팜마진!$B$7:$B$32,$C456,헤몬팜마진!$V$7:$V$32)</f>
        <v>7253.6180999999988</v>
      </c>
      <c r="AJ456" s="34">
        <f t="shared" si="603"/>
        <v>215399.52792727278</v>
      </c>
      <c r="AK456" s="206">
        <f t="shared" si="604"/>
        <v>125008.12792727277</v>
      </c>
      <c r="AL456" s="40">
        <f>SUMIF(헤몬팜마진!$B$7:$B$32,$C456,헤몬팜마진!$T$7:$T$32)</f>
        <v>64.584000000000003</v>
      </c>
      <c r="AM456" s="41">
        <f>SUMIF(헤몬팜마진!$B$7:$B$32,$C456,헤몬팜마진!$U$7:$U$32)</f>
        <v>329.61759999999998</v>
      </c>
      <c r="AN456" s="36"/>
      <c r="AO456" s="235">
        <v>30375</v>
      </c>
      <c r="AP456" s="235">
        <v>98</v>
      </c>
      <c r="AQ456" s="126"/>
      <c r="AR456" s="126"/>
      <c r="AS456" s="126"/>
      <c r="AT456" s="118"/>
      <c r="AU456" s="118"/>
      <c r="AV456" s="118"/>
      <c r="AW456" s="118"/>
      <c r="AX456" s="118"/>
      <c r="AY456" s="118"/>
      <c r="AZ456" s="118"/>
      <c r="BA456" s="118"/>
      <c r="BB456" s="118"/>
      <c r="BC456" s="118"/>
      <c r="BD456" s="118"/>
      <c r="BE456" s="118"/>
      <c r="BF456" s="118"/>
      <c r="BG456" s="47"/>
      <c r="BH456" s="47"/>
      <c r="BI456" s="47"/>
      <c r="BJ456" s="47"/>
      <c r="BK456" s="47"/>
    </row>
    <row r="457" spans="1:63" ht="28.5" customHeight="1">
      <c r="A457" s="228"/>
      <c r="B457" s="214" t="s">
        <v>128</v>
      </c>
      <c r="C457" s="42" t="s">
        <v>120</v>
      </c>
      <c r="D457" s="28">
        <f t="shared" si="587"/>
        <v>-7.0174411009593402E-2</v>
      </c>
      <c r="E457" s="201">
        <f t="shared" si="588"/>
        <v>0.41263714677935137</v>
      </c>
      <c r="F457" s="30">
        <f t="shared" si="589"/>
        <v>0.48281155778894475</v>
      </c>
      <c r="G457" s="30">
        <f t="shared" si="590"/>
        <v>2.6315789473684209E-2</v>
      </c>
      <c r="H457" s="35">
        <v>0</v>
      </c>
      <c r="I457" s="35">
        <f t="shared" si="591"/>
        <v>105</v>
      </c>
      <c r="J457" s="35">
        <f t="shared" si="592"/>
        <v>210</v>
      </c>
      <c r="K457" s="238"/>
      <c r="L457" s="39">
        <f>22+3</f>
        <v>25</v>
      </c>
      <c r="M457" s="210"/>
      <c r="N457" s="44">
        <v>15</v>
      </c>
      <c r="O457" s="36">
        <v>1</v>
      </c>
      <c r="P457" s="31">
        <f t="shared" si="593"/>
        <v>1</v>
      </c>
      <c r="Q457" s="36"/>
      <c r="R457" s="167">
        <v>1</v>
      </c>
      <c r="S457" s="36"/>
      <c r="T457" s="34">
        <f t="shared" si="594"/>
        <v>39800</v>
      </c>
      <c r="U457" s="31">
        <f t="shared" si="595"/>
        <v>0</v>
      </c>
      <c r="V457" s="34">
        <f t="shared" si="596"/>
        <v>39800</v>
      </c>
      <c r="W457" s="43">
        <v>39800</v>
      </c>
      <c r="X457" s="34">
        <f>SUMIF(헤몬팜마진!$B$7:$B$32,$C457,헤몬팜마진!$R$7:$R$32)</f>
        <v>13718.832999999999</v>
      </c>
      <c r="Y457" s="34">
        <f t="shared" si="597"/>
        <v>14113.034599999999</v>
      </c>
      <c r="Z457" s="34">
        <f t="shared" si="598"/>
        <v>19215.900000000001</v>
      </c>
      <c r="AA457" s="234">
        <v>17469</v>
      </c>
      <c r="AB457" s="209"/>
      <c r="AC457" s="204">
        <f t="shared" si="605"/>
        <v>0</v>
      </c>
      <c r="AD457" s="152">
        <v>0.108</v>
      </c>
      <c r="AE457" s="31">
        <f>3550*(P457)</f>
        <v>3550</v>
      </c>
      <c r="AF457" s="28">
        <f t="shared" si="600"/>
        <v>0.1971959798994975</v>
      </c>
      <c r="AG457" s="34">
        <f t="shared" si="601"/>
        <v>7848.43</v>
      </c>
      <c r="AH457" s="34">
        <f t="shared" si="602"/>
        <v>1415.5769581818181</v>
      </c>
      <c r="AI457" s="34">
        <f>SUMIF(헤몬팜마진!$B$7:$B$32,$C457,헤몬팜마진!$V$7:$V$32)</f>
        <v>14113.034599999999</v>
      </c>
      <c r="AJ457" s="34">
        <f t="shared" si="603"/>
        <v>16422.958441818184</v>
      </c>
      <c r="AK457" s="206">
        <f t="shared" si="604"/>
        <v>-2792.9415581818175</v>
      </c>
      <c r="AL457" s="40">
        <f>SUMIF(헤몬팜마진!$B$7:$B$32,$C457,헤몬팜마진!$T$7:$T$32)</f>
        <v>64.584000000000003</v>
      </c>
      <c r="AM457" s="41">
        <f>SUMIF(헤몬팜마진!$B$7:$B$32,$C457,헤몬팜마진!$U$7:$U$32)</f>
        <v>329.61759999999998</v>
      </c>
      <c r="AN457" s="36"/>
      <c r="AO457" s="235">
        <v>23379</v>
      </c>
      <c r="AP457" s="235">
        <v>38</v>
      </c>
      <c r="AQ457" s="126"/>
      <c r="AR457" s="126"/>
      <c r="AS457" s="126"/>
      <c r="AT457" s="118"/>
      <c r="AU457" s="118"/>
      <c r="AV457" s="118"/>
      <c r="AW457" s="118"/>
      <c r="AX457" s="118"/>
      <c r="AY457" s="118"/>
      <c r="AZ457" s="118"/>
      <c r="BA457" s="118"/>
      <c r="BB457" s="118"/>
      <c r="BC457" s="118"/>
      <c r="BD457" s="118"/>
      <c r="BE457" s="118"/>
      <c r="BF457" s="118"/>
      <c r="BG457" s="47"/>
      <c r="BH457" s="47"/>
      <c r="BI457" s="47"/>
      <c r="BJ457" s="47"/>
      <c r="BK457" s="47"/>
    </row>
    <row r="458" spans="1:63" ht="28.5" customHeight="1">
      <c r="A458" s="12"/>
      <c r="B458" s="214" t="s">
        <v>126</v>
      </c>
      <c r="C458" s="42" t="s">
        <v>31</v>
      </c>
      <c r="D458" s="28">
        <f t="shared" si="587"/>
        <v>3.5204502020202012E-2</v>
      </c>
      <c r="E458" s="201">
        <f t="shared" si="588"/>
        <v>0.37869339090909093</v>
      </c>
      <c r="F458" s="30">
        <f t="shared" si="589"/>
        <v>0.34348888888888895</v>
      </c>
      <c r="G458" s="30">
        <f t="shared" si="590"/>
        <v>2.1428571428571429E-2</v>
      </c>
      <c r="H458" s="35">
        <v>700</v>
      </c>
      <c r="I458" s="35">
        <f t="shared" si="591"/>
        <v>210</v>
      </c>
      <c r="J458" s="35">
        <f t="shared" si="592"/>
        <v>420</v>
      </c>
      <c r="K458" s="39">
        <v>954</v>
      </c>
      <c r="L458" s="39">
        <v>2</v>
      </c>
      <c r="M458" s="210"/>
      <c r="N458" s="44">
        <v>30</v>
      </c>
      <c r="O458" s="36">
        <v>15</v>
      </c>
      <c r="P458" s="31">
        <f t="shared" si="593"/>
        <v>15</v>
      </c>
      <c r="Q458" s="36">
        <v>1</v>
      </c>
      <c r="R458" s="233">
        <v>9</v>
      </c>
      <c r="S458" s="36"/>
      <c r="T458" s="34">
        <f t="shared" si="594"/>
        <v>297000</v>
      </c>
      <c r="U458" s="31">
        <f t="shared" si="595"/>
        <v>0</v>
      </c>
      <c r="V458" s="34">
        <f t="shared" si="596"/>
        <v>297000</v>
      </c>
      <c r="W458" s="43">
        <v>19800</v>
      </c>
      <c r="X458" s="34">
        <f>SUMIF(헤몬팜마진!$B$7:$B$32,$C458,헤몬팜마진!$R$7:$R$32)</f>
        <v>6638.1449999999995</v>
      </c>
      <c r="Y458" s="34">
        <f t="shared" si="597"/>
        <v>100284.11099999999</v>
      </c>
      <c r="Z458" s="34">
        <f t="shared" si="598"/>
        <v>102016.20000000001</v>
      </c>
      <c r="AA458" s="234">
        <v>92742</v>
      </c>
      <c r="AB458" s="211"/>
      <c r="AC458" s="204">
        <f t="shared" si="605"/>
        <v>2310</v>
      </c>
      <c r="AD458" s="152">
        <v>0.08</v>
      </c>
      <c r="AE458" s="31">
        <f>3400*(P458)</f>
        <v>51000</v>
      </c>
      <c r="AF458" s="28">
        <f t="shared" si="600"/>
        <v>0.25171717171717173</v>
      </c>
      <c r="AG458" s="34">
        <f t="shared" si="601"/>
        <v>74760.03</v>
      </c>
      <c r="AH458" s="34">
        <f t="shared" si="602"/>
        <v>9483.9218999999975</v>
      </c>
      <c r="AI458" s="34">
        <f>SUMIF(헤몬팜마진!$B$7:$B$32,$C458,헤몬팜마진!$V$7:$V$32)</f>
        <v>6685.607399999999</v>
      </c>
      <c r="AJ458" s="34">
        <f t="shared" si="603"/>
        <v>112471.93710000001</v>
      </c>
      <c r="AK458" s="206">
        <f t="shared" si="604"/>
        <v>10455.737099999998</v>
      </c>
      <c r="AL458" s="40">
        <f>SUMIF(헤몬팜마진!$B$7:$B$32,$C458,헤몬팜마진!$T$7:$T$32)</f>
        <v>7.7759999999999998</v>
      </c>
      <c r="AM458" s="41">
        <f>SUMIF(헤몬팜마진!$B$7:$B$32,$C458,헤몬팜마진!$U$7:$U$32)</f>
        <v>39.686400000000006</v>
      </c>
      <c r="AN458" s="36"/>
      <c r="AO458" s="235">
        <v>153637</v>
      </c>
      <c r="AP458" s="235">
        <v>420</v>
      </c>
      <c r="AQ458" s="126"/>
      <c r="AR458" s="126"/>
      <c r="AS458" s="126"/>
      <c r="AT458" s="118"/>
      <c r="AU458" s="118"/>
      <c r="AV458" s="118"/>
      <c r="AW458" s="118"/>
      <c r="AX458" s="118"/>
      <c r="AY458" s="118"/>
      <c r="AZ458" s="118"/>
      <c r="BA458" s="118"/>
      <c r="BB458" s="118"/>
      <c r="BC458" s="118"/>
      <c r="BD458" s="118"/>
      <c r="BE458" s="118"/>
      <c r="BF458" s="118"/>
      <c r="BG458" s="47"/>
      <c r="BH458" s="47"/>
      <c r="BI458" s="47"/>
      <c r="BJ458" s="47"/>
      <c r="BK458" s="47"/>
    </row>
    <row r="459" spans="1:63" ht="28.5" customHeight="1">
      <c r="A459" s="228" t="s">
        <v>142</v>
      </c>
      <c r="B459" s="200"/>
      <c r="C459" s="239" t="s">
        <v>141</v>
      </c>
      <c r="D459" s="28">
        <f t="shared" si="587"/>
        <v>-3.2487631896994138</v>
      </c>
      <c r="E459" s="201">
        <f t="shared" si="588"/>
        <v>-0.30790028647360707</v>
      </c>
      <c r="F459" s="30">
        <f t="shared" si="589"/>
        <v>2.9408629032258062</v>
      </c>
      <c r="G459" s="30">
        <f t="shared" si="590"/>
        <v>0.14285714285714285</v>
      </c>
      <c r="H459" s="35">
        <v>0</v>
      </c>
      <c r="I459" s="35"/>
      <c r="J459" s="35"/>
      <c r="K459" s="39"/>
      <c r="L459" s="39">
        <v>0</v>
      </c>
      <c r="M459" s="210"/>
      <c r="N459" s="44">
        <v>50</v>
      </c>
      <c r="O459" s="202">
        <v>4</v>
      </c>
      <c r="P459" s="31">
        <f t="shared" si="593"/>
        <v>1</v>
      </c>
      <c r="Q459" s="36"/>
      <c r="R459" s="203">
        <v>1</v>
      </c>
      <c r="S459" s="36">
        <v>3</v>
      </c>
      <c r="T459" s="34">
        <f t="shared" si="594"/>
        <v>99200</v>
      </c>
      <c r="U459" s="31">
        <f t="shared" si="595"/>
        <v>74400</v>
      </c>
      <c r="V459" s="34">
        <f t="shared" si="596"/>
        <v>24800</v>
      </c>
      <c r="W459" s="43">
        <v>24800</v>
      </c>
      <c r="X459" s="34">
        <f>SUMIF(헤몬팜마진!$B$7:$B$32,$C459,헤몬팜마진!$R$7:$R$32)</f>
        <v>28986.566499999994</v>
      </c>
      <c r="Y459" s="34">
        <f t="shared" si="597"/>
        <v>29157.958499999997</v>
      </c>
      <c r="Z459" s="34">
        <f t="shared" si="598"/>
        <v>7654.9000000000005</v>
      </c>
      <c r="AA459" s="49">
        <v>6959</v>
      </c>
      <c r="AB459" s="211">
        <f>((75900*0.015)+(75900*0.19)+2100+2200+1900)*3</f>
        <v>65278.5</v>
      </c>
      <c r="AC459" s="204">
        <f t="shared" si="605"/>
        <v>0</v>
      </c>
      <c r="AD459" s="152">
        <v>0.1</v>
      </c>
      <c r="AE459" s="31">
        <f>1900*(P459)</f>
        <v>1900</v>
      </c>
      <c r="AF459" s="28">
        <f t="shared" si="600"/>
        <v>0.17661290322580647</v>
      </c>
      <c r="AG459" s="34">
        <f t="shared" si="601"/>
        <v>4380.0300000000007</v>
      </c>
      <c r="AH459" s="34">
        <f t="shared" si="602"/>
        <v>-1102.0613954545456</v>
      </c>
      <c r="AI459" s="34">
        <f>SUMIF(헤몬팜마진!$B$7:$B$32,$C459,헤몬팜마진!$V$7:$V$32)</f>
        <v>29157.958499999997</v>
      </c>
      <c r="AJ459" s="34">
        <f t="shared" si="603"/>
        <v>-7635.9271045454552</v>
      </c>
      <c r="AK459" s="206">
        <f t="shared" si="604"/>
        <v>-80569.32710454546</v>
      </c>
      <c r="AL459" s="40">
        <f>SUMIF(헤몬팜마진!$B$7:$B$32,$C459,헤몬팜마진!$T$7:$T$32)</f>
        <v>28.079999999999995</v>
      </c>
      <c r="AM459" s="41">
        <f>SUMIF(헤몬팜마진!$B$7:$B$32,$C459,헤몬팜마진!$U$7:$U$32)</f>
        <v>143.31199999999998</v>
      </c>
      <c r="AN459" s="36"/>
      <c r="AO459" s="202">
        <v>6750</v>
      </c>
      <c r="AP459" s="205">
        <v>7</v>
      </c>
      <c r="AQ459" s="126"/>
      <c r="AR459" s="126"/>
      <c r="AS459" s="126"/>
      <c r="AT459" s="118"/>
      <c r="AU459" s="118"/>
      <c r="AV459" s="118"/>
      <c r="AW459" s="118"/>
      <c r="AX459" s="118"/>
      <c r="AY459" s="118"/>
      <c r="AZ459" s="118"/>
      <c r="BA459" s="118"/>
      <c r="BB459" s="118"/>
      <c r="BC459" s="118"/>
      <c r="BD459" s="118"/>
      <c r="BE459" s="118"/>
      <c r="BF459" s="118"/>
      <c r="BG459" s="47"/>
      <c r="BH459" s="47"/>
      <c r="BI459" s="47"/>
      <c r="BJ459" s="47"/>
      <c r="BK459" s="47"/>
    </row>
    <row r="460" spans="1:63" ht="28.5" customHeight="1">
      <c r="A460" s="12"/>
      <c r="B460" s="216"/>
      <c r="C460" s="217"/>
      <c r="D460" s="51" t="e">
        <f t="shared" si="587"/>
        <v>#REF!</v>
      </c>
      <c r="E460" s="218" t="e">
        <f t="shared" si="588"/>
        <v>#REF!</v>
      </c>
      <c r="F460" s="53">
        <f t="shared" si="589"/>
        <v>0.23144349884083962</v>
      </c>
      <c r="G460" s="219"/>
      <c r="H460" s="55"/>
      <c r="I460" s="55"/>
      <c r="J460" s="55"/>
      <c r="K460" s="55"/>
      <c r="L460" s="55"/>
      <c r="M460" s="55"/>
      <c r="N460" s="55"/>
      <c r="O460" s="130">
        <f t="shared" ref="O460:V460" si="609">SUM(O443:O459)</f>
        <v>283</v>
      </c>
      <c r="P460" s="130">
        <f t="shared" si="609"/>
        <v>280</v>
      </c>
      <c r="Q460" s="130">
        <f t="shared" si="609"/>
        <v>46</v>
      </c>
      <c r="R460" s="130">
        <f t="shared" si="609"/>
        <v>191</v>
      </c>
      <c r="S460" s="130">
        <f t="shared" si="609"/>
        <v>3</v>
      </c>
      <c r="T460" s="130">
        <f t="shared" si="609"/>
        <v>8136270</v>
      </c>
      <c r="U460" s="130">
        <f t="shared" si="609"/>
        <v>74400</v>
      </c>
      <c r="V460" s="130">
        <f t="shared" si="609"/>
        <v>8061870</v>
      </c>
      <c r="W460" s="55"/>
      <c r="X460" s="130">
        <f t="shared" ref="X460:AC460" si="610">SUM(X443:X459)</f>
        <v>174162.79764999996</v>
      </c>
      <c r="Y460" s="130" t="e">
        <f t="shared" si="610"/>
        <v>#REF!</v>
      </c>
      <c r="Z460" s="130">
        <f t="shared" si="610"/>
        <v>1800588.8999999997</v>
      </c>
      <c r="AA460" s="130">
        <f t="shared" si="610"/>
        <v>1636899</v>
      </c>
      <c r="AB460" s="130">
        <f t="shared" si="610"/>
        <v>65278.5</v>
      </c>
      <c r="AC460" s="130">
        <f t="shared" si="610"/>
        <v>102672</v>
      </c>
      <c r="AD460" s="154">
        <v>0.09</v>
      </c>
      <c r="AE460" s="130">
        <f>SUM(AE443:AE459)</f>
        <v>906675</v>
      </c>
      <c r="AF460" s="53">
        <f t="shared" si="600"/>
        <v>0.20246460188517057</v>
      </c>
      <c r="AG460" s="130">
        <f t="shared" ref="AG460:AI460" si="611">SUM(AG443:AG459)</f>
        <v>1676162.2799999998</v>
      </c>
      <c r="AH460" s="130" t="e">
        <f t="shared" si="611"/>
        <v>#REF!</v>
      </c>
      <c r="AI460" s="130" t="e">
        <f t="shared" si="611"/>
        <v>#REF!</v>
      </c>
      <c r="AJ460" s="56" t="e">
        <f t="shared" si="603"/>
        <v>#REF!</v>
      </c>
      <c r="AK460" s="221" t="e">
        <f t="shared" si="604"/>
        <v>#REF!</v>
      </c>
      <c r="AL460" s="54"/>
      <c r="AM460" s="222"/>
      <c r="AN460" s="57"/>
      <c r="AO460" s="131">
        <f t="shared" ref="AO460:AP460" si="612">SUM(AO443:AO444)</f>
        <v>510455</v>
      </c>
      <c r="AP460" s="132">
        <f t="shared" si="612"/>
        <v>1711</v>
      </c>
      <c r="AQ460" s="126"/>
      <c r="AR460" s="126"/>
      <c r="AS460" s="126"/>
      <c r="AT460" s="118"/>
      <c r="AU460" s="118"/>
      <c r="AV460" s="118"/>
      <c r="AW460" s="118"/>
      <c r="AX460" s="118"/>
      <c r="AY460" s="118"/>
      <c r="AZ460" s="118"/>
      <c r="BA460" s="118"/>
      <c r="BB460" s="118"/>
      <c r="BC460" s="118"/>
      <c r="BD460" s="118"/>
      <c r="BE460" s="118"/>
      <c r="BF460" s="118"/>
      <c r="BG460" s="47"/>
      <c r="BH460" s="47"/>
      <c r="BI460" s="47"/>
      <c r="BJ460" s="47"/>
      <c r="BK460" s="47"/>
    </row>
    <row r="461" spans="1:63" ht="28.5" customHeight="1">
      <c r="A461" s="3"/>
      <c r="B461" s="120"/>
      <c r="C461" s="229"/>
      <c r="D461" s="230"/>
      <c r="E461" s="230"/>
      <c r="F461" s="230"/>
      <c r="G461" s="230"/>
      <c r="H461" s="231"/>
      <c r="I461" s="231"/>
      <c r="J461" s="231"/>
      <c r="K461" s="231"/>
      <c r="L461" s="231"/>
      <c r="M461" s="231"/>
      <c r="N461" s="231"/>
      <c r="O461" s="231"/>
      <c r="P461" s="232"/>
      <c r="Q461" s="231"/>
      <c r="R461" s="231"/>
      <c r="S461" s="231"/>
      <c r="T461" s="231"/>
      <c r="U461" s="231"/>
      <c r="V461" s="231"/>
      <c r="W461" s="231"/>
      <c r="X461" s="231"/>
      <c r="Y461" s="231"/>
      <c r="Z461" s="231"/>
      <c r="AA461" s="133"/>
      <c r="AB461" s="61"/>
      <c r="AC461" s="148"/>
      <c r="AD461" s="148"/>
      <c r="AE461" s="148"/>
      <c r="AF461" s="148"/>
      <c r="AG461" s="61"/>
      <c r="AH461" s="61"/>
      <c r="AI461" s="187"/>
      <c r="AJ461" s="118"/>
      <c r="AK461" s="126"/>
      <c r="AL461" s="126"/>
      <c r="AM461" s="126"/>
      <c r="AN461" s="118"/>
      <c r="AO461" s="118"/>
      <c r="AP461" s="118"/>
      <c r="AQ461" s="126"/>
      <c r="AR461" s="126"/>
      <c r="AS461" s="126"/>
      <c r="AT461" s="118"/>
      <c r="AU461" s="118"/>
      <c r="AV461" s="118"/>
      <c r="AW461" s="118"/>
      <c r="AX461" s="118"/>
      <c r="AY461" s="118"/>
      <c r="AZ461" s="118"/>
      <c r="BA461" s="118"/>
      <c r="BB461" s="118"/>
      <c r="BC461" s="118"/>
      <c r="BD461" s="118"/>
      <c r="BE461" s="118"/>
      <c r="BF461" s="118"/>
      <c r="BG461" s="47"/>
      <c r="BH461" s="47"/>
      <c r="BI461" s="47"/>
      <c r="BJ461" s="47"/>
      <c r="BK461" s="47"/>
    </row>
    <row r="462" spans="1:63" ht="28.5" customHeight="1">
      <c r="A462" s="3"/>
      <c r="B462" s="120"/>
      <c r="C462" s="229"/>
      <c r="D462" s="230"/>
      <c r="E462" s="230"/>
      <c r="F462" s="230"/>
      <c r="G462" s="230"/>
      <c r="H462" s="231"/>
      <c r="I462" s="231"/>
      <c r="J462" s="231"/>
      <c r="K462" s="231"/>
      <c r="L462" s="231"/>
      <c r="M462" s="231"/>
      <c r="N462" s="231"/>
      <c r="O462" s="231"/>
      <c r="P462" s="232"/>
      <c r="Q462" s="231"/>
      <c r="R462" s="231"/>
      <c r="S462" s="231"/>
      <c r="T462" s="231"/>
      <c r="U462" s="231"/>
      <c r="V462" s="231"/>
      <c r="W462" s="231"/>
      <c r="X462" s="231"/>
      <c r="Y462" s="231"/>
      <c r="Z462" s="231"/>
      <c r="AA462" s="133"/>
      <c r="AB462" s="61"/>
      <c r="AC462" s="148"/>
      <c r="AD462" s="148"/>
      <c r="AE462" s="148"/>
      <c r="AF462" s="148"/>
      <c r="AG462" s="61"/>
      <c r="AH462" s="61"/>
      <c r="AI462" s="187"/>
      <c r="AJ462" s="118"/>
      <c r="AK462" s="126"/>
      <c r="AL462" s="126"/>
      <c r="AM462" s="126"/>
      <c r="AN462" s="118"/>
      <c r="AO462" s="118"/>
      <c r="AP462" s="118"/>
      <c r="AQ462" s="126"/>
      <c r="AR462" s="126"/>
      <c r="AS462" s="126"/>
      <c r="AT462" s="118"/>
      <c r="AU462" s="118"/>
      <c r="AV462" s="118"/>
      <c r="AW462" s="118"/>
      <c r="AX462" s="118"/>
      <c r="AY462" s="118"/>
      <c r="AZ462" s="118"/>
      <c r="BA462" s="118"/>
      <c r="BB462" s="118"/>
      <c r="BC462" s="118"/>
      <c r="BD462" s="118"/>
      <c r="BE462" s="118"/>
      <c r="BF462" s="118"/>
      <c r="BG462" s="47"/>
      <c r="BH462" s="47"/>
      <c r="BI462" s="47"/>
      <c r="BJ462" s="47"/>
      <c r="BK462" s="47"/>
    </row>
    <row r="463" spans="1:63" ht="28.5" customHeight="1">
      <c r="A463" s="3"/>
      <c r="B463" s="120"/>
      <c r="C463" s="229"/>
      <c r="D463" s="230"/>
      <c r="E463" s="230"/>
      <c r="F463" s="230"/>
      <c r="G463" s="230"/>
      <c r="H463" s="231"/>
      <c r="I463" s="231"/>
      <c r="J463" s="231"/>
      <c r="K463" s="231"/>
      <c r="L463" s="231"/>
      <c r="M463" s="231"/>
      <c r="N463" s="231"/>
      <c r="O463" s="231"/>
      <c r="P463" s="232"/>
      <c r="Q463" s="231"/>
      <c r="R463" s="231"/>
      <c r="S463" s="231"/>
      <c r="T463" s="231"/>
      <c r="U463" s="231"/>
      <c r="V463" s="231"/>
      <c r="W463" s="231"/>
      <c r="X463" s="231"/>
      <c r="Y463" s="231"/>
      <c r="Z463" s="231"/>
      <c r="AA463" s="133"/>
      <c r="AB463" s="61"/>
      <c r="AC463" s="148"/>
      <c r="AD463" s="148"/>
      <c r="AE463" s="148"/>
      <c r="AF463" s="148"/>
      <c r="AG463" s="61"/>
      <c r="AH463" s="61"/>
      <c r="AI463" s="187"/>
      <c r="AJ463" s="118"/>
      <c r="AK463" s="126"/>
      <c r="AL463" s="126"/>
      <c r="AM463" s="126"/>
      <c r="AN463" s="118"/>
      <c r="AO463" s="118"/>
      <c r="AP463" s="118"/>
      <c r="AQ463" s="126"/>
      <c r="AR463" s="126"/>
      <c r="AS463" s="126"/>
      <c r="AT463" s="118"/>
      <c r="AU463" s="118"/>
      <c r="AV463" s="118"/>
      <c r="AW463" s="118"/>
      <c r="AX463" s="118"/>
      <c r="AY463" s="118"/>
      <c r="AZ463" s="118"/>
      <c r="BA463" s="118"/>
      <c r="BB463" s="118"/>
      <c r="BC463" s="118"/>
      <c r="BD463" s="118"/>
      <c r="BE463" s="118"/>
      <c r="BF463" s="118"/>
      <c r="BG463" s="47"/>
      <c r="BH463" s="47"/>
      <c r="BI463" s="47"/>
      <c r="BJ463" s="47"/>
      <c r="BK463" s="47"/>
    </row>
    <row r="464" spans="1:63" ht="28.5" customHeight="1">
      <c r="A464" s="3"/>
      <c r="B464" s="120"/>
      <c r="C464" s="229"/>
      <c r="D464" s="230"/>
      <c r="E464" s="230"/>
      <c r="F464" s="230"/>
      <c r="G464" s="230"/>
      <c r="H464" s="231"/>
      <c r="I464" s="231"/>
      <c r="J464" s="231"/>
      <c r="K464" s="231"/>
      <c r="L464" s="231"/>
      <c r="M464" s="231"/>
      <c r="N464" s="231"/>
      <c r="O464" s="231"/>
      <c r="P464" s="232"/>
      <c r="Q464" s="231"/>
      <c r="R464" s="231"/>
      <c r="S464" s="231"/>
      <c r="T464" s="231"/>
      <c r="U464" s="231"/>
      <c r="V464" s="231"/>
      <c r="W464" s="231"/>
      <c r="X464" s="231"/>
      <c r="Y464" s="231"/>
      <c r="Z464" s="231"/>
      <c r="AA464" s="133"/>
      <c r="AB464" s="61"/>
      <c r="AC464" s="148"/>
      <c r="AD464" s="148"/>
      <c r="AE464" s="148"/>
      <c r="AF464" s="148"/>
      <c r="AG464" s="61"/>
      <c r="AH464" s="61"/>
      <c r="AI464" s="187"/>
      <c r="AJ464" s="118"/>
      <c r="AK464" s="126"/>
      <c r="AL464" s="126"/>
      <c r="AM464" s="126"/>
      <c r="AN464" s="118"/>
      <c r="AO464" s="118"/>
      <c r="AP464" s="118"/>
      <c r="AQ464" s="126"/>
      <c r="AR464" s="126"/>
      <c r="AS464" s="126"/>
      <c r="AT464" s="118"/>
      <c r="AU464" s="118"/>
      <c r="AV464" s="118"/>
      <c r="AW464" s="118"/>
      <c r="AX464" s="118"/>
      <c r="AY464" s="118"/>
      <c r="AZ464" s="118"/>
      <c r="BA464" s="118"/>
      <c r="BB464" s="118"/>
      <c r="BC464" s="118"/>
      <c r="BD464" s="118"/>
      <c r="BE464" s="118"/>
      <c r="BF464" s="118"/>
      <c r="BG464" s="47"/>
      <c r="BH464" s="47"/>
      <c r="BI464" s="47"/>
      <c r="BJ464" s="47"/>
      <c r="BK464" s="47"/>
    </row>
    <row r="465" spans="1:64" ht="28.5" customHeight="1">
      <c r="A465" s="3"/>
      <c r="B465" s="120"/>
      <c r="C465" s="229"/>
      <c r="D465" s="230"/>
      <c r="E465" s="230"/>
      <c r="F465" s="230"/>
      <c r="G465" s="230"/>
      <c r="H465" s="231"/>
      <c r="I465" s="231"/>
      <c r="J465" s="231"/>
      <c r="K465" s="231"/>
      <c r="L465" s="231"/>
      <c r="M465" s="231"/>
      <c r="N465" s="231"/>
      <c r="O465" s="231"/>
      <c r="P465" s="232"/>
      <c r="Q465" s="231"/>
      <c r="R465" s="231"/>
      <c r="S465" s="231"/>
      <c r="T465" s="231"/>
      <c r="U465" s="231"/>
      <c r="V465" s="231"/>
      <c r="W465" s="231"/>
      <c r="X465" s="231"/>
      <c r="Y465" s="231"/>
      <c r="Z465" s="231"/>
      <c r="AA465" s="133"/>
      <c r="AB465" s="61"/>
      <c r="AC465" s="148"/>
      <c r="AD465" s="148"/>
      <c r="AE465" s="148"/>
      <c r="AF465" s="148"/>
      <c r="AG465" s="61"/>
      <c r="AH465" s="61"/>
      <c r="AI465" s="187"/>
      <c r="AJ465" s="118"/>
      <c r="AK465" s="126"/>
      <c r="AL465" s="126"/>
      <c r="AM465" s="126"/>
      <c r="AN465" s="118"/>
      <c r="AO465" s="118"/>
      <c r="AP465" s="118"/>
      <c r="AQ465" s="126"/>
      <c r="AR465" s="126"/>
      <c r="AS465" s="126"/>
      <c r="AT465" s="118"/>
      <c r="AU465" s="118"/>
      <c r="AV465" s="118"/>
      <c r="AW465" s="118"/>
      <c r="AX465" s="118"/>
      <c r="AY465" s="118"/>
      <c r="AZ465" s="118"/>
      <c r="BA465" s="118"/>
      <c r="BB465" s="118"/>
      <c r="BC465" s="118"/>
      <c r="BD465" s="118"/>
      <c r="BE465" s="118"/>
      <c r="BF465" s="118"/>
      <c r="BG465" s="47"/>
      <c r="BH465" s="47"/>
      <c r="BI465" s="47"/>
      <c r="BJ465" s="47"/>
      <c r="BK465" s="47"/>
    </row>
    <row r="466" spans="1:64" ht="28.5" customHeight="1">
      <c r="A466" s="3"/>
      <c r="B466" s="120"/>
      <c r="C466" s="229"/>
      <c r="D466" s="230"/>
      <c r="E466" s="230"/>
      <c r="F466" s="230"/>
      <c r="G466" s="230"/>
      <c r="H466" s="231"/>
      <c r="I466" s="231"/>
      <c r="J466" s="231"/>
      <c r="K466" s="231"/>
      <c r="L466" s="231"/>
      <c r="M466" s="231"/>
      <c r="N466" s="231"/>
      <c r="O466" s="231"/>
      <c r="P466" s="232"/>
      <c r="Q466" s="231"/>
      <c r="R466" s="231"/>
      <c r="S466" s="231"/>
      <c r="T466" s="231"/>
      <c r="U466" s="231"/>
      <c r="V466" s="231"/>
      <c r="W466" s="231"/>
      <c r="X466" s="231"/>
      <c r="Y466" s="231"/>
      <c r="Z466" s="231"/>
      <c r="AA466" s="133"/>
      <c r="AB466" s="61"/>
      <c r="AC466" s="148"/>
      <c r="AD466" s="148"/>
      <c r="AE466" s="148"/>
      <c r="AF466" s="148"/>
      <c r="AG466" s="61"/>
      <c r="AH466" s="61"/>
      <c r="AI466" s="187"/>
      <c r="AJ466" s="118"/>
      <c r="AK466" s="126"/>
      <c r="AL466" s="126"/>
      <c r="AM466" s="126"/>
      <c r="AN466" s="118"/>
      <c r="AO466" s="118"/>
      <c r="AP466" s="118"/>
      <c r="AQ466" s="126"/>
      <c r="AR466" s="126"/>
      <c r="AS466" s="126"/>
      <c r="AT466" s="118"/>
      <c r="AU466" s="118"/>
      <c r="AV466" s="118"/>
      <c r="AW466" s="118"/>
      <c r="AX466" s="118"/>
      <c r="AY466" s="118"/>
      <c r="AZ466" s="118"/>
      <c r="BA466" s="118"/>
      <c r="BB466" s="118"/>
      <c r="BC466" s="118"/>
      <c r="BD466" s="118"/>
      <c r="BE466" s="118"/>
      <c r="BF466" s="118"/>
      <c r="BG466" s="47"/>
      <c r="BH466" s="47"/>
      <c r="BI466" s="47"/>
      <c r="BJ466" s="47"/>
      <c r="BK466" s="47"/>
    </row>
    <row r="467" spans="1:64" ht="28.5" customHeight="1">
      <c r="A467" s="3"/>
      <c r="B467" s="120"/>
      <c r="C467" s="229"/>
      <c r="D467" s="230"/>
      <c r="E467" s="230"/>
      <c r="F467" s="230"/>
      <c r="G467" s="230"/>
      <c r="H467" s="231"/>
      <c r="I467" s="231"/>
      <c r="J467" s="231"/>
      <c r="K467" s="231"/>
      <c r="L467" s="231"/>
      <c r="M467" s="231"/>
      <c r="N467" s="231"/>
      <c r="O467" s="231"/>
      <c r="P467" s="232"/>
      <c r="Q467" s="231"/>
      <c r="R467" s="231"/>
      <c r="S467" s="231"/>
      <c r="T467" s="231"/>
      <c r="U467" s="231"/>
      <c r="V467" s="231"/>
      <c r="W467" s="231"/>
      <c r="X467" s="231"/>
      <c r="Y467" s="231"/>
      <c r="Z467" s="231"/>
      <c r="AA467" s="133"/>
      <c r="AB467" s="61"/>
      <c r="AC467" s="148"/>
      <c r="AD467" s="148"/>
      <c r="AE467" s="148"/>
      <c r="AF467" s="148"/>
      <c r="AG467" s="61"/>
      <c r="AH467" s="61"/>
      <c r="AI467" s="187"/>
      <c r="AJ467" s="118"/>
      <c r="AK467" s="126"/>
      <c r="AL467" s="126"/>
      <c r="AM467" s="126"/>
      <c r="AN467" s="118"/>
      <c r="AO467" s="118"/>
      <c r="AP467" s="118"/>
      <c r="AQ467" s="126"/>
      <c r="AR467" s="126"/>
      <c r="AS467" s="126"/>
      <c r="AT467" s="118"/>
      <c r="AU467" s="118"/>
      <c r="AV467" s="118"/>
      <c r="AW467" s="118"/>
      <c r="AX467" s="118"/>
      <c r="AY467" s="118"/>
      <c r="AZ467" s="118"/>
      <c r="BA467" s="118"/>
      <c r="BB467" s="118"/>
      <c r="BC467" s="118"/>
      <c r="BD467" s="118"/>
      <c r="BE467" s="118"/>
      <c r="BF467" s="118"/>
      <c r="BG467" s="47"/>
      <c r="BH467" s="47"/>
      <c r="BI467" s="47"/>
      <c r="BJ467" s="47"/>
      <c r="BK467" s="47"/>
    </row>
    <row r="468" spans="1:64" ht="28.5" customHeight="1">
      <c r="A468" s="3"/>
      <c r="B468" s="120"/>
      <c r="C468" s="229"/>
      <c r="D468" s="230"/>
      <c r="E468" s="230"/>
      <c r="F468" s="230"/>
      <c r="G468" s="230"/>
      <c r="H468" s="231"/>
      <c r="I468" s="231"/>
      <c r="J468" s="231"/>
      <c r="K468" s="231"/>
      <c r="L468" s="231"/>
      <c r="M468" s="231"/>
      <c r="N468" s="231"/>
      <c r="O468" s="231"/>
      <c r="P468" s="232"/>
      <c r="Q468" s="231"/>
      <c r="R468" s="231"/>
      <c r="S468" s="231"/>
      <c r="T468" s="231"/>
      <c r="U468" s="231"/>
      <c r="V468" s="231"/>
      <c r="W468" s="231"/>
      <c r="X468" s="231"/>
      <c r="Y468" s="231"/>
      <c r="Z468" s="231"/>
      <c r="AA468" s="133"/>
      <c r="AB468" s="61"/>
      <c r="AC468" s="148"/>
      <c r="AD468" s="148"/>
      <c r="AE468" s="148"/>
      <c r="AF468" s="148"/>
      <c r="AG468" s="61"/>
      <c r="AH468" s="61"/>
      <c r="AI468" s="187"/>
      <c r="AJ468" s="118"/>
      <c r="AK468" s="126"/>
      <c r="AL468" s="126"/>
      <c r="AM468" s="126"/>
      <c r="AN468" s="118"/>
      <c r="AO468" s="118"/>
      <c r="AP468" s="118"/>
      <c r="AQ468" s="126"/>
      <c r="AR468" s="126"/>
      <c r="AS468" s="126"/>
      <c r="AT468" s="118"/>
      <c r="AU468" s="118"/>
      <c r="AV468" s="118"/>
      <c r="AW468" s="118"/>
      <c r="AX468" s="118"/>
      <c r="AY468" s="118"/>
      <c r="AZ468" s="118"/>
      <c r="BA468" s="118"/>
      <c r="BB468" s="118"/>
      <c r="BC468" s="118"/>
      <c r="BD468" s="118"/>
      <c r="BE468" s="118"/>
      <c r="BF468" s="118"/>
      <c r="BG468" s="47"/>
      <c r="BH468" s="47"/>
      <c r="BI468" s="47"/>
      <c r="BJ468" s="47"/>
      <c r="BK468" s="47"/>
    </row>
    <row r="469" spans="1:64" ht="28.5" customHeight="1">
      <c r="A469" s="3"/>
      <c r="B469" s="120"/>
      <c r="C469" s="229"/>
      <c r="D469" s="230"/>
      <c r="E469" s="230"/>
      <c r="F469" s="230"/>
      <c r="G469" s="230"/>
      <c r="H469" s="231"/>
      <c r="I469" s="231"/>
      <c r="J469" s="231"/>
      <c r="K469" s="231"/>
      <c r="L469" s="231"/>
      <c r="M469" s="231"/>
      <c r="N469" s="231"/>
      <c r="O469" s="231"/>
      <c r="P469" s="232"/>
      <c r="Q469" s="231"/>
      <c r="R469" s="231"/>
      <c r="S469" s="231"/>
      <c r="T469" s="231"/>
      <c r="U469" s="231"/>
      <c r="V469" s="231"/>
      <c r="W469" s="231"/>
      <c r="X469" s="231"/>
      <c r="Y469" s="231"/>
      <c r="Z469" s="231"/>
      <c r="AA469" s="133"/>
      <c r="AB469" s="61"/>
      <c r="AC469" s="148"/>
      <c r="AD469" s="148"/>
      <c r="AE469" s="148"/>
      <c r="AF469" s="148"/>
      <c r="AG469" s="61"/>
      <c r="AH469" s="61"/>
      <c r="AI469" s="187"/>
      <c r="AJ469" s="118"/>
      <c r="AK469" s="126"/>
      <c r="AL469" s="126"/>
      <c r="AM469" s="126"/>
      <c r="AN469" s="118"/>
      <c r="AO469" s="118"/>
      <c r="AP469" s="118"/>
      <c r="AQ469" s="126"/>
      <c r="AR469" s="126"/>
      <c r="AS469" s="126"/>
      <c r="AT469" s="118"/>
      <c r="AU469" s="118"/>
      <c r="AV469" s="118"/>
      <c r="AW469" s="118"/>
      <c r="AX469" s="118"/>
      <c r="AY469" s="118"/>
      <c r="AZ469" s="118"/>
      <c r="BA469" s="118"/>
      <c r="BB469" s="118"/>
      <c r="BC469" s="118"/>
      <c r="BD469" s="118"/>
      <c r="BE469" s="118"/>
      <c r="BF469" s="118"/>
      <c r="BG469" s="47"/>
      <c r="BH469" s="47"/>
      <c r="BI469" s="47"/>
      <c r="BJ469" s="47"/>
      <c r="BK469" s="47"/>
    </row>
    <row r="470" spans="1:64" ht="28.5" customHeight="1">
      <c r="A470" s="3"/>
      <c r="B470" s="120"/>
      <c r="C470" s="229"/>
      <c r="D470" s="230"/>
      <c r="E470" s="230"/>
      <c r="F470" s="230"/>
      <c r="G470" s="230"/>
      <c r="H470" s="231"/>
      <c r="I470" s="231"/>
      <c r="J470" s="231"/>
      <c r="K470" s="231"/>
      <c r="L470" s="231"/>
      <c r="M470" s="231"/>
      <c r="N470" s="231"/>
      <c r="O470" s="231"/>
      <c r="P470" s="232"/>
      <c r="Q470" s="231"/>
      <c r="R470" s="231"/>
      <c r="S470" s="231"/>
      <c r="T470" s="231"/>
      <c r="U470" s="231"/>
      <c r="V470" s="231"/>
      <c r="W470" s="231"/>
      <c r="X470" s="231"/>
      <c r="Y470" s="231"/>
      <c r="Z470" s="231"/>
      <c r="AA470" s="133"/>
      <c r="AB470" s="61"/>
      <c r="AC470" s="148"/>
      <c r="AD470" s="148"/>
      <c r="AE470" s="148"/>
      <c r="AF470" s="148"/>
      <c r="AG470" s="61"/>
      <c r="AH470" s="61"/>
      <c r="AI470" s="187"/>
      <c r="AJ470" s="118"/>
      <c r="AK470" s="126"/>
      <c r="AL470" s="126"/>
      <c r="AM470" s="126"/>
      <c r="AN470" s="118"/>
      <c r="AO470" s="118"/>
      <c r="AP470" s="118"/>
      <c r="AQ470" s="126"/>
      <c r="AR470" s="126"/>
      <c r="AS470" s="126"/>
      <c r="AT470" s="118"/>
      <c r="AU470" s="118"/>
      <c r="AV470" s="118"/>
      <c r="AW470" s="118"/>
      <c r="AX470" s="118"/>
      <c r="AY470" s="118"/>
      <c r="AZ470" s="118"/>
      <c r="BA470" s="118"/>
      <c r="BB470" s="118"/>
      <c r="BC470" s="118"/>
      <c r="BD470" s="118"/>
      <c r="BE470" s="118"/>
      <c r="BF470" s="118"/>
      <c r="BG470" s="47"/>
      <c r="BH470" s="47"/>
      <c r="BI470" s="47"/>
      <c r="BJ470" s="47"/>
      <c r="BK470" s="47"/>
    </row>
    <row r="471" spans="1:64" ht="28.5" customHeight="1">
      <c r="A471" s="3"/>
      <c r="B471" s="120"/>
      <c r="C471" s="229"/>
      <c r="D471" s="230"/>
      <c r="E471" s="230"/>
      <c r="F471" s="230"/>
      <c r="G471" s="230"/>
      <c r="H471" s="231"/>
      <c r="I471" s="231"/>
      <c r="J471" s="231"/>
      <c r="K471" s="231"/>
      <c r="L471" s="231"/>
      <c r="M471" s="231"/>
      <c r="N471" s="231"/>
      <c r="O471" s="231"/>
      <c r="P471" s="232"/>
      <c r="Q471" s="231"/>
      <c r="R471" s="231"/>
      <c r="S471" s="231"/>
      <c r="T471" s="231"/>
      <c r="U471" s="231"/>
      <c r="V471" s="231"/>
      <c r="W471" s="231"/>
      <c r="X471" s="231"/>
      <c r="Y471" s="231"/>
      <c r="Z471" s="231"/>
      <c r="AA471" s="133"/>
      <c r="AB471" s="61"/>
      <c r="AC471" s="148"/>
      <c r="AD471" s="148"/>
      <c r="AE471" s="148"/>
      <c r="AF471" s="148"/>
      <c r="AG471" s="61"/>
      <c r="AH471" s="61"/>
      <c r="AI471" s="187"/>
      <c r="AJ471" s="118"/>
      <c r="AK471" s="126"/>
      <c r="AL471" s="126"/>
      <c r="AM471" s="126"/>
      <c r="AN471" s="118"/>
      <c r="AO471" s="118"/>
      <c r="AP471" s="118"/>
      <c r="AQ471" s="126"/>
      <c r="AR471" s="126"/>
      <c r="AS471" s="126"/>
      <c r="AT471" s="118"/>
      <c r="AU471" s="118"/>
      <c r="AV471" s="118"/>
      <c r="AW471" s="118"/>
      <c r="AX471" s="118"/>
      <c r="AY471" s="118"/>
      <c r="AZ471" s="118"/>
      <c r="BA471" s="118"/>
      <c r="BB471" s="118"/>
      <c r="BC471" s="118"/>
      <c r="BD471" s="118"/>
      <c r="BE471" s="118"/>
      <c r="BF471" s="118"/>
      <c r="BG471" s="47"/>
      <c r="BH471" s="47"/>
      <c r="BI471" s="47"/>
      <c r="BJ471" s="47"/>
      <c r="BK471" s="47"/>
    </row>
    <row r="472" spans="1:64" ht="28.5" customHeight="1">
      <c r="A472" s="3"/>
      <c r="B472" s="120"/>
      <c r="C472" s="229"/>
      <c r="D472" s="230"/>
      <c r="E472" s="230"/>
      <c r="F472" s="230"/>
      <c r="G472" s="230"/>
      <c r="H472" s="231"/>
      <c r="I472" s="231"/>
      <c r="J472" s="231"/>
      <c r="K472" s="231"/>
      <c r="L472" s="231"/>
      <c r="M472" s="231"/>
      <c r="N472" s="231"/>
      <c r="O472" s="231"/>
      <c r="P472" s="232"/>
      <c r="Q472" s="231"/>
      <c r="R472" s="231"/>
      <c r="S472" s="231"/>
      <c r="T472" s="231"/>
      <c r="U472" s="231"/>
      <c r="V472" s="231"/>
      <c r="W472" s="231"/>
      <c r="X472" s="231"/>
      <c r="Y472" s="231"/>
      <c r="Z472" s="231"/>
      <c r="AA472" s="133"/>
      <c r="AB472" s="61"/>
      <c r="AC472" s="148"/>
      <c r="AD472" s="148"/>
      <c r="AE472" s="148"/>
      <c r="AF472" s="148"/>
      <c r="AG472" s="61"/>
      <c r="AH472" s="61"/>
      <c r="AI472" s="187"/>
      <c r="AJ472" s="118"/>
      <c r="AK472" s="126"/>
      <c r="AL472" s="126"/>
      <c r="AM472" s="126"/>
      <c r="AN472" s="118"/>
      <c r="AO472" s="118"/>
      <c r="AP472" s="118"/>
      <c r="AQ472" s="126"/>
      <c r="AR472" s="126"/>
      <c r="AS472" s="126"/>
      <c r="AT472" s="118"/>
      <c r="AU472" s="118"/>
      <c r="AV472" s="118"/>
      <c r="AW472" s="118"/>
      <c r="AX472" s="118"/>
      <c r="AY472" s="118"/>
      <c r="AZ472" s="118"/>
      <c r="BA472" s="118"/>
      <c r="BB472" s="118"/>
      <c r="BC472" s="118"/>
      <c r="BD472" s="118"/>
      <c r="BE472" s="118"/>
      <c r="BF472" s="118"/>
      <c r="BG472" s="47"/>
      <c r="BH472" s="47"/>
      <c r="BI472" s="47"/>
      <c r="BJ472" s="47"/>
      <c r="BK472" s="47"/>
    </row>
    <row r="473" spans="1:64" ht="28.5" customHeight="1">
      <c r="A473" s="3"/>
      <c r="B473" s="120"/>
      <c r="C473" s="229"/>
      <c r="D473" s="230"/>
      <c r="E473" s="230"/>
      <c r="F473" s="230"/>
      <c r="G473" s="230"/>
      <c r="H473" s="231"/>
      <c r="I473" s="231"/>
      <c r="J473" s="231"/>
      <c r="K473" s="231"/>
      <c r="L473" s="231"/>
      <c r="M473" s="231"/>
      <c r="N473" s="231"/>
      <c r="O473" s="231"/>
      <c r="P473" s="232"/>
      <c r="Q473" s="231"/>
      <c r="R473" s="231"/>
      <c r="S473" s="231"/>
      <c r="T473" s="231"/>
      <c r="U473" s="231"/>
      <c r="V473" s="231"/>
      <c r="W473" s="231"/>
      <c r="X473" s="231"/>
      <c r="Y473" s="231"/>
      <c r="Z473" s="231"/>
      <c r="AA473" s="133"/>
      <c r="AB473" s="61"/>
      <c r="AC473" s="148"/>
      <c r="AD473" s="148"/>
      <c r="AE473" s="148"/>
      <c r="AF473" s="148"/>
      <c r="AG473" s="61"/>
      <c r="AH473" s="61"/>
      <c r="AI473" s="187"/>
      <c r="AJ473" s="118"/>
      <c r="AK473" s="126"/>
      <c r="AL473" s="126"/>
      <c r="AM473" s="126"/>
      <c r="AN473" s="118"/>
      <c r="AO473" s="118"/>
      <c r="AP473" s="118"/>
      <c r="AQ473" s="126"/>
      <c r="AR473" s="126"/>
      <c r="AS473" s="126"/>
      <c r="AT473" s="118"/>
      <c r="AU473" s="118"/>
      <c r="AV473" s="118"/>
      <c r="AW473" s="118"/>
      <c r="AX473" s="118"/>
      <c r="AY473" s="118"/>
      <c r="AZ473" s="118"/>
      <c r="BA473" s="118"/>
      <c r="BB473" s="118"/>
      <c r="BC473" s="118"/>
      <c r="BD473" s="118"/>
      <c r="BE473" s="118"/>
      <c r="BF473" s="118"/>
      <c r="BG473" s="47"/>
      <c r="BH473" s="47"/>
      <c r="BI473" s="47"/>
      <c r="BJ473" s="47"/>
      <c r="BK473" s="47"/>
    </row>
    <row r="474" spans="1:64" ht="28.5" customHeight="1">
      <c r="A474" s="3"/>
      <c r="B474" s="120"/>
      <c r="C474" s="229"/>
      <c r="D474" s="230"/>
      <c r="E474" s="230"/>
      <c r="F474" s="230"/>
      <c r="G474" s="230"/>
      <c r="H474" s="231"/>
      <c r="I474" s="231"/>
      <c r="J474" s="231"/>
      <c r="K474" s="231"/>
      <c r="L474" s="231"/>
      <c r="M474" s="231"/>
      <c r="N474" s="231"/>
      <c r="O474" s="231"/>
      <c r="P474" s="232"/>
      <c r="Q474" s="231"/>
      <c r="R474" s="231"/>
      <c r="S474" s="231"/>
      <c r="T474" s="231"/>
      <c r="U474" s="231"/>
      <c r="V474" s="231"/>
      <c r="W474" s="231"/>
      <c r="X474" s="231"/>
      <c r="Y474" s="231"/>
      <c r="Z474" s="231"/>
      <c r="AA474" s="133"/>
      <c r="AB474" s="61"/>
      <c r="AC474" s="148"/>
      <c r="AD474" s="148"/>
      <c r="AE474" s="148"/>
      <c r="AF474" s="148"/>
      <c r="AG474" s="61"/>
      <c r="AH474" s="61"/>
      <c r="AI474" s="187"/>
      <c r="AJ474" s="118"/>
      <c r="AK474" s="126"/>
      <c r="AL474" s="126"/>
      <c r="AM474" s="126"/>
      <c r="AN474" s="118"/>
      <c r="AO474" s="118"/>
      <c r="AP474" s="118"/>
      <c r="AQ474" s="126"/>
      <c r="AR474" s="126"/>
      <c r="AS474" s="126"/>
      <c r="AT474" s="118"/>
      <c r="AU474" s="118"/>
      <c r="AV474" s="118"/>
      <c r="AW474" s="118"/>
      <c r="AX474" s="118"/>
      <c r="AY474" s="118"/>
      <c r="AZ474" s="118"/>
      <c r="BA474" s="118"/>
      <c r="BB474" s="118"/>
      <c r="BC474" s="118"/>
      <c r="BD474" s="118"/>
      <c r="BE474" s="118"/>
      <c r="BF474" s="118"/>
      <c r="BG474" s="47"/>
      <c r="BH474" s="47"/>
      <c r="BI474" s="47"/>
      <c r="BJ474" s="47"/>
      <c r="BK474" s="47"/>
    </row>
    <row r="475" spans="1:64" ht="28.5" customHeight="1">
      <c r="A475" s="240" t="s">
        <v>104</v>
      </c>
      <c r="B475" s="121"/>
      <c r="C475" s="241"/>
      <c r="D475" s="242" t="s">
        <v>0</v>
      </c>
      <c r="E475" s="242" t="s">
        <v>1</v>
      </c>
      <c r="F475" s="242" t="s">
        <v>2</v>
      </c>
      <c r="G475" s="242" t="s">
        <v>8</v>
      </c>
      <c r="H475" s="15" t="s">
        <v>10</v>
      </c>
      <c r="I475" s="243" t="s">
        <v>11</v>
      </c>
      <c r="J475" s="136" t="s">
        <v>12</v>
      </c>
      <c r="K475" s="136" t="s">
        <v>13</v>
      </c>
      <c r="L475" s="136" t="s">
        <v>14</v>
      </c>
      <c r="M475" s="136" t="s">
        <v>17</v>
      </c>
      <c r="N475" s="192" t="s">
        <v>18</v>
      </c>
      <c r="O475" s="192" t="s">
        <v>19</v>
      </c>
      <c r="P475" s="244" t="s">
        <v>20</v>
      </c>
      <c r="Q475" s="245" t="s">
        <v>21</v>
      </c>
      <c r="R475" s="245" t="s">
        <v>98</v>
      </c>
      <c r="S475" s="245" t="s">
        <v>99</v>
      </c>
      <c r="T475" s="245" t="s">
        <v>100</v>
      </c>
      <c r="U475" s="245" t="s">
        <v>22</v>
      </c>
      <c r="V475" s="246" t="s">
        <v>23</v>
      </c>
      <c r="W475" s="246" t="s">
        <v>21</v>
      </c>
      <c r="X475" s="246" t="s">
        <v>24</v>
      </c>
      <c r="Y475" s="246" t="s">
        <v>26</v>
      </c>
      <c r="Z475" s="247" t="s">
        <v>27</v>
      </c>
      <c r="AA475" s="248"/>
      <c r="AB475" s="38"/>
      <c r="AC475" s="249"/>
      <c r="AD475" s="249"/>
      <c r="AE475" s="249"/>
      <c r="AF475" s="249"/>
      <c r="AG475" s="38"/>
      <c r="AH475" s="38"/>
      <c r="AI475" s="249"/>
      <c r="AJ475" s="250"/>
      <c r="AK475" s="251"/>
      <c r="AL475" s="251"/>
      <c r="AM475" s="251"/>
      <c r="AN475" s="250"/>
      <c r="AO475" s="250"/>
      <c r="AP475" s="250"/>
      <c r="AQ475" s="251"/>
      <c r="AR475" s="251"/>
      <c r="AS475" s="251"/>
      <c r="AT475" s="250"/>
      <c r="AU475" s="250"/>
      <c r="AV475" s="250"/>
      <c r="AW475" s="250"/>
      <c r="AX475" s="250"/>
      <c r="AY475" s="250"/>
      <c r="AZ475" s="250"/>
      <c r="BA475" s="250"/>
      <c r="BB475" s="250"/>
      <c r="BC475" s="250"/>
      <c r="BD475" s="250"/>
      <c r="BE475" s="250"/>
      <c r="BF475" s="250"/>
      <c r="BG475" s="32"/>
      <c r="BH475" s="32"/>
      <c r="BI475" s="32"/>
      <c r="BJ475" s="32"/>
      <c r="BK475" s="32"/>
      <c r="BL475" s="252"/>
    </row>
    <row r="476" spans="1:64" ht="28.5" customHeight="1">
      <c r="A476" s="1"/>
      <c r="B476" s="253"/>
      <c r="C476" s="151">
        <v>45931</v>
      </c>
      <c r="D476" s="45" t="e">
        <f t="shared" ref="D476:D507" si="613">Z476/L476</f>
        <v>#REF!</v>
      </c>
      <c r="E476" s="28" t="e">
        <f t="shared" ref="E476:E506" si="614">Y476/L476</f>
        <v>#REF!</v>
      </c>
      <c r="F476" s="30">
        <f t="shared" ref="F476:F506" si="615">(N476+P476)/L476</f>
        <v>0.18781393774362357</v>
      </c>
      <c r="G476" s="31">
        <f>O60</f>
        <v>322</v>
      </c>
      <c r="H476" s="31">
        <f>Q60</f>
        <v>28</v>
      </c>
      <c r="I476" s="31">
        <f t="shared" ref="I476:K476" si="616">S60</f>
        <v>5</v>
      </c>
      <c r="J476" s="31">
        <f t="shared" si="616"/>
        <v>7451090</v>
      </c>
      <c r="K476" s="31">
        <f t="shared" si="616"/>
        <v>80600</v>
      </c>
      <c r="L476" s="34">
        <f t="shared" ref="L476:L505" si="617">J476-K476</f>
        <v>7370490</v>
      </c>
      <c r="M476" s="31" t="e">
        <f>Y60</f>
        <v>#REF!</v>
      </c>
      <c r="N476" s="34">
        <f t="shared" ref="N476:N505" si="618">O476*1.1</f>
        <v>1334943.5</v>
      </c>
      <c r="O476" s="128">
        <v>1213585</v>
      </c>
      <c r="P476" s="31">
        <f>AB60</f>
        <v>49337.25</v>
      </c>
      <c r="Q476" s="150">
        <v>0.09</v>
      </c>
      <c r="R476" s="31"/>
      <c r="S476" s="31"/>
      <c r="T476" s="31"/>
      <c r="U476" s="31">
        <f>AE60</f>
        <v>841850</v>
      </c>
      <c r="V476" s="28">
        <f t="shared" ref="V476:V507" si="619">Q476+(U476/L476)</f>
        <v>0.20421900036496893</v>
      </c>
      <c r="W476" s="34">
        <f t="shared" ref="W476:X476" si="620">AG60</f>
        <v>1525110.4500000004</v>
      </c>
      <c r="X476" s="34" t="e">
        <f t="shared" si="620"/>
        <v>#REF!</v>
      </c>
      <c r="Y476" s="34" t="e">
        <f t="shared" ref="Y476:Y507" si="621">L476-(M476+W476+X476)</f>
        <v>#REF!</v>
      </c>
      <c r="Z476" s="254" t="e">
        <f t="shared" ref="Z476:Z505" si="622">Y476-N476-P476</f>
        <v>#REF!</v>
      </c>
      <c r="AA476" s="1"/>
      <c r="AB476" s="1"/>
      <c r="AC476" s="1"/>
      <c r="AD476" s="1"/>
      <c r="AE476" s="1"/>
      <c r="AF476" s="1"/>
      <c r="AG476" s="1"/>
      <c r="AH476" s="1"/>
      <c r="AI476" s="1"/>
      <c r="AJ476" s="1"/>
      <c r="AK476" s="1"/>
      <c r="AL476" s="1"/>
      <c r="AM476" s="1"/>
      <c r="AN476" s="1"/>
      <c r="AO476" s="1"/>
      <c r="AP476" s="1"/>
      <c r="AQ476" s="1"/>
      <c r="AR476" s="1"/>
      <c r="AS476" s="1"/>
      <c r="AT476" s="47"/>
      <c r="AU476" s="47"/>
      <c r="AV476" s="47"/>
      <c r="AW476" s="47"/>
      <c r="AX476" s="47"/>
      <c r="AY476" s="47"/>
      <c r="AZ476" s="47"/>
      <c r="BA476" s="47"/>
      <c r="BB476" s="47"/>
      <c r="BC476" s="47"/>
      <c r="BD476" s="47"/>
      <c r="BE476" s="47"/>
      <c r="BF476" s="47"/>
      <c r="BG476" s="47"/>
      <c r="BH476" s="47"/>
      <c r="BI476" s="47"/>
      <c r="BJ476" s="47"/>
      <c r="BK476" s="47"/>
    </row>
    <row r="477" spans="1:64" ht="28.5" customHeight="1">
      <c r="A477" s="1"/>
      <c r="B477" s="253"/>
      <c r="C477" s="151">
        <v>45932</v>
      </c>
      <c r="D477" s="45" t="e">
        <f t="shared" si="613"/>
        <v>#REF!</v>
      </c>
      <c r="E477" s="28" t="e">
        <f t="shared" si="614"/>
        <v>#REF!</v>
      </c>
      <c r="F477" s="30">
        <f t="shared" si="615"/>
        <v>0.24195845999289842</v>
      </c>
      <c r="G477" s="31">
        <f>O80</f>
        <v>250</v>
      </c>
      <c r="H477" s="31">
        <f>Q80</f>
        <v>31</v>
      </c>
      <c r="I477" s="31">
        <f t="shared" ref="I477:K477" si="623">S80</f>
        <v>7</v>
      </c>
      <c r="J477" s="31">
        <f t="shared" si="623"/>
        <v>7050420</v>
      </c>
      <c r="K477" s="31">
        <f t="shared" si="623"/>
        <v>122400</v>
      </c>
      <c r="L477" s="34">
        <f t="shared" si="617"/>
        <v>6928020</v>
      </c>
      <c r="M477" s="31" t="e">
        <f>Y80</f>
        <v>#REF!</v>
      </c>
      <c r="N477" s="34">
        <f t="shared" si="618"/>
        <v>1605986.8</v>
      </c>
      <c r="O477" s="31">
        <v>1459988</v>
      </c>
      <c r="P477" s="31">
        <f>AB80</f>
        <v>70306.25</v>
      </c>
      <c r="Q477" s="150">
        <v>0.09</v>
      </c>
      <c r="R477" s="31"/>
      <c r="S477" s="31"/>
      <c r="T477" s="31"/>
      <c r="U477" s="31">
        <f>AE80</f>
        <v>751500</v>
      </c>
      <c r="V477" s="28">
        <f t="shared" si="619"/>
        <v>0.19847255059887242</v>
      </c>
      <c r="W477" s="34">
        <f t="shared" ref="W477:X477" si="624">AG80</f>
        <v>1422257.87</v>
      </c>
      <c r="X477" s="34" t="e">
        <f t="shared" si="624"/>
        <v>#REF!</v>
      </c>
      <c r="Y477" s="34" t="e">
        <f t="shared" si="621"/>
        <v>#REF!</v>
      </c>
      <c r="Z477" s="254" t="e">
        <f t="shared" si="622"/>
        <v>#REF!</v>
      </c>
      <c r="AA477" s="1"/>
      <c r="AB477" s="1"/>
      <c r="AC477" s="1"/>
      <c r="AD477" s="1"/>
      <c r="AE477" s="1"/>
      <c r="AF477" s="1"/>
      <c r="AG477" s="1"/>
      <c r="AH477" s="1"/>
      <c r="AI477" s="1"/>
      <c r="AJ477" s="1"/>
      <c r="AK477" s="1"/>
      <c r="AL477" s="1"/>
      <c r="AM477" s="1"/>
      <c r="AN477" s="1"/>
      <c r="AO477" s="1"/>
      <c r="AP477" s="1"/>
      <c r="AQ477" s="1"/>
      <c r="AR477" s="1"/>
      <c r="AS477" s="1"/>
      <c r="AT477" s="47"/>
      <c r="AU477" s="47"/>
      <c r="AV477" s="47"/>
      <c r="AW477" s="47"/>
      <c r="AX477" s="47"/>
      <c r="AY477" s="47"/>
      <c r="AZ477" s="47"/>
      <c r="BA477" s="47"/>
      <c r="BB477" s="47"/>
      <c r="BC477" s="47"/>
      <c r="BD477" s="47"/>
      <c r="BE477" s="47"/>
      <c r="BF477" s="47"/>
      <c r="BG477" s="47"/>
      <c r="BH477" s="47"/>
      <c r="BI477" s="47"/>
      <c r="BJ477" s="47"/>
      <c r="BK477" s="47"/>
    </row>
    <row r="478" spans="1:64" ht="28.5" customHeight="1">
      <c r="A478" s="1"/>
      <c r="B478" s="253"/>
      <c r="C478" s="151">
        <v>45933</v>
      </c>
      <c r="D478" s="45" t="e">
        <f t="shared" si="613"/>
        <v>#REF!</v>
      </c>
      <c r="E478" s="28" t="e">
        <f t="shared" si="614"/>
        <v>#REF!</v>
      </c>
      <c r="F478" s="30">
        <f t="shared" si="615"/>
        <v>0.2461848541733323</v>
      </c>
      <c r="G478" s="31">
        <f>O100</f>
        <v>294</v>
      </c>
      <c r="H478" s="31">
        <f>Q100</f>
        <v>17</v>
      </c>
      <c r="I478" s="31">
        <f t="shared" ref="I478:K478" si="625">S100</f>
        <v>5</v>
      </c>
      <c r="J478" s="31">
        <f t="shared" si="625"/>
        <v>8081880</v>
      </c>
      <c r="K478" s="31">
        <f t="shared" si="625"/>
        <v>80600</v>
      </c>
      <c r="L478" s="34">
        <f t="shared" si="617"/>
        <v>8001280</v>
      </c>
      <c r="M478" s="31" t="e">
        <f>Y100</f>
        <v>#REF!</v>
      </c>
      <c r="N478" s="34">
        <f t="shared" si="618"/>
        <v>1899487.7000000002</v>
      </c>
      <c r="O478" s="31">
        <v>1726807</v>
      </c>
      <c r="P478" s="31">
        <f>AB100</f>
        <v>70306.25</v>
      </c>
      <c r="Q478" s="150">
        <v>0.09</v>
      </c>
      <c r="R478" s="31"/>
      <c r="S478" s="31"/>
      <c r="T478" s="31"/>
      <c r="U478" s="31">
        <f>AE100</f>
        <v>908975</v>
      </c>
      <c r="V478" s="28">
        <f t="shared" si="619"/>
        <v>0.20360369840825468</v>
      </c>
      <c r="W478" s="34">
        <f t="shared" ref="W478:X478" si="626">AG100</f>
        <v>1678390.23</v>
      </c>
      <c r="X478" s="34" t="e">
        <f t="shared" si="626"/>
        <v>#REF!</v>
      </c>
      <c r="Y478" s="34" t="e">
        <f t="shared" si="621"/>
        <v>#REF!</v>
      </c>
      <c r="Z478" s="254" t="e">
        <f t="shared" si="622"/>
        <v>#REF!</v>
      </c>
      <c r="AA478" s="1"/>
      <c r="AB478" s="1"/>
      <c r="AC478" s="1"/>
      <c r="AD478" s="1"/>
      <c r="AE478" s="1"/>
      <c r="AF478" s="1"/>
      <c r="AG478" s="1"/>
      <c r="AH478" s="1"/>
      <c r="AI478" s="1"/>
      <c r="AJ478" s="1"/>
      <c r="AK478" s="1"/>
      <c r="AL478" s="1"/>
      <c r="AM478" s="1"/>
      <c r="AN478" s="1"/>
      <c r="AO478" s="1"/>
      <c r="AP478" s="1"/>
      <c r="AQ478" s="1"/>
      <c r="AR478" s="1"/>
      <c r="AS478" s="1"/>
      <c r="AT478" s="47"/>
      <c r="AU478" s="47"/>
      <c r="AV478" s="47"/>
      <c r="AW478" s="47"/>
      <c r="AX478" s="47"/>
      <c r="AY478" s="47"/>
      <c r="AZ478" s="47"/>
      <c r="BA478" s="47"/>
      <c r="BB478" s="47"/>
      <c r="BC478" s="47"/>
      <c r="BD478" s="47"/>
      <c r="BE478" s="47"/>
      <c r="BF478" s="47"/>
      <c r="BG478" s="47"/>
      <c r="BH478" s="47"/>
      <c r="BI478" s="47"/>
      <c r="BJ478" s="47"/>
      <c r="BK478" s="47"/>
    </row>
    <row r="479" spans="1:64" ht="28.5" customHeight="1">
      <c r="A479" s="1"/>
      <c r="B479" s="253"/>
      <c r="C479" s="151">
        <v>45934</v>
      </c>
      <c r="D479" s="45" t="e">
        <f t="shared" si="613"/>
        <v>#REF!</v>
      </c>
      <c r="E479" s="28" t="e">
        <f t="shared" si="614"/>
        <v>#REF!</v>
      </c>
      <c r="F479" s="30">
        <f t="shared" si="615"/>
        <v>0.31908335552387962</v>
      </c>
      <c r="G479" s="31">
        <f>O120</f>
        <v>233</v>
      </c>
      <c r="H479" s="31">
        <f>Q120</f>
        <v>31</v>
      </c>
      <c r="I479" s="31">
        <f t="shared" ref="I479:K479" si="627">S120</f>
        <v>5</v>
      </c>
      <c r="J479" s="31">
        <f t="shared" si="627"/>
        <v>6464700</v>
      </c>
      <c r="K479" s="31">
        <f t="shared" si="627"/>
        <v>80600</v>
      </c>
      <c r="L479" s="34">
        <f t="shared" si="617"/>
        <v>6384100</v>
      </c>
      <c r="M479" s="31" t="e">
        <f>Y120</f>
        <v>#REF!</v>
      </c>
      <c r="N479" s="34">
        <f t="shared" si="618"/>
        <v>1966753.8</v>
      </c>
      <c r="O479" s="31">
        <v>1787958</v>
      </c>
      <c r="P479" s="31">
        <f>AB120</f>
        <v>70306.25</v>
      </c>
      <c r="Q479" s="150">
        <v>0.09</v>
      </c>
      <c r="R479" s="31"/>
      <c r="S479" s="31"/>
      <c r="T479" s="31"/>
      <c r="U479" s="31">
        <f>AE120</f>
        <v>718800</v>
      </c>
      <c r="V479" s="28">
        <f t="shared" si="619"/>
        <v>0.20259222129979165</v>
      </c>
      <c r="W479" s="34">
        <f t="shared" ref="W479:X479" si="628">AG120</f>
        <v>1330475.4200000002</v>
      </c>
      <c r="X479" s="34" t="e">
        <f t="shared" si="628"/>
        <v>#REF!</v>
      </c>
      <c r="Y479" s="34" t="e">
        <f t="shared" si="621"/>
        <v>#REF!</v>
      </c>
      <c r="Z479" s="254" t="e">
        <f t="shared" si="622"/>
        <v>#REF!</v>
      </c>
      <c r="AA479" s="1"/>
      <c r="AB479" s="1"/>
      <c r="AC479" s="1"/>
      <c r="AD479" s="1"/>
      <c r="AE479" s="1"/>
      <c r="AF479" s="1"/>
      <c r="AG479" s="1"/>
      <c r="AH479" s="1"/>
      <c r="AI479" s="1"/>
      <c r="AJ479" s="1"/>
      <c r="AK479" s="1"/>
      <c r="AL479" s="1"/>
      <c r="AM479" s="1"/>
      <c r="AN479" s="1"/>
      <c r="AO479" s="1"/>
      <c r="AP479" s="1"/>
      <c r="AQ479" s="1"/>
      <c r="AR479" s="1"/>
      <c r="AS479" s="1"/>
      <c r="AT479" s="47"/>
      <c r="AU479" s="47"/>
      <c r="AV479" s="47"/>
      <c r="AW479" s="47"/>
      <c r="AX479" s="47"/>
      <c r="AY479" s="47"/>
      <c r="AZ479" s="47"/>
      <c r="BA479" s="47"/>
      <c r="BB479" s="47"/>
      <c r="BC479" s="47"/>
      <c r="BD479" s="47"/>
      <c r="BE479" s="47"/>
      <c r="BF479" s="47"/>
      <c r="BG479" s="47"/>
      <c r="BH479" s="47"/>
      <c r="BI479" s="47"/>
      <c r="BJ479" s="47"/>
      <c r="BK479" s="47"/>
    </row>
    <row r="480" spans="1:64" ht="28.5" customHeight="1">
      <c r="A480" s="1"/>
      <c r="B480" s="253"/>
      <c r="C480" s="151">
        <v>45935</v>
      </c>
      <c r="D480" s="45" t="e">
        <f t="shared" si="613"/>
        <v>#REF!</v>
      </c>
      <c r="E480" s="28" t="e">
        <f t="shared" si="614"/>
        <v>#REF!</v>
      </c>
      <c r="F480" s="30">
        <f t="shared" si="615"/>
        <v>0.36341202733404959</v>
      </c>
      <c r="G480" s="31">
        <f>O140</f>
        <v>215</v>
      </c>
      <c r="H480" s="31">
        <f>Q140</f>
        <v>29</v>
      </c>
      <c r="I480" s="31">
        <f t="shared" ref="I480:K480" si="629">S140</f>
        <v>5</v>
      </c>
      <c r="J480" s="31">
        <f t="shared" si="629"/>
        <v>5758500</v>
      </c>
      <c r="K480" s="31">
        <f t="shared" si="629"/>
        <v>80600</v>
      </c>
      <c r="L480" s="34">
        <f t="shared" si="617"/>
        <v>5677900</v>
      </c>
      <c r="M480" s="31" t="e">
        <f>Y140</f>
        <v>#REF!</v>
      </c>
      <c r="N480" s="34">
        <f t="shared" si="618"/>
        <v>1993110.9000000001</v>
      </c>
      <c r="O480" s="31">
        <v>1811919</v>
      </c>
      <c r="P480" s="31">
        <f>AB140</f>
        <v>70306.25</v>
      </c>
      <c r="Q480" s="150">
        <v>0.09</v>
      </c>
      <c r="R480" s="31"/>
      <c r="S480" s="31"/>
      <c r="T480" s="31"/>
      <c r="U480" s="31">
        <f>AE140</f>
        <v>637725</v>
      </c>
      <c r="V480" s="28">
        <f t="shared" si="619"/>
        <v>0.20231705384032828</v>
      </c>
      <c r="W480" s="34">
        <f t="shared" ref="W480:X480" si="630">AG140</f>
        <v>1192547.0200000003</v>
      </c>
      <c r="X480" s="34" t="e">
        <f t="shared" si="630"/>
        <v>#REF!</v>
      </c>
      <c r="Y480" s="34" t="e">
        <f t="shared" si="621"/>
        <v>#REF!</v>
      </c>
      <c r="Z480" s="254" t="e">
        <f t="shared" si="622"/>
        <v>#REF!</v>
      </c>
      <c r="AA480" s="1"/>
      <c r="AB480" s="1"/>
      <c r="AC480" s="1"/>
      <c r="AD480" s="1"/>
      <c r="AE480" s="1"/>
      <c r="AF480" s="1"/>
      <c r="AG480" s="1"/>
      <c r="AH480" s="1"/>
      <c r="AI480" s="1"/>
      <c r="AJ480" s="1"/>
      <c r="AK480" s="1"/>
      <c r="AL480" s="1"/>
      <c r="AM480" s="1"/>
      <c r="AN480" s="1"/>
      <c r="AO480" s="1"/>
      <c r="AP480" s="1"/>
      <c r="AQ480" s="1"/>
      <c r="AR480" s="1"/>
      <c r="AS480" s="1"/>
      <c r="AT480" s="47"/>
      <c r="AU480" s="47"/>
      <c r="AV480" s="47"/>
      <c r="AW480" s="47"/>
      <c r="AX480" s="47"/>
      <c r="AY480" s="47"/>
      <c r="AZ480" s="47"/>
      <c r="BA480" s="47"/>
      <c r="BB480" s="47"/>
      <c r="BC480" s="47"/>
      <c r="BD480" s="47"/>
      <c r="BE480" s="47"/>
      <c r="BF480" s="47"/>
      <c r="BG480" s="47"/>
      <c r="BH480" s="47"/>
      <c r="BI480" s="47"/>
      <c r="BJ480" s="47"/>
      <c r="BK480" s="47"/>
    </row>
    <row r="481" spans="1:63" ht="28.5" customHeight="1">
      <c r="A481" s="1"/>
      <c r="B481" s="253"/>
      <c r="C481" s="151">
        <v>45936</v>
      </c>
      <c r="D481" s="45" t="e">
        <f t="shared" si="613"/>
        <v>#REF!</v>
      </c>
      <c r="E481" s="28" t="e">
        <f t="shared" si="614"/>
        <v>#REF!</v>
      </c>
      <c r="F481" s="30">
        <f t="shared" si="615"/>
        <v>0.28373627265858498</v>
      </c>
      <c r="G481" s="31">
        <f>O160</f>
        <v>281</v>
      </c>
      <c r="H481" s="31">
        <f>Q160</f>
        <v>32</v>
      </c>
      <c r="I481" s="31">
        <f t="shared" ref="I481:K481" si="631">S160</f>
        <v>5</v>
      </c>
      <c r="J481" s="31">
        <f t="shared" si="631"/>
        <v>7531970</v>
      </c>
      <c r="K481" s="31">
        <f t="shared" si="631"/>
        <v>80600</v>
      </c>
      <c r="L481" s="34">
        <f t="shared" si="617"/>
        <v>7451370</v>
      </c>
      <c r="M481" s="31" t="e">
        <f>Y160</f>
        <v>#REF!</v>
      </c>
      <c r="N481" s="34">
        <f t="shared" si="618"/>
        <v>2043917.7000000002</v>
      </c>
      <c r="O481" s="31">
        <v>1858107</v>
      </c>
      <c r="P481" s="31">
        <f>AB160</f>
        <v>70306.25</v>
      </c>
      <c r="Q481" s="150">
        <v>0.09</v>
      </c>
      <c r="R481" s="31"/>
      <c r="S481" s="31"/>
      <c r="T481" s="31"/>
      <c r="U481" s="31">
        <f>AE160</f>
        <v>840600</v>
      </c>
      <c r="V481" s="28">
        <f t="shared" si="619"/>
        <v>0.20281146956868334</v>
      </c>
      <c r="W481" s="34">
        <f t="shared" ref="W481:X481" si="632">AG160</f>
        <v>1557152.2400000002</v>
      </c>
      <c r="X481" s="34" t="e">
        <f t="shared" si="632"/>
        <v>#REF!</v>
      </c>
      <c r="Y481" s="34" t="e">
        <f t="shared" si="621"/>
        <v>#REF!</v>
      </c>
      <c r="Z481" s="254" t="e">
        <f t="shared" si="622"/>
        <v>#REF!</v>
      </c>
      <c r="AA481" s="1"/>
      <c r="AB481" s="1"/>
      <c r="AC481" s="1"/>
      <c r="AD481" s="1"/>
      <c r="AE481" s="1"/>
      <c r="AF481" s="1"/>
      <c r="AG481" s="1"/>
      <c r="AH481" s="1"/>
      <c r="AI481" s="1"/>
      <c r="AJ481" s="1"/>
      <c r="AK481" s="1"/>
      <c r="AL481" s="1"/>
      <c r="AM481" s="1"/>
      <c r="AN481" s="1"/>
      <c r="AO481" s="1"/>
      <c r="AP481" s="1"/>
      <c r="AQ481" s="1"/>
      <c r="AR481" s="1"/>
      <c r="AS481" s="1"/>
      <c r="AT481" s="47"/>
      <c r="AU481" s="47"/>
      <c r="AV481" s="47"/>
      <c r="AW481" s="47"/>
      <c r="AX481" s="47"/>
      <c r="AY481" s="47"/>
      <c r="AZ481" s="47"/>
      <c r="BA481" s="47"/>
      <c r="BB481" s="47"/>
      <c r="BC481" s="47"/>
      <c r="BD481" s="47"/>
      <c r="BE481" s="47"/>
      <c r="BF481" s="47"/>
      <c r="BG481" s="47"/>
      <c r="BH481" s="47"/>
      <c r="BI481" s="47"/>
      <c r="BJ481" s="47"/>
      <c r="BK481" s="47"/>
    </row>
    <row r="482" spans="1:63" ht="28.5" customHeight="1">
      <c r="A482" s="1"/>
      <c r="B482" s="253"/>
      <c r="C482" s="151">
        <v>45937</v>
      </c>
      <c r="D482" s="45" t="e">
        <f t="shared" si="613"/>
        <v>#REF!</v>
      </c>
      <c r="E482" s="28" t="e">
        <f t="shared" si="614"/>
        <v>#REF!</v>
      </c>
      <c r="F482" s="30">
        <f t="shared" si="615"/>
        <v>0.22336144756676862</v>
      </c>
      <c r="G482" s="31">
        <f>O180</f>
        <v>310</v>
      </c>
      <c r="H482" s="31">
        <f>Q180</f>
        <v>26</v>
      </c>
      <c r="I482" s="31">
        <f t="shared" ref="I482:K482" si="633">S180</f>
        <v>5</v>
      </c>
      <c r="J482" s="31">
        <f t="shared" si="633"/>
        <v>8591710</v>
      </c>
      <c r="K482" s="31">
        <f t="shared" si="633"/>
        <v>80600</v>
      </c>
      <c r="L482" s="34">
        <f t="shared" si="617"/>
        <v>8511110</v>
      </c>
      <c r="M482" s="31" t="e">
        <f>Y180</f>
        <v>#REF!</v>
      </c>
      <c r="N482" s="34">
        <f t="shared" si="618"/>
        <v>1830747.6</v>
      </c>
      <c r="O482" s="31">
        <v>1664316</v>
      </c>
      <c r="P482" s="31">
        <f>AB180</f>
        <v>70306.25</v>
      </c>
      <c r="Q482" s="150">
        <v>0.09</v>
      </c>
      <c r="R482" s="31"/>
      <c r="S482" s="31"/>
      <c r="T482" s="31"/>
      <c r="U482" s="31">
        <f>AE180</f>
        <v>955525</v>
      </c>
      <c r="V482" s="28">
        <f t="shared" si="619"/>
        <v>0.20226796504803721</v>
      </c>
      <c r="W482" s="34">
        <f t="shared" ref="W482:X482" si="634">AG180</f>
        <v>1780513.9300000002</v>
      </c>
      <c r="X482" s="34" t="e">
        <f t="shared" si="634"/>
        <v>#REF!</v>
      </c>
      <c r="Y482" s="34" t="e">
        <f t="shared" si="621"/>
        <v>#REF!</v>
      </c>
      <c r="Z482" s="254" t="e">
        <f t="shared" si="622"/>
        <v>#REF!</v>
      </c>
      <c r="AA482" s="1"/>
      <c r="AB482" s="1"/>
      <c r="AC482" s="1"/>
      <c r="AD482" s="1"/>
      <c r="AE482" s="1"/>
      <c r="AF482" s="1"/>
      <c r="AG482" s="1"/>
      <c r="AH482" s="1"/>
      <c r="AI482" s="1"/>
      <c r="AJ482" s="1"/>
      <c r="AK482" s="1"/>
      <c r="AL482" s="1"/>
      <c r="AM482" s="1"/>
      <c r="AN482" s="1"/>
      <c r="AO482" s="1"/>
      <c r="AP482" s="1"/>
      <c r="AQ482" s="1"/>
      <c r="AR482" s="1"/>
      <c r="AS482" s="1"/>
      <c r="AT482" s="47"/>
      <c r="AU482" s="47"/>
      <c r="AV482" s="47"/>
      <c r="AW482" s="47"/>
      <c r="AX482" s="47"/>
      <c r="AY482" s="47"/>
      <c r="AZ482" s="47"/>
      <c r="BA482" s="47"/>
      <c r="BB482" s="47"/>
      <c r="BC482" s="47"/>
      <c r="BD482" s="47"/>
      <c r="BE482" s="47"/>
      <c r="BF482" s="47"/>
      <c r="BG482" s="47"/>
      <c r="BH482" s="47"/>
      <c r="BI482" s="47"/>
      <c r="BJ482" s="47"/>
      <c r="BK482" s="47"/>
    </row>
    <row r="483" spans="1:63" ht="28.5" customHeight="1">
      <c r="A483" s="1"/>
      <c r="B483" s="253"/>
      <c r="C483" s="151">
        <v>45938</v>
      </c>
      <c r="D483" s="45" t="e">
        <f t="shared" si="613"/>
        <v>#REF!</v>
      </c>
      <c r="E483" s="28" t="e">
        <f t="shared" si="614"/>
        <v>#REF!</v>
      </c>
      <c r="F483" s="30">
        <f t="shared" si="615"/>
        <v>0.21008314679760273</v>
      </c>
      <c r="G483" s="31">
        <f>O200</f>
        <v>343</v>
      </c>
      <c r="H483" s="31">
        <f>Q200</f>
        <v>30</v>
      </c>
      <c r="I483" s="31">
        <f t="shared" ref="I483:K483" si="635">S200</f>
        <v>5</v>
      </c>
      <c r="J483" s="31">
        <f t="shared" si="635"/>
        <v>9774900</v>
      </c>
      <c r="K483" s="31">
        <f t="shared" si="635"/>
        <v>80600</v>
      </c>
      <c r="L483" s="34">
        <f t="shared" si="617"/>
        <v>9694300</v>
      </c>
      <c r="M483" s="31" t="e">
        <f>Y200</f>
        <v>#REF!</v>
      </c>
      <c r="N483" s="34">
        <f t="shared" si="618"/>
        <v>1966302.8</v>
      </c>
      <c r="O483" s="31">
        <v>1787548</v>
      </c>
      <c r="P483" s="31">
        <f>AB200</f>
        <v>70306.25</v>
      </c>
      <c r="Q483" s="150">
        <v>0.09</v>
      </c>
      <c r="R483" s="31"/>
      <c r="S483" s="31"/>
      <c r="T483" s="31"/>
      <c r="U483" s="31">
        <f>AE200</f>
        <v>1066150</v>
      </c>
      <c r="V483" s="28">
        <f t="shared" si="619"/>
        <v>0.19997699679192926</v>
      </c>
      <c r="W483" s="34">
        <f t="shared" ref="W483:X483" si="636">AG200</f>
        <v>1988875.08</v>
      </c>
      <c r="X483" s="34" t="e">
        <f t="shared" si="636"/>
        <v>#REF!</v>
      </c>
      <c r="Y483" s="34" t="e">
        <f t="shared" si="621"/>
        <v>#REF!</v>
      </c>
      <c r="Z483" s="254" t="e">
        <f t="shared" si="622"/>
        <v>#REF!</v>
      </c>
      <c r="AA483" s="1"/>
      <c r="AB483" s="1"/>
      <c r="AC483" s="1"/>
      <c r="AD483" s="1"/>
      <c r="AE483" s="1"/>
      <c r="AF483" s="1"/>
      <c r="AG483" s="1"/>
      <c r="AH483" s="1"/>
      <c r="AI483" s="1"/>
      <c r="AJ483" s="1"/>
      <c r="AK483" s="1"/>
      <c r="AL483" s="1"/>
      <c r="AM483" s="1"/>
      <c r="AN483" s="1"/>
      <c r="AO483" s="1"/>
      <c r="AP483" s="1"/>
      <c r="AQ483" s="1"/>
      <c r="AR483" s="1"/>
      <c r="AS483" s="1"/>
      <c r="AT483" s="47"/>
      <c r="AU483" s="47"/>
      <c r="AV483" s="47"/>
      <c r="AW483" s="47"/>
      <c r="AX483" s="47"/>
      <c r="AY483" s="47"/>
      <c r="AZ483" s="47"/>
      <c r="BA483" s="47"/>
      <c r="BB483" s="47"/>
      <c r="BC483" s="47"/>
      <c r="BD483" s="47"/>
      <c r="BE483" s="47"/>
      <c r="BF483" s="47"/>
      <c r="BG483" s="47"/>
      <c r="BH483" s="47"/>
      <c r="BI483" s="47"/>
      <c r="BJ483" s="47"/>
      <c r="BK483" s="47"/>
    </row>
    <row r="484" spans="1:63" ht="28.5" customHeight="1">
      <c r="A484" s="1"/>
      <c r="B484" s="253"/>
      <c r="C484" s="151">
        <v>45939</v>
      </c>
      <c r="D484" s="45" t="e">
        <f t="shared" si="613"/>
        <v>#REF!</v>
      </c>
      <c r="E484" s="28" t="e">
        <f t="shared" si="614"/>
        <v>#REF!</v>
      </c>
      <c r="F484" s="30">
        <f t="shared" si="615"/>
        <v>0.22466074055731977</v>
      </c>
      <c r="G484" s="31">
        <f>O220</f>
        <v>319</v>
      </c>
      <c r="H484" s="31">
        <f>Q220</f>
        <v>31</v>
      </c>
      <c r="I484" s="31">
        <f t="shared" ref="I484:K484" si="637">S220</f>
        <v>5</v>
      </c>
      <c r="J484" s="31">
        <f t="shared" si="637"/>
        <v>9046010</v>
      </c>
      <c r="K484" s="31">
        <f t="shared" si="637"/>
        <v>80600</v>
      </c>
      <c r="L484" s="34">
        <f t="shared" si="617"/>
        <v>8965410</v>
      </c>
      <c r="M484" s="31" t="e">
        <f>Y220</f>
        <v>#REF!</v>
      </c>
      <c r="N484" s="34">
        <f t="shared" si="618"/>
        <v>1943869.4000000001</v>
      </c>
      <c r="O484" s="31">
        <v>1767154</v>
      </c>
      <c r="P484" s="31">
        <f>AB220</f>
        <v>70306.25</v>
      </c>
      <c r="Q484" s="150">
        <v>0.09</v>
      </c>
      <c r="R484" s="31"/>
      <c r="S484" s="31"/>
      <c r="T484" s="31"/>
      <c r="U484" s="31">
        <f>AE220</f>
        <v>986925</v>
      </c>
      <c r="V484" s="28">
        <f t="shared" si="619"/>
        <v>0.2000814128969004</v>
      </c>
      <c r="W484" s="34">
        <f t="shared" ref="W484:X484" si="638">AG220</f>
        <v>1848197.1600000001</v>
      </c>
      <c r="X484" s="34" t="e">
        <f t="shared" si="638"/>
        <v>#REF!</v>
      </c>
      <c r="Y484" s="34" t="e">
        <f t="shared" si="621"/>
        <v>#REF!</v>
      </c>
      <c r="Z484" s="254" t="e">
        <f t="shared" si="622"/>
        <v>#REF!</v>
      </c>
      <c r="AA484" s="1"/>
      <c r="AB484" s="1"/>
      <c r="AC484" s="1"/>
      <c r="AD484" s="1"/>
      <c r="AE484" s="1"/>
      <c r="AF484" s="1"/>
      <c r="AG484" s="1"/>
      <c r="AH484" s="1"/>
      <c r="AI484" s="1"/>
      <c r="AJ484" s="1"/>
      <c r="AK484" s="1"/>
      <c r="AL484" s="1"/>
      <c r="AM484" s="1"/>
      <c r="AN484" s="1"/>
      <c r="AO484" s="1"/>
      <c r="AP484" s="1"/>
      <c r="AQ484" s="1"/>
      <c r="AR484" s="1"/>
      <c r="AS484" s="1"/>
      <c r="AT484" s="47"/>
      <c r="AU484" s="47"/>
      <c r="AV484" s="47"/>
      <c r="AW484" s="47"/>
      <c r="AX484" s="47"/>
      <c r="AY484" s="47"/>
      <c r="AZ484" s="47"/>
      <c r="BA484" s="47"/>
      <c r="BB484" s="47"/>
      <c r="BC484" s="47"/>
      <c r="BD484" s="47"/>
      <c r="BE484" s="47"/>
      <c r="BF484" s="47"/>
      <c r="BG484" s="47"/>
      <c r="BH484" s="47"/>
      <c r="BI484" s="47"/>
      <c r="BJ484" s="47"/>
      <c r="BK484" s="47"/>
    </row>
    <row r="485" spans="1:63" ht="28.5" customHeight="1">
      <c r="A485" s="1"/>
      <c r="B485" s="253"/>
      <c r="C485" s="151"/>
      <c r="D485" s="45" t="e">
        <f t="shared" si="613"/>
        <v>#DIV/0!</v>
      </c>
      <c r="E485" s="28" t="e">
        <f t="shared" si="614"/>
        <v>#DIV/0!</v>
      </c>
      <c r="F485" s="30" t="e">
        <f t="shared" si="615"/>
        <v>#DIV/0!</v>
      </c>
      <c r="G485" s="31"/>
      <c r="H485" s="31"/>
      <c r="I485" s="31"/>
      <c r="J485" s="31"/>
      <c r="K485" s="31"/>
      <c r="L485" s="34">
        <f t="shared" si="617"/>
        <v>0</v>
      </c>
      <c r="M485" s="31"/>
      <c r="N485" s="34">
        <f t="shared" si="618"/>
        <v>0</v>
      </c>
      <c r="O485" s="31"/>
      <c r="P485" s="31"/>
      <c r="Q485" s="150">
        <v>0.09</v>
      </c>
      <c r="R485" s="31"/>
      <c r="S485" s="31"/>
      <c r="T485" s="31"/>
      <c r="U485" s="31"/>
      <c r="V485" s="28" t="e">
        <f t="shared" si="619"/>
        <v>#DIV/0!</v>
      </c>
      <c r="W485" s="34"/>
      <c r="X485" s="31"/>
      <c r="Y485" s="34">
        <f t="shared" si="621"/>
        <v>0</v>
      </c>
      <c r="Z485" s="254">
        <f t="shared" si="622"/>
        <v>0</v>
      </c>
      <c r="AA485" s="1"/>
      <c r="AB485" s="1"/>
      <c r="AC485" s="1"/>
      <c r="AD485" s="1"/>
      <c r="AE485" s="1"/>
      <c r="AF485" s="1"/>
      <c r="AG485" s="1"/>
      <c r="AH485" s="1"/>
      <c r="AI485" s="1"/>
      <c r="AJ485" s="1"/>
      <c r="AK485" s="1"/>
      <c r="AL485" s="1"/>
      <c r="AM485" s="1"/>
      <c r="AN485" s="1"/>
      <c r="AO485" s="1"/>
      <c r="AP485" s="1"/>
      <c r="AQ485" s="1"/>
      <c r="AR485" s="1"/>
      <c r="AS485" s="1"/>
      <c r="AT485" s="47"/>
      <c r="AU485" s="47"/>
      <c r="AV485" s="47"/>
      <c r="AW485" s="47"/>
      <c r="AX485" s="47"/>
      <c r="AY485" s="47"/>
      <c r="AZ485" s="47"/>
      <c r="BA485" s="47"/>
      <c r="BB485" s="47"/>
      <c r="BC485" s="47"/>
      <c r="BD485" s="47"/>
      <c r="BE485" s="47"/>
      <c r="BF485" s="47"/>
      <c r="BG485" s="47"/>
      <c r="BH485" s="47"/>
      <c r="BI485" s="47"/>
      <c r="BJ485" s="47"/>
      <c r="BK485" s="47"/>
    </row>
    <row r="486" spans="1:63" ht="28.5" customHeight="1">
      <c r="A486" s="1"/>
      <c r="B486" s="253"/>
      <c r="C486" s="151"/>
      <c r="D486" s="45" t="e">
        <f t="shared" si="613"/>
        <v>#DIV/0!</v>
      </c>
      <c r="E486" s="28" t="e">
        <f t="shared" si="614"/>
        <v>#DIV/0!</v>
      </c>
      <c r="F486" s="30" t="e">
        <f t="shared" si="615"/>
        <v>#DIV/0!</v>
      </c>
      <c r="G486" s="31"/>
      <c r="H486" s="31"/>
      <c r="I486" s="31"/>
      <c r="J486" s="31"/>
      <c r="K486" s="31"/>
      <c r="L486" s="34">
        <f t="shared" si="617"/>
        <v>0</v>
      </c>
      <c r="M486" s="31"/>
      <c r="N486" s="34">
        <f t="shared" si="618"/>
        <v>0</v>
      </c>
      <c r="O486" s="31"/>
      <c r="P486" s="31"/>
      <c r="Q486" s="150">
        <v>0.09</v>
      </c>
      <c r="R486" s="31"/>
      <c r="S486" s="31"/>
      <c r="T486" s="31"/>
      <c r="U486" s="31"/>
      <c r="V486" s="28" t="e">
        <f t="shared" si="619"/>
        <v>#DIV/0!</v>
      </c>
      <c r="W486" s="34"/>
      <c r="X486" s="31"/>
      <c r="Y486" s="34">
        <f t="shared" si="621"/>
        <v>0</v>
      </c>
      <c r="Z486" s="254">
        <f t="shared" si="622"/>
        <v>0</v>
      </c>
      <c r="AA486" s="1"/>
      <c r="AB486" s="1"/>
      <c r="AC486" s="1"/>
      <c r="AD486" s="1"/>
      <c r="AE486" s="1"/>
      <c r="AF486" s="1"/>
      <c r="AG486" s="1"/>
      <c r="AH486" s="1"/>
      <c r="AI486" s="1"/>
      <c r="AJ486" s="1"/>
      <c r="AK486" s="1"/>
      <c r="AL486" s="1"/>
      <c r="AM486" s="1"/>
      <c r="AN486" s="1"/>
      <c r="AO486" s="1"/>
      <c r="AP486" s="1"/>
      <c r="AQ486" s="1"/>
      <c r="AR486" s="1"/>
      <c r="AS486" s="1"/>
      <c r="AT486" s="47"/>
      <c r="AU486" s="47"/>
      <c r="AV486" s="47"/>
      <c r="AW486" s="47"/>
      <c r="AX486" s="47"/>
      <c r="AY486" s="47"/>
      <c r="AZ486" s="47"/>
      <c r="BA486" s="47"/>
      <c r="BB486" s="47"/>
      <c r="BC486" s="47"/>
      <c r="BD486" s="47"/>
      <c r="BE486" s="47"/>
      <c r="BF486" s="47"/>
      <c r="BG486" s="47"/>
      <c r="BH486" s="47"/>
      <c r="BI486" s="47"/>
      <c r="BJ486" s="47"/>
      <c r="BK486" s="47"/>
    </row>
    <row r="487" spans="1:63" ht="28.5" customHeight="1">
      <c r="A487" s="1"/>
      <c r="B487" s="253"/>
      <c r="C487" s="119" t="s">
        <v>140</v>
      </c>
      <c r="D487" s="45" t="e">
        <f t="shared" si="613"/>
        <v>#REF!</v>
      </c>
      <c r="E487" s="28" t="e">
        <f t="shared" si="614"/>
        <v>#REF!</v>
      </c>
      <c r="F487" s="30">
        <f t="shared" si="615"/>
        <v>0.23297821917719763</v>
      </c>
      <c r="G487" s="128">
        <f>O240</f>
        <v>911</v>
      </c>
      <c r="H487" s="128">
        <f>Q240</f>
        <v>93</v>
      </c>
      <c r="I487" s="128">
        <f t="shared" ref="I487:K487" si="639">S240</f>
        <v>15</v>
      </c>
      <c r="J487" s="31">
        <f t="shared" si="639"/>
        <v>25074760</v>
      </c>
      <c r="K487" s="31">
        <f t="shared" si="639"/>
        <v>297000</v>
      </c>
      <c r="L487" s="34">
        <f t="shared" si="617"/>
        <v>24777760</v>
      </c>
      <c r="M487" s="31" t="e">
        <f>Y240</f>
        <v>#REF!</v>
      </c>
      <c r="N487" s="34">
        <f t="shared" si="618"/>
        <v>5615410.9000000004</v>
      </c>
      <c r="O487" s="128">
        <v>5104919</v>
      </c>
      <c r="P487" s="31">
        <f>AB240</f>
        <v>157267.5</v>
      </c>
      <c r="Q487" s="150">
        <v>0.09</v>
      </c>
      <c r="R487" s="31"/>
      <c r="S487" s="31"/>
      <c r="T487" s="31"/>
      <c r="U487" s="31">
        <f>AE240</f>
        <v>2778700</v>
      </c>
      <c r="V487" s="28">
        <f t="shared" si="619"/>
        <v>0.20214492351205274</v>
      </c>
      <c r="W487" s="34">
        <f t="shared" ref="W487:X487" si="640">AG240</f>
        <v>5157819.93</v>
      </c>
      <c r="X487" s="34" t="e">
        <f t="shared" si="640"/>
        <v>#REF!</v>
      </c>
      <c r="Y487" s="34" t="e">
        <f t="shared" si="621"/>
        <v>#REF!</v>
      </c>
      <c r="Z487" s="254" t="e">
        <f t="shared" si="622"/>
        <v>#REF!</v>
      </c>
      <c r="AA487" s="1"/>
      <c r="AB487" s="1"/>
      <c r="AC487" s="1"/>
      <c r="AD487" s="1"/>
      <c r="AE487" s="1"/>
      <c r="AF487" s="1"/>
      <c r="AG487" s="1"/>
      <c r="AH487" s="1"/>
      <c r="AI487" s="1"/>
      <c r="AJ487" s="1"/>
      <c r="AK487" s="1"/>
      <c r="AL487" s="1"/>
      <c r="AM487" s="1"/>
      <c r="AN487" s="1"/>
      <c r="AO487" s="1"/>
      <c r="AP487" s="1"/>
      <c r="AQ487" s="1"/>
      <c r="AR487" s="1"/>
      <c r="AS487" s="1"/>
      <c r="AT487" s="47"/>
      <c r="AU487" s="47"/>
      <c r="AV487" s="47"/>
      <c r="AW487" s="47"/>
      <c r="AX487" s="47"/>
      <c r="AY487" s="47"/>
      <c r="AZ487" s="47"/>
      <c r="BA487" s="47"/>
      <c r="BB487" s="47"/>
      <c r="BC487" s="47"/>
      <c r="BD487" s="47"/>
      <c r="BE487" s="47"/>
      <c r="BF487" s="47"/>
      <c r="BG487" s="47"/>
      <c r="BH487" s="47"/>
      <c r="BI487" s="47"/>
      <c r="BJ487" s="47"/>
      <c r="BK487" s="47"/>
    </row>
    <row r="488" spans="1:63" ht="28.5" customHeight="1">
      <c r="A488" s="1"/>
      <c r="B488" s="253"/>
      <c r="C488" s="151">
        <v>45943</v>
      </c>
      <c r="D488" s="45" t="e">
        <f t="shared" si="613"/>
        <v>#REF!</v>
      </c>
      <c r="E488" s="28" t="e">
        <f t="shared" si="614"/>
        <v>#REF!</v>
      </c>
      <c r="F488" s="30">
        <f t="shared" si="615"/>
        <v>0.24350777579518729</v>
      </c>
      <c r="G488" s="128">
        <f>O260</f>
        <v>310</v>
      </c>
      <c r="H488" s="128">
        <f>Q260</f>
        <v>53</v>
      </c>
      <c r="I488" s="128">
        <f t="shared" ref="I488:K488" si="641">S260</f>
        <v>12</v>
      </c>
      <c r="J488" s="31">
        <f t="shared" si="641"/>
        <v>8515210</v>
      </c>
      <c r="K488" s="31">
        <f t="shared" si="641"/>
        <v>237600</v>
      </c>
      <c r="L488" s="34">
        <f t="shared" si="617"/>
        <v>8277610</v>
      </c>
      <c r="M488" s="31" t="e">
        <f>Y260</f>
        <v>#REF!</v>
      </c>
      <c r="N488" s="34">
        <f t="shared" si="618"/>
        <v>1889848.4000000001</v>
      </c>
      <c r="O488" s="128">
        <v>1718044</v>
      </c>
      <c r="P488" s="31">
        <f>AB260</f>
        <v>125814</v>
      </c>
      <c r="Q488" s="150">
        <v>0.09</v>
      </c>
      <c r="R488" s="31"/>
      <c r="S488" s="31"/>
      <c r="T488" s="31"/>
      <c r="U488" s="31">
        <f>AE260</f>
        <v>930450</v>
      </c>
      <c r="V488" s="28">
        <f t="shared" si="619"/>
        <v>0.20240563399338696</v>
      </c>
      <c r="W488" s="34">
        <f t="shared" ref="W488:X488" si="642">AG260</f>
        <v>1721175.7000000004</v>
      </c>
      <c r="X488" s="34" t="e">
        <f t="shared" si="642"/>
        <v>#REF!</v>
      </c>
      <c r="Y488" s="34" t="e">
        <f t="shared" si="621"/>
        <v>#REF!</v>
      </c>
      <c r="Z488" s="254" t="e">
        <f t="shared" si="622"/>
        <v>#REF!</v>
      </c>
      <c r="AA488" s="1"/>
      <c r="AB488" s="1"/>
      <c r="AC488" s="1"/>
      <c r="AD488" s="1"/>
      <c r="AE488" s="1"/>
      <c r="AF488" s="1"/>
      <c r="AG488" s="1"/>
      <c r="AH488" s="1"/>
      <c r="AI488" s="1"/>
      <c r="AJ488" s="1"/>
      <c r="AK488" s="1"/>
      <c r="AL488" s="1"/>
      <c r="AM488" s="1"/>
      <c r="AN488" s="1"/>
      <c r="AO488" s="1"/>
      <c r="AP488" s="1"/>
      <c r="AQ488" s="1"/>
      <c r="AR488" s="1"/>
      <c r="AS488" s="1"/>
      <c r="AT488" s="47"/>
      <c r="AU488" s="47"/>
      <c r="AV488" s="47"/>
      <c r="AW488" s="47"/>
      <c r="AX488" s="47"/>
      <c r="AY488" s="47"/>
      <c r="AZ488" s="47"/>
      <c r="BA488" s="47"/>
      <c r="BB488" s="47"/>
      <c r="BC488" s="47"/>
      <c r="BD488" s="47"/>
      <c r="BE488" s="47"/>
      <c r="BF488" s="47"/>
      <c r="BG488" s="47"/>
      <c r="BH488" s="47"/>
      <c r="BI488" s="47"/>
      <c r="BJ488" s="47"/>
      <c r="BK488" s="47"/>
    </row>
    <row r="489" spans="1:63" ht="28.5" customHeight="1">
      <c r="A489" s="1"/>
      <c r="B489" s="253"/>
      <c r="C489" s="151">
        <v>45944</v>
      </c>
      <c r="D489" s="45" t="e">
        <f t="shared" si="613"/>
        <v>#REF!</v>
      </c>
      <c r="E489" s="28" t="e">
        <f t="shared" si="614"/>
        <v>#REF!</v>
      </c>
      <c r="F489" s="30">
        <f t="shared" si="615"/>
        <v>0.25857198776316426</v>
      </c>
      <c r="G489" s="128">
        <f>O280</f>
        <v>311</v>
      </c>
      <c r="H489" s="128">
        <f>Q280</f>
        <v>23</v>
      </c>
      <c r="I489" s="128">
        <f t="shared" ref="I489:K489" si="643">S280</f>
        <v>12</v>
      </c>
      <c r="J489" s="31">
        <f t="shared" si="643"/>
        <v>8540400</v>
      </c>
      <c r="K489" s="31">
        <f t="shared" si="643"/>
        <v>237600</v>
      </c>
      <c r="L489" s="34">
        <f t="shared" si="617"/>
        <v>8302800</v>
      </c>
      <c r="M489" s="31" t="e">
        <f>Y280</f>
        <v>#REF!</v>
      </c>
      <c r="N489" s="34">
        <f t="shared" si="618"/>
        <v>2021057.5000000002</v>
      </c>
      <c r="O489" s="128">
        <v>1837325</v>
      </c>
      <c r="P489" s="31">
        <f>AB280</f>
        <v>125814</v>
      </c>
      <c r="Q489" s="150">
        <v>0.09</v>
      </c>
      <c r="R489" s="31"/>
      <c r="S489" s="31"/>
      <c r="T489" s="31"/>
      <c r="U489" s="31">
        <f>AE280</f>
        <v>926200</v>
      </c>
      <c r="V489" s="28">
        <f t="shared" si="619"/>
        <v>0.20155272919978801</v>
      </c>
      <c r="W489" s="34">
        <f t="shared" ref="W489:X489" si="644">AG280</f>
        <v>1718173.49</v>
      </c>
      <c r="X489" s="34" t="e">
        <f t="shared" si="644"/>
        <v>#REF!</v>
      </c>
      <c r="Y489" s="34" t="e">
        <f t="shared" si="621"/>
        <v>#REF!</v>
      </c>
      <c r="Z489" s="254" t="e">
        <f t="shared" si="622"/>
        <v>#REF!</v>
      </c>
      <c r="AA489" s="1"/>
      <c r="AB489" s="1"/>
      <c r="AC489" s="1"/>
      <c r="AD489" s="1"/>
      <c r="AE489" s="1"/>
      <c r="AF489" s="1"/>
      <c r="AG489" s="1"/>
      <c r="AH489" s="1"/>
      <c r="AI489" s="1"/>
      <c r="AJ489" s="1"/>
      <c r="AK489" s="1"/>
      <c r="AL489" s="1"/>
      <c r="AM489" s="1"/>
      <c r="AN489" s="1"/>
      <c r="AO489" s="1"/>
      <c r="AP489" s="1"/>
      <c r="AQ489" s="1"/>
      <c r="AR489" s="1"/>
      <c r="AS489" s="1"/>
      <c r="AT489" s="47"/>
      <c r="AU489" s="47"/>
      <c r="AV489" s="47"/>
      <c r="AW489" s="47"/>
      <c r="AX489" s="47"/>
      <c r="AY489" s="47"/>
      <c r="AZ489" s="47"/>
      <c r="BA489" s="47"/>
      <c r="BB489" s="47"/>
      <c r="BC489" s="47"/>
      <c r="BD489" s="47"/>
      <c r="BE489" s="47"/>
      <c r="BF489" s="47"/>
      <c r="BG489" s="47"/>
      <c r="BH489" s="47"/>
      <c r="BI489" s="47"/>
      <c r="BJ489" s="47"/>
      <c r="BK489" s="47"/>
    </row>
    <row r="490" spans="1:63" ht="28.5" customHeight="1">
      <c r="A490" s="1"/>
      <c r="B490" s="253"/>
      <c r="C490" s="151">
        <v>45945</v>
      </c>
      <c r="D490" s="45" t="e">
        <f t="shared" si="613"/>
        <v>#REF!</v>
      </c>
      <c r="E490" s="28" t="e">
        <f t="shared" si="614"/>
        <v>#REF!</v>
      </c>
      <c r="F490" s="30">
        <f t="shared" si="615"/>
        <v>0.25939922277322147</v>
      </c>
      <c r="G490" s="128">
        <f>O300</f>
        <v>307</v>
      </c>
      <c r="H490" s="128">
        <f>Q300</f>
        <v>37</v>
      </c>
      <c r="I490" s="128">
        <f t="shared" ref="I490:K490" si="645">S300</f>
        <v>10</v>
      </c>
      <c r="J490" s="31">
        <f t="shared" si="645"/>
        <v>8586800</v>
      </c>
      <c r="K490" s="31">
        <f t="shared" si="645"/>
        <v>198000</v>
      </c>
      <c r="L490" s="34">
        <f t="shared" si="617"/>
        <v>8388800</v>
      </c>
      <c r="M490" s="31" t="e">
        <f>Y300</f>
        <v>#REF!</v>
      </c>
      <c r="N490" s="34">
        <f t="shared" si="618"/>
        <v>2071203.2000000002</v>
      </c>
      <c r="O490" s="128">
        <v>1882912</v>
      </c>
      <c r="P490" s="31">
        <f>AB300</f>
        <v>104845</v>
      </c>
      <c r="Q490" s="150">
        <v>0.09</v>
      </c>
      <c r="R490" s="31"/>
      <c r="S490" s="31"/>
      <c r="T490" s="31"/>
      <c r="U490" s="31">
        <f>AE300</f>
        <v>944650</v>
      </c>
      <c r="V490" s="28">
        <f t="shared" si="619"/>
        <v>0.2026084779706275</v>
      </c>
      <c r="W490" s="34">
        <f t="shared" ref="W490:X490" si="646">AG300</f>
        <v>1747373.9500000002</v>
      </c>
      <c r="X490" s="34" t="e">
        <f t="shared" si="646"/>
        <v>#REF!</v>
      </c>
      <c r="Y490" s="34" t="e">
        <f t="shared" si="621"/>
        <v>#REF!</v>
      </c>
      <c r="Z490" s="254" t="e">
        <f t="shared" si="622"/>
        <v>#REF!</v>
      </c>
      <c r="AA490" s="1"/>
      <c r="AB490" s="1"/>
      <c r="AC490" s="1"/>
      <c r="AD490" s="1"/>
      <c r="AE490" s="1"/>
      <c r="AF490" s="1"/>
      <c r="AG490" s="1"/>
      <c r="AH490" s="1"/>
      <c r="AI490" s="1"/>
      <c r="AJ490" s="1"/>
      <c r="AK490" s="1"/>
      <c r="AL490" s="1"/>
      <c r="AM490" s="1"/>
      <c r="AN490" s="1"/>
      <c r="AO490" s="1"/>
      <c r="AP490" s="1"/>
      <c r="AQ490" s="1"/>
      <c r="AR490" s="1"/>
      <c r="AS490" s="1"/>
      <c r="AT490" s="47"/>
      <c r="AU490" s="47"/>
      <c r="AV490" s="47"/>
      <c r="AW490" s="47"/>
      <c r="AX490" s="47"/>
      <c r="AY490" s="47"/>
      <c r="AZ490" s="47"/>
      <c r="BA490" s="47"/>
      <c r="BB490" s="47"/>
      <c r="BC490" s="47"/>
      <c r="BD490" s="47"/>
      <c r="BE490" s="47"/>
      <c r="BF490" s="47"/>
      <c r="BG490" s="47"/>
      <c r="BH490" s="47"/>
      <c r="BI490" s="47"/>
      <c r="BJ490" s="47"/>
      <c r="BK490" s="47"/>
    </row>
    <row r="491" spans="1:63" ht="28.5" customHeight="1">
      <c r="A491" s="1"/>
      <c r="B491" s="253"/>
      <c r="C491" s="151">
        <v>45946</v>
      </c>
      <c r="D491" s="45" t="e">
        <f t="shared" si="613"/>
        <v>#REF!</v>
      </c>
      <c r="E491" s="28" t="e">
        <f t="shared" si="614"/>
        <v>#REF!</v>
      </c>
      <c r="F491" s="30">
        <f t="shared" si="615"/>
        <v>0.25876821342391354</v>
      </c>
      <c r="G491" s="128">
        <f>O320</f>
        <v>346</v>
      </c>
      <c r="H491" s="128">
        <f>Q320</f>
        <v>33</v>
      </c>
      <c r="I491" s="128">
        <f t="shared" ref="I491:K491" si="647">S320</f>
        <v>10</v>
      </c>
      <c r="J491" s="31">
        <f t="shared" si="647"/>
        <v>9712960</v>
      </c>
      <c r="K491" s="31">
        <f t="shared" si="647"/>
        <v>198000</v>
      </c>
      <c r="L491" s="34">
        <f t="shared" si="617"/>
        <v>9514960</v>
      </c>
      <c r="M491" s="31" t="e">
        <f>Y320</f>
        <v>#REF!</v>
      </c>
      <c r="N491" s="34">
        <f t="shared" si="618"/>
        <v>2357324.2000000002</v>
      </c>
      <c r="O491" s="128">
        <v>2143022</v>
      </c>
      <c r="P491" s="31">
        <f>AB320</f>
        <v>104845</v>
      </c>
      <c r="Q491" s="150">
        <v>0.09</v>
      </c>
      <c r="R491" s="31"/>
      <c r="S491" s="31"/>
      <c r="T491" s="31"/>
      <c r="U491" s="31">
        <f>AE320</f>
        <v>1074625</v>
      </c>
      <c r="V491" s="28">
        <f t="shared" si="619"/>
        <v>0.20294056937706517</v>
      </c>
      <c r="W491" s="34">
        <f t="shared" ref="W491:X491" si="648">AG320</f>
        <v>1971636.4300000004</v>
      </c>
      <c r="X491" s="34" t="e">
        <f t="shared" si="648"/>
        <v>#REF!</v>
      </c>
      <c r="Y491" s="34" t="e">
        <f t="shared" si="621"/>
        <v>#REF!</v>
      </c>
      <c r="Z491" s="254" t="e">
        <f t="shared" si="622"/>
        <v>#REF!</v>
      </c>
      <c r="AA491" s="1"/>
      <c r="AB491" s="1"/>
      <c r="AC491" s="1"/>
      <c r="AD491" s="1"/>
      <c r="AE491" s="1"/>
      <c r="AF491" s="1"/>
      <c r="AG491" s="1"/>
      <c r="AH491" s="1"/>
      <c r="AI491" s="1"/>
      <c r="AJ491" s="1"/>
      <c r="AK491" s="1"/>
      <c r="AL491" s="1"/>
      <c r="AM491" s="1"/>
      <c r="AN491" s="1"/>
      <c r="AO491" s="1"/>
      <c r="AP491" s="1"/>
      <c r="AQ491" s="1"/>
      <c r="AR491" s="1"/>
      <c r="AS491" s="1"/>
      <c r="AT491" s="47"/>
      <c r="AU491" s="47"/>
      <c r="AV491" s="47"/>
      <c r="AW491" s="47"/>
      <c r="AX491" s="47"/>
      <c r="AY491" s="47"/>
      <c r="AZ491" s="47"/>
      <c r="BA491" s="47"/>
      <c r="BB491" s="47"/>
      <c r="BC491" s="47"/>
      <c r="BD491" s="47"/>
      <c r="BE491" s="47"/>
      <c r="BF491" s="47"/>
      <c r="BG491" s="47"/>
      <c r="BH491" s="47"/>
      <c r="BI491" s="47"/>
      <c r="BJ491" s="47"/>
      <c r="BK491" s="47"/>
    </row>
    <row r="492" spans="1:63" ht="28.5" customHeight="1">
      <c r="A492" s="1"/>
      <c r="B492" s="253"/>
      <c r="C492" s="151">
        <v>45947</v>
      </c>
      <c r="D492" s="45" t="e">
        <f t="shared" si="613"/>
        <v>#REF!</v>
      </c>
      <c r="E492" s="28" t="e">
        <f t="shared" si="614"/>
        <v>#REF!</v>
      </c>
      <c r="F492" s="30">
        <f t="shared" si="615"/>
        <v>0.27993073745375313</v>
      </c>
      <c r="G492" s="128">
        <f>O340</f>
        <v>323</v>
      </c>
      <c r="H492" s="128">
        <f>Q340</f>
        <v>34</v>
      </c>
      <c r="I492" s="128">
        <f t="shared" ref="I492:K492" si="649">S340</f>
        <v>0</v>
      </c>
      <c r="J492" s="31">
        <f t="shared" si="649"/>
        <v>8811400</v>
      </c>
      <c r="K492" s="31">
        <f t="shared" si="649"/>
        <v>0</v>
      </c>
      <c r="L492" s="34">
        <f t="shared" si="617"/>
        <v>8811400</v>
      </c>
      <c r="M492" s="31" t="e">
        <f>Y340</f>
        <v>#REF!</v>
      </c>
      <c r="N492" s="34">
        <f t="shared" si="618"/>
        <v>2466581.7000000002</v>
      </c>
      <c r="O492" s="128">
        <v>2242347</v>
      </c>
      <c r="P492" s="31">
        <f>AB340</f>
        <v>0</v>
      </c>
      <c r="Q492" s="150">
        <v>0.09</v>
      </c>
      <c r="R492" s="31"/>
      <c r="S492" s="31"/>
      <c r="T492" s="31"/>
      <c r="U492" s="31">
        <f>AE340</f>
        <v>1018725</v>
      </c>
      <c r="V492" s="28">
        <f t="shared" si="619"/>
        <v>0.20561443130490048</v>
      </c>
      <c r="W492" s="34">
        <f t="shared" ref="W492:X492" si="650">AG340</f>
        <v>1855096.6200000003</v>
      </c>
      <c r="X492" s="34" t="e">
        <f t="shared" si="650"/>
        <v>#REF!</v>
      </c>
      <c r="Y492" s="34" t="e">
        <f t="shared" si="621"/>
        <v>#REF!</v>
      </c>
      <c r="Z492" s="254" t="e">
        <f t="shared" si="622"/>
        <v>#REF!</v>
      </c>
      <c r="AA492" s="1"/>
      <c r="AB492" s="1"/>
      <c r="AC492" s="1"/>
      <c r="AD492" s="1"/>
      <c r="AE492" s="1"/>
      <c r="AF492" s="1"/>
      <c r="AG492" s="1"/>
      <c r="AH492" s="1"/>
      <c r="AI492" s="1"/>
      <c r="AJ492" s="1"/>
      <c r="AK492" s="1"/>
      <c r="AL492" s="1"/>
      <c r="AM492" s="1"/>
      <c r="AN492" s="1"/>
      <c r="AO492" s="1"/>
      <c r="AP492" s="1"/>
      <c r="AQ492" s="1"/>
      <c r="AR492" s="1"/>
      <c r="AS492" s="1"/>
      <c r="AT492" s="47"/>
      <c r="AU492" s="47"/>
      <c r="AV492" s="47"/>
      <c r="AW492" s="47"/>
      <c r="AX492" s="47"/>
      <c r="AY492" s="47"/>
      <c r="AZ492" s="47"/>
      <c r="BA492" s="47"/>
      <c r="BB492" s="47"/>
      <c r="BC492" s="47"/>
      <c r="BD492" s="47"/>
      <c r="BE492" s="47"/>
      <c r="BF492" s="47"/>
      <c r="BG492" s="47"/>
      <c r="BH492" s="47"/>
      <c r="BI492" s="47"/>
      <c r="BJ492" s="47"/>
      <c r="BK492" s="47"/>
    </row>
    <row r="493" spans="1:63" ht="28.5" customHeight="1">
      <c r="A493" s="1"/>
      <c r="B493" s="253"/>
      <c r="C493" s="151">
        <v>45948</v>
      </c>
      <c r="D493" s="45" t="e">
        <f t="shared" si="613"/>
        <v>#REF!</v>
      </c>
      <c r="E493" s="28" t="e">
        <f t="shared" si="614"/>
        <v>#REF!</v>
      </c>
      <c r="F493" s="30">
        <f t="shared" si="615"/>
        <v>0.27075874136782474</v>
      </c>
      <c r="G493" s="128">
        <f>O360</f>
        <v>399</v>
      </c>
      <c r="H493" s="128">
        <f>Q360</f>
        <v>26</v>
      </c>
      <c r="I493" s="128">
        <f t="shared" ref="I493:K493" si="651">S360</f>
        <v>0</v>
      </c>
      <c r="J493" s="31">
        <f t="shared" si="651"/>
        <v>10898180</v>
      </c>
      <c r="K493" s="31">
        <f t="shared" si="651"/>
        <v>0</v>
      </c>
      <c r="L493" s="34">
        <f t="shared" si="617"/>
        <v>10898180</v>
      </c>
      <c r="M493" s="31" t="e">
        <f>Y360</f>
        <v>#REF!</v>
      </c>
      <c r="N493" s="34">
        <f t="shared" si="618"/>
        <v>2950777.5000000005</v>
      </c>
      <c r="O493" s="128">
        <v>2682525</v>
      </c>
      <c r="P493" s="31">
        <f>AB360</f>
        <v>0</v>
      </c>
      <c r="Q493" s="150">
        <v>0.09</v>
      </c>
      <c r="R493" s="31"/>
      <c r="S493" s="31"/>
      <c r="T493" s="31"/>
      <c r="U493" s="31">
        <f>AE360</f>
        <v>1252525</v>
      </c>
      <c r="V493" s="28">
        <f t="shared" si="619"/>
        <v>0.2049297405621856</v>
      </c>
      <c r="W493" s="34">
        <f t="shared" ref="W493:X493" si="652">AG360</f>
        <v>2304659.36</v>
      </c>
      <c r="X493" s="34" t="e">
        <f t="shared" si="652"/>
        <v>#REF!</v>
      </c>
      <c r="Y493" s="34" t="e">
        <f t="shared" si="621"/>
        <v>#REF!</v>
      </c>
      <c r="Z493" s="254" t="e">
        <f t="shared" si="622"/>
        <v>#REF!</v>
      </c>
      <c r="AA493" s="1"/>
      <c r="AB493" s="1"/>
      <c r="AC493" s="1"/>
      <c r="AD493" s="1"/>
      <c r="AE493" s="1"/>
      <c r="AF493" s="1"/>
      <c r="AG493" s="1"/>
      <c r="AH493" s="1"/>
      <c r="AI493" s="1"/>
      <c r="AJ493" s="1"/>
      <c r="AK493" s="1"/>
      <c r="AL493" s="1"/>
      <c r="AM493" s="1"/>
      <c r="AN493" s="1"/>
      <c r="AO493" s="1"/>
      <c r="AP493" s="1"/>
      <c r="AQ493" s="1"/>
      <c r="AR493" s="1"/>
      <c r="AS493" s="1"/>
      <c r="AT493" s="47"/>
      <c r="AU493" s="47"/>
      <c r="AV493" s="47"/>
      <c r="AW493" s="47"/>
      <c r="AX493" s="47"/>
      <c r="AY493" s="47"/>
      <c r="AZ493" s="47"/>
      <c r="BA493" s="47"/>
      <c r="BB493" s="47"/>
      <c r="BC493" s="47"/>
      <c r="BD493" s="47"/>
      <c r="BE493" s="47"/>
      <c r="BF493" s="47"/>
      <c r="BG493" s="47"/>
      <c r="BH493" s="47"/>
      <c r="BI493" s="47"/>
      <c r="BJ493" s="47"/>
      <c r="BK493" s="47"/>
    </row>
    <row r="494" spans="1:63" ht="28.5" customHeight="1">
      <c r="A494" s="1"/>
      <c r="B494" s="253"/>
      <c r="C494" s="151">
        <v>45949</v>
      </c>
      <c r="D494" s="45" t="e">
        <f t="shared" si="613"/>
        <v>#REF!</v>
      </c>
      <c r="E494" s="28" t="e">
        <f t="shared" si="614"/>
        <v>#REF!</v>
      </c>
      <c r="F494" s="30">
        <f t="shared" si="615"/>
        <v>0.2998892651404888</v>
      </c>
      <c r="G494" s="128">
        <f>O380</f>
        <v>340</v>
      </c>
      <c r="H494" s="128">
        <f>Q380</f>
        <v>42</v>
      </c>
      <c r="I494" s="128">
        <f t="shared" ref="I494:K494" si="653">S380</f>
        <v>0</v>
      </c>
      <c r="J494" s="31">
        <f t="shared" si="653"/>
        <v>9467660</v>
      </c>
      <c r="K494" s="31">
        <f t="shared" si="653"/>
        <v>0</v>
      </c>
      <c r="L494" s="34">
        <f t="shared" si="617"/>
        <v>9467660</v>
      </c>
      <c r="M494" s="31" t="e">
        <f>Y380</f>
        <v>#REF!</v>
      </c>
      <c r="N494" s="34">
        <f t="shared" si="618"/>
        <v>2839249.6</v>
      </c>
      <c r="O494" s="128">
        <v>2581136</v>
      </c>
      <c r="P494" s="31">
        <f>AB380</f>
        <v>0</v>
      </c>
      <c r="Q494" s="150">
        <v>0.09</v>
      </c>
      <c r="R494" s="31"/>
      <c r="S494" s="31"/>
      <c r="T494" s="31"/>
      <c r="U494" s="31">
        <f>AE380</f>
        <v>1058725</v>
      </c>
      <c r="V494" s="28">
        <f t="shared" si="619"/>
        <v>0.20182541409387325</v>
      </c>
      <c r="W494" s="34">
        <f t="shared" ref="W494:X494" si="654">AG380</f>
        <v>1981314.6</v>
      </c>
      <c r="X494" s="34" t="e">
        <f t="shared" si="654"/>
        <v>#REF!</v>
      </c>
      <c r="Y494" s="34" t="e">
        <f t="shared" si="621"/>
        <v>#REF!</v>
      </c>
      <c r="Z494" s="254" t="e">
        <f t="shared" si="622"/>
        <v>#REF!</v>
      </c>
      <c r="AA494" s="1"/>
      <c r="AB494" s="1"/>
      <c r="AC494" s="1"/>
      <c r="AD494" s="1"/>
      <c r="AE494" s="1"/>
      <c r="AF494" s="1"/>
      <c r="AG494" s="1"/>
      <c r="AH494" s="1"/>
      <c r="AI494" s="1"/>
      <c r="AJ494" s="1"/>
      <c r="AK494" s="1"/>
      <c r="AL494" s="1"/>
      <c r="AM494" s="1"/>
      <c r="AN494" s="1"/>
      <c r="AO494" s="1"/>
      <c r="AP494" s="1"/>
      <c r="AQ494" s="1"/>
      <c r="AR494" s="1"/>
      <c r="AS494" s="1"/>
      <c r="AT494" s="47"/>
      <c r="AU494" s="47"/>
      <c r="AV494" s="47"/>
      <c r="AW494" s="47"/>
      <c r="AX494" s="47"/>
      <c r="AY494" s="47"/>
      <c r="AZ494" s="47"/>
      <c r="BA494" s="47"/>
      <c r="BB494" s="47"/>
      <c r="BC494" s="47"/>
      <c r="BD494" s="47"/>
      <c r="BE494" s="47"/>
      <c r="BF494" s="47"/>
      <c r="BG494" s="47"/>
      <c r="BH494" s="47"/>
      <c r="BI494" s="47"/>
      <c r="BJ494" s="47"/>
      <c r="BK494" s="47"/>
    </row>
    <row r="495" spans="1:63" ht="28.5" customHeight="1">
      <c r="A495" s="1"/>
      <c r="B495" s="253"/>
      <c r="C495" s="151">
        <v>45950</v>
      </c>
      <c r="D495" s="45" t="e">
        <f t="shared" si="613"/>
        <v>#REF!</v>
      </c>
      <c r="E495" s="28" t="e">
        <f t="shared" si="614"/>
        <v>#REF!</v>
      </c>
      <c r="F495" s="30">
        <f t="shared" si="615"/>
        <v>0.26899289209306021</v>
      </c>
      <c r="G495" s="128">
        <f>O400</f>
        <v>331</v>
      </c>
      <c r="H495" s="128">
        <f>Q400</f>
        <v>52</v>
      </c>
      <c r="I495" s="128">
        <f t="shared" ref="I495:K495" si="655">S400</f>
        <v>4</v>
      </c>
      <c r="J495" s="31">
        <f t="shared" si="655"/>
        <v>9105560</v>
      </c>
      <c r="K495" s="31">
        <f t="shared" si="655"/>
        <v>39600</v>
      </c>
      <c r="L495" s="34">
        <f t="shared" si="617"/>
        <v>9065960</v>
      </c>
      <c r="M495" s="31" t="e">
        <f>Y400</f>
        <v>#REF!</v>
      </c>
      <c r="N495" s="34">
        <f t="shared" si="618"/>
        <v>2418160.8000000003</v>
      </c>
      <c r="O495" s="128">
        <v>2198328</v>
      </c>
      <c r="P495" s="31">
        <f>AB400</f>
        <v>20518</v>
      </c>
      <c r="Q495" s="150">
        <v>0.09</v>
      </c>
      <c r="R495" s="31"/>
      <c r="S495" s="31"/>
      <c r="T495" s="31"/>
      <c r="U495" s="31">
        <f>AE400</f>
        <v>1052450</v>
      </c>
      <c r="V495" s="28">
        <f t="shared" si="619"/>
        <v>0.20608809216012425</v>
      </c>
      <c r="W495" s="34">
        <f t="shared" ref="W495:X495" si="656">AG400</f>
        <v>1919195.6699999997</v>
      </c>
      <c r="X495" s="34" t="e">
        <f t="shared" si="656"/>
        <v>#REF!</v>
      </c>
      <c r="Y495" s="34" t="e">
        <f t="shared" si="621"/>
        <v>#REF!</v>
      </c>
      <c r="Z495" s="254" t="e">
        <f t="shared" si="622"/>
        <v>#REF!</v>
      </c>
      <c r="AA495" s="1"/>
      <c r="AB495" s="1"/>
      <c r="AC495" s="1"/>
      <c r="AD495" s="1"/>
      <c r="AE495" s="1"/>
      <c r="AF495" s="1"/>
      <c r="AG495" s="1"/>
      <c r="AH495" s="1"/>
      <c r="AI495" s="1"/>
      <c r="AJ495" s="1"/>
      <c r="AK495" s="1"/>
      <c r="AL495" s="1"/>
      <c r="AM495" s="1"/>
      <c r="AN495" s="1"/>
      <c r="AO495" s="1"/>
      <c r="AP495" s="1"/>
      <c r="AQ495" s="1"/>
      <c r="AR495" s="1"/>
      <c r="AS495" s="1"/>
      <c r="AT495" s="47"/>
      <c r="AU495" s="47"/>
      <c r="AV495" s="47"/>
      <c r="AW495" s="47"/>
      <c r="AX495" s="47"/>
      <c r="AY495" s="47"/>
      <c r="AZ495" s="47"/>
      <c r="BA495" s="47"/>
      <c r="BB495" s="47"/>
      <c r="BC495" s="47"/>
      <c r="BD495" s="47"/>
      <c r="BE495" s="47"/>
      <c r="BF495" s="47"/>
      <c r="BG495" s="47"/>
      <c r="BH495" s="47"/>
      <c r="BI495" s="47"/>
      <c r="BJ495" s="47"/>
      <c r="BK495" s="47"/>
    </row>
    <row r="496" spans="1:63" ht="28.5" customHeight="1">
      <c r="A496" s="1"/>
      <c r="B496" s="253"/>
      <c r="C496" s="151">
        <v>45951</v>
      </c>
      <c r="D496" s="45" t="e">
        <f t="shared" si="613"/>
        <v>#REF!</v>
      </c>
      <c r="E496" s="28" t="e">
        <f t="shared" si="614"/>
        <v>#REF!</v>
      </c>
      <c r="F496" s="30">
        <f t="shared" si="615"/>
        <v>0.27193073421575936</v>
      </c>
      <c r="G496" s="128">
        <f>O420</f>
        <v>283</v>
      </c>
      <c r="H496" s="128">
        <f>Q420</f>
        <v>43</v>
      </c>
      <c r="I496" s="128">
        <f t="shared" ref="I496:K496" si="657">S420</f>
        <v>4</v>
      </c>
      <c r="J496" s="31">
        <f t="shared" si="657"/>
        <v>7763760</v>
      </c>
      <c r="K496" s="31">
        <f t="shared" si="657"/>
        <v>39600</v>
      </c>
      <c r="L496" s="34">
        <f t="shared" si="617"/>
        <v>7724160</v>
      </c>
      <c r="M496" s="31" t="e">
        <f>Y420</f>
        <v>#REF!</v>
      </c>
      <c r="N496" s="34">
        <f t="shared" si="618"/>
        <v>2079467.5000000002</v>
      </c>
      <c r="O496" s="128">
        <v>1890425</v>
      </c>
      <c r="P496" s="31">
        <f>AB420</f>
        <v>20969</v>
      </c>
      <c r="Q496" s="150">
        <v>0.09</v>
      </c>
      <c r="R496" s="31"/>
      <c r="S496" s="31"/>
      <c r="T496" s="31"/>
      <c r="U496" s="31">
        <f>AE420</f>
        <v>895650</v>
      </c>
      <c r="V496" s="28">
        <f t="shared" si="619"/>
        <v>0.20595435620183944</v>
      </c>
      <c r="W496" s="34">
        <f t="shared" ref="W496:X496" si="658">AG420</f>
        <v>1641944.2300000002</v>
      </c>
      <c r="X496" s="34" t="e">
        <f t="shared" si="658"/>
        <v>#REF!</v>
      </c>
      <c r="Y496" s="34" t="e">
        <f t="shared" si="621"/>
        <v>#REF!</v>
      </c>
      <c r="Z496" s="254" t="e">
        <f t="shared" si="622"/>
        <v>#REF!</v>
      </c>
      <c r="AA496" s="1"/>
      <c r="AB496" s="1"/>
      <c r="AC496" s="1"/>
      <c r="AD496" s="1"/>
      <c r="AE496" s="1"/>
      <c r="AF496" s="1"/>
      <c r="AG496" s="1"/>
      <c r="AH496" s="1"/>
      <c r="AI496" s="1"/>
      <c r="AJ496" s="1"/>
      <c r="AK496" s="1"/>
      <c r="AL496" s="1"/>
      <c r="AM496" s="1"/>
      <c r="AN496" s="1"/>
      <c r="AO496" s="1"/>
      <c r="AP496" s="1"/>
      <c r="AQ496" s="1"/>
      <c r="AR496" s="1"/>
      <c r="AS496" s="1"/>
      <c r="AT496" s="47"/>
      <c r="AU496" s="47"/>
      <c r="AV496" s="47"/>
      <c r="AW496" s="47"/>
      <c r="AX496" s="47"/>
      <c r="AY496" s="47"/>
      <c r="AZ496" s="47"/>
      <c r="BA496" s="47"/>
      <c r="BB496" s="47"/>
      <c r="BC496" s="47"/>
      <c r="BD496" s="47"/>
      <c r="BE496" s="47"/>
      <c r="BF496" s="47"/>
      <c r="BG496" s="47"/>
      <c r="BH496" s="47"/>
      <c r="BI496" s="47"/>
      <c r="BJ496" s="47"/>
      <c r="BK496" s="47"/>
    </row>
    <row r="497" spans="1:64" ht="28.5" customHeight="1">
      <c r="A497" s="1"/>
      <c r="B497" s="255"/>
      <c r="C497" s="151">
        <v>45952</v>
      </c>
      <c r="D497" s="45" t="e">
        <f t="shared" si="613"/>
        <v>#REF!</v>
      </c>
      <c r="E497" s="28" t="e">
        <f t="shared" si="614"/>
        <v>#REF!</v>
      </c>
      <c r="F497" s="30">
        <f t="shared" si="615"/>
        <v>0.25809984523491353</v>
      </c>
      <c r="G497" s="128">
        <f>O440</f>
        <v>291</v>
      </c>
      <c r="H497" s="128">
        <f>Q440</f>
        <v>43</v>
      </c>
      <c r="I497" s="128">
        <f t="shared" ref="I497:K497" si="659">S440</f>
        <v>9</v>
      </c>
      <c r="J497" s="31">
        <f t="shared" si="659"/>
        <v>8283610</v>
      </c>
      <c r="K497" s="31">
        <f t="shared" si="659"/>
        <v>239160</v>
      </c>
      <c r="L497" s="34">
        <f t="shared" si="617"/>
        <v>8044450</v>
      </c>
      <c r="M497" s="31" t="e">
        <f>Y440</f>
        <v>#REF!</v>
      </c>
      <c r="N497" s="34">
        <f t="shared" si="618"/>
        <v>1988682.3</v>
      </c>
      <c r="O497" s="128">
        <v>1807893</v>
      </c>
      <c r="P497" s="31">
        <f>AB440</f>
        <v>87589</v>
      </c>
      <c r="Q497" s="150">
        <v>0.09</v>
      </c>
      <c r="R497" s="31"/>
      <c r="S497" s="31"/>
      <c r="T497" s="31"/>
      <c r="U497" s="31">
        <f>AE440</f>
        <v>905050</v>
      </c>
      <c r="V497" s="28">
        <f t="shared" si="619"/>
        <v>0.2025061377720043</v>
      </c>
      <c r="W497" s="34">
        <f t="shared" ref="W497:X497" si="660">AG440</f>
        <v>1685845.0600000003</v>
      </c>
      <c r="X497" s="34" t="e">
        <f t="shared" si="660"/>
        <v>#REF!</v>
      </c>
      <c r="Y497" s="34" t="e">
        <f t="shared" si="621"/>
        <v>#REF!</v>
      </c>
      <c r="Z497" s="254" t="e">
        <f t="shared" si="622"/>
        <v>#REF!</v>
      </c>
      <c r="AA497" s="1"/>
      <c r="AB497" s="1"/>
      <c r="AC497" s="1"/>
      <c r="AD497" s="1"/>
      <c r="AE497" s="1"/>
      <c r="AF497" s="1"/>
      <c r="AG497" s="1"/>
      <c r="AH497" s="1"/>
      <c r="AI497" s="1"/>
      <c r="AJ497" s="1"/>
      <c r="AK497" s="1"/>
      <c r="AL497" s="1"/>
      <c r="AM497" s="1"/>
      <c r="AN497" s="1"/>
      <c r="AO497" s="1"/>
      <c r="AP497" s="1"/>
      <c r="AQ497" s="1"/>
      <c r="AR497" s="1"/>
      <c r="AS497" s="1"/>
      <c r="AT497" s="47"/>
      <c r="AU497" s="47"/>
      <c r="AV497" s="47"/>
      <c r="AW497" s="47"/>
      <c r="AX497" s="47"/>
      <c r="AY497" s="47"/>
      <c r="AZ497" s="47"/>
      <c r="BA497" s="47"/>
      <c r="BB497" s="47"/>
      <c r="BC497" s="47"/>
      <c r="BD497" s="47"/>
      <c r="BE497" s="47"/>
      <c r="BF497" s="47"/>
      <c r="BG497" s="47"/>
      <c r="BH497" s="47"/>
      <c r="BI497" s="47"/>
      <c r="BJ497" s="47"/>
      <c r="BK497" s="47"/>
    </row>
    <row r="498" spans="1:64" ht="28.5" customHeight="1">
      <c r="A498" s="1"/>
      <c r="B498" s="253"/>
      <c r="C498" s="151">
        <v>45953</v>
      </c>
      <c r="D498" s="45" t="e">
        <f t="shared" si="613"/>
        <v>#REF!</v>
      </c>
      <c r="E498" s="28" t="e">
        <f t="shared" si="614"/>
        <v>#REF!</v>
      </c>
      <c r="F498" s="30">
        <f t="shared" si="615"/>
        <v>0.23260928295792416</v>
      </c>
      <c r="G498" s="128">
        <f>O460</f>
        <v>283</v>
      </c>
      <c r="H498" s="128">
        <f>Q460</f>
        <v>46</v>
      </c>
      <c r="I498" s="128">
        <f t="shared" ref="I498:K498" si="661">S460</f>
        <v>3</v>
      </c>
      <c r="J498" s="31">
        <f t="shared" si="661"/>
        <v>8136270</v>
      </c>
      <c r="K498" s="31">
        <f t="shared" si="661"/>
        <v>74400</v>
      </c>
      <c r="L498" s="34">
        <f t="shared" si="617"/>
        <v>8061870</v>
      </c>
      <c r="M498" s="31" t="e">
        <f>Y460</f>
        <v>#REF!</v>
      </c>
      <c r="N498" s="34">
        <f t="shared" si="618"/>
        <v>1809987.3</v>
      </c>
      <c r="O498" s="128">
        <v>1645443</v>
      </c>
      <c r="P498" s="31">
        <f>AB460</f>
        <v>65278.5</v>
      </c>
      <c r="Q498" s="150">
        <v>0.09</v>
      </c>
      <c r="R498" s="31"/>
      <c r="S498" s="31"/>
      <c r="T498" s="31"/>
      <c r="U498" s="31">
        <f>AE460</f>
        <v>906675</v>
      </c>
      <c r="V498" s="28">
        <f t="shared" si="619"/>
        <v>0.20246460188517057</v>
      </c>
      <c r="W498" s="34">
        <f t="shared" ref="W498:X498" si="662">AG460</f>
        <v>1676162.2799999998</v>
      </c>
      <c r="X498" s="34" t="e">
        <f t="shared" si="662"/>
        <v>#REF!</v>
      </c>
      <c r="Y498" s="34" t="e">
        <f t="shared" si="621"/>
        <v>#REF!</v>
      </c>
      <c r="Z498" s="254" t="e">
        <f t="shared" si="622"/>
        <v>#REF!</v>
      </c>
      <c r="AA498" s="1"/>
      <c r="AB498" s="1"/>
      <c r="AC498" s="1"/>
      <c r="AD498" s="1"/>
      <c r="AE498" s="1"/>
      <c r="AF498" s="1"/>
      <c r="AG498" s="1"/>
      <c r="AH498" s="1"/>
      <c r="AI498" s="1"/>
      <c r="AJ498" s="1"/>
      <c r="AK498" s="1"/>
      <c r="AL498" s="1"/>
      <c r="AM498" s="1"/>
      <c r="AN498" s="1"/>
      <c r="AO498" s="1"/>
      <c r="AP498" s="1"/>
      <c r="AQ498" s="1"/>
      <c r="AR498" s="1"/>
      <c r="AS498" s="1"/>
      <c r="AT498" s="47"/>
      <c r="AU498" s="47"/>
      <c r="AV498" s="47"/>
      <c r="AW498" s="47"/>
      <c r="AX498" s="47"/>
      <c r="AY498" s="47"/>
      <c r="AZ498" s="47"/>
      <c r="BA498" s="47"/>
      <c r="BB498" s="47"/>
      <c r="BC498" s="47"/>
      <c r="BD498" s="47"/>
      <c r="BE498" s="47"/>
      <c r="BF498" s="47"/>
      <c r="BG498" s="47"/>
      <c r="BH498" s="47"/>
      <c r="BI498" s="47"/>
      <c r="BJ498" s="47"/>
      <c r="BK498" s="47"/>
    </row>
    <row r="499" spans="1:64" ht="28.5" customHeight="1">
      <c r="A499" s="1"/>
      <c r="B499" s="253"/>
      <c r="C499" s="151">
        <v>45954</v>
      </c>
      <c r="D499" s="45" t="e">
        <f t="shared" si="613"/>
        <v>#DIV/0!</v>
      </c>
      <c r="E499" s="28" t="e">
        <f t="shared" si="614"/>
        <v>#DIV/0!</v>
      </c>
      <c r="F499" s="30" t="e">
        <f t="shared" si="615"/>
        <v>#DIV/0!</v>
      </c>
      <c r="G499" s="128"/>
      <c r="H499" s="128"/>
      <c r="I499" s="128"/>
      <c r="J499" s="128"/>
      <c r="K499" s="128"/>
      <c r="L499" s="34">
        <f t="shared" si="617"/>
        <v>0</v>
      </c>
      <c r="M499" s="128"/>
      <c r="N499" s="34">
        <f t="shared" si="618"/>
        <v>0</v>
      </c>
      <c r="O499" s="128"/>
      <c r="P499" s="128"/>
      <c r="Q499" s="150">
        <v>0.09</v>
      </c>
      <c r="R499" s="31"/>
      <c r="S499" s="31"/>
      <c r="T499" s="31"/>
      <c r="U499" s="128"/>
      <c r="V499" s="28" t="e">
        <f t="shared" si="619"/>
        <v>#DIV/0!</v>
      </c>
      <c r="W499" s="128"/>
      <c r="X499" s="128"/>
      <c r="Y499" s="34">
        <f t="shared" si="621"/>
        <v>0</v>
      </c>
      <c r="Z499" s="254">
        <f t="shared" si="622"/>
        <v>0</v>
      </c>
      <c r="AA499" s="1"/>
      <c r="AB499" s="1"/>
      <c r="AC499" s="1"/>
      <c r="AD499" s="1"/>
      <c r="AE499" s="1"/>
      <c r="AF499" s="1"/>
      <c r="AG499" s="1"/>
      <c r="AH499" s="1"/>
      <c r="AI499" s="1"/>
      <c r="AJ499" s="1"/>
      <c r="AK499" s="1"/>
      <c r="AL499" s="1"/>
      <c r="AM499" s="1"/>
      <c r="AN499" s="1"/>
      <c r="AO499" s="1"/>
      <c r="AP499" s="1"/>
      <c r="AQ499" s="1"/>
      <c r="AR499" s="1"/>
      <c r="AS499" s="1"/>
      <c r="AT499" s="47"/>
      <c r="AU499" s="47"/>
      <c r="AV499" s="47"/>
      <c r="AW499" s="47"/>
      <c r="AX499" s="47"/>
      <c r="AY499" s="47"/>
      <c r="AZ499" s="47"/>
      <c r="BA499" s="47"/>
      <c r="BB499" s="47"/>
      <c r="BC499" s="47"/>
      <c r="BD499" s="47"/>
      <c r="BE499" s="47"/>
      <c r="BF499" s="47"/>
      <c r="BG499" s="47"/>
      <c r="BH499" s="47"/>
      <c r="BI499" s="47"/>
      <c r="BJ499" s="47"/>
      <c r="BK499" s="47"/>
    </row>
    <row r="500" spans="1:64" ht="28.5" customHeight="1">
      <c r="A500" s="1"/>
      <c r="B500" s="253"/>
      <c r="C500" s="151">
        <v>45955</v>
      </c>
      <c r="D500" s="45" t="e">
        <f t="shared" si="613"/>
        <v>#DIV/0!</v>
      </c>
      <c r="E500" s="28" t="e">
        <f t="shared" si="614"/>
        <v>#DIV/0!</v>
      </c>
      <c r="F500" s="30" t="e">
        <f t="shared" si="615"/>
        <v>#DIV/0!</v>
      </c>
      <c r="G500" s="128"/>
      <c r="H500" s="128"/>
      <c r="I500" s="128"/>
      <c r="J500" s="128"/>
      <c r="K500" s="128"/>
      <c r="L500" s="34">
        <f t="shared" si="617"/>
        <v>0</v>
      </c>
      <c r="M500" s="128"/>
      <c r="N500" s="34">
        <f t="shared" si="618"/>
        <v>0</v>
      </c>
      <c r="O500" s="128"/>
      <c r="P500" s="128"/>
      <c r="Q500" s="150">
        <v>0.09</v>
      </c>
      <c r="R500" s="31"/>
      <c r="S500" s="31"/>
      <c r="T500" s="31"/>
      <c r="U500" s="128"/>
      <c r="V500" s="28" t="e">
        <f t="shared" si="619"/>
        <v>#DIV/0!</v>
      </c>
      <c r="W500" s="128"/>
      <c r="X500" s="128"/>
      <c r="Y500" s="34">
        <f t="shared" si="621"/>
        <v>0</v>
      </c>
      <c r="Z500" s="254">
        <f t="shared" si="622"/>
        <v>0</v>
      </c>
      <c r="AA500" s="1"/>
      <c r="AB500" s="1"/>
      <c r="AC500" s="1"/>
      <c r="AD500" s="1"/>
      <c r="AE500" s="1"/>
      <c r="AF500" s="1"/>
      <c r="AG500" s="1"/>
      <c r="AH500" s="1"/>
      <c r="AI500" s="1"/>
      <c r="AJ500" s="1"/>
      <c r="AK500" s="1"/>
      <c r="AL500" s="1"/>
      <c r="AM500" s="1"/>
      <c r="AN500" s="1"/>
      <c r="AO500" s="1"/>
      <c r="AP500" s="1"/>
      <c r="AQ500" s="1"/>
      <c r="AR500" s="1"/>
      <c r="AS500" s="1"/>
      <c r="AT500" s="47"/>
      <c r="AU500" s="47"/>
      <c r="AV500" s="47"/>
      <c r="AW500" s="47"/>
      <c r="AX500" s="47"/>
      <c r="AY500" s="47"/>
      <c r="AZ500" s="47"/>
      <c r="BA500" s="47"/>
      <c r="BB500" s="47"/>
      <c r="BC500" s="47"/>
      <c r="BD500" s="47"/>
      <c r="BE500" s="47"/>
      <c r="BF500" s="47"/>
      <c r="BG500" s="47"/>
      <c r="BH500" s="47"/>
      <c r="BI500" s="47"/>
      <c r="BJ500" s="47"/>
      <c r="BK500" s="47"/>
    </row>
    <row r="501" spans="1:64" ht="28.5" customHeight="1">
      <c r="A501" s="1"/>
      <c r="B501" s="253"/>
      <c r="C501" s="151">
        <v>45956</v>
      </c>
      <c r="D501" s="45" t="e">
        <f t="shared" si="613"/>
        <v>#DIV/0!</v>
      </c>
      <c r="E501" s="28" t="e">
        <f t="shared" si="614"/>
        <v>#DIV/0!</v>
      </c>
      <c r="F501" s="30" t="e">
        <f t="shared" si="615"/>
        <v>#DIV/0!</v>
      </c>
      <c r="G501" s="31"/>
      <c r="H501" s="31"/>
      <c r="I501" s="31"/>
      <c r="J501" s="31"/>
      <c r="K501" s="31"/>
      <c r="L501" s="34">
        <f t="shared" si="617"/>
        <v>0</v>
      </c>
      <c r="M501" s="31"/>
      <c r="N501" s="34">
        <f t="shared" si="618"/>
        <v>0</v>
      </c>
      <c r="O501" s="31"/>
      <c r="P501" s="31"/>
      <c r="Q501" s="150">
        <v>0.09</v>
      </c>
      <c r="R501" s="31"/>
      <c r="S501" s="31"/>
      <c r="T501" s="31"/>
      <c r="U501" s="31"/>
      <c r="V501" s="28" t="e">
        <f t="shared" si="619"/>
        <v>#DIV/0!</v>
      </c>
      <c r="W501" s="31"/>
      <c r="X501" s="31"/>
      <c r="Y501" s="34">
        <f t="shared" si="621"/>
        <v>0</v>
      </c>
      <c r="Z501" s="254">
        <f t="shared" si="622"/>
        <v>0</v>
      </c>
      <c r="AA501" s="1"/>
      <c r="AB501" s="1"/>
      <c r="AC501" s="1"/>
      <c r="AD501" s="1"/>
      <c r="AE501" s="1"/>
      <c r="AF501" s="1"/>
      <c r="AG501" s="1"/>
      <c r="AH501" s="1"/>
      <c r="AI501" s="1"/>
      <c r="AJ501" s="1"/>
      <c r="AK501" s="1"/>
      <c r="AL501" s="1"/>
      <c r="AM501" s="1"/>
      <c r="AN501" s="1"/>
      <c r="AO501" s="1"/>
      <c r="AP501" s="1"/>
      <c r="AQ501" s="1"/>
      <c r="AR501" s="1"/>
      <c r="AS501" s="1"/>
      <c r="AT501" s="47"/>
      <c r="AU501" s="47"/>
      <c r="AV501" s="47"/>
      <c r="AW501" s="47"/>
      <c r="AX501" s="47"/>
      <c r="AY501" s="47"/>
      <c r="AZ501" s="47"/>
      <c r="BA501" s="47"/>
      <c r="BB501" s="47"/>
      <c r="BC501" s="47"/>
      <c r="BD501" s="47"/>
      <c r="BE501" s="47"/>
      <c r="BF501" s="47"/>
      <c r="BG501" s="47"/>
      <c r="BH501" s="47"/>
      <c r="BI501" s="47"/>
      <c r="BJ501" s="47"/>
      <c r="BK501" s="47"/>
    </row>
    <row r="502" spans="1:64" ht="28.5" customHeight="1">
      <c r="A502" s="1"/>
      <c r="B502" s="253"/>
      <c r="C502" s="151">
        <v>45957</v>
      </c>
      <c r="D502" s="45" t="e">
        <f t="shared" si="613"/>
        <v>#DIV/0!</v>
      </c>
      <c r="E502" s="28" t="e">
        <f t="shared" si="614"/>
        <v>#DIV/0!</v>
      </c>
      <c r="F502" s="30" t="e">
        <f t="shared" si="615"/>
        <v>#DIV/0!</v>
      </c>
      <c r="G502" s="31"/>
      <c r="H502" s="31"/>
      <c r="I502" s="31"/>
      <c r="J502" s="31"/>
      <c r="K502" s="31"/>
      <c r="L502" s="34">
        <f t="shared" si="617"/>
        <v>0</v>
      </c>
      <c r="M502" s="31"/>
      <c r="N502" s="34">
        <f t="shared" si="618"/>
        <v>0</v>
      </c>
      <c r="O502" s="31"/>
      <c r="P502" s="31"/>
      <c r="Q502" s="150">
        <v>0.09</v>
      </c>
      <c r="R502" s="31"/>
      <c r="S502" s="31"/>
      <c r="T502" s="31"/>
      <c r="U502" s="31"/>
      <c r="V502" s="28" t="e">
        <f t="shared" si="619"/>
        <v>#DIV/0!</v>
      </c>
      <c r="W502" s="31"/>
      <c r="X502" s="31"/>
      <c r="Y502" s="34">
        <f t="shared" si="621"/>
        <v>0</v>
      </c>
      <c r="Z502" s="254">
        <f t="shared" si="622"/>
        <v>0</v>
      </c>
      <c r="AA502" s="1"/>
      <c r="AB502" s="1"/>
      <c r="AC502" s="1"/>
      <c r="AD502" s="1"/>
      <c r="AE502" s="1"/>
      <c r="AF502" s="1"/>
      <c r="AG502" s="1"/>
      <c r="AH502" s="1"/>
      <c r="AI502" s="1"/>
      <c r="AJ502" s="1"/>
      <c r="AK502" s="1"/>
      <c r="AL502" s="1"/>
      <c r="AM502" s="1"/>
      <c r="AN502" s="1"/>
      <c r="AO502" s="1"/>
      <c r="AP502" s="1"/>
      <c r="AQ502" s="1"/>
      <c r="AR502" s="1"/>
      <c r="AS502" s="1"/>
      <c r="AT502" s="47"/>
      <c r="AU502" s="47"/>
      <c r="AV502" s="47"/>
      <c r="AW502" s="47"/>
      <c r="AX502" s="47"/>
      <c r="AY502" s="47"/>
      <c r="AZ502" s="47"/>
      <c r="BA502" s="47"/>
      <c r="BB502" s="47"/>
      <c r="BC502" s="47"/>
      <c r="BD502" s="47"/>
      <c r="BE502" s="47"/>
      <c r="BF502" s="47"/>
      <c r="BG502" s="47"/>
      <c r="BH502" s="47"/>
      <c r="BI502" s="47"/>
      <c r="BJ502" s="47"/>
      <c r="BK502" s="47"/>
    </row>
    <row r="503" spans="1:64" ht="28.5" customHeight="1">
      <c r="A503" s="1"/>
      <c r="B503" s="253"/>
      <c r="C503" s="151">
        <v>45958</v>
      </c>
      <c r="D503" s="45" t="e">
        <f t="shared" si="613"/>
        <v>#DIV/0!</v>
      </c>
      <c r="E503" s="28" t="e">
        <f t="shared" si="614"/>
        <v>#DIV/0!</v>
      </c>
      <c r="F503" s="30" t="e">
        <f t="shared" si="615"/>
        <v>#DIV/0!</v>
      </c>
      <c r="G503" s="31"/>
      <c r="H503" s="31"/>
      <c r="I503" s="31"/>
      <c r="J503" s="31"/>
      <c r="K503" s="31"/>
      <c r="L503" s="34">
        <f t="shared" si="617"/>
        <v>0</v>
      </c>
      <c r="M503" s="31"/>
      <c r="N503" s="34">
        <f t="shared" si="618"/>
        <v>0</v>
      </c>
      <c r="O503" s="31"/>
      <c r="P503" s="31"/>
      <c r="Q503" s="150">
        <v>0.09</v>
      </c>
      <c r="R503" s="31"/>
      <c r="S503" s="31"/>
      <c r="T503" s="31"/>
      <c r="U503" s="31"/>
      <c r="V503" s="28" t="e">
        <f t="shared" si="619"/>
        <v>#DIV/0!</v>
      </c>
      <c r="W503" s="31"/>
      <c r="X503" s="31"/>
      <c r="Y503" s="34">
        <f t="shared" si="621"/>
        <v>0</v>
      </c>
      <c r="Z503" s="254">
        <f t="shared" si="622"/>
        <v>0</v>
      </c>
      <c r="AA503" s="1"/>
      <c r="AB503" s="1"/>
      <c r="AC503" s="1"/>
      <c r="AD503" s="1"/>
      <c r="AE503" s="1"/>
      <c r="AF503" s="1"/>
      <c r="AG503" s="1"/>
      <c r="AH503" s="1"/>
      <c r="AI503" s="1"/>
      <c r="AJ503" s="1"/>
      <c r="AK503" s="1"/>
      <c r="AL503" s="1"/>
      <c r="AM503" s="1"/>
      <c r="AN503" s="1"/>
      <c r="AO503" s="1"/>
      <c r="AP503" s="1"/>
      <c r="AQ503" s="1"/>
      <c r="AR503" s="1"/>
      <c r="AS503" s="1"/>
      <c r="AT503" s="47"/>
      <c r="AU503" s="47"/>
      <c r="AV503" s="47"/>
      <c r="AW503" s="47"/>
      <c r="AX503" s="47"/>
      <c r="AY503" s="47"/>
      <c r="AZ503" s="47"/>
      <c r="BA503" s="47"/>
      <c r="BB503" s="47"/>
      <c r="BC503" s="47"/>
      <c r="BD503" s="47"/>
      <c r="BE503" s="47"/>
      <c r="BF503" s="47"/>
      <c r="BG503" s="47"/>
      <c r="BH503" s="47"/>
      <c r="BI503" s="47"/>
      <c r="BJ503" s="47"/>
      <c r="BK503" s="47"/>
    </row>
    <row r="504" spans="1:64" ht="28.5" customHeight="1">
      <c r="A504" s="1"/>
      <c r="B504" s="253"/>
      <c r="C504" s="151">
        <v>45959</v>
      </c>
      <c r="D504" s="45" t="e">
        <f t="shared" si="613"/>
        <v>#DIV/0!</v>
      </c>
      <c r="E504" s="28" t="e">
        <f t="shared" si="614"/>
        <v>#DIV/0!</v>
      </c>
      <c r="F504" s="30" t="e">
        <f t="shared" si="615"/>
        <v>#DIV/0!</v>
      </c>
      <c r="G504" s="31"/>
      <c r="H504" s="31"/>
      <c r="I504" s="31"/>
      <c r="J504" s="31"/>
      <c r="K504" s="31"/>
      <c r="L504" s="34">
        <f t="shared" si="617"/>
        <v>0</v>
      </c>
      <c r="M504" s="31"/>
      <c r="N504" s="34">
        <f t="shared" si="618"/>
        <v>0</v>
      </c>
      <c r="O504" s="31"/>
      <c r="P504" s="31"/>
      <c r="Q504" s="150">
        <v>0.09</v>
      </c>
      <c r="R504" s="31"/>
      <c r="S504" s="31"/>
      <c r="T504" s="31"/>
      <c r="U504" s="31"/>
      <c r="V504" s="28" t="e">
        <f t="shared" si="619"/>
        <v>#DIV/0!</v>
      </c>
      <c r="W504" s="31"/>
      <c r="X504" s="31"/>
      <c r="Y504" s="34">
        <f t="shared" si="621"/>
        <v>0</v>
      </c>
      <c r="Z504" s="254">
        <f t="shared" si="622"/>
        <v>0</v>
      </c>
      <c r="AA504" s="1"/>
      <c r="AB504" s="1"/>
      <c r="AC504" s="1"/>
      <c r="AD504" s="1"/>
      <c r="AE504" s="1"/>
      <c r="AF504" s="1"/>
      <c r="AG504" s="1"/>
      <c r="AH504" s="1"/>
      <c r="AI504" s="1"/>
      <c r="AJ504" s="1"/>
      <c r="AK504" s="1"/>
      <c r="AL504" s="1"/>
      <c r="AM504" s="1"/>
      <c r="AN504" s="1"/>
      <c r="AO504" s="1"/>
      <c r="AP504" s="1"/>
      <c r="AQ504" s="1"/>
      <c r="AR504" s="1"/>
      <c r="AS504" s="1"/>
      <c r="AT504" s="47"/>
      <c r="AU504" s="47"/>
      <c r="AV504" s="47"/>
      <c r="AW504" s="47"/>
      <c r="AX504" s="47"/>
      <c r="AY504" s="47"/>
      <c r="AZ504" s="47"/>
      <c r="BA504" s="47"/>
      <c r="BB504" s="47"/>
      <c r="BC504" s="47"/>
      <c r="BD504" s="47"/>
      <c r="BE504" s="47"/>
      <c r="BF504" s="47"/>
      <c r="BG504" s="47"/>
      <c r="BH504" s="47"/>
      <c r="BI504" s="47"/>
      <c r="BJ504" s="47"/>
      <c r="BK504" s="47"/>
    </row>
    <row r="505" spans="1:64" ht="28.5" customHeight="1">
      <c r="A505" s="1"/>
      <c r="B505" s="253"/>
      <c r="C505" s="151">
        <v>45960</v>
      </c>
      <c r="D505" s="45" t="e">
        <f t="shared" si="613"/>
        <v>#DIV/0!</v>
      </c>
      <c r="E505" s="28" t="e">
        <f t="shared" si="614"/>
        <v>#DIV/0!</v>
      </c>
      <c r="F505" s="30" t="e">
        <f t="shared" si="615"/>
        <v>#DIV/0!</v>
      </c>
      <c r="G505" s="31"/>
      <c r="H505" s="31"/>
      <c r="I505" s="31"/>
      <c r="J505" s="31"/>
      <c r="K505" s="31"/>
      <c r="L505" s="34">
        <f t="shared" si="617"/>
        <v>0</v>
      </c>
      <c r="M505" s="31"/>
      <c r="N505" s="34">
        <f t="shared" si="618"/>
        <v>0</v>
      </c>
      <c r="O505" s="31"/>
      <c r="P505" s="31"/>
      <c r="Q505" s="150">
        <v>0.09</v>
      </c>
      <c r="R505" s="31"/>
      <c r="S505" s="31"/>
      <c r="T505" s="31"/>
      <c r="U505" s="31"/>
      <c r="V505" s="28" t="e">
        <f t="shared" si="619"/>
        <v>#DIV/0!</v>
      </c>
      <c r="W505" s="34"/>
      <c r="X505" s="34"/>
      <c r="Y505" s="34">
        <f t="shared" si="621"/>
        <v>0</v>
      </c>
      <c r="Z505" s="254">
        <f t="shared" si="622"/>
        <v>0</v>
      </c>
      <c r="AA505" s="1"/>
      <c r="AB505" s="1"/>
      <c r="AC505" s="1"/>
      <c r="AD505" s="1"/>
      <c r="AE505" s="1"/>
      <c r="AF505" s="1"/>
      <c r="AG505" s="1"/>
      <c r="AH505" s="1"/>
      <c r="AI505" s="1"/>
      <c r="AJ505" s="1"/>
      <c r="AK505" s="1"/>
      <c r="AL505" s="1"/>
      <c r="AM505" s="1"/>
      <c r="AN505" s="1"/>
      <c r="AO505" s="1"/>
      <c r="AP505" s="1"/>
      <c r="AQ505" s="1"/>
      <c r="AR505" s="1"/>
      <c r="AS505" s="1"/>
      <c r="AT505" s="47"/>
      <c r="AU505" s="47"/>
      <c r="AV505" s="47"/>
      <c r="AW505" s="47"/>
      <c r="AX505" s="47"/>
      <c r="AY505" s="47"/>
      <c r="AZ505" s="47"/>
      <c r="BA505" s="47"/>
      <c r="BB505" s="47"/>
      <c r="BC505" s="47"/>
      <c r="BD505" s="47"/>
      <c r="BE505" s="47"/>
      <c r="BF505" s="47"/>
      <c r="BG505" s="47"/>
      <c r="BH505" s="47"/>
      <c r="BI505" s="47"/>
      <c r="BJ505" s="47"/>
      <c r="BK505" s="47"/>
    </row>
    <row r="506" spans="1:64" ht="28.5" customHeight="1">
      <c r="A506" s="1"/>
      <c r="B506" s="253"/>
      <c r="C506" s="145" t="s">
        <v>143</v>
      </c>
      <c r="D506" s="29" t="e">
        <f t="shared" si="613"/>
        <v>#REF!</v>
      </c>
      <c r="E506" s="28" t="e">
        <f t="shared" si="614"/>
        <v>#REF!</v>
      </c>
      <c r="F506" s="30">
        <f t="shared" si="615"/>
        <v>0.25492698019158194</v>
      </c>
      <c r="G506" s="128">
        <f t="shared" ref="G506:P506" si="663">SUM(G476:G505)</f>
        <v>7002</v>
      </c>
      <c r="H506" s="128">
        <f t="shared" si="663"/>
        <v>780</v>
      </c>
      <c r="I506" s="128">
        <f t="shared" si="663"/>
        <v>126</v>
      </c>
      <c r="J506" s="128">
        <f t="shared" si="663"/>
        <v>192647750</v>
      </c>
      <c r="K506" s="128">
        <f t="shared" si="663"/>
        <v>2328160</v>
      </c>
      <c r="L506" s="128">
        <f t="shared" si="663"/>
        <v>190319590</v>
      </c>
      <c r="M506" s="128" t="e">
        <f t="shared" si="663"/>
        <v>#REF!</v>
      </c>
      <c r="N506" s="128">
        <f t="shared" si="663"/>
        <v>47092871.099999994</v>
      </c>
      <c r="O506" s="128">
        <f t="shared" si="663"/>
        <v>42811701</v>
      </c>
      <c r="P506" s="128">
        <f t="shared" si="663"/>
        <v>1424727.25</v>
      </c>
      <c r="Q506" s="150">
        <v>0.09</v>
      </c>
      <c r="R506" s="128"/>
      <c r="S506" s="128"/>
      <c r="T506" s="128"/>
      <c r="U506" s="128">
        <f>SUM(U476:U505)</f>
        <v>21452475</v>
      </c>
      <c r="V506" s="28">
        <f t="shared" si="619"/>
        <v>0.20271816527137326</v>
      </c>
      <c r="W506" s="34">
        <f t="shared" ref="W506:W507" si="664">L506*V506+3%</f>
        <v>38581238.130000003</v>
      </c>
      <c r="X506" s="34" t="e">
        <f>SUM(X476:X505)</f>
        <v>#REF!</v>
      </c>
      <c r="Y506" s="34" t="e">
        <f t="shared" si="621"/>
        <v>#REF!</v>
      </c>
      <c r="Z506" s="256" t="e">
        <f>(Y506+T506)-(N506+P506+R506+S506+108900+71605+275000)</f>
        <v>#REF!</v>
      </c>
      <c r="AA506" s="1"/>
      <c r="AB506" s="1"/>
      <c r="AC506" s="1"/>
      <c r="AD506" s="1"/>
      <c r="AE506" s="1"/>
      <c r="AF506" s="1"/>
      <c r="AG506" s="1"/>
      <c r="AH506" s="1"/>
      <c r="AI506" s="1"/>
      <c r="AJ506" s="1"/>
      <c r="AK506" s="1"/>
      <c r="AL506" s="1"/>
      <c r="AM506" s="1"/>
      <c r="AN506" s="1"/>
      <c r="AO506" s="1"/>
      <c r="AP506" s="1"/>
      <c r="AQ506" s="1"/>
      <c r="AR506" s="1"/>
      <c r="AS506" s="1"/>
      <c r="AT506" s="47"/>
      <c r="AU506" s="47"/>
      <c r="AV506" s="47"/>
      <c r="AW506" s="47"/>
      <c r="AX506" s="47"/>
      <c r="AY506" s="47"/>
      <c r="AZ506" s="47"/>
      <c r="BA506" s="47"/>
      <c r="BB506" s="47"/>
      <c r="BC506" s="47"/>
      <c r="BD506" s="47"/>
      <c r="BE506" s="47"/>
      <c r="BF506" s="47"/>
      <c r="BG506" s="47"/>
      <c r="BH506" s="47"/>
      <c r="BI506" s="47"/>
      <c r="BJ506" s="47"/>
      <c r="BK506" s="47"/>
    </row>
    <row r="507" spans="1:64" ht="28.5" customHeight="1">
      <c r="A507" s="1"/>
      <c r="B507" s="257"/>
      <c r="C507" s="153" t="s">
        <v>105</v>
      </c>
      <c r="D507" s="52" t="e">
        <f t="shared" si="613"/>
        <v>#REF!</v>
      </c>
      <c r="E507" s="51" t="e">
        <f>Y507/J507</f>
        <v>#REF!</v>
      </c>
      <c r="F507" s="53">
        <f>(N507)/J507</f>
        <v>0.24445066760447498</v>
      </c>
      <c r="G507" s="130">
        <f t="shared" ref="G507:K507" si="665">G506</f>
        <v>7002</v>
      </c>
      <c r="H507" s="130">
        <f t="shared" si="665"/>
        <v>780</v>
      </c>
      <c r="I507" s="130">
        <f t="shared" si="665"/>
        <v>126</v>
      </c>
      <c r="J507" s="130">
        <f t="shared" si="665"/>
        <v>192647750</v>
      </c>
      <c r="K507" s="130">
        <f t="shared" si="665"/>
        <v>2328160</v>
      </c>
      <c r="L507" s="130">
        <f>J507</f>
        <v>192647750</v>
      </c>
      <c r="M507" s="130" t="e">
        <f t="shared" ref="M507:P507" si="666">M506</f>
        <v>#REF!</v>
      </c>
      <c r="N507" s="130">
        <f t="shared" si="666"/>
        <v>47092871.099999994</v>
      </c>
      <c r="O507" s="130">
        <f t="shared" si="666"/>
        <v>42811701</v>
      </c>
      <c r="P507" s="130">
        <f t="shared" si="666"/>
        <v>1424727.25</v>
      </c>
      <c r="Q507" s="258">
        <v>0.09</v>
      </c>
      <c r="R507" s="130"/>
      <c r="S507" s="130"/>
      <c r="T507" s="130"/>
      <c r="U507" s="130">
        <f>U506</f>
        <v>21452475</v>
      </c>
      <c r="V507" s="51">
        <f t="shared" si="619"/>
        <v>0.20135595925724542</v>
      </c>
      <c r="W507" s="56">
        <f t="shared" si="664"/>
        <v>38790772.530000001</v>
      </c>
      <c r="X507" s="56" t="e">
        <f>X506</f>
        <v>#REF!</v>
      </c>
      <c r="Y507" s="56" t="e">
        <f t="shared" si="621"/>
        <v>#REF!</v>
      </c>
      <c r="Z507" s="259" t="e">
        <f>(Y507+T507)-(N507+R507+S507+108900+71605+275000)</f>
        <v>#REF!</v>
      </c>
      <c r="AA507" s="1"/>
      <c r="AB507" s="137"/>
      <c r="AC507" s="63"/>
      <c r="AD507" s="7"/>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47"/>
      <c r="BD507" s="47"/>
      <c r="BE507" s="47"/>
      <c r="BF507" s="47"/>
      <c r="BG507" s="47"/>
      <c r="BH507" s="47"/>
      <c r="BI507" s="47"/>
      <c r="BJ507" s="47"/>
      <c r="BK507" s="47"/>
    </row>
    <row r="508" spans="1:64" ht="28.5" customHeight="1">
      <c r="A508" s="1"/>
      <c r="B508" s="139"/>
      <c r="C508" s="1"/>
      <c r="D508" s="1"/>
      <c r="E508" s="1"/>
      <c r="F508" s="1"/>
      <c r="G508" s="1"/>
      <c r="H508" s="62"/>
      <c r="I508" s="62"/>
      <c r="J508" s="62"/>
      <c r="K508" s="62"/>
      <c r="L508" s="62"/>
      <c r="M508" s="62"/>
      <c r="N508" s="3"/>
      <c r="O508" s="8"/>
      <c r="P508" s="8"/>
      <c r="Q508" s="62"/>
      <c r="R508" s="5"/>
      <c r="S508" s="62"/>
      <c r="T508" s="1"/>
      <c r="U508" s="1"/>
      <c r="V508" s="1"/>
      <c r="W508" s="1"/>
      <c r="X508" s="1"/>
      <c r="Y508" s="63"/>
      <c r="Z508" s="62"/>
      <c r="AA508" s="62"/>
      <c r="AB508" s="62"/>
      <c r="AC508" s="1"/>
      <c r="AD508" s="1"/>
      <c r="AE508" s="1"/>
      <c r="AF508" s="1"/>
      <c r="AG508" s="1"/>
      <c r="AH508" s="62"/>
      <c r="AI508" s="1"/>
      <c r="AJ508" s="11"/>
      <c r="AK508" s="6"/>
      <c r="AL508" s="3"/>
      <c r="AM508" s="1"/>
      <c r="AN508" s="1"/>
      <c r="AO508" s="1"/>
      <c r="AP508" s="1"/>
      <c r="AQ508" s="1"/>
      <c r="AR508" s="1"/>
      <c r="AS508" s="1"/>
      <c r="AT508" s="1"/>
      <c r="AU508" s="1"/>
      <c r="AV508" s="1"/>
      <c r="AW508" s="1"/>
      <c r="AX508" s="1"/>
      <c r="AY508" s="1"/>
      <c r="AZ508" s="1"/>
      <c r="BA508" s="7"/>
      <c r="BB508" s="47"/>
      <c r="BC508" s="47"/>
      <c r="BD508" s="47"/>
      <c r="BE508" s="47"/>
      <c r="BF508" s="47"/>
      <c r="BG508" s="47"/>
      <c r="BH508" s="47"/>
      <c r="BI508" s="47"/>
      <c r="BJ508" s="47"/>
      <c r="BK508" s="47"/>
      <c r="BL508" s="47"/>
    </row>
    <row r="509" spans="1:64" ht="28.5" customHeight="1">
      <c r="A509" s="1"/>
      <c r="B509" s="139"/>
      <c r="C509" s="1"/>
      <c r="D509" s="1"/>
      <c r="E509" s="1"/>
      <c r="F509" s="1"/>
      <c r="G509" s="1"/>
      <c r="H509" s="4"/>
      <c r="I509" s="4"/>
      <c r="J509" s="4"/>
      <c r="K509" s="4"/>
      <c r="L509" s="4"/>
      <c r="M509" s="4"/>
      <c r="N509" s="3"/>
      <c r="O509" s="1"/>
      <c r="P509" s="1"/>
      <c r="Q509" s="4"/>
      <c r="R509" s="5"/>
      <c r="S509" s="4"/>
      <c r="T509" s="1"/>
      <c r="U509" s="1"/>
      <c r="V509" s="1"/>
      <c r="W509" s="1"/>
      <c r="X509" s="1"/>
      <c r="Y509" s="6"/>
      <c r="Z509" s="4"/>
      <c r="AA509" s="4"/>
      <c r="AB509" s="4"/>
      <c r="AC509" s="1"/>
      <c r="AD509" s="1"/>
      <c r="AE509" s="1"/>
      <c r="AF509" s="1"/>
      <c r="AG509" s="1"/>
      <c r="AH509" s="4"/>
      <c r="AI509" s="1"/>
      <c r="AJ509" s="11"/>
      <c r="AK509" s="6"/>
      <c r="AL509" s="3"/>
      <c r="AM509" s="1"/>
      <c r="AN509" s="1"/>
      <c r="AO509" s="1"/>
      <c r="AP509" s="1"/>
      <c r="AQ509" s="1"/>
      <c r="AR509" s="1"/>
      <c r="AS509" s="1"/>
      <c r="AT509" s="1"/>
      <c r="AU509" s="1"/>
      <c r="AV509" s="1"/>
      <c r="AW509" s="1"/>
      <c r="AX509" s="1"/>
      <c r="AY509" s="1"/>
      <c r="AZ509" s="1"/>
      <c r="BA509" s="7"/>
      <c r="BB509" s="47"/>
      <c r="BC509" s="47"/>
      <c r="BD509" s="47"/>
      <c r="BE509" s="47"/>
      <c r="BF509" s="47"/>
      <c r="BG509" s="47"/>
      <c r="BH509" s="47"/>
      <c r="BI509" s="47"/>
      <c r="BJ509" s="47"/>
      <c r="BK509" s="47"/>
      <c r="BL509" s="47"/>
    </row>
    <row r="510" spans="1:64" ht="28.5" customHeight="1">
      <c r="A510" s="1"/>
      <c r="B510" s="139"/>
      <c r="C510" s="1"/>
      <c r="D510" s="1"/>
      <c r="E510" s="1"/>
      <c r="F510" s="1"/>
      <c r="G510" s="1"/>
      <c r="H510" s="4"/>
      <c r="I510" s="4"/>
      <c r="J510" s="4"/>
      <c r="K510" s="4"/>
      <c r="L510" s="4"/>
      <c r="M510" s="4"/>
      <c r="N510" s="3"/>
      <c r="O510" s="1"/>
      <c r="P510" s="1"/>
      <c r="Q510" s="4"/>
      <c r="R510" s="5"/>
      <c r="S510" s="4"/>
      <c r="T510" s="1"/>
      <c r="U510" s="1"/>
      <c r="V510" s="1"/>
      <c r="W510" s="1"/>
      <c r="X510" s="1"/>
      <c r="Y510" s="6"/>
      <c r="Z510" s="4"/>
      <c r="AA510" s="4"/>
      <c r="AB510" s="4"/>
      <c r="AC510" s="1"/>
      <c r="AD510" s="1"/>
      <c r="AE510" s="1"/>
      <c r="AF510" s="1"/>
      <c r="AG510" s="1"/>
      <c r="AH510" s="4"/>
      <c r="AI510" s="1"/>
      <c r="AJ510" s="11"/>
      <c r="AK510" s="6"/>
      <c r="AL510" s="3"/>
      <c r="AM510" s="1"/>
      <c r="AN510" s="1"/>
      <c r="AO510" s="1"/>
      <c r="AP510" s="1"/>
      <c r="AQ510" s="1"/>
      <c r="AR510" s="1"/>
      <c r="AS510" s="1"/>
      <c r="AT510" s="1"/>
      <c r="AU510" s="1"/>
      <c r="AV510" s="1"/>
      <c r="AW510" s="1"/>
      <c r="AX510" s="1"/>
      <c r="AY510" s="1"/>
      <c r="AZ510" s="1"/>
      <c r="BA510" s="7"/>
      <c r="BB510" s="47"/>
      <c r="BC510" s="47"/>
      <c r="BD510" s="47"/>
      <c r="BE510" s="47"/>
      <c r="BF510" s="47"/>
      <c r="BG510" s="47"/>
      <c r="BH510" s="47"/>
      <c r="BI510" s="47"/>
      <c r="BJ510" s="47"/>
      <c r="BK510" s="47"/>
      <c r="BL510" s="47"/>
    </row>
    <row r="511" spans="1:64" ht="28.5" customHeight="1">
      <c r="A511" s="1" t="s">
        <v>123</v>
      </c>
      <c r="B511" s="139"/>
      <c r="C511" s="1"/>
      <c r="D511" s="1"/>
      <c r="E511" s="1"/>
      <c r="F511" s="1"/>
      <c r="G511" s="1"/>
      <c r="H511" s="4"/>
      <c r="I511" s="4"/>
      <c r="J511" s="4"/>
      <c r="K511" s="4"/>
      <c r="L511" s="4"/>
      <c r="M511" s="4"/>
      <c r="N511" s="3"/>
      <c r="O511" s="1"/>
      <c r="P511" s="1"/>
      <c r="Q511" s="4"/>
      <c r="R511" s="5"/>
      <c r="S511" s="4"/>
      <c r="T511" s="1"/>
      <c r="U511" s="1"/>
      <c r="V511" s="1"/>
      <c r="W511" s="1"/>
      <c r="X511" s="1"/>
      <c r="Y511" s="6"/>
      <c r="Z511" s="4"/>
      <c r="AA511" s="4"/>
      <c r="AB511" s="4"/>
      <c r="AC511" s="1"/>
      <c r="AD511" s="1"/>
      <c r="AE511" s="1"/>
      <c r="AF511" s="1"/>
      <c r="AG511" s="1"/>
      <c r="AH511" s="4"/>
      <c r="AI511" s="1"/>
      <c r="AJ511" s="11"/>
      <c r="AK511" s="6"/>
      <c r="AL511" s="3"/>
      <c r="AM511" s="1"/>
      <c r="AN511" s="1"/>
      <c r="AO511" s="1"/>
      <c r="AP511" s="1"/>
      <c r="AQ511" s="1"/>
      <c r="AR511" s="1"/>
      <c r="AS511" s="1"/>
      <c r="AT511" s="1"/>
      <c r="AU511" s="1"/>
      <c r="AV511" s="1"/>
      <c r="AW511" s="1"/>
      <c r="AX511" s="1"/>
      <c r="AY511" s="1"/>
      <c r="AZ511" s="1"/>
      <c r="BA511" s="7"/>
      <c r="BB511" s="47"/>
      <c r="BC511" s="47"/>
      <c r="BD511" s="47"/>
      <c r="BE511" s="47"/>
      <c r="BF511" s="47"/>
      <c r="BG511" s="47"/>
      <c r="BH511" s="47"/>
      <c r="BI511" s="47"/>
      <c r="BJ511" s="47"/>
      <c r="BK511" s="47"/>
      <c r="BL511" s="47"/>
    </row>
    <row r="512" spans="1:64" ht="28.5" customHeight="1">
      <c r="A512" s="1"/>
      <c r="B512" s="139"/>
      <c r="C512" s="1"/>
      <c r="D512" s="1"/>
      <c r="E512" s="1"/>
      <c r="F512" s="1"/>
      <c r="G512" s="1"/>
      <c r="H512" s="4"/>
      <c r="I512" s="4"/>
      <c r="J512" s="4"/>
      <c r="K512" s="4"/>
      <c r="L512" s="4"/>
      <c r="M512" s="4"/>
      <c r="N512" s="3"/>
      <c r="O512" s="1"/>
      <c r="P512" s="1"/>
      <c r="Q512" s="4"/>
      <c r="R512" s="5"/>
      <c r="S512" s="4"/>
      <c r="T512" s="1"/>
      <c r="U512" s="1"/>
      <c r="V512" s="1"/>
      <c r="W512" s="1"/>
      <c r="X512" s="1"/>
      <c r="Y512" s="6"/>
      <c r="Z512" s="4"/>
      <c r="AA512" s="4"/>
      <c r="AB512" s="4"/>
      <c r="AC512" s="1"/>
      <c r="AD512" s="1"/>
      <c r="AE512" s="1"/>
      <c r="AF512" s="1"/>
      <c r="AG512" s="1"/>
      <c r="AH512" s="4"/>
      <c r="AI512" s="1"/>
      <c r="AJ512" s="11"/>
      <c r="AK512" s="6"/>
      <c r="AL512" s="3"/>
      <c r="AM512" s="1"/>
      <c r="AN512" s="1"/>
      <c r="AO512" s="1"/>
      <c r="AP512" s="1"/>
      <c r="AQ512" s="1"/>
      <c r="AR512" s="1"/>
      <c r="AS512" s="1"/>
      <c r="AT512" s="1"/>
      <c r="AU512" s="1"/>
      <c r="AV512" s="1"/>
      <c r="AW512" s="1"/>
      <c r="AX512" s="1"/>
      <c r="AY512" s="1"/>
      <c r="AZ512" s="1"/>
      <c r="BA512" s="7"/>
      <c r="BB512" s="47"/>
      <c r="BC512" s="47"/>
      <c r="BD512" s="47"/>
      <c r="BE512" s="47"/>
      <c r="BF512" s="47"/>
      <c r="BG512" s="47"/>
      <c r="BH512" s="47"/>
      <c r="BI512" s="47"/>
      <c r="BJ512" s="47"/>
      <c r="BK512" s="47"/>
      <c r="BL512" s="47"/>
    </row>
    <row r="513" spans="1:64" ht="28.5" customHeight="1">
      <c r="A513" s="1"/>
      <c r="B513" s="139"/>
      <c r="C513" s="1"/>
      <c r="D513" s="1"/>
      <c r="E513" s="1"/>
      <c r="F513" s="1"/>
      <c r="G513" s="1"/>
      <c r="H513" s="4"/>
      <c r="I513" s="4"/>
      <c r="J513" s="4"/>
      <c r="K513" s="4"/>
      <c r="L513" s="4"/>
      <c r="M513" s="4"/>
      <c r="N513" s="3"/>
      <c r="O513" s="1"/>
      <c r="P513" s="1"/>
      <c r="Q513" s="4"/>
      <c r="R513" s="5"/>
      <c r="S513" s="4"/>
      <c r="T513" s="1"/>
      <c r="U513" s="1"/>
      <c r="V513" s="1"/>
      <c r="W513" s="1"/>
      <c r="X513" s="1"/>
      <c r="Y513" s="6"/>
      <c r="Z513" s="4"/>
      <c r="AA513" s="4"/>
      <c r="AB513" s="4"/>
      <c r="AC513" s="1"/>
      <c r="AD513" s="1"/>
      <c r="AE513" s="1"/>
      <c r="AF513" s="1"/>
      <c r="AG513" s="1"/>
      <c r="AH513" s="4"/>
      <c r="AI513" s="1"/>
      <c r="AJ513" s="11"/>
      <c r="AK513" s="6"/>
      <c r="AL513" s="3"/>
      <c r="AM513" s="1"/>
      <c r="AN513" s="1"/>
      <c r="AO513" s="1"/>
      <c r="AP513" s="1"/>
      <c r="AQ513" s="1"/>
      <c r="AR513" s="1"/>
      <c r="AS513" s="1"/>
      <c r="AT513" s="1"/>
      <c r="AU513" s="1"/>
      <c r="AV513" s="1"/>
      <c r="AW513" s="1"/>
      <c r="AX513" s="1"/>
      <c r="AY513" s="1"/>
      <c r="AZ513" s="1"/>
      <c r="BA513" s="7"/>
      <c r="BB513" s="47"/>
      <c r="BC513" s="47"/>
      <c r="BD513" s="47"/>
      <c r="BE513" s="47"/>
      <c r="BF513" s="47"/>
      <c r="BG513" s="47"/>
      <c r="BH513" s="47"/>
      <c r="BI513" s="47"/>
      <c r="BJ513" s="47"/>
      <c r="BK513" s="47"/>
      <c r="BL513" s="47"/>
    </row>
    <row r="514" spans="1:64" ht="28.5" customHeight="1">
      <c r="A514" s="1"/>
      <c r="B514" s="139"/>
      <c r="C514" s="1"/>
      <c r="D514" s="1"/>
      <c r="E514" s="1"/>
      <c r="F514" s="1"/>
      <c r="G514" s="1"/>
      <c r="H514" s="4"/>
      <c r="I514" s="4"/>
      <c r="J514" s="4"/>
      <c r="K514" s="4"/>
      <c r="L514" s="4"/>
      <c r="M514" s="4"/>
      <c r="N514" s="3"/>
      <c r="O514" s="1"/>
      <c r="P514" s="1"/>
      <c r="Q514" s="4"/>
      <c r="R514" s="5"/>
      <c r="S514" s="4"/>
      <c r="T514" s="1"/>
      <c r="U514" s="1"/>
      <c r="V514" s="1"/>
      <c r="W514" s="1"/>
      <c r="X514" s="1"/>
      <c r="Y514" s="6"/>
      <c r="Z514" s="4"/>
      <c r="AA514" s="4"/>
      <c r="AB514" s="4"/>
      <c r="AC514" s="1"/>
      <c r="AD514" s="1"/>
      <c r="AE514" s="1"/>
      <c r="AF514" s="1"/>
      <c r="AG514" s="1"/>
      <c r="AH514" s="4"/>
      <c r="AI514" s="1"/>
      <c r="AJ514" s="11"/>
      <c r="AK514" s="6"/>
      <c r="AL514" s="3"/>
      <c r="AM514" s="1"/>
      <c r="AN514" s="1"/>
      <c r="AO514" s="1"/>
      <c r="AP514" s="1"/>
      <c r="AQ514" s="1"/>
      <c r="AR514" s="1"/>
      <c r="AS514" s="1"/>
      <c r="AT514" s="1"/>
      <c r="AU514" s="1"/>
      <c r="AV514" s="1"/>
      <c r="AW514" s="1"/>
      <c r="AX514" s="1"/>
      <c r="AY514" s="1"/>
      <c r="AZ514" s="1"/>
      <c r="BA514" s="7"/>
      <c r="BB514" s="47"/>
      <c r="BC514" s="47"/>
      <c r="BD514" s="47"/>
      <c r="BE514" s="47"/>
      <c r="BF514" s="47"/>
      <c r="BG514" s="47"/>
      <c r="BH514" s="47"/>
      <c r="BI514" s="47"/>
      <c r="BJ514" s="47"/>
      <c r="BK514" s="47"/>
      <c r="BL514" s="47"/>
    </row>
    <row r="515" spans="1:64" ht="28.5" customHeight="1">
      <c r="A515" s="1"/>
      <c r="B515" s="139"/>
      <c r="C515" s="1"/>
      <c r="D515" s="1"/>
      <c r="E515" s="1"/>
      <c r="F515" s="1"/>
      <c r="G515" s="1"/>
      <c r="H515" s="4"/>
      <c r="I515" s="4"/>
      <c r="J515" s="4"/>
      <c r="K515" s="4"/>
      <c r="L515" s="4"/>
      <c r="M515" s="4"/>
      <c r="N515" s="3"/>
      <c r="O515" s="1"/>
      <c r="P515" s="1"/>
      <c r="Q515" s="4"/>
      <c r="R515" s="5"/>
      <c r="S515" s="4"/>
      <c r="T515" s="1"/>
      <c r="U515" s="1"/>
      <c r="V515" s="1"/>
      <c r="W515" s="1"/>
      <c r="X515" s="1"/>
      <c r="Y515" s="6"/>
      <c r="Z515" s="4"/>
      <c r="AA515" s="4"/>
      <c r="AB515" s="4"/>
      <c r="AC515" s="1"/>
      <c r="AD515" s="1"/>
      <c r="AE515" s="1"/>
      <c r="AF515" s="1"/>
      <c r="AG515" s="1"/>
      <c r="AH515" s="4"/>
      <c r="AI515" s="1"/>
      <c r="AJ515" s="11"/>
      <c r="AK515" s="6"/>
      <c r="AL515" s="3"/>
      <c r="AM515" s="1"/>
      <c r="AN515" s="1"/>
      <c r="AO515" s="1"/>
      <c r="AP515" s="1"/>
      <c r="AQ515" s="1"/>
      <c r="AR515" s="1"/>
      <c r="AS515" s="1"/>
      <c r="AT515" s="1"/>
      <c r="AU515" s="1"/>
      <c r="AV515" s="1"/>
      <c r="AW515" s="1"/>
      <c r="AX515" s="1"/>
      <c r="AY515" s="1"/>
      <c r="AZ515" s="1"/>
      <c r="BA515" s="7"/>
      <c r="BB515" s="47"/>
      <c r="BC515" s="47"/>
      <c r="BD515" s="47"/>
      <c r="BE515" s="47"/>
      <c r="BF515" s="47"/>
      <c r="BG515" s="47"/>
      <c r="BH515" s="47"/>
      <c r="BI515" s="47"/>
      <c r="BJ515" s="47"/>
      <c r="BK515" s="47"/>
      <c r="BL515" s="47"/>
    </row>
    <row r="516" spans="1:64" ht="28.5" customHeight="1">
      <c r="A516" s="1"/>
      <c r="B516" s="139"/>
      <c r="C516" s="1"/>
      <c r="D516" s="1"/>
      <c r="E516" s="1"/>
      <c r="F516" s="1"/>
      <c r="G516" s="1"/>
      <c r="H516" s="4"/>
      <c r="I516" s="4"/>
      <c r="J516" s="4"/>
      <c r="K516" s="4"/>
      <c r="L516" s="4"/>
      <c r="M516" s="4"/>
      <c r="N516" s="3"/>
      <c r="O516" s="1"/>
      <c r="P516" s="1"/>
      <c r="Q516" s="4"/>
      <c r="R516" s="5"/>
      <c r="S516" s="4"/>
      <c r="T516" s="1"/>
      <c r="U516" s="1"/>
      <c r="V516" s="1"/>
      <c r="W516" s="1"/>
      <c r="X516" s="1"/>
      <c r="Y516" s="6"/>
      <c r="Z516" s="4"/>
      <c r="AA516" s="4"/>
      <c r="AB516" s="4"/>
      <c r="AC516" s="1"/>
      <c r="AD516" s="1"/>
      <c r="AE516" s="1"/>
      <c r="AF516" s="1"/>
      <c r="AG516" s="1"/>
      <c r="AH516" s="4"/>
      <c r="AI516" s="1"/>
      <c r="AJ516" s="11"/>
      <c r="AK516" s="6"/>
      <c r="AL516" s="3"/>
      <c r="AM516" s="1"/>
      <c r="AN516" s="1"/>
      <c r="AO516" s="1"/>
      <c r="AP516" s="1"/>
      <c r="AQ516" s="1"/>
      <c r="AR516" s="1"/>
      <c r="AS516" s="1"/>
      <c r="AT516" s="1"/>
      <c r="AU516" s="1"/>
      <c r="AV516" s="1"/>
      <c r="AW516" s="1"/>
      <c r="AX516" s="1"/>
      <c r="AY516" s="1"/>
      <c r="AZ516" s="1"/>
      <c r="BA516" s="7"/>
      <c r="BB516" s="47"/>
      <c r="BC516" s="47"/>
      <c r="BD516" s="47"/>
      <c r="BE516" s="47"/>
      <c r="BF516" s="47"/>
      <c r="BG516" s="47"/>
      <c r="BH516" s="47"/>
      <c r="BI516" s="47"/>
      <c r="BJ516" s="47"/>
      <c r="BK516" s="47"/>
      <c r="BL516" s="47"/>
    </row>
    <row r="517" spans="1:64" ht="28.5" customHeight="1">
      <c r="A517" s="1"/>
      <c r="B517" s="139"/>
      <c r="C517" s="1"/>
      <c r="D517" s="1"/>
      <c r="E517" s="1"/>
      <c r="F517" s="1"/>
      <c r="G517" s="1"/>
      <c r="H517" s="4"/>
      <c r="I517" s="4"/>
      <c r="J517" s="4"/>
      <c r="K517" s="4"/>
      <c r="L517" s="4"/>
      <c r="M517" s="4"/>
      <c r="N517" s="3"/>
      <c r="O517" s="1"/>
      <c r="P517" s="1"/>
      <c r="Q517" s="4"/>
      <c r="R517" s="5"/>
      <c r="S517" s="4"/>
      <c r="T517" s="1"/>
      <c r="U517" s="1"/>
      <c r="V517" s="1"/>
      <c r="W517" s="1"/>
      <c r="X517" s="1"/>
      <c r="Y517" s="6"/>
      <c r="Z517" s="4"/>
      <c r="AA517" s="4"/>
      <c r="AB517" s="4"/>
      <c r="AC517" s="1"/>
      <c r="AD517" s="1"/>
      <c r="AE517" s="1"/>
      <c r="AF517" s="1"/>
      <c r="AG517" s="1"/>
      <c r="AH517" s="4"/>
      <c r="AI517" s="1"/>
      <c r="AJ517" s="11"/>
      <c r="AK517" s="6"/>
      <c r="AL517" s="3"/>
      <c r="AM517" s="1"/>
      <c r="AN517" s="1"/>
      <c r="AO517" s="1"/>
      <c r="AP517" s="1"/>
      <c r="AQ517" s="1"/>
      <c r="AR517" s="1"/>
      <c r="AS517" s="1"/>
      <c r="AT517" s="1"/>
      <c r="AU517" s="1"/>
      <c r="AV517" s="1"/>
      <c r="AW517" s="1"/>
      <c r="AX517" s="1"/>
      <c r="AY517" s="1"/>
      <c r="AZ517" s="1"/>
      <c r="BA517" s="7"/>
      <c r="BB517" s="47"/>
      <c r="BC517" s="47"/>
      <c r="BD517" s="47"/>
      <c r="BE517" s="47"/>
      <c r="BF517" s="47"/>
      <c r="BG517" s="47"/>
      <c r="BH517" s="47"/>
      <c r="BI517" s="47"/>
      <c r="BJ517" s="47"/>
      <c r="BK517" s="47"/>
      <c r="BL517" s="47"/>
    </row>
    <row r="518" spans="1:64" ht="28.5" customHeight="1">
      <c r="A518" s="1"/>
      <c r="B518" s="139"/>
      <c r="C518" s="1"/>
      <c r="D518" s="1"/>
      <c r="E518" s="1"/>
      <c r="F518" s="1"/>
      <c r="G518" s="1"/>
      <c r="H518" s="4"/>
      <c r="I518" s="4"/>
      <c r="J518" s="4"/>
      <c r="K518" s="4"/>
      <c r="L518" s="4"/>
      <c r="M518" s="4"/>
      <c r="N518" s="3"/>
      <c r="O518" s="1"/>
      <c r="P518" s="1"/>
      <c r="Q518" s="4"/>
      <c r="R518" s="5"/>
      <c r="S518" s="4"/>
      <c r="T518" s="1"/>
      <c r="U518" s="1"/>
      <c r="V518" s="1"/>
      <c r="W518" s="1"/>
      <c r="X518" s="1"/>
      <c r="Y518" s="6"/>
      <c r="Z518" s="4"/>
      <c r="AA518" s="4"/>
      <c r="AB518" s="4"/>
      <c r="AC518" s="1"/>
      <c r="AD518" s="1"/>
      <c r="AE518" s="1"/>
      <c r="AF518" s="1"/>
      <c r="AG518" s="1"/>
      <c r="AH518" s="4"/>
      <c r="AI518" s="1"/>
      <c r="AJ518" s="11"/>
      <c r="AK518" s="6"/>
      <c r="AL518" s="3"/>
      <c r="AM518" s="1"/>
      <c r="AN518" s="1"/>
      <c r="AO518" s="1"/>
      <c r="AP518" s="1"/>
      <c r="AQ518" s="1"/>
      <c r="AR518" s="1"/>
      <c r="AS518" s="1"/>
      <c r="AT518" s="1"/>
      <c r="AU518" s="1"/>
      <c r="AV518" s="1"/>
      <c r="AW518" s="1"/>
      <c r="AX518" s="1"/>
      <c r="AY518" s="1"/>
      <c r="AZ518" s="1"/>
      <c r="BA518" s="7"/>
      <c r="BB518" s="47"/>
      <c r="BC518" s="47"/>
      <c r="BD518" s="47"/>
      <c r="BE518" s="47"/>
      <c r="BF518" s="47"/>
      <c r="BG518" s="47"/>
      <c r="BH518" s="47"/>
      <c r="BI518" s="47"/>
      <c r="BJ518" s="47"/>
      <c r="BK518" s="47"/>
      <c r="BL518" s="47"/>
    </row>
    <row r="519" spans="1:64" ht="28.5" customHeight="1">
      <c r="A519" s="1"/>
      <c r="B519" s="139"/>
      <c r="C519" s="1"/>
      <c r="D519" s="1"/>
      <c r="E519" s="1"/>
      <c r="F519" s="1"/>
      <c r="G519" s="1"/>
      <c r="H519" s="4"/>
      <c r="I519" s="4"/>
      <c r="J519" s="4"/>
      <c r="K519" s="4"/>
      <c r="L519" s="4"/>
      <c r="M519" s="4"/>
      <c r="N519" s="3"/>
      <c r="O519" s="1"/>
      <c r="P519" s="1"/>
      <c r="Q519" s="4"/>
      <c r="R519" s="5"/>
      <c r="S519" s="4"/>
      <c r="T519" s="1"/>
      <c r="U519" s="1"/>
      <c r="V519" s="1"/>
      <c r="W519" s="1"/>
      <c r="X519" s="1"/>
      <c r="Y519" s="6"/>
      <c r="Z519" s="4"/>
      <c r="AA519" s="4"/>
      <c r="AB519" s="4"/>
      <c r="AC519" s="1"/>
      <c r="AD519" s="1"/>
      <c r="AE519" s="1"/>
      <c r="AF519" s="1"/>
      <c r="AG519" s="1"/>
      <c r="AH519" s="4"/>
      <c r="AI519" s="1"/>
      <c r="AJ519" s="11"/>
      <c r="AK519" s="6"/>
      <c r="AL519" s="3"/>
      <c r="AM519" s="1"/>
      <c r="AN519" s="1"/>
      <c r="AO519" s="1"/>
      <c r="AP519" s="1"/>
      <c r="AQ519" s="1"/>
      <c r="AR519" s="1"/>
      <c r="AS519" s="1"/>
      <c r="AT519" s="1"/>
      <c r="AU519" s="1"/>
      <c r="AV519" s="1"/>
      <c r="AW519" s="1"/>
      <c r="AX519" s="1"/>
      <c r="AY519" s="1"/>
      <c r="AZ519" s="1"/>
      <c r="BA519" s="7"/>
      <c r="BB519" s="47"/>
      <c r="BC519" s="47"/>
      <c r="BD519" s="47"/>
      <c r="BE519" s="47"/>
      <c r="BF519" s="47"/>
      <c r="BG519" s="47"/>
      <c r="BH519" s="47"/>
      <c r="BI519" s="47"/>
      <c r="BJ519" s="47"/>
      <c r="BK519" s="47"/>
      <c r="BL519" s="47"/>
    </row>
    <row r="520" spans="1:64" ht="28.5" customHeight="1">
      <c r="A520" s="1"/>
      <c r="B520" s="139"/>
      <c r="C520" s="1"/>
      <c r="D520" s="1"/>
      <c r="E520" s="1"/>
      <c r="F520" s="1"/>
      <c r="G520" s="1"/>
      <c r="H520" s="4"/>
      <c r="I520" s="4"/>
      <c r="J520" s="4"/>
      <c r="K520" s="4"/>
      <c r="L520" s="4"/>
      <c r="M520" s="4"/>
      <c r="N520" s="3"/>
      <c r="O520" s="1"/>
      <c r="P520" s="1"/>
      <c r="Q520" s="4"/>
      <c r="R520" s="5"/>
      <c r="S520" s="4"/>
      <c r="T520" s="1"/>
      <c r="U520" s="1"/>
      <c r="V520" s="1"/>
      <c r="W520" s="1"/>
      <c r="X520" s="1"/>
      <c r="Y520" s="6"/>
      <c r="Z520" s="4"/>
      <c r="AA520" s="4"/>
      <c r="AB520" s="4"/>
      <c r="AC520" s="1"/>
      <c r="AD520" s="1"/>
      <c r="AE520" s="1"/>
      <c r="AF520" s="1"/>
      <c r="AG520" s="1"/>
      <c r="AH520" s="4"/>
      <c r="AI520" s="1"/>
      <c r="AJ520" s="11"/>
      <c r="AK520" s="6"/>
      <c r="AL520" s="3"/>
      <c r="AM520" s="1"/>
      <c r="AN520" s="1"/>
      <c r="AO520" s="1"/>
      <c r="AP520" s="1"/>
      <c r="AQ520" s="1"/>
      <c r="AR520" s="1"/>
      <c r="AS520" s="1"/>
      <c r="AT520" s="1"/>
      <c r="AU520" s="1"/>
      <c r="AV520" s="1"/>
      <c r="AW520" s="1"/>
      <c r="AX520" s="1"/>
      <c r="AY520" s="1"/>
      <c r="AZ520" s="1"/>
      <c r="BA520" s="7"/>
      <c r="BB520" s="47"/>
      <c r="BC520" s="47"/>
      <c r="BD520" s="47"/>
      <c r="BE520" s="47"/>
      <c r="BF520" s="47"/>
      <c r="BG520" s="47"/>
      <c r="BH520" s="47"/>
      <c r="BI520" s="47"/>
      <c r="BJ520" s="47"/>
      <c r="BK520" s="47"/>
      <c r="BL520" s="47"/>
    </row>
    <row r="521" spans="1:64" ht="28.5" customHeight="1">
      <c r="A521" s="1"/>
      <c r="B521" s="139"/>
      <c r="C521" s="1"/>
      <c r="D521" s="1"/>
      <c r="E521" s="1"/>
      <c r="F521" s="1"/>
      <c r="G521" s="1"/>
      <c r="H521" s="4"/>
      <c r="I521" s="4"/>
      <c r="J521" s="4"/>
      <c r="K521" s="4"/>
      <c r="L521" s="4"/>
      <c r="M521" s="4"/>
      <c r="N521" s="3"/>
      <c r="O521" s="1"/>
      <c r="P521" s="1"/>
      <c r="Q521" s="4"/>
      <c r="R521" s="5"/>
      <c r="S521" s="4"/>
      <c r="T521" s="1"/>
      <c r="U521" s="1"/>
      <c r="V521" s="1"/>
      <c r="W521" s="1"/>
      <c r="X521" s="1"/>
      <c r="Y521" s="6"/>
      <c r="Z521" s="4"/>
      <c r="AA521" s="4"/>
      <c r="AB521" s="4"/>
      <c r="AC521" s="1"/>
      <c r="AD521" s="1"/>
      <c r="AE521" s="1"/>
      <c r="AF521" s="1"/>
      <c r="AG521" s="1"/>
      <c r="AH521" s="4"/>
      <c r="AI521" s="1"/>
      <c r="AJ521" s="11"/>
      <c r="AK521" s="6"/>
      <c r="AL521" s="3"/>
      <c r="AM521" s="1"/>
      <c r="AN521" s="1"/>
      <c r="AO521" s="1"/>
      <c r="AP521" s="1"/>
      <c r="AQ521" s="1"/>
      <c r="AR521" s="1"/>
      <c r="AS521" s="1"/>
      <c r="AT521" s="1"/>
      <c r="AU521" s="1"/>
      <c r="AV521" s="1"/>
      <c r="AW521" s="1"/>
      <c r="AX521" s="1"/>
      <c r="AY521" s="1"/>
      <c r="AZ521" s="1"/>
      <c r="BA521" s="7"/>
      <c r="BB521" s="47"/>
      <c r="BC521" s="47"/>
      <c r="BD521" s="47"/>
      <c r="BE521" s="47"/>
      <c r="BF521" s="47"/>
      <c r="BG521" s="47"/>
      <c r="BH521" s="47"/>
      <c r="BI521" s="47"/>
      <c r="BJ521" s="47"/>
      <c r="BK521" s="47"/>
      <c r="BL521" s="47"/>
    </row>
    <row r="522" spans="1:64" ht="28.5" customHeight="1">
      <c r="A522" s="1"/>
      <c r="B522" s="139"/>
      <c r="C522" s="1"/>
      <c r="D522" s="1"/>
      <c r="E522" s="1"/>
      <c r="F522" s="1"/>
      <c r="G522" s="1"/>
      <c r="H522" s="4"/>
      <c r="I522" s="4"/>
      <c r="J522" s="4"/>
      <c r="K522" s="4"/>
      <c r="L522" s="4"/>
      <c r="M522" s="4"/>
      <c r="N522" s="3"/>
      <c r="O522" s="1"/>
      <c r="P522" s="1"/>
      <c r="Q522" s="4"/>
      <c r="R522" s="5"/>
      <c r="S522" s="4"/>
      <c r="T522" s="1"/>
      <c r="U522" s="1"/>
      <c r="V522" s="1"/>
      <c r="W522" s="1"/>
      <c r="X522" s="1"/>
      <c r="Y522" s="6"/>
      <c r="Z522" s="4"/>
      <c r="AA522" s="4"/>
      <c r="AB522" s="4"/>
      <c r="AC522" s="1"/>
      <c r="AD522" s="1"/>
      <c r="AE522" s="1"/>
      <c r="AF522" s="1"/>
      <c r="AG522" s="1"/>
      <c r="AH522" s="4"/>
      <c r="AI522" s="1"/>
      <c r="AJ522" s="11"/>
      <c r="AK522" s="6"/>
      <c r="AL522" s="3"/>
      <c r="AM522" s="1"/>
      <c r="AN522" s="1"/>
      <c r="AO522" s="1"/>
      <c r="AP522" s="1"/>
      <c r="AQ522" s="1"/>
      <c r="AR522" s="1"/>
      <c r="AS522" s="1"/>
      <c r="AT522" s="1"/>
      <c r="AU522" s="1"/>
      <c r="AV522" s="1"/>
      <c r="AW522" s="1"/>
      <c r="AX522" s="1"/>
      <c r="AY522" s="1"/>
      <c r="AZ522" s="1"/>
      <c r="BA522" s="7"/>
      <c r="BB522" s="47"/>
      <c r="BC522" s="47"/>
      <c r="BD522" s="47"/>
      <c r="BE522" s="47"/>
      <c r="BF522" s="47"/>
      <c r="BG522" s="47"/>
      <c r="BH522" s="47"/>
      <c r="BI522" s="47"/>
      <c r="BJ522" s="47"/>
      <c r="BK522" s="47"/>
      <c r="BL522" s="47"/>
    </row>
    <row r="523" spans="1:64" ht="28.5" customHeight="1">
      <c r="A523" s="1"/>
      <c r="B523" s="139"/>
      <c r="C523" s="1"/>
      <c r="D523" s="1"/>
      <c r="E523" s="1"/>
      <c r="F523" s="1"/>
      <c r="G523" s="1"/>
      <c r="H523" s="4"/>
      <c r="I523" s="4"/>
      <c r="J523" s="4"/>
      <c r="K523" s="4"/>
      <c r="L523" s="4"/>
      <c r="M523" s="4"/>
      <c r="N523" s="3"/>
      <c r="O523" s="1"/>
      <c r="P523" s="1"/>
      <c r="Q523" s="4"/>
      <c r="R523" s="5"/>
      <c r="S523" s="4"/>
      <c r="T523" s="1"/>
      <c r="U523" s="1"/>
      <c r="V523" s="1"/>
      <c r="W523" s="1"/>
      <c r="X523" s="1"/>
      <c r="Y523" s="6"/>
      <c r="Z523" s="4"/>
      <c r="AA523" s="4"/>
      <c r="AB523" s="4"/>
      <c r="AC523" s="1"/>
      <c r="AD523" s="1"/>
      <c r="AE523" s="1"/>
      <c r="AF523" s="1"/>
      <c r="AG523" s="1"/>
      <c r="AH523" s="4"/>
      <c r="AI523" s="1"/>
      <c r="AJ523" s="11"/>
      <c r="AK523" s="6"/>
      <c r="AL523" s="3"/>
      <c r="AM523" s="1"/>
      <c r="AN523" s="1"/>
      <c r="AO523" s="1"/>
      <c r="AP523" s="1"/>
      <c r="AQ523" s="1"/>
      <c r="AR523" s="1"/>
      <c r="AS523" s="1"/>
      <c r="AT523" s="1"/>
      <c r="AU523" s="1"/>
      <c r="AV523" s="1"/>
      <c r="AW523" s="1"/>
      <c r="AX523" s="1"/>
      <c r="AY523" s="1"/>
      <c r="AZ523" s="1"/>
      <c r="BA523" s="7"/>
      <c r="BB523" s="47"/>
      <c r="BC523" s="47"/>
      <c r="BD523" s="47"/>
      <c r="BE523" s="47"/>
      <c r="BF523" s="47"/>
      <c r="BG523" s="47"/>
      <c r="BH523" s="47"/>
      <c r="BI523" s="47"/>
      <c r="BJ523" s="47"/>
      <c r="BK523" s="47"/>
      <c r="BL523" s="47"/>
    </row>
    <row r="524" spans="1:64" ht="28.5" customHeight="1">
      <c r="A524" s="1"/>
      <c r="B524" s="139"/>
      <c r="C524" s="1"/>
      <c r="D524" s="1"/>
      <c r="E524" s="1"/>
      <c r="F524" s="1"/>
      <c r="G524" s="1"/>
      <c r="H524" s="4"/>
      <c r="I524" s="4"/>
      <c r="J524" s="4"/>
      <c r="K524" s="4"/>
      <c r="L524" s="4"/>
      <c r="M524" s="4"/>
      <c r="N524" s="3"/>
      <c r="O524" s="1"/>
      <c r="P524" s="1"/>
      <c r="Q524" s="4"/>
      <c r="R524" s="5"/>
      <c r="S524" s="4"/>
      <c r="T524" s="1"/>
      <c r="U524" s="1"/>
      <c r="V524" s="1"/>
      <c r="W524" s="1"/>
      <c r="X524" s="1"/>
      <c r="Y524" s="6"/>
      <c r="Z524" s="4"/>
      <c r="AA524" s="4"/>
      <c r="AB524" s="4"/>
      <c r="AC524" s="1"/>
      <c r="AD524" s="1"/>
      <c r="AE524" s="1"/>
      <c r="AF524" s="1"/>
      <c r="AG524" s="1"/>
      <c r="AH524" s="4"/>
      <c r="AI524" s="1"/>
      <c r="AJ524" s="11"/>
      <c r="AK524" s="6"/>
      <c r="AL524" s="3"/>
      <c r="AM524" s="1"/>
      <c r="AN524" s="1"/>
      <c r="AO524" s="1"/>
      <c r="AP524" s="1"/>
      <c r="AQ524" s="1"/>
      <c r="AR524" s="1"/>
      <c r="AS524" s="1"/>
      <c r="AT524" s="1"/>
      <c r="AU524" s="1"/>
      <c r="AV524" s="1"/>
      <c r="AW524" s="1"/>
      <c r="AX524" s="1"/>
      <c r="AY524" s="1"/>
      <c r="AZ524" s="1"/>
      <c r="BA524" s="7"/>
      <c r="BB524" s="47"/>
      <c r="BC524" s="47"/>
      <c r="BD524" s="47"/>
      <c r="BE524" s="47"/>
      <c r="BF524" s="47"/>
      <c r="BG524" s="47"/>
      <c r="BH524" s="47"/>
      <c r="BI524" s="47"/>
      <c r="BJ524" s="47"/>
      <c r="BK524" s="47"/>
      <c r="BL524" s="47"/>
    </row>
    <row r="525" spans="1:64" ht="28.5" customHeight="1">
      <c r="A525" s="1"/>
      <c r="B525" s="139"/>
      <c r="C525" s="1"/>
      <c r="D525" s="1"/>
      <c r="E525" s="1"/>
      <c r="F525" s="1"/>
      <c r="G525" s="1"/>
      <c r="H525" s="4"/>
      <c r="I525" s="4"/>
      <c r="J525" s="4"/>
      <c r="K525" s="4"/>
      <c r="L525" s="4"/>
      <c r="M525" s="4"/>
      <c r="N525" s="3"/>
      <c r="O525" s="1"/>
      <c r="P525" s="1"/>
      <c r="Q525" s="4"/>
      <c r="R525" s="5"/>
      <c r="S525" s="4"/>
      <c r="T525" s="1"/>
      <c r="U525" s="1"/>
      <c r="V525" s="1"/>
      <c r="W525" s="1"/>
      <c r="X525" s="1"/>
      <c r="Y525" s="6"/>
      <c r="Z525" s="4"/>
      <c r="AA525" s="4"/>
      <c r="AB525" s="4"/>
      <c r="AC525" s="1"/>
      <c r="AD525" s="1"/>
      <c r="AE525" s="1"/>
      <c r="AF525" s="1"/>
      <c r="AG525" s="1"/>
      <c r="AH525" s="4"/>
      <c r="AI525" s="1"/>
      <c r="AJ525" s="11"/>
      <c r="AK525" s="6"/>
      <c r="AL525" s="3"/>
      <c r="AM525" s="1"/>
      <c r="AN525" s="1"/>
      <c r="AO525" s="1"/>
      <c r="AP525" s="1"/>
      <c r="AQ525" s="1"/>
      <c r="AR525" s="1"/>
      <c r="AS525" s="1"/>
      <c r="AT525" s="1"/>
      <c r="AU525" s="1"/>
      <c r="AV525" s="1"/>
      <c r="AW525" s="1"/>
      <c r="AX525" s="1"/>
      <c r="AY525" s="1"/>
      <c r="AZ525" s="1"/>
      <c r="BA525" s="7"/>
      <c r="BB525" s="47"/>
      <c r="BC525" s="47"/>
      <c r="BD525" s="47"/>
      <c r="BE525" s="47"/>
      <c r="BF525" s="47"/>
      <c r="BG525" s="47"/>
      <c r="BH525" s="47"/>
      <c r="BI525" s="47"/>
      <c r="BJ525" s="47"/>
      <c r="BK525" s="47"/>
      <c r="BL525" s="47"/>
    </row>
    <row r="526" spans="1:64" ht="28.5" customHeight="1">
      <c r="A526" s="1"/>
      <c r="B526" s="139"/>
      <c r="C526" s="1"/>
      <c r="D526" s="1"/>
      <c r="E526" s="1"/>
      <c r="F526" s="1"/>
      <c r="G526" s="1"/>
      <c r="H526" s="4"/>
      <c r="I526" s="4"/>
      <c r="J526" s="4"/>
      <c r="K526" s="4"/>
      <c r="L526" s="4"/>
      <c r="M526" s="4"/>
      <c r="N526" s="3"/>
      <c r="O526" s="1"/>
      <c r="P526" s="1"/>
      <c r="Q526" s="4"/>
      <c r="R526" s="5"/>
      <c r="S526" s="4"/>
      <c r="T526" s="1"/>
      <c r="U526" s="1"/>
      <c r="V526" s="1"/>
      <c r="W526" s="1"/>
      <c r="X526" s="1"/>
      <c r="Y526" s="6"/>
      <c r="Z526" s="4"/>
      <c r="AA526" s="4"/>
      <c r="AB526" s="4"/>
      <c r="AC526" s="1"/>
      <c r="AD526" s="1"/>
      <c r="AE526" s="1"/>
      <c r="AF526" s="1"/>
      <c r="AG526" s="1"/>
      <c r="AH526" s="4"/>
      <c r="AI526" s="1"/>
      <c r="AJ526" s="11"/>
      <c r="AK526" s="6"/>
      <c r="AL526" s="3"/>
      <c r="AM526" s="1"/>
      <c r="AN526" s="1"/>
      <c r="AO526" s="1"/>
      <c r="AP526" s="1"/>
      <c r="AQ526" s="1"/>
      <c r="AR526" s="1"/>
      <c r="AS526" s="1"/>
      <c r="AT526" s="1"/>
      <c r="AU526" s="1"/>
      <c r="AV526" s="1"/>
      <c r="AW526" s="1"/>
      <c r="AX526" s="1"/>
      <c r="AY526" s="1"/>
      <c r="AZ526" s="1"/>
      <c r="BA526" s="7"/>
      <c r="BB526" s="47"/>
      <c r="BC526" s="47"/>
      <c r="BD526" s="47"/>
      <c r="BE526" s="47"/>
      <c r="BF526" s="47"/>
      <c r="BG526" s="47"/>
      <c r="BH526" s="47"/>
      <c r="BI526" s="47"/>
      <c r="BJ526" s="47"/>
      <c r="BK526" s="47"/>
      <c r="BL526" s="47"/>
    </row>
    <row r="527" spans="1:64" ht="28.5" customHeight="1">
      <c r="A527" s="1"/>
      <c r="B527" s="139"/>
      <c r="C527" s="1"/>
      <c r="D527" s="1"/>
      <c r="E527" s="1"/>
      <c r="F527" s="1"/>
      <c r="G527" s="1"/>
      <c r="H527" s="4"/>
      <c r="I527" s="4"/>
      <c r="J527" s="4"/>
      <c r="K527" s="4"/>
      <c r="L527" s="4"/>
      <c r="M527" s="4"/>
      <c r="N527" s="3"/>
      <c r="O527" s="1"/>
      <c r="P527" s="1"/>
      <c r="Q527" s="4"/>
      <c r="R527" s="5"/>
      <c r="S527" s="4"/>
      <c r="T527" s="1"/>
      <c r="U527" s="1"/>
      <c r="V527" s="1"/>
      <c r="W527" s="1"/>
      <c r="X527" s="1"/>
      <c r="Y527" s="6"/>
      <c r="Z527" s="4"/>
      <c r="AA527" s="4"/>
      <c r="AB527" s="4"/>
      <c r="AC527" s="1"/>
      <c r="AD527" s="1"/>
      <c r="AE527" s="1"/>
      <c r="AF527" s="1"/>
      <c r="AG527" s="1"/>
      <c r="AH527" s="4"/>
      <c r="AI527" s="1"/>
      <c r="AJ527" s="11"/>
      <c r="AK527" s="6"/>
      <c r="AL527" s="3"/>
      <c r="AM527" s="1"/>
      <c r="AN527" s="1"/>
      <c r="AO527" s="1"/>
      <c r="AP527" s="1"/>
      <c r="AQ527" s="1"/>
      <c r="AR527" s="1"/>
      <c r="AS527" s="1"/>
      <c r="AT527" s="1"/>
      <c r="AU527" s="1"/>
      <c r="AV527" s="1"/>
      <c r="AW527" s="1"/>
      <c r="AX527" s="1"/>
      <c r="AY527" s="1"/>
      <c r="AZ527" s="1"/>
      <c r="BA527" s="7"/>
      <c r="BB527" s="47"/>
      <c r="BC527" s="47"/>
      <c r="BD527" s="47"/>
      <c r="BE527" s="47"/>
      <c r="BF527" s="47"/>
      <c r="BG527" s="47"/>
      <c r="BH527" s="47"/>
      <c r="BI527" s="47"/>
      <c r="BJ527" s="47"/>
      <c r="BK527" s="47"/>
      <c r="BL527" s="47"/>
    </row>
    <row r="528" spans="1:64" ht="28.5" customHeight="1">
      <c r="A528" s="1"/>
      <c r="B528" s="139"/>
      <c r="C528" s="1"/>
      <c r="D528" s="1"/>
      <c r="E528" s="1"/>
      <c r="F528" s="1"/>
      <c r="G528" s="1"/>
      <c r="H528" s="4"/>
      <c r="I528" s="4"/>
      <c r="J528" s="4"/>
      <c r="K528" s="4"/>
      <c r="L528" s="4"/>
      <c r="M528" s="4"/>
      <c r="N528" s="3"/>
      <c r="O528" s="1"/>
      <c r="P528" s="1"/>
      <c r="Q528" s="4"/>
      <c r="R528" s="5"/>
      <c r="S528" s="4"/>
      <c r="T528" s="1"/>
      <c r="U528" s="1"/>
      <c r="V528" s="1"/>
      <c r="W528" s="1"/>
      <c r="X528" s="1"/>
      <c r="Y528" s="6"/>
      <c r="Z528" s="4"/>
      <c r="AA528" s="4"/>
      <c r="AB528" s="4"/>
      <c r="AC528" s="1"/>
      <c r="AD528" s="1"/>
      <c r="AE528" s="1"/>
      <c r="AF528" s="1"/>
      <c r="AG528" s="1"/>
      <c r="AH528" s="4"/>
      <c r="AI528" s="1"/>
      <c r="AJ528" s="11"/>
      <c r="AK528" s="6"/>
      <c r="AL528" s="3"/>
      <c r="AM528" s="1"/>
      <c r="AN528" s="1"/>
      <c r="AO528" s="1"/>
      <c r="AP528" s="1"/>
      <c r="AQ528" s="1"/>
      <c r="AR528" s="1"/>
      <c r="AS528" s="1"/>
      <c r="AT528" s="1"/>
      <c r="AU528" s="1"/>
      <c r="AV528" s="1"/>
      <c r="AW528" s="1"/>
      <c r="AX528" s="1"/>
      <c r="AY528" s="1"/>
      <c r="AZ528" s="1"/>
      <c r="BA528" s="7"/>
      <c r="BB528" s="47"/>
      <c r="BC528" s="47"/>
      <c r="BD528" s="47"/>
      <c r="BE528" s="47"/>
      <c r="BF528" s="47"/>
      <c r="BG528" s="47"/>
      <c r="BH528" s="47"/>
      <c r="BI528" s="47"/>
      <c r="BJ528" s="47"/>
      <c r="BK528" s="47"/>
      <c r="BL528" s="47"/>
    </row>
    <row r="529" spans="1:64" ht="28.5" customHeight="1">
      <c r="A529" s="1"/>
      <c r="B529" s="139"/>
      <c r="C529" s="1"/>
      <c r="D529" s="1"/>
      <c r="E529" s="1"/>
      <c r="F529" s="1"/>
      <c r="G529" s="1"/>
      <c r="H529" s="4"/>
      <c r="I529" s="4"/>
      <c r="J529" s="4"/>
      <c r="K529" s="4"/>
      <c r="L529" s="4"/>
      <c r="M529" s="4"/>
      <c r="N529" s="3"/>
      <c r="O529" s="1"/>
      <c r="P529" s="1"/>
      <c r="Q529" s="4"/>
      <c r="R529" s="5"/>
      <c r="S529" s="4"/>
      <c r="T529" s="1"/>
      <c r="U529" s="1"/>
      <c r="V529" s="1"/>
      <c r="W529" s="1"/>
      <c r="X529" s="1"/>
      <c r="Y529" s="6"/>
      <c r="Z529" s="4"/>
      <c r="AA529" s="4"/>
      <c r="AB529" s="4"/>
      <c r="AC529" s="1"/>
      <c r="AD529" s="1"/>
      <c r="AE529" s="1"/>
      <c r="AF529" s="1"/>
      <c r="AG529" s="1"/>
      <c r="AH529" s="4"/>
      <c r="AI529" s="1"/>
      <c r="AJ529" s="11"/>
      <c r="AK529" s="6"/>
      <c r="AL529" s="3"/>
      <c r="AM529" s="1"/>
      <c r="AN529" s="1"/>
      <c r="AO529" s="1"/>
      <c r="AP529" s="1"/>
      <c r="AQ529" s="1"/>
      <c r="AR529" s="1"/>
      <c r="AS529" s="1"/>
      <c r="AT529" s="1"/>
      <c r="AU529" s="1"/>
      <c r="AV529" s="1"/>
      <c r="AW529" s="1"/>
      <c r="AX529" s="1"/>
      <c r="AY529" s="1"/>
      <c r="AZ529" s="1"/>
      <c r="BA529" s="7"/>
      <c r="BB529" s="47"/>
      <c r="BC529" s="47"/>
      <c r="BD529" s="47"/>
      <c r="BE529" s="47"/>
      <c r="BF529" s="47"/>
      <c r="BG529" s="47"/>
      <c r="BH529" s="47"/>
      <c r="BI529" s="47"/>
      <c r="BJ529" s="47"/>
      <c r="BK529" s="47"/>
      <c r="BL529" s="47"/>
    </row>
    <row r="530" spans="1:64" ht="28.5" customHeight="1">
      <c r="A530" s="1"/>
      <c r="B530" s="139"/>
      <c r="C530" s="1"/>
      <c r="D530" s="1"/>
      <c r="E530" s="1"/>
      <c r="F530" s="1"/>
      <c r="G530" s="1"/>
      <c r="H530" s="4"/>
      <c r="I530" s="4"/>
      <c r="J530" s="4"/>
      <c r="K530" s="4"/>
      <c r="L530" s="4"/>
      <c r="M530" s="4"/>
      <c r="N530" s="3"/>
      <c r="O530" s="1"/>
      <c r="P530" s="1"/>
      <c r="Q530" s="4"/>
      <c r="R530" s="5"/>
      <c r="S530" s="4"/>
      <c r="T530" s="1"/>
      <c r="U530" s="1"/>
      <c r="V530" s="1"/>
      <c r="W530" s="1"/>
      <c r="X530" s="1"/>
      <c r="Y530" s="6"/>
      <c r="Z530" s="4"/>
      <c r="AA530" s="4"/>
      <c r="AB530" s="4"/>
      <c r="AC530" s="1"/>
      <c r="AD530" s="1"/>
      <c r="AE530" s="1"/>
      <c r="AF530" s="1"/>
      <c r="AG530" s="1"/>
      <c r="AH530" s="4"/>
      <c r="AI530" s="1"/>
      <c r="AJ530" s="11"/>
      <c r="AK530" s="6"/>
      <c r="AL530" s="3"/>
      <c r="AM530" s="1"/>
      <c r="AN530" s="1"/>
      <c r="AO530" s="1"/>
      <c r="AP530" s="1"/>
      <c r="AQ530" s="1"/>
      <c r="AR530" s="1"/>
      <c r="AS530" s="1"/>
      <c r="AT530" s="1"/>
      <c r="AU530" s="1"/>
      <c r="AV530" s="1"/>
      <c r="AW530" s="1"/>
      <c r="AX530" s="1"/>
      <c r="AY530" s="1"/>
      <c r="AZ530" s="1"/>
      <c r="BA530" s="7"/>
      <c r="BB530" s="47"/>
      <c r="BC530" s="47"/>
      <c r="BD530" s="47"/>
      <c r="BE530" s="47"/>
      <c r="BF530" s="47"/>
      <c r="BG530" s="47"/>
      <c r="BH530" s="47"/>
      <c r="BI530" s="47"/>
      <c r="BJ530" s="47"/>
      <c r="BK530" s="47"/>
      <c r="BL530" s="47"/>
    </row>
    <row r="531" spans="1:64" ht="28.5" customHeight="1">
      <c r="A531" s="1"/>
      <c r="B531" s="139"/>
      <c r="C531" s="1"/>
      <c r="D531" s="1"/>
      <c r="E531" s="1"/>
      <c r="F531" s="1"/>
      <c r="G531" s="1"/>
      <c r="H531" s="4"/>
      <c r="I531" s="4"/>
      <c r="J531" s="4"/>
      <c r="K531" s="4"/>
      <c r="L531" s="4"/>
      <c r="M531" s="4"/>
      <c r="N531" s="3"/>
      <c r="O531" s="1"/>
      <c r="P531" s="1"/>
      <c r="Q531" s="4"/>
      <c r="R531" s="5"/>
      <c r="S531" s="4"/>
      <c r="T531" s="1"/>
      <c r="U531" s="1"/>
      <c r="V531" s="1"/>
      <c r="W531" s="1"/>
      <c r="X531" s="1"/>
      <c r="Y531" s="6"/>
      <c r="Z531" s="4"/>
      <c r="AA531" s="4"/>
      <c r="AB531" s="4"/>
      <c r="AC531" s="1"/>
      <c r="AD531" s="1"/>
      <c r="AE531" s="1"/>
      <c r="AF531" s="1"/>
      <c r="AG531" s="1"/>
      <c r="AH531" s="4"/>
      <c r="AI531" s="1"/>
      <c r="AJ531" s="11"/>
      <c r="AK531" s="6"/>
      <c r="AL531" s="3"/>
      <c r="AM531" s="1"/>
      <c r="AN531" s="1"/>
      <c r="AO531" s="1"/>
      <c r="AP531" s="1"/>
      <c r="AQ531" s="1"/>
      <c r="AR531" s="1"/>
      <c r="AS531" s="1"/>
      <c r="AT531" s="1"/>
      <c r="AU531" s="1"/>
      <c r="AV531" s="1"/>
      <c r="AW531" s="1"/>
      <c r="AX531" s="1"/>
      <c r="AY531" s="1"/>
      <c r="AZ531" s="1"/>
      <c r="BA531" s="7"/>
      <c r="BB531" s="47"/>
      <c r="BC531" s="47"/>
      <c r="BD531" s="47"/>
      <c r="BE531" s="47"/>
      <c r="BF531" s="47"/>
      <c r="BG531" s="47"/>
      <c r="BH531" s="47"/>
      <c r="BI531" s="47"/>
      <c r="BJ531" s="47"/>
      <c r="BK531" s="47"/>
      <c r="BL531" s="47"/>
    </row>
    <row r="532" spans="1:64" ht="28.5" customHeight="1">
      <c r="A532" s="1"/>
      <c r="B532" s="139"/>
      <c r="C532" s="1"/>
      <c r="D532" s="1"/>
      <c r="E532" s="1"/>
      <c r="F532" s="1"/>
      <c r="G532" s="1"/>
      <c r="H532" s="4"/>
      <c r="I532" s="4"/>
      <c r="J532" s="4"/>
      <c r="K532" s="4"/>
      <c r="L532" s="4"/>
      <c r="M532" s="4"/>
      <c r="N532" s="3"/>
      <c r="O532" s="1"/>
      <c r="P532" s="1"/>
      <c r="Q532" s="4"/>
      <c r="R532" s="5"/>
      <c r="S532" s="4"/>
      <c r="T532" s="1"/>
      <c r="U532" s="1"/>
      <c r="V532" s="1"/>
      <c r="W532" s="1"/>
      <c r="X532" s="1"/>
      <c r="Y532" s="6"/>
      <c r="Z532" s="4"/>
      <c r="AA532" s="4"/>
      <c r="AB532" s="4"/>
      <c r="AC532" s="1"/>
      <c r="AD532" s="1"/>
      <c r="AE532" s="1"/>
      <c r="AF532" s="1"/>
      <c r="AG532" s="1"/>
      <c r="AH532" s="4"/>
      <c r="AI532" s="1"/>
      <c r="AJ532" s="11"/>
      <c r="AK532" s="6"/>
      <c r="AL532" s="3"/>
      <c r="AM532" s="1"/>
      <c r="AN532" s="1"/>
      <c r="AO532" s="1"/>
      <c r="AP532" s="1"/>
      <c r="AQ532" s="1"/>
      <c r="AR532" s="1"/>
      <c r="AS532" s="1"/>
      <c r="AT532" s="1"/>
      <c r="AU532" s="1"/>
      <c r="AV532" s="1"/>
      <c r="AW532" s="1"/>
      <c r="AX532" s="1"/>
      <c r="AY532" s="1"/>
      <c r="AZ532" s="1"/>
      <c r="BA532" s="7"/>
      <c r="BB532" s="47"/>
      <c r="BC532" s="47"/>
      <c r="BD532" s="47"/>
      <c r="BE532" s="47"/>
      <c r="BF532" s="47"/>
      <c r="BG532" s="47"/>
      <c r="BH532" s="47"/>
      <c r="BI532" s="47"/>
      <c r="BJ532" s="47"/>
      <c r="BK532" s="47"/>
      <c r="BL532" s="47"/>
    </row>
    <row r="533" spans="1:64" ht="28.5" customHeight="1">
      <c r="A533" s="1"/>
      <c r="B533" s="139"/>
      <c r="C533" s="1"/>
      <c r="D533" s="1"/>
      <c r="E533" s="1"/>
      <c r="F533" s="1"/>
      <c r="G533" s="1"/>
      <c r="H533" s="4"/>
      <c r="I533" s="4"/>
      <c r="J533" s="4"/>
      <c r="K533" s="4"/>
      <c r="L533" s="4"/>
      <c r="M533" s="4"/>
      <c r="N533" s="3"/>
      <c r="O533" s="1"/>
      <c r="P533" s="1"/>
      <c r="Q533" s="4"/>
      <c r="R533" s="5"/>
      <c r="S533" s="4"/>
      <c r="T533" s="1"/>
      <c r="U533" s="1"/>
      <c r="V533" s="1"/>
      <c r="W533" s="1"/>
      <c r="X533" s="1"/>
      <c r="Y533" s="6"/>
      <c r="Z533" s="4"/>
      <c r="AA533" s="4"/>
      <c r="AB533" s="4"/>
      <c r="AC533" s="1"/>
      <c r="AD533" s="1"/>
      <c r="AE533" s="1"/>
      <c r="AF533" s="1"/>
      <c r="AG533" s="1"/>
      <c r="AH533" s="4"/>
      <c r="AI533" s="1"/>
      <c r="AJ533" s="11"/>
      <c r="AK533" s="6"/>
      <c r="AL533" s="3"/>
      <c r="AM533" s="1"/>
      <c r="AN533" s="1"/>
      <c r="AO533" s="1"/>
      <c r="AP533" s="1"/>
      <c r="AQ533" s="1"/>
      <c r="AR533" s="1"/>
      <c r="AS533" s="1"/>
      <c r="AT533" s="1"/>
      <c r="AU533" s="1"/>
      <c r="AV533" s="1"/>
      <c r="AW533" s="1"/>
      <c r="AX533" s="1"/>
      <c r="AY533" s="1"/>
      <c r="AZ533" s="1"/>
      <c r="BA533" s="7"/>
      <c r="BB533" s="47"/>
      <c r="BC533" s="47"/>
      <c r="BD533" s="47"/>
      <c r="BE533" s="47"/>
      <c r="BF533" s="47"/>
      <c r="BG533" s="47"/>
      <c r="BH533" s="47"/>
      <c r="BI533" s="47"/>
      <c r="BJ533" s="47"/>
      <c r="BK533" s="47"/>
      <c r="BL533" s="47"/>
    </row>
    <row r="534" spans="1:64" ht="28.5" customHeight="1">
      <c r="A534" s="1"/>
      <c r="B534" s="139"/>
      <c r="C534" s="1"/>
      <c r="D534" s="1"/>
      <c r="E534" s="1"/>
      <c r="F534" s="1"/>
      <c r="G534" s="1"/>
      <c r="H534" s="4"/>
      <c r="I534" s="4"/>
      <c r="J534" s="4"/>
      <c r="K534" s="4"/>
      <c r="L534" s="4"/>
      <c r="M534" s="4"/>
      <c r="N534" s="3"/>
      <c r="O534" s="1"/>
      <c r="P534" s="1"/>
      <c r="Q534" s="4"/>
      <c r="R534" s="5"/>
      <c r="S534" s="4"/>
      <c r="T534" s="1"/>
      <c r="U534" s="1"/>
      <c r="V534" s="1"/>
      <c r="W534" s="1"/>
      <c r="X534" s="1"/>
      <c r="Y534" s="6"/>
      <c r="Z534" s="4"/>
      <c r="AA534" s="4"/>
      <c r="AB534" s="4"/>
      <c r="AC534" s="1"/>
      <c r="AD534" s="1"/>
      <c r="AE534" s="1"/>
      <c r="AF534" s="1"/>
      <c r="AG534" s="1"/>
      <c r="AH534" s="4"/>
      <c r="AI534" s="1"/>
      <c r="AJ534" s="11"/>
      <c r="AK534" s="6"/>
      <c r="AL534" s="3"/>
      <c r="AM534" s="1"/>
      <c r="AN534" s="1"/>
      <c r="AO534" s="1"/>
      <c r="AP534" s="1"/>
      <c r="AQ534" s="1"/>
      <c r="AR534" s="1"/>
      <c r="AS534" s="1"/>
      <c r="AT534" s="1"/>
      <c r="AU534" s="1"/>
      <c r="AV534" s="1"/>
      <c r="AW534" s="1"/>
      <c r="AX534" s="1"/>
      <c r="AY534" s="1"/>
      <c r="AZ534" s="1"/>
      <c r="BA534" s="7"/>
      <c r="BB534" s="47"/>
      <c r="BC534" s="47"/>
      <c r="BD534" s="47"/>
      <c r="BE534" s="47"/>
      <c r="BF534" s="47"/>
      <c r="BG534" s="47"/>
      <c r="BH534" s="47"/>
      <c r="BI534" s="47"/>
      <c r="BJ534" s="47"/>
      <c r="BK534" s="47"/>
      <c r="BL534" s="47"/>
    </row>
    <row r="535" spans="1:64" ht="28.5" customHeight="1">
      <c r="A535" s="1"/>
      <c r="B535" s="139"/>
      <c r="C535" s="1"/>
      <c r="D535" s="1"/>
      <c r="E535" s="1"/>
      <c r="F535" s="1"/>
      <c r="G535" s="1"/>
      <c r="H535" s="4"/>
      <c r="I535" s="4"/>
      <c r="J535" s="4"/>
      <c r="K535" s="4"/>
      <c r="L535" s="4"/>
      <c r="M535" s="4"/>
      <c r="N535" s="3"/>
      <c r="O535" s="1"/>
      <c r="P535" s="1"/>
      <c r="Q535" s="4"/>
      <c r="R535" s="5"/>
      <c r="S535" s="4"/>
      <c r="T535" s="1"/>
      <c r="U535" s="1"/>
      <c r="V535" s="1"/>
      <c r="W535" s="1"/>
      <c r="X535" s="1"/>
      <c r="Y535" s="6"/>
      <c r="Z535" s="4"/>
      <c r="AA535" s="4"/>
      <c r="AB535" s="4"/>
      <c r="AC535" s="1"/>
      <c r="AD535" s="1"/>
      <c r="AE535" s="1"/>
      <c r="AF535" s="1"/>
      <c r="AG535" s="1"/>
      <c r="AH535" s="4"/>
      <c r="AI535" s="1"/>
      <c r="AJ535" s="11"/>
      <c r="AK535" s="6"/>
      <c r="AL535" s="3"/>
      <c r="AM535" s="1"/>
      <c r="AN535" s="1"/>
      <c r="AO535" s="1"/>
      <c r="AP535" s="1"/>
      <c r="AQ535" s="1"/>
      <c r="AR535" s="1"/>
      <c r="AS535" s="1"/>
      <c r="AT535" s="1"/>
      <c r="AU535" s="1"/>
      <c r="AV535" s="1"/>
      <c r="AW535" s="1"/>
      <c r="AX535" s="1"/>
      <c r="AY535" s="1"/>
      <c r="AZ535" s="1"/>
      <c r="BA535" s="7"/>
      <c r="BB535" s="47"/>
      <c r="BC535" s="47"/>
      <c r="BD535" s="47"/>
      <c r="BE535" s="47"/>
      <c r="BF535" s="47"/>
      <c r="BG535" s="47"/>
      <c r="BH535" s="47"/>
      <c r="BI535" s="47"/>
      <c r="BJ535" s="47"/>
      <c r="BK535" s="47"/>
      <c r="BL535" s="47"/>
    </row>
    <row r="536" spans="1:64" ht="28.5" customHeight="1">
      <c r="A536" s="1"/>
      <c r="B536" s="139"/>
      <c r="C536" s="1"/>
      <c r="D536" s="1"/>
      <c r="E536" s="1"/>
      <c r="F536" s="1"/>
      <c r="G536" s="1"/>
      <c r="H536" s="4"/>
      <c r="I536" s="4"/>
      <c r="J536" s="4"/>
      <c r="K536" s="4"/>
      <c r="L536" s="4"/>
      <c r="M536" s="4"/>
      <c r="N536" s="3"/>
      <c r="O536" s="1"/>
      <c r="P536" s="1"/>
      <c r="Q536" s="4"/>
      <c r="R536" s="5"/>
      <c r="S536" s="4"/>
      <c r="T536" s="1"/>
      <c r="U536" s="1"/>
      <c r="V536" s="1"/>
      <c r="W536" s="1"/>
      <c r="X536" s="1"/>
      <c r="Y536" s="6"/>
      <c r="Z536" s="4"/>
      <c r="AA536" s="4"/>
      <c r="AB536" s="4"/>
      <c r="AC536" s="1"/>
      <c r="AD536" s="1"/>
      <c r="AE536" s="1"/>
      <c r="AF536" s="1"/>
      <c r="AG536" s="1"/>
      <c r="AH536" s="4"/>
      <c r="AI536" s="1"/>
      <c r="AJ536" s="11"/>
      <c r="AK536" s="6"/>
      <c r="AL536" s="3"/>
      <c r="AM536" s="1"/>
      <c r="AN536" s="1"/>
      <c r="AO536" s="1"/>
      <c r="AP536" s="1"/>
      <c r="AQ536" s="1"/>
      <c r="AR536" s="1"/>
      <c r="AS536" s="1"/>
      <c r="AT536" s="1"/>
      <c r="AU536" s="1"/>
      <c r="AV536" s="1"/>
      <c r="AW536" s="1"/>
      <c r="AX536" s="1"/>
      <c r="AY536" s="1"/>
      <c r="AZ536" s="1"/>
      <c r="BA536" s="7"/>
      <c r="BB536" s="47"/>
      <c r="BC536" s="47"/>
      <c r="BD536" s="47"/>
      <c r="BE536" s="47"/>
      <c r="BF536" s="47"/>
      <c r="BG536" s="47"/>
      <c r="BH536" s="47"/>
      <c r="BI536" s="47"/>
      <c r="BJ536" s="47"/>
      <c r="BK536" s="47"/>
      <c r="BL536" s="47"/>
    </row>
    <row r="537" spans="1:64" ht="28.5" customHeight="1">
      <c r="A537" s="1"/>
      <c r="B537" s="139"/>
      <c r="C537" s="1"/>
      <c r="D537" s="1"/>
      <c r="E537" s="1"/>
      <c r="F537" s="1"/>
      <c r="G537" s="1"/>
      <c r="H537" s="4"/>
      <c r="I537" s="4"/>
      <c r="J537" s="4"/>
      <c r="K537" s="4"/>
      <c r="L537" s="4"/>
      <c r="M537" s="4"/>
      <c r="N537" s="3"/>
      <c r="O537" s="1"/>
      <c r="P537" s="1"/>
      <c r="Q537" s="4"/>
      <c r="R537" s="5"/>
      <c r="S537" s="4"/>
      <c r="T537" s="1"/>
      <c r="U537" s="1"/>
      <c r="V537" s="1"/>
      <c r="W537" s="1"/>
      <c r="X537" s="1"/>
      <c r="Y537" s="6"/>
      <c r="Z537" s="4"/>
      <c r="AA537" s="4"/>
      <c r="AB537" s="4"/>
      <c r="AC537" s="1"/>
      <c r="AD537" s="1"/>
      <c r="AE537" s="1"/>
      <c r="AF537" s="1"/>
      <c r="AG537" s="1"/>
      <c r="AH537" s="4"/>
      <c r="AI537" s="1"/>
      <c r="AJ537" s="11"/>
      <c r="AK537" s="6"/>
      <c r="AL537" s="3"/>
      <c r="AM537" s="1"/>
      <c r="AN537" s="1"/>
      <c r="AO537" s="1"/>
      <c r="AP537" s="1"/>
      <c r="AQ537" s="1"/>
      <c r="AR537" s="1"/>
      <c r="AS537" s="1"/>
      <c r="AT537" s="1"/>
      <c r="AU537" s="1"/>
      <c r="AV537" s="1"/>
      <c r="AW537" s="1"/>
      <c r="AX537" s="1"/>
      <c r="AY537" s="1"/>
      <c r="AZ537" s="1"/>
      <c r="BA537" s="7"/>
      <c r="BB537" s="47"/>
      <c r="BC537" s="47"/>
      <c r="BD537" s="47"/>
      <c r="BE537" s="47"/>
      <c r="BF537" s="47"/>
      <c r="BG537" s="47"/>
      <c r="BH537" s="47"/>
      <c r="BI537" s="47"/>
      <c r="BJ537" s="47"/>
      <c r="BK537" s="47"/>
      <c r="BL537" s="47"/>
    </row>
    <row r="538" spans="1:64" ht="28.5" customHeight="1">
      <c r="A538" s="1"/>
      <c r="B538" s="139"/>
      <c r="C538" s="1"/>
      <c r="D538" s="1"/>
      <c r="E538" s="1"/>
      <c r="F538" s="1"/>
      <c r="G538" s="1"/>
      <c r="H538" s="4"/>
      <c r="I538" s="4"/>
      <c r="J538" s="4"/>
      <c r="K538" s="4"/>
      <c r="L538" s="4"/>
      <c r="M538" s="4"/>
      <c r="N538" s="3"/>
      <c r="O538" s="1"/>
      <c r="P538" s="1"/>
      <c r="Q538" s="4"/>
      <c r="R538" s="5"/>
      <c r="S538" s="4"/>
      <c r="T538" s="1"/>
      <c r="U538" s="1"/>
      <c r="V538" s="1"/>
      <c r="W538" s="1"/>
      <c r="X538" s="1"/>
      <c r="Y538" s="6"/>
      <c r="Z538" s="4"/>
      <c r="AA538" s="4"/>
      <c r="AB538" s="4"/>
      <c r="AC538" s="1"/>
      <c r="AD538" s="1"/>
      <c r="AE538" s="1"/>
      <c r="AF538" s="1"/>
      <c r="AG538" s="1"/>
      <c r="AH538" s="4"/>
      <c r="AI538" s="1"/>
      <c r="AJ538" s="11"/>
      <c r="AK538" s="6"/>
      <c r="AL538" s="3"/>
      <c r="AM538" s="1"/>
      <c r="AN538" s="1"/>
      <c r="AO538" s="1"/>
      <c r="AP538" s="1"/>
      <c r="AQ538" s="1"/>
      <c r="AR538" s="1"/>
      <c r="AS538" s="1"/>
      <c r="AT538" s="1"/>
      <c r="AU538" s="1"/>
      <c r="AV538" s="1"/>
      <c r="AW538" s="1"/>
      <c r="AX538" s="1"/>
      <c r="AY538" s="1"/>
      <c r="AZ538" s="1"/>
      <c r="BA538" s="7"/>
      <c r="BB538" s="47"/>
      <c r="BC538" s="47"/>
      <c r="BD538" s="47"/>
      <c r="BE538" s="47"/>
      <c r="BF538" s="47"/>
      <c r="BG538" s="47"/>
      <c r="BH538" s="47"/>
      <c r="BI538" s="47"/>
      <c r="BJ538" s="47"/>
      <c r="BK538" s="47"/>
      <c r="BL538" s="47"/>
    </row>
    <row r="539" spans="1:64" ht="28.5" customHeight="1">
      <c r="A539" s="1"/>
      <c r="B539" s="139"/>
      <c r="C539" s="1"/>
      <c r="D539" s="1"/>
      <c r="E539" s="1"/>
      <c r="F539" s="1"/>
      <c r="G539" s="1"/>
      <c r="H539" s="4"/>
      <c r="I539" s="4"/>
      <c r="J539" s="4"/>
      <c r="K539" s="4"/>
      <c r="L539" s="4"/>
      <c r="M539" s="4"/>
      <c r="N539" s="3"/>
      <c r="O539" s="1"/>
      <c r="P539" s="1"/>
      <c r="Q539" s="4"/>
      <c r="R539" s="5"/>
      <c r="S539" s="4"/>
      <c r="T539" s="1"/>
      <c r="U539" s="1"/>
      <c r="V539" s="1"/>
      <c r="W539" s="1"/>
      <c r="X539" s="1"/>
      <c r="Y539" s="6"/>
      <c r="Z539" s="4"/>
      <c r="AA539" s="4"/>
      <c r="AB539" s="4"/>
      <c r="AC539" s="1"/>
      <c r="AD539" s="1"/>
      <c r="AE539" s="1"/>
      <c r="AF539" s="1"/>
      <c r="AG539" s="1"/>
      <c r="AH539" s="4"/>
      <c r="AI539" s="1"/>
      <c r="AJ539" s="11"/>
      <c r="AK539" s="6"/>
      <c r="AL539" s="3"/>
      <c r="AM539" s="1"/>
      <c r="AN539" s="1"/>
      <c r="AO539" s="1"/>
      <c r="AP539" s="1"/>
      <c r="AQ539" s="1"/>
      <c r="AR539" s="1"/>
      <c r="AS539" s="1"/>
      <c r="AT539" s="1"/>
      <c r="AU539" s="1"/>
      <c r="AV539" s="1"/>
      <c r="AW539" s="1"/>
      <c r="AX539" s="1"/>
      <c r="AY539" s="1"/>
      <c r="AZ539" s="1"/>
      <c r="BA539" s="7"/>
      <c r="BB539" s="47"/>
      <c r="BC539" s="47"/>
      <c r="BD539" s="47"/>
      <c r="BE539" s="47"/>
      <c r="BF539" s="47"/>
      <c r="BG539" s="47"/>
      <c r="BH539" s="47"/>
      <c r="BI539" s="47"/>
      <c r="BJ539" s="47"/>
      <c r="BK539" s="47"/>
      <c r="BL539" s="47"/>
    </row>
    <row r="540" spans="1:64" ht="28.5" customHeight="1">
      <c r="A540" s="1"/>
      <c r="B540" s="139"/>
      <c r="C540" s="1"/>
      <c r="D540" s="1"/>
      <c r="E540" s="1"/>
      <c r="F540" s="1"/>
      <c r="G540" s="1"/>
      <c r="H540" s="4"/>
      <c r="I540" s="4"/>
      <c r="J540" s="4"/>
      <c r="K540" s="4"/>
      <c r="L540" s="4"/>
      <c r="M540" s="4"/>
      <c r="N540" s="3"/>
      <c r="O540" s="1"/>
      <c r="P540" s="1"/>
      <c r="Q540" s="4"/>
      <c r="R540" s="5"/>
      <c r="S540" s="4"/>
      <c r="T540" s="1"/>
      <c r="U540" s="1"/>
      <c r="V540" s="1"/>
      <c r="W540" s="1"/>
      <c r="X540" s="1"/>
      <c r="Y540" s="6"/>
      <c r="Z540" s="4"/>
      <c r="AA540" s="4"/>
      <c r="AB540" s="4"/>
      <c r="AC540" s="1"/>
      <c r="AD540" s="1"/>
      <c r="AE540" s="1"/>
      <c r="AF540" s="1"/>
      <c r="AG540" s="1"/>
      <c r="AH540" s="4"/>
      <c r="AI540" s="1"/>
      <c r="AJ540" s="3"/>
      <c r="AK540" s="4"/>
      <c r="AL540" s="6"/>
      <c r="AM540" s="7"/>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row>
    <row r="541" spans="1:64" ht="16.5" customHeight="1">
      <c r="A541" s="1"/>
      <c r="B541" s="139"/>
      <c r="C541" s="1"/>
      <c r="D541" s="1"/>
      <c r="E541" s="1"/>
      <c r="F541" s="1"/>
      <c r="G541" s="1"/>
      <c r="H541" s="4"/>
      <c r="I541" s="4"/>
      <c r="J541" s="4"/>
      <c r="K541" s="4"/>
      <c r="L541" s="4"/>
      <c r="M541" s="4"/>
      <c r="N541" s="3"/>
      <c r="O541" s="1"/>
      <c r="P541" s="1"/>
      <c r="Q541" s="4"/>
      <c r="R541" s="5"/>
      <c r="S541" s="4"/>
      <c r="T541" s="1"/>
      <c r="U541" s="1"/>
      <c r="V541" s="1"/>
      <c r="W541" s="1"/>
      <c r="X541" s="1"/>
      <c r="Y541" s="6"/>
      <c r="Z541" s="4"/>
      <c r="AA541" s="4"/>
      <c r="AB541" s="4"/>
      <c r="AC541" s="1"/>
      <c r="AD541" s="1"/>
      <c r="AE541" s="1"/>
      <c r="AF541" s="1"/>
      <c r="AG541" s="1"/>
      <c r="AH541" s="4"/>
      <c r="AI541" s="1"/>
      <c r="AJ541" s="3"/>
      <c r="AK541" s="4"/>
      <c r="AL541" s="6"/>
      <c r="AM541" s="7"/>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row>
    <row r="542" spans="1:64" ht="16.5" customHeight="1">
      <c r="A542" s="1"/>
      <c r="B542" s="139"/>
      <c r="C542" s="1"/>
      <c r="D542" s="1"/>
      <c r="E542" s="1"/>
      <c r="F542" s="1"/>
      <c r="G542" s="1"/>
      <c r="H542" s="4"/>
      <c r="I542" s="4"/>
      <c r="J542" s="4"/>
      <c r="K542" s="4"/>
      <c r="L542" s="4"/>
      <c r="M542" s="4"/>
      <c r="N542" s="3"/>
      <c r="O542" s="1"/>
      <c r="P542" s="1"/>
      <c r="Q542" s="4"/>
      <c r="R542" s="5"/>
      <c r="S542" s="4"/>
      <c r="T542" s="1"/>
      <c r="U542" s="1"/>
      <c r="V542" s="1"/>
      <c r="W542" s="1"/>
      <c r="X542" s="1"/>
      <c r="Y542" s="6"/>
      <c r="Z542" s="4"/>
      <c r="AA542" s="4"/>
      <c r="AB542" s="4"/>
      <c r="AC542" s="1"/>
      <c r="AD542" s="1"/>
      <c r="AE542" s="1"/>
      <c r="AF542" s="1"/>
      <c r="AG542" s="1"/>
      <c r="AH542" s="4"/>
      <c r="AI542" s="1"/>
      <c r="AJ542" s="3"/>
      <c r="AK542" s="4"/>
      <c r="AL542" s="6"/>
      <c r="AM542" s="7"/>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row>
    <row r="543" spans="1:64" ht="16.5" customHeight="1">
      <c r="A543" s="1"/>
      <c r="B543" s="139"/>
      <c r="C543" s="1"/>
      <c r="D543" s="1"/>
      <c r="E543" s="1"/>
      <c r="F543" s="1"/>
      <c r="G543" s="1"/>
      <c r="H543" s="4"/>
      <c r="I543" s="4"/>
      <c r="J543" s="4"/>
      <c r="K543" s="4"/>
      <c r="L543" s="4"/>
      <c r="M543" s="4"/>
      <c r="N543" s="3"/>
      <c r="O543" s="1"/>
      <c r="P543" s="1"/>
      <c r="Q543" s="4"/>
      <c r="R543" s="5"/>
      <c r="S543" s="4"/>
      <c r="T543" s="1"/>
      <c r="U543" s="1"/>
      <c r="V543" s="1"/>
      <c r="W543" s="1"/>
      <c r="X543" s="1"/>
      <c r="Y543" s="6"/>
      <c r="Z543" s="4"/>
      <c r="AA543" s="4"/>
      <c r="AB543" s="4"/>
      <c r="AC543" s="1"/>
      <c r="AD543" s="1"/>
      <c r="AE543" s="1"/>
      <c r="AF543" s="1"/>
      <c r="AG543" s="1"/>
      <c r="AH543" s="4"/>
      <c r="AI543" s="1"/>
      <c r="AJ543" s="3"/>
      <c r="AK543" s="4"/>
      <c r="AL543" s="6"/>
      <c r="AM543" s="7"/>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row>
    <row r="544" spans="1:64" ht="16.5" customHeight="1">
      <c r="A544" s="1"/>
      <c r="B544" s="139"/>
      <c r="C544" s="1"/>
      <c r="D544" s="1"/>
      <c r="E544" s="1"/>
      <c r="F544" s="1"/>
      <c r="G544" s="1"/>
      <c r="H544" s="4"/>
      <c r="I544" s="4"/>
      <c r="J544" s="4"/>
      <c r="K544" s="4"/>
      <c r="L544" s="4"/>
      <c r="M544" s="4"/>
      <c r="N544" s="3"/>
      <c r="O544" s="1"/>
      <c r="P544" s="1"/>
      <c r="Q544" s="4"/>
      <c r="R544" s="5"/>
      <c r="S544" s="4"/>
      <c r="T544" s="1"/>
      <c r="U544" s="1"/>
      <c r="V544" s="1"/>
      <c r="W544" s="1"/>
      <c r="X544" s="1"/>
      <c r="Y544" s="6"/>
      <c r="Z544" s="4"/>
      <c r="AA544" s="4"/>
      <c r="AB544" s="4"/>
      <c r="AC544" s="1"/>
      <c r="AD544" s="1"/>
      <c r="AE544" s="1"/>
      <c r="AF544" s="1"/>
      <c r="AG544" s="1"/>
      <c r="AH544" s="4"/>
      <c r="AI544" s="1"/>
      <c r="AJ544" s="3"/>
      <c r="AK544" s="4"/>
      <c r="AL544" s="6"/>
      <c r="AM544" s="7"/>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row>
    <row r="545" spans="1:64" ht="16.5" customHeight="1">
      <c r="A545" s="1"/>
      <c r="B545" s="139"/>
      <c r="C545" s="1"/>
      <c r="D545" s="1"/>
      <c r="E545" s="1"/>
      <c r="F545" s="1"/>
      <c r="G545" s="1"/>
      <c r="H545" s="4"/>
      <c r="I545" s="4"/>
      <c r="J545" s="4"/>
      <c r="K545" s="4"/>
      <c r="L545" s="4"/>
      <c r="M545" s="4"/>
      <c r="N545" s="3"/>
      <c r="O545" s="1"/>
      <c r="P545" s="1"/>
      <c r="Q545" s="4"/>
      <c r="R545" s="5"/>
      <c r="S545" s="4"/>
      <c r="T545" s="1"/>
      <c r="U545" s="1"/>
      <c r="V545" s="1"/>
      <c r="W545" s="1"/>
      <c r="X545" s="1"/>
      <c r="Y545" s="6"/>
      <c r="Z545" s="4"/>
      <c r="AA545" s="4"/>
      <c r="AB545" s="4"/>
      <c r="AC545" s="1"/>
      <c r="AD545" s="1"/>
      <c r="AE545" s="1"/>
      <c r="AF545" s="1"/>
      <c r="AG545" s="1"/>
      <c r="AH545" s="4"/>
      <c r="AI545" s="1"/>
      <c r="AJ545" s="3"/>
      <c r="AK545" s="4"/>
      <c r="AL545" s="6"/>
      <c r="AM545" s="7"/>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row>
    <row r="546" spans="1:64" ht="16.5" customHeight="1">
      <c r="A546" s="1"/>
      <c r="B546" s="139"/>
      <c r="C546" s="1"/>
      <c r="D546" s="1"/>
      <c r="E546" s="1"/>
      <c r="F546" s="1"/>
      <c r="G546" s="1"/>
      <c r="H546" s="4"/>
      <c r="I546" s="4"/>
      <c r="J546" s="4"/>
      <c r="K546" s="4"/>
      <c r="L546" s="4"/>
      <c r="M546" s="4"/>
      <c r="N546" s="3"/>
      <c r="O546" s="1"/>
      <c r="P546" s="1"/>
      <c r="Q546" s="4"/>
      <c r="R546" s="5"/>
      <c r="S546" s="4"/>
      <c r="T546" s="1"/>
      <c r="U546" s="1"/>
      <c r="V546" s="1"/>
      <c r="W546" s="1"/>
      <c r="X546" s="1"/>
      <c r="Y546" s="6"/>
      <c r="Z546" s="4"/>
      <c r="AA546" s="4"/>
      <c r="AB546" s="4"/>
      <c r="AC546" s="1"/>
      <c r="AD546" s="1"/>
      <c r="AE546" s="1"/>
      <c r="AF546" s="1"/>
      <c r="AG546" s="1"/>
      <c r="AH546" s="4"/>
      <c r="AI546" s="1"/>
      <c r="AJ546" s="3"/>
      <c r="AK546" s="4"/>
      <c r="AL546" s="6"/>
      <c r="AM546" s="7"/>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row>
    <row r="547" spans="1:64" ht="16.5" customHeight="1">
      <c r="A547" s="1"/>
      <c r="B547" s="139"/>
      <c r="C547" s="1"/>
      <c r="D547" s="1"/>
      <c r="E547" s="1"/>
      <c r="F547" s="1"/>
      <c r="G547" s="1"/>
      <c r="H547" s="4"/>
      <c r="I547" s="4"/>
      <c r="J547" s="4"/>
      <c r="K547" s="4"/>
      <c r="L547" s="4"/>
      <c r="M547" s="4"/>
      <c r="N547" s="3"/>
      <c r="O547" s="1"/>
      <c r="P547" s="1"/>
      <c r="Q547" s="4"/>
      <c r="R547" s="5"/>
      <c r="S547" s="4"/>
      <c r="T547" s="1"/>
      <c r="U547" s="1"/>
      <c r="V547" s="1"/>
      <c r="W547" s="1"/>
      <c r="X547" s="1"/>
      <c r="Y547" s="6"/>
      <c r="Z547" s="4"/>
      <c r="AA547" s="4"/>
      <c r="AB547" s="4"/>
      <c r="AC547" s="1"/>
      <c r="AD547" s="1"/>
      <c r="AE547" s="1"/>
      <c r="AF547" s="1"/>
      <c r="AG547" s="1"/>
      <c r="AH547" s="4"/>
      <c r="AI547" s="1"/>
      <c r="AJ547" s="3"/>
      <c r="AK547" s="4"/>
      <c r="AL547" s="6"/>
      <c r="AM547" s="7"/>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row>
    <row r="548" spans="1:64" ht="16.5" customHeight="1">
      <c r="A548" s="1"/>
      <c r="B548" s="139"/>
      <c r="C548" s="1"/>
      <c r="D548" s="1"/>
      <c r="E548" s="1"/>
      <c r="F548" s="1"/>
      <c r="G548" s="1"/>
      <c r="H548" s="4"/>
      <c r="I548" s="4"/>
      <c r="J548" s="4"/>
      <c r="K548" s="4"/>
      <c r="L548" s="4"/>
      <c r="M548" s="4"/>
      <c r="N548" s="3"/>
      <c r="O548" s="1"/>
      <c r="P548" s="1"/>
      <c r="Q548" s="4"/>
      <c r="R548" s="5"/>
      <c r="S548" s="4"/>
      <c r="T548" s="1"/>
      <c r="U548" s="1"/>
      <c r="V548" s="1"/>
      <c r="W548" s="1"/>
      <c r="X548" s="1"/>
      <c r="Y548" s="6"/>
      <c r="Z548" s="4"/>
      <c r="AA548" s="4"/>
      <c r="AB548" s="4"/>
      <c r="AC548" s="1"/>
      <c r="AD548" s="1"/>
      <c r="AE548" s="1"/>
      <c r="AF548" s="1"/>
      <c r="AG548" s="1"/>
      <c r="AH548" s="4"/>
      <c r="AI548" s="1"/>
      <c r="AJ548" s="3"/>
      <c r="AK548" s="4"/>
      <c r="AL548" s="6"/>
      <c r="AM548" s="7"/>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row>
    <row r="549" spans="1:64" ht="16.5" customHeight="1">
      <c r="A549" s="1"/>
      <c r="B549" s="139"/>
      <c r="C549" s="1"/>
      <c r="D549" s="1"/>
      <c r="E549" s="1"/>
      <c r="F549" s="1"/>
      <c r="G549" s="1"/>
      <c r="H549" s="4"/>
      <c r="I549" s="4"/>
      <c r="J549" s="4"/>
      <c r="K549" s="4"/>
      <c r="L549" s="4"/>
      <c r="M549" s="4"/>
      <c r="N549" s="3"/>
      <c r="O549" s="1"/>
      <c r="P549" s="1"/>
      <c r="Q549" s="4"/>
      <c r="R549" s="5"/>
      <c r="S549" s="4"/>
      <c r="T549" s="1"/>
      <c r="U549" s="1"/>
      <c r="V549" s="1"/>
      <c r="W549" s="1"/>
      <c r="X549" s="1"/>
      <c r="Y549" s="6"/>
      <c r="Z549" s="4"/>
      <c r="AA549" s="4"/>
      <c r="AB549" s="4"/>
      <c r="AC549" s="1"/>
      <c r="AD549" s="1"/>
      <c r="AE549" s="1"/>
      <c r="AF549" s="1"/>
      <c r="AG549" s="1"/>
      <c r="AH549" s="4"/>
      <c r="AI549" s="1"/>
      <c r="AJ549" s="3"/>
      <c r="AK549" s="4"/>
      <c r="AL549" s="6"/>
      <c r="AM549" s="7"/>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row>
    <row r="550" spans="1:64" ht="16.5" customHeight="1">
      <c r="A550" s="1"/>
      <c r="B550" s="139"/>
      <c r="C550" s="1"/>
      <c r="D550" s="1"/>
      <c r="E550" s="1"/>
      <c r="F550" s="1"/>
      <c r="G550" s="1"/>
      <c r="H550" s="4"/>
      <c r="I550" s="4"/>
      <c r="J550" s="4"/>
      <c r="K550" s="4"/>
      <c r="L550" s="4"/>
      <c r="M550" s="4"/>
      <c r="N550" s="3"/>
      <c r="O550" s="1"/>
      <c r="P550" s="1"/>
      <c r="Q550" s="4"/>
      <c r="R550" s="5"/>
      <c r="S550" s="4"/>
      <c r="T550" s="1"/>
      <c r="U550" s="1"/>
      <c r="V550" s="1"/>
      <c r="W550" s="1"/>
      <c r="X550" s="1"/>
      <c r="Y550" s="6"/>
      <c r="Z550" s="4"/>
      <c r="AA550" s="4"/>
      <c r="AB550" s="4"/>
      <c r="AC550" s="1"/>
      <c r="AD550" s="1"/>
      <c r="AE550" s="1"/>
      <c r="AF550" s="1"/>
      <c r="AG550" s="1"/>
      <c r="AH550" s="4"/>
      <c r="AI550" s="1"/>
      <c r="AJ550" s="3"/>
      <c r="AK550" s="4"/>
      <c r="AL550" s="6"/>
      <c r="AM550" s="7"/>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row>
    <row r="551" spans="1:64" ht="16.5" customHeight="1">
      <c r="A551" s="1"/>
      <c r="B551" s="139"/>
      <c r="C551" s="1"/>
      <c r="D551" s="1"/>
      <c r="E551" s="1"/>
      <c r="F551" s="1"/>
      <c r="G551" s="1"/>
      <c r="H551" s="4"/>
      <c r="I551" s="4"/>
      <c r="J551" s="4"/>
      <c r="K551" s="4"/>
      <c r="L551" s="4"/>
      <c r="M551" s="4"/>
      <c r="N551" s="3"/>
      <c r="O551" s="1"/>
      <c r="P551" s="1"/>
      <c r="Q551" s="4"/>
      <c r="R551" s="5"/>
      <c r="S551" s="4"/>
      <c r="T551" s="1"/>
      <c r="U551" s="1"/>
      <c r="V551" s="1"/>
      <c r="W551" s="1"/>
      <c r="X551" s="1"/>
      <c r="Y551" s="6"/>
      <c r="Z551" s="4"/>
      <c r="AA551" s="4"/>
      <c r="AB551" s="4"/>
      <c r="AC551" s="1"/>
      <c r="AD551" s="1"/>
      <c r="AE551" s="1"/>
      <c r="AF551" s="1"/>
      <c r="AG551" s="1"/>
      <c r="AH551" s="4"/>
      <c r="AI551" s="1"/>
      <c r="AJ551" s="3"/>
      <c r="AK551" s="4"/>
      <c r="AL551" s="6"/>
      <c r="AM551" s="7"/>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row>
    <row r="552" spans="1:64" ht="16.5" customHeight="1">
      <c r="A552" s="1"/>
      <c r="B552" s="139"/>
      <c r="C552" s="1"/>
      <c r="D552" s="1"/>
      <c r="E552" s="1"/>
      <c r="F552" s="1"/>
      <c r="G552" s="1"/>
      <c r="H552" s="4"/>
      <c r="I552" s="4"/>
      <c r="J552" s="4"/>
      <c r="K552" s="4"/>
      <c r="L552" s="4"/>
      <c r="M552" s="4"/>
      <c r="N552" s="3"/>
      <c r="O552" s="1"/>
      <c r="P552" s="1"/>
      <c r="Q552" s="4"/>
      <c r="R552" s="5"/>
      <c r="S552" s="4"/>
      <c r="T552" s="1"/>
      <c r="U552" s="1"/>
      <c r="V552" s="1"/>
      <c r="W552" s="1"/>
      <c r="X552" s="1"/>
      <c r="Y552" s="6"/>
      <c r="Z552" s="4"/>
      <c r="AA552" s="4"/>
      <c r="AB552" s="4"/>
      <c r="AC552" s="1"/>
      <c r="AD552" s="1"/>
      <c r="AE552" s="1"/>
      <c r="AF552" s="1"/>
      <c r="AG552" s="1"/>
      <c r="AH552" s="4"/>
      <c r="AI552" s="1"/>
      <c r="AJ552" s="3"/>
      <c r="AK552" s="4"/>
      <c r="AL552" s="6"/>
      <c r="AM552" s="7"/>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row>
    <row r="553" spans="1:64" ht="16.5" customHeight="1">
      <c r="A553" s="1"/>
      <c r="B553" s="139"/>
      <c r="C553" s="1"/>
      <c r="D553" s="1"/>
      <c r="E553" s="1"/>
      <c r="F553" s="1"/>
      <c r="G553" s="1"/>
      <c r="H553" s="4"/>
      <c r="I553" s="4"/>
      <c r="J553" s="4"/>
      <c r="K553" s="4"/>
      <c r="L553" s="4"/>
      <c r="M553" s="4"/>
      <c r="N553" s="3"/>
      <c r="O553" s="1"/>
      <c r="P553" s="1"/>
      <c r="Q553" s="4"/>
      <c r="R553" s="5"/>
      <c r="S553" s="4"/>
      <c r="T553" s="1"/>
      <c r="U553" s="1"/>
      <c r="V553" s="1"/>
      <c r="W553" s="1"/>
      <c r="X553" s="1"/>
      <c r="Y553" s="6"/>
      <c r="Z553" s="4"/>
      <c r="AA553" s="4"/>
      <c r="AB553" s="4"/>
      <c r="AC553" s="1"/>
      <c r="AD553" s="1"/>
      <c r="AE553" s="1"/>
      <c r="AF553" s="1"/>
      <c r="AG553" s="1"/>
      <c r="AH553" s="4"/>
      <c r="AI553" s="1"/>
      <c r="AJ553" s="3"/>
      <c r="AK553" s="4"/>
      <c r="AL553" s="6"/>
      <c r="AM553" s="7"/>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row>
    <row r="554" spans="1:64" ht="16.5" customHeight="1">
      <c r="A554" s="1"/>
      <c r="B554" s="139"/>
      <c r="C554" s="1"/>
      <c r="D554" s="1"/>
      <c r="E554" s="1"/>
      <c r="F554" s="1"/>
      <c r="G554" s="1"/>
      <c r="H554" s="4"/>
      <c r="I554" s="4"/>
      <c r="J554" s="4"/>
      <c r="K554" s="4"/>
      <c r="L554" s="4"/>
      <c r="M554" s="4"/>
      <c r="N554" s="3"/>
      <c r="O554" s="1"/>
      <c r="P554" s="1"/>
      <c r="Q554" s="4"/>
      <c r="R554" s="5"/>
      <c r="S554" s="4"/>
      <c r="T554" s="1"/>
      <c r="U554" s="1"/>
      <c r="V554" s="1"/>
      <c r="W554" s="1"/>
      <c r="X554" s="1"/>
      <c r="Y554" s="6"/>
      <c r="Z554" s="4"/>
      <c r="AA554" s="4"/>
      <c r="AB554" s="4"/>
      <c r="AC554" s="1"/>
      <c r="AD554" s="1"/>
      <c r="AE554" s="1"/>
      <c r="AF554" s="1"/>
      <c r="AG554" s="1"/>
      <c r="AH554" s="4"/>
      <c r="AI554" s="1"/>
      <c r="AJ554" s="3"/>
      <c r="AK554" s="4"/>
      <c r="AL554" s="6"/>
      <c r="AM554" s="7"/>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row>
    <row r="555" spans="1:64" ht="16.5" customHeight="1">
      <c r="A555" s="1"/>
      <c r="B555" s="139"/>
      <c r="C555" s="1"/>
      <c r="D555" s="1"/>
      <c r="E555" s="1"/>
      <c r="F555" s="1"/>
      <c r="G555" s="1"/>
      <c r="H555" s="4"/>
      <c r="I555" s="4"/>
      <c r="J555" s="4"/>
      <c r="K555" s="4"/>
      <c r="L555" s="4"/>
      <c r="M555" s="4"/>
      <c r="N555" s="3"/>
      <c r="O555" s="1"/>
      <c r="P555" s="1"/>
      <c r="Q555" s="4"/>
      <c r="R555" s="5"/>
      <c r="S555" s="4"/>
      <c r="T555" s="1"/>
      <c r="U555" s="1"/>
      <c r="V555" s="1"/>
      <c r="W555" s="1"/>
      <c r="X555" s="1"/>
      <c r="Y555" s="6"/>
      <c r="Z555" s="4"/>
      <c r="AA555" s="4"/>
      <c r="AB555" s="4"/>
      <c r="AC555" s="1"/>
      <c r="AD555" s="1"/>
      <c r="AE555" s="1"/>
      <c r="AF555" s="1"/>
      <c r="AG555" s="1"/>
      <c r="AH555" s="4"/>
      <c r="AI555" s="1"/>
      <c r="AJ555" s="3"/>
      <c r="AK555" s="4"/>
      <c r="AL555" s="6"/>
      <c r="AM555" s="7"/>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row>
    <row r="556" spans="1:64" ht="16.5" customHeight="1">
      <c r="A556" s="1"/>
      <c r="B556" s="139"/>
      <c r="C556" s="1"/>
      <c r="D556" s="1"/>
      <c r="E556" s="1"/>
      <c r="F556" s="1"/>
      <c r="G556" s="1"/>
      <c r="H556" s="4"/>
      <c r="I556" s="4"/>
      <c r="J556" s="4"/>
      <c r="K556" s="4"/>
      <c r="L556" s="4"/>
      <c r="M556" s="4"/>
      <c r="N556" s="3"/>
      <c r="O556" s="1"/>
      <c r="P556" s="1"/>
      <c r="Q556" s="4"/>
      <c r="R556" s="5"/>
      <c r="S556" s="4"/>
      <c r="T556" s="1"/>
      <c r="U556" s="1"/>
      <c r="V556" s="1"/>
      <c r="W556" s="1"/>
      <c r="X556" s="1"/>
      <c r="Y556" s="6"/>
      <c r="Z556" s="4"/>
      <c r="AA556" s="4"/>
      <c r="AB556" s="4"/>
      <c r="AC556" s="1"/>
      <c r="AD556" s="1"/>
      <c r="AE556" s="1"/>
      <c r="AF556" s="1"/>
      <c r="AG556" s="1"/>
      <c r="AH556" s="4"/>
      <c r="AI556" s="1"/>
      <c r="AJ556" s="3"/>
      <c r="AK556" s="4"/>
      <c r="AL556" s="6"/>
      <c r="AM556" s="7"/>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row>
    <row r="557" spans="1:64" ht="16.5" customHeight="1">
      <c r="A557" s="1"/>
      <c r="B557" s="139"/>
      <c r="C557" s="1"/>
      <c r="D557" s="1"/>
      <c r="E557" s="1"/>
      <c r="F557" s="1"/>
      <c r="G557" s="1"/>
      <c r="H557" s="4"/>
      <c r="I557" s="4"/>
      <c r="J557" s="4"/>
      <c r="K557" s="4"/>
      <c r="L557" s="4"/>
      <c r="M557" s="4"/>
      <c r="N557" s="3"/>
      <c r="O557" s="1"/>
      <c r="P557" s="1"/>
      <c r="Q557" s="4"/>
      <c r="R557" s="5"/>
      <c r="S557" s="4"/>
      <c r="T557" s="1"/>
      <c r="U557" s="1"/>
      <c r="V557" s="1"/>
      <c r="W557" s="1"/>
      <c r="X557" s="1"/>
      <c r="Y557" s="6"/>
      <c r="Z557" s="4"/>
      <c r="AA557" s="4"/>
      <c r="AB557" s="4"/>
      <c r="AC557" s="1"/>
      <c r="AD557" s="1"/>
      <c r="AE557" s="1"/>
      <c r="AF557" s="1"/>
      <c r="AG557" s="1"/>
      <c r="AH557" s="4"/>
      <c r="AI557" s="1"/>
      <c r="AJ557" s="3"/>
      <c r="AK557" s="4"/>
      <c r="AL557" s="6"/>
      <c r="AM557" s="7"/>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row>
    <row r="558" spans="1:64" ht="16.5" customHeight="1">
      <c r="A558" s="1"/>
      <c r="B558" s="139"/>
      <c r="C558" s="1"/>
      <c r="D558" s="1"/>
      <c r="E558" s="1"/>
      <c r="F558" s="1"/>
      <c r="G558" s="1"/>
      <c r="H558" s="4"/>
      <c r="I558" s="4"/>
      <c r="J558" s="4"/>
      <c r="K558" s="4"/>
      <c r="L558" s="4"/>
      <c r="M558" s="4"/>
      <c r="N558" s="3"/>
      <c r="O558" s="1"/>
      <c r="P558" s="1"/>
      <c r="Q558" s="4"/>
      <c r="R558" s="5"/>
      <c r="S558" s="4"/>
      <c r="T558" s="1"/>
      <c r="U558" s="1"/>
      <c r="V558" s="1"/>
      <c r="W558" s="1"/>
      <c r="X558" s="1"/>
      <c r="Y558" s="6"/>
      <c r="Z558" s="4"/>
      <c r="AA558" s="4"/>
      <c r="AB558" s="4"/>
      <c r="AC558" s="1"/>
      <c r="AD558" s="1"/>
      <c r="AE558" s="1"/>
      <c r="AF558" s="1"/>
      <c r="AG558" s="1"/>
      <c r="AH558" s="4"/>
      <c r="AI558" s="1"/>
      <c r="AJ558" s="3"/>
      <c r="AK558" s="4"/>
      <c r="AL558" s="6"/>
      <c r="AM558" s="7"/>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row>
    <row r="559" spans="1:64" ht="16.5" customHeight="1">
      <c r="A559" s="1"/>
      <c r="B559" s="139"/>
      <c r="C559" s="1"/>
      <c r="D559" s="1"/>
      <c r="E559" s="1"/>
      <c r="F559" s="1"/>
      <c r="G559" s="1"/>
      <c r="H559" s="4"/>
      <c r="I559" s="4"/>
      <c r="J559" s="4"/>
      <c r="K559" s="4"/>
      <c r="L559" s="4"/>
      <c r="M559" s="4"/>
      <c r="N559" s="3"/>
      <c r="O559" s="1"/>
      <c r="P559" s="1"/>
      <c r="Q559" s="4"/>
      <c r="R559" s="5"/>
      <c r="S559" s="4"/>
      <c r="T559" s="1"/>
      <c r="U559" s="1"/>
      <c r="V559" s="1"/>
      <c r="W559" s="1"/>
      <c r="X559" s="1"/>
      <c r="Y559" s="6"/>
      <c r="Z559" s="4"/>
      <c r="AA559" s="4"/>
      <c r="AB559" s="4"/>
      <c r="AC559" s="1"/>
      <c r="AD559" s="1"/>
      <c r="AE559" s="1"/>
      <c r="AF559" s="1"/>
      <c r="AG559" s="1"/>
      <c r="AH559" s="4"/>
      <c r="AI559" s="1"/>
      <c r="AJ559" s="3"/>
      <c r="AK559" s="4"/>
      <c r="AL559" s="6"/>
      <c r="AM559" s="7"/>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row>
    <row r="560" spans="1:64" ht="16.5" customHeight="1">
      <c r="A560" s="1"/>
      <c r="B560" s="139"/>
      <c r="C560" s="1"/>
      <c r="D560" s="1"/>
      <c r="E560" s="1"/>
      <c r="F560" s="1"/>
      <c r="G560" s="1"/>
      <c r="H560" s="4"/>
      <c r="I560" s="4"/>
      <c r="J560" s="4"/>
      <c r="K560" s="4"/>
      <c r="L560" s="4"/>
      <c r="M560" s="4"/>
      <c r="N560" s="3"/>
      <c r="O560" s="1"/>
      <c r="P560" s="1"/>
      <c r="Q560" s="4"/>
      <c r="R560" s="5"/>
      <c r="S560" s="4"/>
      <c r="T560" s="1"/>
      <c r="U560" s="1"/>
      <c r="V560" s="1"/>
      <c r="W560" s="1"/>
      <c r="X560" s="1"/>
      <c r="Y560" s="6"/>
      <c r="Z560" s="4"/>
      <c r="AA560" s="4"/>
      <c r="AB560" s="4"/>
      <c r="AC560" s="1"/>
      <c r="AD560" s="1"/>
      <c r="AE560" s="1"/>
      <c r="AF560" s="1"/>
      <c r="AG560" s="1"/>
      <c r="AH560" s="4"/>
      <c r="AI560" s="1"/>
      <c r="AJ560" s="3"/>
      <c r="AK560" s="4"/>
      <c r="AL560" s="6"/>
      <c r="AM560" s="7"/>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row>
    <row r="561" spans="1:64" ht="16.5" customHeight="1">
      <c r="A561" s="1"/>
      <c r="B561" s="139"/>
      <c r="C561" s="1"/>
      <c r="D561" s="1"/>
      <c r="E561" s="1"/>
      <c r="F561" s="1"/>
      <c r="G561" s="1"/>
      <c r="H561" s="4"/>
      <c r="I561" s="4"/>
      <c r="J561" s="4"/>
      <c r="K561" s="4"/>
      <c r="L561" s="4"/>
      <c r="M561" s="4"/>
      <c r="N561" s="3"/>
      <c r="O561" s="1"/>
      <c r="P561" s="1"/>
      <c r="Q561" s="4"/>
      <c r="R561" s="5"/>
      <c r="S561" s="4"/>
      <c r="T561" s="1"/>
      <c r="U561" s="1"/>
      <c r="V561" s="1"/>
      <c r="W561" s="1"/>
      <c r="X561" s="1"/>
      <c r="Y561" s="6"/>
      <c r="Z561" s="4"/>
      <c r="AA561" s="4"/>
      <c r="AB561" s="4"/>
      <c r="AC561" s="1"/>
      <c r="AD561" s="1"/>
      <c r="AE561" s="1"/>
      <c r="AF561" s="1"/>
      <c r="AG561" s="1"/>
      <c r="AH561" s="4"/>
      <c r="AI561" s="1"/>
      <c r="AJ561" s="3"/>
      <c r="AK561" s="4"/>
      <c r="AL561" s="6"/>
      <c r="AM561" s="7"/>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row>
    <row r="562" spans="1:64" ht="16.5" customHeight="1">
      <c r="A562" s="1"/>
      <c r="B562" s="139"/>
      <c r="C562" s="1"/>
      <c r="D562" s="1"/>
      <c r="E562" s="1"/>
      <c r="F562" s="1"/>
      <c r="G562" s="1"/>
      <c r="H562" s="4"/>
      <c r="I562" s="4"/>
      <c r="J562" s="4"/>
      <c r="K562" s="4"/>
      <c r="L562" s="4"/>
      <c r="M562" s="4"/>
      <c r="N562" s="3"/>
      <c r="O562" s="1"/>
      <c r="P562" s="1"/>
      <c r="Q562" s="4"/>
      <c r="R562" s="5"/>
      <c r="S562" s="4"/>
      <c r="T562" s="1"/>
      <c r="U562" s="1"/>
      <c r="V562" s="1"/>
      <c r="W562" s="1"/>
      <c r="X562" s="1"/>
      <c r="Y562" s="6"/>
      <c r="Z562" s="4"/>
      <c r="AA562" s="4"/>
      <c r="AB562" s="4"/>
      <c r="AC562" s="1"/>
      <c r="AD562" s="1"/>
      <c r="AE562" s="1"/>
      <c r="AF562" s="1"/>
      <c r="AG562" s="1"/>
      <c r="AH562" s="4"/>
      <c r="AI562" s="1"/>
      <c r="AJ562" s="3"/>
      <c r="AK562" s="4"/>
      <c r="AL562" s="6"/>
      <c r="AM562" s="7"/>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row>
    <row r="563" spans="1:64" ht="16.5" customHeight="1">
      <c r="A563" s="1"/>
      <c r="B563" s="139"/>
      <c r="C563" s="1"/>
      <c r="D563" s="1"/>
      <c r="E563" s="1"/>
      <c r="F563" s="1"/>
      <c r="G563" s="1"/>
      <c r="H563" s="4"/>
      <c r="I563" s="4"/>
      <c r="J563" s="4"/>
      <c r="K563" s="4"/>
      <c r="L563" s="4"/>
      <c r="M563" s="4"/>
      <c r="N563" s="3"/>
      <c r="O563" s="1"/>
      <c r="P563" s="1"/>
      <c r="Q563" s="4"/>
      <c r="R563" s="5"/>
      <c r="S563" s="4"/>
      <c r="T563" s="1"/>
      <c r="U563" s="1"/>
      <c r="V563" s="1"/>
      <c r="W563" s="1"/>
      <c r="X563" s="1"/>
      <c r="Y563" s="6"/>
      <c r="Z563" s="4"/>
      <c r="AA563" s="4"/>
      <c r="AB563" s="4"/>
      <c r="AC563" s="1"/>
      <c r="AD563" s="1"/>
      <c r="AE563" s="1"/>
      <c r="AF563" s="1"/>
      <c r="AG563" s="1"/>
      <c r="AH563" s="4"/>
      <c r="AI563" s="1"/>
      <c r="AJ563" s="3"/>
      <c r="AK563" s="4"/>
      <c r="AL563" s="6"/>
      <c r="AM563" s="7"/>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row>
    <row r="564" spans="1:64" ht="16.5" customHeight="1">
      <c r="A564" s="1"/>
      <c r="B564" s="139"/>
      <c r="C564" s="1"/>
      <c r="D564" s="1"/>
      <c r="E564" s="1"/>
      <c r="F564" s="1"/>
      <c r="G564" s="1"/>
      <c r="H564" s="4"/>
      <c r="I564" s="4"/>
      <c r="J564" s="4"/>
      <c r="K564" s="4"/>
      <c r="L564" s="4"/>
      <c r="M564" s="4"/>
      <c r="N564" s="3"/>
      <c r="O564" s="1"/>
      <c r="P564" s="1"/>
      <c r="Q564" s="4"/>
      <c r="R564" s="5"/>
      <c r="S564" s="4"/>
      <c r="T564" s="1"/>
      <c r="U564" s="1"/>
      <c r="V564" s="1"/>
      <c r="W564" s="1"/>
      <c r="X564" s="1"/>
      <c r="Y564" s="6"/>
      <c r="Z564" s="4"/>
      <c r="AA564" s="4"/>
      <c r="AB564" s="4"/>
      <c r="AC564" s="1"/>
      <c r="AD564" s="1"/>
      <c r="AE564" s="1"/>
      <c r="AF564" s="1"/>
      <c r="AG564" s="1"/>
      <c r="AH564" s="4"/>
      <c r="AI564" s="1"/>
      <c r="AJ564" s="3"/>
      <c r="AK564" s="4"/>
      <c r="AL564" s="6"/>
      <c r="AM564" s="7"/>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row>
    <row r="565" spans="1:64" ht="16.5" customHeight="1">
      <c r="A565" s="1"/>
      <c r="B565" s="139"/>
      <c r="C565" s="1"/>
      <c r="D565" s="1"/>
      <c r="E565" s="1"/>
      <c r="F565" s="1"/>
      <c r="G565" s="1"/>
      <c r="H565" s="4"/>
      <c r="I565" s="4"/>
      <c r="J565" s="4"/>
      <c r="K565" s="4"/>
      <c r="L565" s="4"/>
      <c r="M565" s="4"/>
      <c r="N565" s="3"/>
      <c r="O565" s="1"/>
      <c r="P565" s="1"/>
      <c r="Q565" s="4"/>
      <c r="R565" s="5"/>
      <c r="S565" s="4"/>
      <c r="T565" s="1"/>
      <c r="U565" s="1"/>
      <c r="V565" s="1"/>
      <c r="W565" s="1"/>
      <c r="X565" s="1"/>
      <c r="Y565" s="6"/>
      <c r="Z565" s="4"/>
      <c r="AA565" s="4"/>
      <c r="AB565" s="4"/>
      <c r="AC565" s="1"/>
      <c r="AD565" s="1"/>
      <c r="AE565" s="1"/>
      <c r="AF565" s="1"/>
      <c r="AG565" s="1"/>
      <c r="AH565" s="4"/>
      <c r="AI565" s="1"/>
      <c r="AJ565" s="3"/>
      <c r="AK565" s="4"/>
      <c r="AL565" s="6"/>
      <c r="AM565" s="7"/>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row>
    <row r="566" spans="1:64" ht="16.5" customHeight="1">
      <c r="A566" s="1"/>
      <c r="B566" s="139"/>
      <c r="C566" s="1"/>
      <c r="D566" s="1"/>
      <c r="E566" s="1"/>
      <c r="F566" s="1"/>
      <c r="G566" s="1"/>
      <c r="H566" s="4"/>
      <c r="I566" s="4"/>
      <c r="J566" s="4"/>
      <c r="K566" s="4"/>
      <c r="L566" s="4"/>
      <c r="M566" s="4"/>
      <c r="N566" s="3"/>
      <c r="O566" s="1"/>
      <c r="P566" s="1"/>
      <c r="Q566" s="4"/>
      <c r="R566" s="5"/>
      <c r="S566" s="4"/>
      <c r="T566" s="1"/>
      <c r="U566" s="1"/>
      <c r="V566" s="1"/>
      <c r="W566" s="1"/>
      <c r="X566" s="1"/>
      <c r="Y566" s="6"/>
      <c r="Z566" s="4"/>
      <c r="AA566" s="4"/>
      <c r="AB566" s="4"/>
      <c r="AC566" s="1"/>
      <c r="AD566" s="1"/>
      <c r="AE566" s="1"/>
      <c r="AF566" s="1"/>
      <c r="AG566" s="1"/>
      <c r="AH566" s="4"/>
      <c r="AI566" s="1"/>
      <c r="AJ566" s="3"/>
      <c r="AK566" s="4"/>
      <c r="AL566" s="6"/>
      <c r="AM566" s="7"/>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row>
    <row r="567" spans="1:64" ht="16.5" customHeight="1">
      <c r="A567" s="1"/>
      <c r="B567" s="139"/>
      <c r="C567" s="1"/>
      <c r="D567" s="1"/>
      <c r="E567" s="1"/>
      <c r="F567" s="1"/>
      <c r="G567" s="1"/>
      <c r="H567" s="4"/>
      <c r="I567" s="4"/>
      <c r="J567" s="4"/>
      <c r="K567" s="4"/>
      <c r="L567" s="4"/>
      <c r="M567" s="4"/>
      <c r="N567" s="3"/>
      <c r="O567" s="1"/>
      <c r="P567" s="1"/>
      <c r="Q567" s="4"/>
      <c r="R567" s="5"/>
      <c r="S567" s="4"/>
      <c r="T567" s="1"/>
      <c r="U567" s="1"/>
      <c r="V567" s="1"/>
      <c r="W567" s="1"/>
      <c r="X567" s="1"/>
      <c r="Y567" s="6"/>
      <c r="Z567" s="4"/>
      <c r="AA567" s="4"/>
      <c r="AB567" s="4"/>
      <c r="AC567" s="1"/>
      <c r="AD567" s="1"/>
      <c r="AE567" s="1"/>
      <c r="AF567" s="1"/>
      <c r="AG567" s="1"/>
      <c r="AH567" s="4"/>
      <c r="AI567" s="1"/>
      <c r="AJ567" s="3"/>
      <c r="AK567" s="4"/>
      <c r="AL567" s="6"/>
      <c r="AM567" s="7"/>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row>
    <row r="568" spans="1:64" ht="16.5" customHeight="1">
      <c r="A568" s="1"/>
      <c r="B568" s="139"/>
      <c r="C568" s="1"/>
      <c r="D568" s="1"/>
      <c r="E568" s="1"/>
      <c r="F568" s="1"/>
      <c r="G568" s="1"/>
      <c r="H568" s="4"/>
      <c r="I568" s="4"/>
      <c r="J568" s="4"/>
      <c r="K568" s="4"/>
      <c r="L568" s="4"/>
      <c r="M568" s="4"/>
      <c r="N568" s="3"/>
      <c r="O568" s="1"/>
      <c r="P568" s="1"/>
      <c r="Q568" s="4"/>
      <c r="R568" s="5"/>
      <c r="S568" s="4"/>
      <c r="T568" s="1"/>
      <c r="U568" s="1"/>
      <c r="V568" s="1"/>
      <c r="W568" s="1"/>
      <c r="X568" s="1"/>
      <c r="Y568" s="6"/>
      <c r="Z568" s="4"/>
      <c r="AA568" s="4"/>
      <c r="AB568" s="4"/>
      <c r="AC568" s="1"/>
      <c r="AD568" s="1"/>
      <c r="AE568" s="1"/>
      <c r="AF568" s="1"/>
      <c r="AG568" s="1"/>
      <c r="AH568" s="4"/>
      <c r="AI568" s="1"/>
      <c r="AJ568" s="3"/>
      <c r="AK568" s="4"/>
      <c r="AL568" s="6"/>
      <c r="AM568" s="7"/>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row>
    <row r="569" spans="1:64" ht="16.5" customHeight="1">
      <c r="A569" s="1"/>
      <c r="B569" s="139"/>
      <c r="C569" s="1"/>
      <c r="D569" s="1"/>
      <c r="E569" s="1"/>
      <c r="F569" s="1"/>
      <c r="G569" s="1"/>
      <c r="H569" s="4"/>
      <c r="I569" s="4"/>
      <c r="J569" s="4"/>
      <c r="K569" s="4"/>
      <c r="L569" s="4"/>
      <c r="M569" s="4"/>
      <c r="N569" s="3"/>
      <c r="O569" s="1"/>
      <c r="P569" s="1"/>
      <c r="Q569" s="4"/>
      <c r="R569" s="5"/>
      <c r="S569" s="4"/>
      <c r="T569" s="1"/>
      <c r="U569" s="1"/>
      <c r="V569" s="1"/>
      <c r="W569" s="1"/>
      <c r="X569" s="1"/>
      <c r="Y569" s="6"/>
      <c r="Z569" s="4"/>
      <c r="AA569" s="4"/>
      <c r="AB569" s="4"/>
      <c r="AC569" s="1"/>
      <c r="AD569" s="1"/>
      <c r="AE569" s="1"/>
      <c r="AF569" s="1"/>
      <c r="AG569" s="1"/>
      <c r="AH569" s="4"/>
      <c r="AI569" s="1"/>
      <c r="AJ569" s="3"/>
      <c r="AK569" s="4"/>
      <c r="AL569" s="6"/>
      <c r="AM569" s="7"/>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row>
    <row r="570" spans="1:64" ht="16.5" customHeight="1">
      <c r="A570" s="1"/>
      <c r="B570" s="139"/>
      <c r="C570" s="1"/>
      <c r="D570" s="1"/>
      <c r="E570" s="1"/>
      <c r="F570" s="1"/>
      <c r="G570" s="1"/>
      <c r="H570" s="4"/>
      <c r="I570" s="4"/>
      <c r="J570" s="4"/>
      <c r="K570" s="4"/>
      <c r="L570" s="4"/>
      <c r="M570" s="4"/>
      <c r="N570" s="3"/>
      <c r="O570" s="1"/>
      <c r="P570" s="1"/>
      <c r="Q570" s="4"/>
      <c r="R570" s="5"/>
      <c r="S570" s="4"/>
      <c r="T570" s="1"/>
      <c r="U570" s="1"/>
      <c r="V570" s="1"/>
      <c r="W570" s="1"/>
      <c r="X570" s="1"/>
      <c r="Y570" s="6"/>
      <c r="Z570" s="4"/>
      <c r="AA570" s="4"/>
      <c r="AB570" s="4"/>
      <c r="AC570" s="1"/>
      <c r="AD570" s="1"/>
      <c r="AE570" s="1"/>
      <c r="AF570" s="1"/>
      <c r="AG570" s="1"/>
      <c r="AH570" s="4"/>
      <c r="AI570" s="1"/>
      <c r="AJ570" s="3"/>
      <c r="AK570" s="4"/>
      <c r="AL570" s="6"/>
      <c r="AM570" s="7"/>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row>
    <row r="571" spans="1:64" ht="16.5" customHeight="1">
      <c r="A571" s="1"/>
      <c r="B571" s="139"/>
      <c r="C571" s="1"/>
      <c r="D571" s="1"/>
      <c r="E571" s="1"/>
      <c r="F571" s="1"/>
      <c r="G571" s="1"/>
      <c r="H571" s="4"/>
      <c r="I571" s="4"/>
      <c r="J571" s="4"/>
      <c r="K571" s="4"/>
      <c r="L571" s="4"/>
      <c r="M571" s="4"/>
      <c r="N571" s="3"/>
      <c r="O571" s="1"/>
      <c r="P571" s="1"/>
      <c r="Q571" s="4"/>
      <c r="R571" s="5"/>
      <c r="S571" s="4"/>
      <c r="T571" s="1"/>
      <c r="U571" s="1"/>
      <c r="V571" s="1"/>
      <c r="W571" s="1"/>
      <c r="X571" s="1"/>
      <c r="Y571" s="6"/>
      <c r="Z571" s="4"/>
      <c r="AA571" s="4"/>
      <c r="AB571" s="4"/>
      <c r="AC571" s="1"/>
      <c r="AD571" s="1"/>
      <c r="AE571" s="1"/>
      <c r="AF571" s="1"/>
      <c r="AG571" s="1"/>
      <c r="AH571" s="4"/>
      <c r="AI571" s="1"/>
      <c r="AJ571" s="3"/>
      <c r="AK571" s="4"/>
      <c r="AL571" s="6"/>
      <c r="AM571" s="7"/>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row>
    <row r="572" spans="1:64" ht="16.5" customHeight="1">
      <c r="A572" s="1"/>
      <c r="B572" s="139"/>
      <c r="C572" s="1"/>
      <c r="D572" s="1"/>
      <c r="E572" s="1"/>
      <c r="F572" s="1"/>
      <c r="G572" s="1"/>
      <c r="H572" s="4"/>
      <c r="I572" s="4"/>
      <c r="J572" s="4"/>
      <c r="K572" s="4"/>
      <c r="L572" s="4"/>
      <c r="M572" s="4"/>
      <c r="N572" s="3"/>
      <c r="O572" s="1"/>
      <c r="P572" s="1"/>
      <c r="Q572" s="4"/>
      <c r="R572" s="5"/>
      <c r="S572" s="4"/>
      <c r="T572" s="1"/>
      <c r="U572" s="1"/>
      <c r="V572" s="1"/>
      <c r="W572" s="1"/>
      <c r="X572" s="1"/>
      <c r="Y572" s="6"/>
      <c r="Z572" s="4"/>
      <c r="AA572" s="4"/>
      <c r="AB572" s="4"/>
      <c r="AC572" s="1"/>
      <c r="AD572" s="1"/>
      <c r="AE572" s="1"/>
      <c r="AF572" s="1"/>
      <c r="AG572" s="1"/>
      <c r="AH572" s="4"/>
      <c r="AI572" s="1"/>
      <c r="AJ572" s="3"/>
      <c r="AK572" s="4"/>
      <c r="AL572" s="6"/>
      <c r="AM572" s="7"/>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row>
    <row r="573" spans="1:64" ht="16.5" customHeight="1">
      <c r="A573" s="1"/>
      <c r="B573" s="139"/>
      <c r="C573" s="1"/>
      <c r="D573" s="1"/>
      <c r="E573" s="1"/>
      <c r="F573" s="1"/>
      <c r="G573" s="1"/>
      <c r="H573" s="4"/>
      <c r="I573" s="4"/>
      <c r="J573" s="4"/>
      <c r="K573" s="4"/>
      <c r="L573" s="4"/>
      <c r="M573" s="4"/>
      <c r="N573" s="3"/>
      <c r="O573" s="1"/>
      <c r="P573" s="1"/>
      <c r="Q573" s="4"/>
      <c r="R573" s="5"/>
      <c r="S573" s="4"/>
      <c r="T573" s="1"/>
      <c r="U573" s="1"/>
      <c r="V573" s="1"/>
      <c r="W573" s="1"/>
      <c r="X573" s="1"/>
      <c r="Y573" s="6"/>
      <c r="Z573" s="4"/>
      <c r="AA573" s="4"/>
      <c r="AB573" s="4"/>
      <c r="AC573" s="1"/>
      <c r="AD573" s="1"/>
      <c r="AE573" s="1"/>
      <c r="AF573" s="1"/>
      <c r="AG573" s="1"/>
      <c r="AH573" s="4"/>
      <c r="AI573" s="1"/>
      <c r="AJ573" s="3"/>
      <c r="AK573" s="4"/>
      <c r="AL573" s="6"/>
      <c r="AM573" s="7"/>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row>
    <row r="574" spans="1:64" ht="16.5" customHeight="1">
      <c r="A574" s="1"/>
      <c r="B574" s="139"/>
      <c r="C574" s="1"/>
      <c r="D574" s="1"/>
      <c r="E574" s="1"/>
      <c r="F574" s="1"/>
      <c r="G574" s="1"/>
      <c r="H574" s="4"/>
      <c r="I574" s="4"/>
      <c r="J574" s="4"/>
      <c r="K574" s="4"/>
      <c r="L574" s="4"/>
      <c r="M574" s="4"/>
      <c r="N574" s="3"/>
      <c r="O574" s="1"/>
      <c r="P574" s="1"/>
      <c r="Q574" s="4"/>
      <c r="R574" s="5"/>
      <c r="S574" s="4"/>
      <c r="T574" s="1"/>
      <c r="U574" s="1"/>
      <c r="V574" s="1"/>
      <c r="W574" s="1"/>
      <c r="X574" s="1"/>
      <c r="Y574" s="6"/>
      <c r="Z574" s="4"/>
      <c r="AA574" s="4"/>
      <c r="AB574" s="4"/>
      <c r="AC574" s="1"/>
      <c r="AD574" s="1"/>
      <c r="AE574" s="1"/>
      <c r="AF574" s="1"/>
      <c r="AG574" s="1"/>
      <c r="AH574" s="4"/>
      <c r="AI574" s="1"/>
      <c r="AJ574" s="3"/>
      <c r="AK574" s="4"/>
      <c r="AL574" s="6"/>
      <c r="AM574" s="7"/>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row>
    <row r="575" spans="1:64" ht="16.5" customHeight="1">
      <c r="A575" s="1"/>
      <c r="B575" s="139"/>
      <c r="C575" s="1"/>
      <c r="D575" s="1"/>
      <c r="E575" s="1"/>
      <c r="F575" s="1"/>
      <c r="G575" s="1"/>
      <c r="H575" s="4"/>
      <c r="I575" s="4"/>
      <c r="J575" s="4"/>
      <c r="K575" s="4"/>
      <c r="L575" s="4"/>
      <c r="M575" s="4"/>
      <c r="N575" s="3"/>
      <c r="O575" s="1"/>
      <c r="P575" s="1"/>
      <c r="Q575" s="4"/>
      <c r="R575" s="5"/>
      <c r="S575" s="4"/>
      <c r="T575" s="1"/>
      <c r="U575" s="1"/>
      <c r="V575" s="1"/>
      <c r="W575" s="1"/>
      <c r="X575" s="1"/>
      <c r="Y575" s="6"/>
      <c r="Z575" s="4"/>
      <c r="AA575" s="4"/>
      <c r="AB575" s="4"/>
      <c r="AC575" s="1"/>
      <c r="AD575" s="1"/>
      <c r="AE575" s="1"/>
      <c r="AF575" s="1"/>
      <c r="AG575" s="1"/>
      <c r="AH575" s="4"/>
      <c r="AI575" s="1"/>
      <c r="AJ575" s="3"/>
      <c r="AK575" s="4"/>
      <c r="AL575" s="6"/>
      <c r="AM575" s="7"/>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row>
    <row r="576" spans="1:64" ht="16.5" customHeight="1">
      <c r="A576" s="1"/>
      <c r="B576" s="139"/>
      <c r="C576" s="1"/>
      <c r="D576" s="1"/>
      <c r="E576" s="1"/>
      <c r="F576" s="1"/>
      <c r="G576" s="1"/>
      <c r="H576" s="4"/>
      <c r="I576" s="4"/>
      <c r="J576" s="4"/>
      <c r="K576" s="4"/>
      <c r="L576" s="4"/>
      <c r="M576" s="4"/>
      <c r="N576" s="3"/>
      <c r="O576" s="1"/>
      <c r="P576" s="1"/>
      <c r="Q576" s="4"/>
      <c r="R576" s="5"/>
      <c r="S576" s="4"/>
      <c r="T576" s="1"/>
      <c r="U576" s="1"/>
      <c r="V576" s="1"/>
      <c r="W576" s="1"/>
      <c r="X576" s="1"/>
      <c r="Y576" s="6"/>
      <c r="Z576" s="4"/>
      <c r="AA576" s="4"/>
      <c r="AB576" s="4"/>
      <c r="AC576" s="1"/>
      <c r="AD576" s="1"/>
      <c r="AE576" s="1"/>
      <c r="AF576" s="1"/>
      <c r="AG576" s="1"/>
      <c r="AH576" s="4"/>
      <c r="AI576" s="1"/>
      <c r="AJ576" s="3"/>
      <c r="AK576" s="4"/>
      <c r="AL576" s="6"/>
      <c r="AM576" s="7"/>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row>
    <row r="577" spans="1:64" ht="16.5" customHeight="1">
      <c r="A577" s="1"/>
      <c r="B577" s="139"/>
      <c r="C577" s="1"/>
      <c r="D577" s="1"/>
      <c r="E577" s="1"/>
      <c r="F577" s="1"/>
      <c r="G577" s="1"/>
      <c r="H577" s="4"/>
      <c r="I577" s="4"/>
      <c r="J577" s="4"/>
      <c r="K577" s="4"/>
      <c r="L577" s="4"/>
      <c r="M577" s="4"/>
      <c r="N577" s="3"/>
      <c r="O577" s="1"/>
      <c r="P577" s="1"/>
      <c r="Q577" s="4"/>
      <c r="R577" s="5"/>
      <c r="S577" s="4"/>
      <c r="T577" s="1"/>
      <c r="U577" s="1"/>
      <c r="V577" s="1"/>
      <c r="W577" s="1"/>
      <c r="X577" s="1"/>
      <c r="Y577" s="6"/>
      <c r="Z577" s="4"/>
      <c r="AA577" s="4"/>
      <c r="AB577" s="4"/>
      <c r="AC577" s="1"/>
      <c r="AD577" s="1"/>
      <c r="AE577" s="1"/>
      <c r="AF577" s="1"/>
      <c r="AG577" s="1"/>
      <c r="AH577" s="4"/>
      <c r="AI577" s="1"/>
      <c r="AJ577" s="3"/>
      <c r="AK577" s="4"/>
      <c r="AL577" s="6"/>
      <c r="AM577" s="7"/>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row>
    <row r="578" spans="1:64" ht="16.5" customHeight="1">
      <c r="A578" s="1"/>
      <c r="B578" s="139"/>
      <c r="C578" s="1"/>
      <c r="D578" s="1"/>
      <c r="E578" s="1"/>
      <c r="F578" s="1"/>
      <c r="G578" s="1"/>
      <c r="H578" s="4"/>
      <c r="I578" s="4"/>
      <c r="J578" s="4"/>
      <c r="K578" s="4"/>
      <c r="L578" s="4"/>
      <c r="M578" s="4"/>
      <c r="N578" s="3"/>
      <c r="O578" s="1"/>
      <c r="P578" s="1"/>
      <c r="Q578" s="4"/>
      <c r="R578" s="5"/>
      <c r="S578" s="4"/>
      <c r="T578" s="1"/>
      <c r="U578" s="1"/>
      <c r="V578" s="1"/>
      <c r="W578" s="1"/>
      <c r="X578" s="1"/>
      <c r="Y578" s="6"/>
      <c r="Z578" s="4"/>
      <c r="AA578" s="4"/>
      <c r="AB578" s="4"/>
      <c r="AC578" s="1"/>
      <c r="AD578" s="1"/>
      <c r="AE578" s="1"/>
      <c r="AF578" s="1"/>
      <c r="AG578" s="1"/>
      <c r="AH578" s="4"/>
      <c r="AI578" s="1"/>
      <c r="AJ578" s="3"/>
      <c r="AK578" s="4"/>
      <c r="AL578" s="6"/>
      <c r="AM578" s="7"/>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row>
    <row r="579" spans="1:64" ht="16.5" customHeight="1">
      <c r="A579" s="1"/>
      <c r="B579" s="139"/>
      <c r="C579" s="1"/>
      <c r="D579" s="1"/>
      <c r="E579" s="1"/>
      <c r="F579" s="1"/>
      <c r="G579" s="1"/>
      <c r="H579" s="4"/>
      <c r="I579" s="4"/>
      <c r="J579" s="4"/>
      <c r="K579" s="4"/>
      <c r="L579" s="4"/>
      <c r="M579" s="4"/>
      <c r="N579" s="3"/>
      <c r="O579" s="1"/>
      <c r="P579" s="1"/>
      <c r="Q579" s="4"/>
      <c r="R579" s="5"/>
      <c r="S579" s="4"/>
      <c r="T579" s="1"/>
      <c r="U579" s="1"/>
      <c r="V579" s="1"/>
      <c r="W579" s="1"/>
      <c r="X579" s="1"/>
      <c r="Y579" s="6"/>
      <c r="Z579" s="4"/>
      <c r="AA579" s="4"/>
      <c r="AB579" s="4"/>
      <c r="AC579" s="1"/>
      <c r="AD579" s="1"/>
      <c r="AE579" s="1"/>
      <c r="AF579" s="1"/>
      <c r="AG579" s="1"/>
      <c r="AH579" s="4"/>
      <c r="AI579" s="1"/>
      <c r="AJ579" s="3"/>
      <c r="AK579" s="4"/>
      <c r="AL579" s="6"/>
      <c r="AM579" s="7"/>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row>
    <row r="580" spans="1:64" ht="16.5" customHeight="1">
      <c r="A580" s="1"/>
      <c r="B580" s="139"/>
      <c r="C580" s="1"/>
      <c r="D580" s="1"/>
      <c r="E580" s="1"/>
      <c r="F580" s="1"/>
      <c r="G580" s="1"/>
      <c r="H580" s="4"/>
      <c r="I580" s="4"/>
      <c r="J580" s="4"/>
      <c r="K580" s="4"/>
      <c r="L580" s="4"/>
      <c r="M580" s="4"/>
      <c r="N580" s="3"/>
      <c r="O580" s="1"/>
      <c r="P580" s="1"/>
      <c r="Q580" s="4"/>
      <c r="R580" s="5"/>
      <c r="S580" s="4"/>
      <c r="T580" s="1"/>
      <c r="U580" s="1"/>
      <c r="V580" s="1"/>
      <c r="W580" s="1"/>
      <c r="X580" s="1"/>
      <c r="Y580" s="6"/>
      <c r="Z580" s="4"/>
      <c r="AA580" s="4"/>
      <c r="AB580" s="4"/>
      <c r="AC580" s="1"/>
      <c r="AD580" s="1"/>
      <c r="AE580" s="1"/>
      <c r="AF580" s="1"/>
      <c r="AG580" s="1"/>
      <c r="AH580" s="4"/>
      <c r="AI580" s="1"/>
      <c r="AJ580" s="3"/>
      <c r="AK580" s="4"/>
      <c r="AL580" s="6"/>
      <c r="AM580" s="7"/>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row>
    <row r="581" spans="1:64" ht="16.5" customHeight="1">
      <c r="A581" s="1"/>
      <c r="B581" s="139"/>
      <c r="C581" s="1"/>
      <c r="D581" s="1"/>
      <c r="E581" s="1"/>
      <c r="F581" s="1"/>
      <c r="G581" s="1"/>
      <c r="H581" s="4"/>
      <c r="I581" s="4"/>
      <c r="J581" s="4"/>
      <c r="K581" s="4"/>
      <c r="L581" s="4"/>
      <c r="M581" s="4"/>
      <c r="N581" s="3"/>
      <c r="O581" s="1"/>
      <c r="P581" s="1"/>
      <c r="Q581" s="4"/>
      <c r="R581" s="5"/>
      <c r="S581" s="4"/>
      <c r="T581" s="1"/>
      <c r="U581" s="1"/>
      <c r="V581" s="1"/>
      <c r="W581" s="1"/>
      <c r="X581" s="1"/>
      <c r="Y581" s="6"/>
      <c r="Z581" s="4"/>
      <c r="AA581" s="4"/>
      <c r="AB581" s="4"/>
      <c r="AC581" s="1"/>
      <c r="AD581" s="1"/>
      <c r="AE581" s="1"/>
      <c r="AF581" s="1"/>
      <c r="AG581" s="1"/>
      <c r="AH581" s="4"/>
      <c r="AI581" s="1"/>
      <c r="AJ581" s="3"/>
      <c r="AK581" s="4"/>
      <c r="AL581" s="6"/>
      <c r="AM581" s="7"/>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row>
    <row r="582" spans="1:64" ht="16.5" customHeight="1">
      <c r="A582" s="1"/>
      <c r="B582" s="139"/>
      <c r="C582" s="1"/>
      <c r="D582" s="1"/>
      <c r="E582" s="1"/>
      <c r="F582" s="1"/>
      <c r="G582" s="1"/>
      <c r="H582" s="4"/>
      <c r="I582" s="4"/>
      <c r="J582" s="4"/>
      <c r="K582" s="4"/>
      <c r="L582" s="4"/>
      <c r="M582" s="4"/>
      <c r="N582" s="3"/>
      <c r="O582" s="1"/>
      <c r="P582" s="1"/>
      <c r="Q582" s="4"/>
      <c r="R582" s="5"/>
      <c r="S582" s="4"/>
      <c r="T582" s="1"/>
      <c r="U582" s="1"/>
      <c r="V582" s="1"/>
      <c r="W582" s="1"/>
      <c r="X582" s="1"/>
      <c r="Y582" s="6"/>
      <c r="Z582" s="4"/>
      <c r="AA582" s="4"/>
      <c r="AB582" s="4"/>
      <c r="AC582" s="1"/>
      <c r="AD582" s="1"/>
      <c r="AE582" s="1"/>
      <c r="AF582" s="1"/>
      <c r="AG582" s="1"/>
      <c r="AH582" s="4"/>
      <c r="AI582" s="1"/>
      <c r="AJ582" s="3"/>
      <c r="AK582" s="4"/>
      <c r="AL582" s="6"/>
      <c r="AM582" s="7"/>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row>
    <row r="583" spans="1:64" ht="16.5" customHeight="1">
      <c r="A583" s="1"/>
      <c r="B583" s="139"/>
      <c r="C583" s="1"/>
      <c r="D583" s="1"/>
      <c r="E583" s="1"/>
      <c r="F583" s="1"/>
      <c r="G583" s="1"/>
      <c r="H583" s="4"/>
      <c r="I583" s="4"/>
      <c r="J583" s="4"/>
      <c r="K583" s="4"/>
      <c r="L583" s="4"/>
      <c r="M583" s="4"/>
      <c r="N583" s="3"/>
      <c r="O583" s="1"/>
      <c r="P583" s="1"/>
      <c r="Q583" s="4"/>
      <c r="R583" s="5"/>
      <c r="S583" s="4"/>
      <c r="T583" s="1"/>
      <c r="U583" s="1"/>
      <c r="V583" s="1"/>
      <c r="W583" s="1"/>
      <c r="X583" s="1"/>
      <c r="Y583" s="6"/>
      <c r="Z583" s="4"/>
      <c r="AA583" s="4"/>
      <c r="AB583" s="4"/>
      <c r="AC583" s="1"/>
      <c r="AD583" s="1"/>
      <c r="AE583" s="1"/>
      <c r="AF583" s="1"/>
      <c r="AG583" s="1"/>
      <c r="AH583" s="4"/>
      <c r="AI583" s="1"/>
      <c r="AJ583" s="3"/>
      <c r="AK583" s="4"/>
      <c r="AL583" s="6"/>
      <c r="AM583" s="7"/>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row>
    <row r="584" spans="1:64" ht="16.5" customHeight="1">
      <c r="A584" s="1"/>
      <c r="B584" s="139"/>
      <c r="C584" s="1"/>
      <c r="D584" s="1"/>
      <c r="E584" s="1"/>
      <c r="F584" s="1"/>
      <c r="G584" s="1"/>
      <c r="H584" s="4"/>
      <c r="I584" s="4"/>
      <c r="J584" s="4"/>
      <c r="K584" s="4"/>
      <c r="L584" s="4"/>
      <c r="M584" s="4"/>
      <c r="N584" s="3"/>
      <c r="O584" s="1"/>
      <c r="P584" s="1"/>
      <c r="Q584" s="4"/>
      <c r="R584" s="5"/>
      <c r="S584" s="4"/>
      <c r="T584" s="1"/>
      <c r="U584" s="1"/>
      <c r="V584" s="1"/>
      <c r="W584" s="1"/>
      <c r="X584" s="1"/>
      <c r="Y584" s="6"/>
      <c r="Z584" s="4"/>
      <c r="AA584" s="4"/>
      <c r="AB584" s="4"/>
      <c r="AC584" s="1"/>
      <c r="AD584" s="1"/>
      <c r="AE584" s="1"/>
      <c r="AF584" s="1"/>
      <c r="AG584" s="1"/>
      <c r="AH584" s="4"/>
      <c r="AI584" s="1"/>
      <c r="AJ584" s="3"/>
      <c r="AK584" s="4"/>
      <c r="AL584" s="6"/>
      <c r="AM584" s="7"/>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row>
    <row r="585" spans="1:64" ht="16.5" customHeight="1">
      <c r="A585" s="1"/>
      <c r="B585" s="139"/>
      <c r="C585" s="1"/>
      <c r="D585" s="1"/>
      <c r="E585" s="1"/>
      <c r="F585" s="1"/>
      <c r="G585" s="1"/>
      <c r="H585" s="4"/>
      <c r="I585" s="4"/>
      <c r="J585" s="4"/>
      <c r="K585" s="4"/>
      <c r="L585" s="4"/>
      <c r="M585" s="4"/>
      <c r="N585" s="3"/>
      <c r="O585" s="1"/>
      <c r="P585" s="1"/>
      <c r="Q585" s="4"/>
      <c r="R585" s="5"/>
      <c r="S585" s="4"/>
      <c r="T585" s="1"/>
      <c r="U585" s="1"/>
      <c r="V585" s="1"/>
      <c r="W585" s="1"/>
      <c r="X585" s="1"/>
      <c r="Y585" s="6"/>
      <c r="Z585" s="4"/>
      <c r="AA585" s="4"/>
      <c r="AB585" s="4"/>
      <c r="AC585" s="1"/>
      <c r="AD585" s="1"/>
      <c r="AE585" s="1"/>
      <c r="AF585" s="1"/>
      <c r="AG585" s="1"/>
      <c r="AH585" s="4"/>
      <c r="AI585" s="1"/>
      <c r="AJ585" s="3"/>
      <c r="AK585" s="4"/>
      <c r="AL585" s="6"/>
      <c r="AM585" s="7"/>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row>
    <row r="586" spans="1:64" ht="16.5" customHeight="1">
      <c r="A586" s="1"/>
      <c r="B586" s="139"/>
      <c r="C586" s="1"/>
      <c r="D586" s="1"/>
      <c r="E586" s="1"/>
      <c r="F586" s="1"/>
      <c r="G586" s="1"/>
      <c r="H586" s="4"/>
      <c r="I586" s="4"/>
      <c r="J586" s="4"/>
      <c r="K586" s="4"/>
      <c r="L586" s="4"/>
      <c r="M586" s="4"/>
      <c r="N586" s="3"/>
      <c r="O586" s="1"/>
      <c r="P586" s="1"/>
      <c r="Q586" s="4"/>
      <c r="R586" s="5"/>
      <c r="S586" s="4"/>
      <c r="T586" s="1"/>
      <c r="U586" s="1"/>
      <c r="V586" s="1"/>
      <c r="W586" s="1"/>
      <c r="X586" s="1"/>
      <c r="Y586" s="6"/>
      <c r="Z586" s="4"/>
      <c r="AA586" s="4"/>
      <c r="AB586" s="4"/>
      <c r="AC586" s="1"/>
      <c r="AD586" s="1"/>
      <c r="AE586" s="1"/>
      <c r="AF586" s="1"/>
      <c r="AG586" s="1"/>
      <c r="AH586" s="4"/>
      <c r="AI586" s="1"/>
      <c r="AJ586" s="3"/>
      <c r="AK586" s="4"/>
      <c r="AL586" s="6"/>
      <c r="AM586" s="7"/>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row>
    <row r="587" spans="1:64" ht="16.5" customHeight="1">
      <c r="A587" s="1"/>
      <c r="B587" s="139"/>
      <c r="C587" s="1"/>
      <c r="D587" s="1"/>
      <c r="E587" s="1"/>
      <c r="F587" s="1"/>
      <c r="G587" s="1"/>
      <c r="H587" s="4"/>
      <c r="I587" s="4"/>
      <c r="J587" s="4"/>
      <c r="K587" s="4"/>
      <c r="L587" s="4"/>
      <c r="M587" s="4"/>
      <c r="N587" s="3"/>
      <c r="O587" s="1"/>
      <c r="P587" s="1"/>
      <c r="Q587" s="4"/>
      <c r="R587" s="5"/>
      <c r="S587" s="4"/>
      <c r="T587" s="1"/>
      <c r="U587" s="1"/>
      <c r="V587" s="1"/>
      <c r="W587" s="1"/>
      <c r="X587" s="1"/>
      <c r="Y587" s="6"/>
      <c r="Z587" s="4"/>
      <c r="AA587" s="4"/>
      <c r="AB587" s="4"/>
      <c r="AC587" s="1"/>
      <c r="AD587" s="1"/>
      <c r="AE587" s="1"/>
      <c r="AF587" s="1"/>
      <c r="AG587" s="1"/>
      <c r="AH587" s="4"/>
      <c r="AI587" s="1"/>
      <c r="AJ587" s="3"/>
      <c r="AK587" s="4"/>
      <c r="AL587" s="6"/>
      <c r="AM587" s="7"/>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row>
    <row r="588" spans="1:64" ht="16.5" customHeight="1">
      <c r="A588" s="1"/>
      <c r="B588" s="139"/>
      <c r="C588" s="1"/>
      <c r="D588" s="1"/>
      <c r="E588" s="1"/>
      <c r="F588" s="1"/>
      <c r="G588" s="1"/>
      <c r="H588" s="4"/>
      <c r="I588" s="4"/>
      <c r="J588" s="4"/>
      <c r="K588" s="4"/>
      <c r="L588" s="4"/>
      <c r="M588" s="4"/>
      <c r="N588" s="3"/>
      <c r="O588" s="1"/>
      <c r="P588" s="1"/>
      <c r="Q588" s="4"/>
      <c r="R588" s="5"/>
      <c r="S588" s="4"/>
      <c r="T588" s="1"/>
      <c r="U588" s="1"/>
      <c r="V588" s="1"/>
      <c r="W588" s="1"/>
      <c r="X588" s="1"/>
      <c r="Y588" s="6"/>
      <c r="Z588" s="4"/>
      <c r="AA588" s="4"/>
      <c r="AB588" s="4"/>
      <c r="AC588" s="1"/>
      <c r="AD588" s="1"/>
      <c r="AE588" s="1"/>
      <c r="AF588" s="1"/>
      <c r="AG588" s="1"/>
      <c r="AH588" s="4"/>
      <c r="AI588" s="1"/>
      <c r="AJ588" s="3"/>
      <c r="AK588" s="4"/>
      <c r="AL588" s="6"/>
      <c r="AM588" s="7"/>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row>
    <row r="589" spans="1:64" ht="16.5" customHeight="1">
      <c r="A589" s="1"/>
      <c r="B589" s="139"/>
      <c r="C589" s="1"/>
      <c r="D589" s="1"/>
      <c r="E589" s="1"/>
      <c r="F589" s="1"/>
      <c r="G589" s="1"/>
      <c r="H589" s="4"/>
      <c r="I589" s="4"/>
      <c r="J589" s="4"/>
      <c r="K589" s="4"/>
      <c r="L589" s="4"/>
      <c r="M589" s="4"/>
      <c r="N589" s="3"/>
      <c r="O589" s="1"/>
      <c r="P589" s="1"/>
      <c r="Q589" s="4"/>
      <c r="R589" s="5"/>
      <c r="S589" s="4"/>
      <c r="T589" s="1"/>
      <c r="U589" s="1"/>
      <c r="V589" s="1"/>
      <c r="W589" s="1"/>
      <c r="X589" s="1"/>
      <c r="Y589" s="6"/>
      <c r="Z589" s="4"/>
      <c r="AA589" s="4"/>
      <c r="AB589" s="4"/>
      <c r="AC589" s="1"/>
      <c r="AD589" s="1"/>
      <c r="AE589" s="1"/>
      <c r="AF589" s="1"/>
      <c r="AG589" s="1"/>
      <c r="AH589" s="4"/>
      <c r="AI589" s="1"/>
      <c r="AJ589" s="3"/>
      <c r="AK589" s="4"/>
      <c r="AL589" s="6"/>
      <c r="AM589" s="7"/>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row>
    <row r="590" spans="1:64" ht="16.5" customHeight="1">
      <c r="A590" s="1"/>
      <c r="B590" s="139"/>
      <c r="C590" s="1"/>
      <c r="D590" s="1"/>
      <c r="E590" s="1"/>
      <c r="F590" s="1"/>
      <c r="G590" s="1"/>
      <c r="H590" s="4"/>
      <c r="I590" s="4"/>
      <c r="J590" s="4"/>
      <c r="K590" s="4"/>
      <c r="L590" s="4"/>
      <c r="M590" s="4"/>
      <c r="N590" s="3"/>
      <c r="O590" s="1"/>
      <c r="P590" s="1"/>
      <c r="Q590" s="4"/>
      <c r="R590" s="5"/>
      <c r="S590" s="4"/>
      <c r="T590" s="1"/>
      <c r="U590" s="1"/>
      <c r="V590" s="1"/>
      <c r="W590" s="1"/>
      <c r="X590" s="1"/>
      <c r="Y590" s="6"/>
      <c r="Z590" s="4"/>
      <c r="AA590" s="4"/>
      <c r="AB590" s="4"/>
      <c r="AC590" s="1"/>
      <c r="AD590" s="1"/>
      <c r="AE590" s="1"/>
      <c r="AF590" s="1"/>
      <c r="AG590" s="1"/>
      <c r="AH590" s="4"/>
      <c r="AI590" s="1"/>
      <c r="AJ590" s="3"/>
      <c r="AK590" s="4"/>
      <c r="AL590" s="6"/>
      <c r="AM590" s="7"/>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row>
    <row r="591" spans="1:64" ht="16.5" customHeight="1">
      <c r="A591" s="1"/>
      <c r="B591" s="139"/>
      <c r="C591" s="1"/>
      <c r="D591" s="1"/>
      <c r="E591" s="1"/>
      <c r="F591" s="1"/>
      <c r="G591" s="1"/>
      <c r="H591" s="4"/>
      <c r="I591" s="4"/>
      <c r="J591" s="4"/>
      <c r="K591" s="4"/>
      <c r="L591" s="4"/>
      <c r="M591" s="4"/>
      <c r="N591" s="3"/>
      <c r="O591" s="1"/>
      <c r="P591" s="1"/>
      <c r="Q591" s="4"/>
      <c r="R591" s="5"/>
      <c r="S591" s="4"/>
      <c r="T591" s="1"/>
      <c r="U591" s="1"/>
      <c r="V591" s="1"/>
      <c r="W591" s="1"/>
      <c r="X591" s="1"/>
      <c r="Y591" s="6"/>
      <c r="Z591" s="4"/>
      <c r="AA591" s="4"/>
      <c r="AB591" s="4"/>
      <c r="AC591" s="1"/>
      <c r="AD591" s="1"/>
      <c r="AE591" s="1"/>
      <c r="AF591" s="1"/>
      <c r="AG591" s="1"/>
      <c r="AH591" s="4"/>
      <c r="AI591" s="1"/>
      <c r="AJ591" s="3"/>
      <c r="AK591" s="4"/>
      <c r="AL591" s="6"/>
      <c r="AM591" s="7"/>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row>
    <row r="592" spans="1:64" ht="16.5" customHeight="1">
      <c r="A592" s="1"/>
      <c r="B592" s="139"/>
      <c r="C592" s="1"/>
      <c r="D592" s="1"/>
      <c r="E592" s="1"/>
      <c r="F592" s="1"/>
      <c r="G592" s="1"/>
      <c r="H592" s="4"/>
      <c r="I592" s="4"/>
      <c r="J592" s="4"/>
      <c r="K592" s="4"/>
      <c r="L592" s="4"/>
      <c r="M592" s="4"/>
      <c r="N592" s="3"/>
      <c r="O592" s="1"/>
      <c r="P592" s="1"/>
      <c r="Q592" s="4"/>
      <c r="R592" s="5"/>
      <c r="S592" s="4"/>
      <c r="T592" s="1"/>
      <c r="U592" s="1"/>
      <c r="V592" s="1"/>
      <c r="W592" s="1"/>
      <c r="X592" s="1"/>
      <c r="Y592" s="6"/>
      <c r="Z592" s="4"/>
      <c r="AA592" s="4"/>
      <c r="AB592" s="4"/>
      <c r="AC592" s="1"/>
      <c r="AD592" s="1"/>
      <c r="AE592" s="1"/>
      <c r="AF592" s="1"/>
      <c r="AG592" s="1"/>
      <c r="AH592" s="4"/>
      <c r="AI592" s="1"/>
      <c r="AJ592" s="3"/>
      <c r="AK592" s="4"/>
      <c r="AL592" s="6"/>
      <c r="AM592" s="7"/>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row>
    <row r="593" spans="1:64" ht="16.5" customHeight="1">
      <c r="A593" s="1"/>
      <c r="B593" s="139"/>
      <c r="C593" s="1"/>
      <c r="D593" s="1"/>
      <c r="E593" s="1"/>
      <c r="F593" s="1"/>
      <c r="G593" s="1"/>
      <c r="H593" s="4"/>
      <c r="I593" s="4"/>
      <c r="J593" s="4"/>
      <c r="K593" s="4"/>
      <c r="L593" s="4"/>
      <c r="M593" s="4"/>
      <c r="N593" s="3"/>
      <c r="O593" s="1"/>
      <c r="P593" s="1"/>
      <c r="Q593" s="4"/>
      <c r="R593" s="5"/>
      <c r="S593" s="4"/>
      <c r="T593" s="1"/>
      <c r="U593" s="1"/>
      <c r="V593" s="1"/>
      <c r="W593" s="1"/>
      <c r="X593" s="1"/>
      <c r="Y593" s="6"/>
      <c r="Z593" s="4"/>
      <c r="AA593" s="4"/>
      <c r="AB593" s="4"/>
      <c r="AC593" s="1"/>
      <c r="AD593" s="1"/>
      <c r="AE593" s="1"/>
      <c r="AF593" s="1"/>
      <c r="AG593" s="1"/>
      <c r="AH593" s="4"/>
      <c r="AI593" s="1"/>
      <c r="AJ593" s="3"/>
      <c r="AK593" s="4"/>
      <c r="AL593" s="6"/>
      <c r="AM593" s="7"/>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row>
    <row r="594" spans="1:64" ht="16.5" customHeight="1">
      <c r="A594" s="1"/>
      <c r="B594" s="139"/>
      <c r="C594" s="1"/>
      <c r="D594" s="1"/>
      <c r="E594" s="1"/>
      <c r="F594" s="1"/>
      <c r="G594" s="1"/>
      <c r="H594" s="4"/>
      <c r="I594" s="4"/>
      <c r="J594" s="4"/>
      <c r="K594" s="4"/>
      <c r="L594" s="4"/>
      <c r="M594" s="4"/>
      <c r="N594" s="3"/>
      <c r="O594" s="1"/>
      <c r="P594" s="1"/>
      <c r="Q594" s="4"/>
      <c r="R594" s="5"/>
      <c r="S594" s="4"/>
      <c r="T594" s="1"/>
      <c r="U594" s="1"/>
      <c r="V594" s="1"/>
      <c r="W594" s="1"/>
      <c r="X594" s="1"/>
      <c r="Y594" s="6"/>
      <c r="Z594" s="4"/>
      <c r="AA594" s="4"/>
      <c r="AB594" s="4"/>
      <c r="AC594" s="1"/>
      <c r="AD594" s="1"/>
      <c r="AE594" s="1"/>
      <c r="AF594" s="1"/>
      <c r="AG594" s="1"/>
      <c r="AH594" s="4"/>
      <c r="AI594" s="1"/>
      <c r="AJ594" s="3"/>
      <c r="AK594" s="4"/>
      <c r="AL594" s="6"/>
      <c r="AM594" s="7"/>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row>
    <row r="595" spans="1:64" ht="16.5" customHeight="1">
      <c r="A595" s="1"/>
      <c r="B595" s="139"/>
      <c r="C595" s="1"/>
      <c r="D595" s="1"/>
      <c r="E595" s="1"/>
      <c r="F595" s="1"/>
      <c r="G595" s="1"/>
      <c r="H595" s="4"/>
      <c r="I595" s="4"/>
      <c r="J595" s="4"/>
      <c r="K595" s="4"/>
      <c r="L595" s="4"/>
      <c r="M595" s="4"/>
      <c r="N595" s="3"/>
      <c r="O595" s="1"/>
      <c r="P595" s="1"/>
      <c r="Q595" s="4"/>
      <c r="R595" s="5"/>
      <c r="S595" s="4"/>
      <c r="T595" s="1"/>
      <c r="U595" s="1"/>
      <c r="V595" s="1"/>
      <c r="W595" s="1"/>
      <c r="X595" s="1"/>
      <c r="Y595" s="6"/>
      <c r="Z595" s="4"/>
      <c r="AA595" s="4"/>
      <c r="AB595" s="4"/>
      <c r="AC595" s="1"/>
      <c r="AD595" s="1"/>
      <c r="AE595" s="1"/>
      <c r="AF595" s="1"/>
      <c r="AG595" s="1"/>
      <c r="AH595" s="4"/>
      <c r="AI595" s="1"/>
      <c r="AJ595" s="3"/>
      <c r="AK595" s="4"/>
      <c r="AL595" s="6"/>
      <c r="AM595" s="7"/>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row>
    <row r="596" spans="1:64" ht="16.5" customHeight="1">
      <c r="A596" s="1"/>
      <c r="B596" s="139"/>
      <c r="C596" s="1"/>
      <c r="D596" s="1"/>
      <c r="E596" s="1"/>
      <c r="F596" s="1"/>
      <c r="G596" s="1"/>
      <c r="H596" s="4"/>
      <c r="I596" s="4"/>
      <c r="J596" s="4"/>
      <c r="K596" s="4"/>
      <c r="L596" s="4"/>
      <c r="M596" s="4"/>
      <c r="N596" s="3"/>
      <c r="O596" s="1"/>
      <c r="P596" s="1"/>
      <c r="Q596" s="4"/>
      <c r="R596" s="5"/>
      <c r="S596" s="4"/>
      <c r="T596" s="1"/>
      <c r="U596" s="1"/>
      <c r="V596" s="1"/>
      <c r="W596" s="1"/>
      <c r="X596" s="1"/>
      <c r="Y596" s="6"/>
      <c r="Z596" s="4"/>
      <c r="AA596" s="4"/>
      <c r="AB596" s="4"/>
      <c r="AC596" s="1"/>
      <c r="AD596" s="1"/>
      <c r="AE596" s="1"/>
      <c r="AF596" s="1"/>
      <c r="AG596" s="1"/>
      <c r="AH596" s="4"/>
      <c r="AI596" s="1"/>
      <c r="AJ596" s="3"/>
      <c r="AK596" s="4"/>
      <c r="AL596" s="6"/>
      <c r="AM596" s="7"/>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row>
    <row r="597" spans="1:64" ht="16.5" customHeight="1">
      <c r="A597" s="1"/>
      <c r="B597" s="139"/>
      <c r="C597" s="1"/>
      <c r="D597" s="1"/>
      <c r="E597" s="1"/>
      <c r="F597" s="1"/>
      <c r="G597" s="1"/>
      <c r="H597" s="4"/>
      <c r="I597" s="4"/>
      <c r="J597" s="4"/>
      <c r="K597" s="4"/>
      <c r="L597" s="4"/>
      <c r="M597" s="4"/>
      <c r="N597" s="3"/>
      <c r="O597" s="1"/>
      <c r="P597" s="1"/>
      <c r="Q597" s="4"/>
      <c r="R597" s="5"/>
      <c r="S597" s="4"/>
      <c r="T597" s="1"/>
      <c r="U597" s="1"/>
      <c r="V597" s="1"/>
      <c r="W597" s="1"/>
      <c r="X597" s="1"/>
      <c r="Y597" s="6"/>
      <c r="Z597" s="4"/>
      <c r="AA597" s="4"/>
      <c r="AB597" s="4"/>
      <c r="AC597" s="1"/>
      <c r="AD597" s="1"/>
      <c r="AE597" s="1"/>
      <c r="AF597" s="1"/>
      <c r="AG597" s="1"/>
      <c r="AH597" s="4"/>
      <c r="AI597" s="1"/>
      <c r="AJ597" s="3"/>
      <c r="AK597" s="4"/>
      <c r="AL597" s="6"/>
      <c r="AM597" s="7"/>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row>
    <row r="598" spans="1:64" ht="16.5" customHeight="1">
      <c r="A598" s="1"/>
      <c r="B598" s="139"/>
      <c r="C598" s="1"/>
      <c r="D598" s="1"/>
      <c r="E598" s="1"/>
      <c r="F598" s="1"/>
      <c r="G598" s="1"/>
      <c r="H598" s="4"/>
      <c r="I598" s="4"/>
      <c r="J598" s="4"/>
      <c r="K598" s="4"/>
      <c r="L598" s="4"/>
      <c r="M598" s="4"/>
      <c r="N598" s="3"/>
      <c r="O598" s="1"/>
      <c r="P598" s="1"/>
      <c r="Q598" s="4"/>
      <c r="R598" s="5"/>
      <c r="S598" s="4"/>
      <c r="T598" s="1"/>
      <c r="U598" s="1"/>
      <c r="V598" s="1"/>
      <c r="W598" s="1"/>
      <c r="X598" s="1"/>
      <c r="Y598" s="6"/>
      <c r="Z598" s="4"/>
      <c r="AA598" s="4"/>
      <c r="AB598" s="4"/>
      <c r="AC598" s="1"/>
      <c r="AD598" s="1"/>
      <c r="AE598" s="1"/>
      <c r="AF598" s="1"/>
      <c r="AG598" s="1"/>
      <c r="AH598" s="4"/>
      <c r="AI598" s="1"/>
      <c r="AJ598" s="3"/>
      <c r="AK598" s="4"/>
      <c r="AL598" s="6"/>
      <c r="AM598" s="7"/>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row>
    <row r="599" spans="1:64" ht="16.5" customHeight="1">
      <c r="A599" s="1"/>
      <c r="B599" s="139"/>
      <c r="C599" s="1"/>
      <c r="D599" s="1"/>
      <c r="E599" s="1"/>
      <c r="F599" s="1"/>
      <c r="G599" s="1"/>
      <c r="H599" s="4"/>
      <c r="I599" s="4"/>
      <c r="J599" s="4"/>
      <c r="K599" s="4"/>
      <c r="L599" s="4"/>
      <c r="M599" s="4"/>
      <c r="N599" s="3"/>
      <c r="O599" s="1"/>
      <c r="P599" s="1"/>
      <c r="Q599" s="4"/>
      <c r="R599" s="5"/>
      <c r="S599" s="4"/>
      <c r="T599" s="1"/>
      <c r="U599" s="1"/>
      <c r="V599" s="1"/>
      <c r="W599" s="1"/>
      <c r="X599" s="1"/>
      <c r="Y599" s="6"/>
      <c r="Z599" s="4"/>
      <c r="AA599" s="4"/>
      <c r="AB599" s="4"/>
      <c r="AC599" s="1"/>
      <c r="AD599" s="1"/>
      <c r="AE599" s="1"/>
      <c r="AF599" s="1"/>
      <c r="AG599" s="1"/>
      <c r="AH599" s="4"/>
      <c r="AI599" s="1"/>
      <c r="AJ599" s="3"/>
      <c r="AK599" s="4"/>
      <c r="AL599" s="6"/>
      <c r="AM599" s="7"/>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row>
    <row r="600" spans="1:64" ht="16.5" customHeight="1">
      <c r="A600" s="1"/>
      <c r="B600" s="139"/>
      <c r="C600" s="1"/>
      <c r="D600" s="1"/>
      <c r="E600" s="1"/>
      <c r="F600" s="1"/>
      <c r="G600" s="1"/>
      <c r="H600" s="4"/>
      <c r="I600" s="4"/>
      <c r="J600" s="4"/>
      <c r="K600" s="4"/>
      <c r="L600" s="4"/>
      <c r="M600" s="4"/>
      <c r="N600" s="3"/>
      <c r="O600" s="1"/>
      <c r="P600" s="1"/>
      <c r="Q600" s="4"/>
      <c r="R600" s="5"/>
      <c r="S600" s="4"/>
      <c r="T600" s="1"/>
      <c r="U600" s="1"/>
      <c r="V600" s="1"/>
      <c r="W600" s="1"/>
      <c r="X600" s="1"/>
      <c r="Y600" s="6"/>
      <c r="Z600" s="4"/>
      <c r="AA600" s="4"/>
      <c r="AB600" s="4"/>
      <c r="AC600" s="1"/>
      <c r="AD600" s="1"/>
      <c r="AE600" s="1"/>
      <c r="AF600" s="1"/>
      <c r="AG600" s="1"/>
      <c r="AH600" s="4"/>
      <c r="AI600" s="1"/>
      <c r="AJ600" s="3"/>
      <c r="AK600" s="4"/>
      <c r="AL600" s="6"/>
      <c r="AM600" s="7"/>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row>
    <row r="601" spans="1:64" ht="16.5" customHeight="1">
      <c r="A601" s="1"/>
      <c r="B601" s="139"/>
      <c r="C601" s="1"/>
      <c r="D601" s="1"/>
      <c r="E601" s="1"/>
      <c r="F601" s="1"/>
      <c r="G601" s="1"/>
      <c r="H601" s="4"/>
      <c r="I601" s="4"/>
      <c r="J601" s="4"/>
      <c r="K601" s="4"/>
      <c r="L601" s="4"/>
      <c r="M601" s="4"/>
      <c r="N601" s="3"/>
      <c r="O601" s="1"/>
      <c r="P601" s="1"/>
      <c r="Q601" s="4"/>
      <c r="R601" s="5"/>
      <c r="S601" s="4"/>
      <c r="T601" s="1"/>
      <c r="U601" s="1"/>
      <c r="V601" s="1"/>
      <c r="W601" s="1"/>
      <c r="X601" s="1"/>
      <c r="Y601" s="6"/>
      <c r="Z601" s="4"/>
      <c r="AA601" s="4"/>
      <c r="AB601" s="4"/>
      <c r="AC601" s="1"/>
      <c r="AD601" s="1"/>
      <c r="AE601" s="1"/>
      <c r="AF601" s="1"/>
      <c r="AG601" s="1"/>
      <c r="AH601" s="4"/>
      <c r="AI601" s="1"/>
      <c r="AJ601" s="3"/>
      <c r="AK601" s="4"/>
      <c r="AL601" s="6"/>
      <c r="AM601" s="7"/>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row>
    <row r="602" spans="1:64" ht="16.5" customHeight="1">
      <c r="A602" s="1"/>
      <c r="B602" s="139"/>
      <c r="C602" s="1"/>
      <c r="D602" s="1"/>
      <c r="E602" s="1"/>
      <c r="F602" s="1"/>
      <c r="G602" s="1"/>
      <c r="H602" s="4"/>
      <c r="I602" s="4"/>
      <c r="J602" s="4"/>
      <c r="K602" s="4"/>
      <c r="L602" s="4"/>
      <c r="M602" s="4"/>
      <c r="N602" s="3"/>
      <c r="O602" s="1"/>
      <c r="P602" s="1"/>
      <c r="Q602" s="4"/>
      <c r="R602" s="5"/>
      <c r="S602" s="4"/>
      <c r="T602" s="1"/>
      <c r="U602" s="1"/>
      <c r="V602" s="1"/>
      <c r="W602" s="1"/>
      <c r="X602" s="1"/>
      <c r="Y602" s="6"/>
      <c r="Z602" s="4"/>
      <c r="AA602" s="4"/>
      <c r="AB602" s="4"/>
      <c r="AC602" s="1"/>
      <c r="AD602" s="1"/>
      <c r="AE602" s="1"/>
      <c r="AF602" s="1"/>
      <c r="AG602" s="1"/>
      <c r="AH602" s="4"/>
      <c r="AI602" s="1"/>
      <c r="AJ602" s="3"/>
      <c r="AK602" s="4"/>
      <c r="AL602" s="6"/>
      <c r="AM602" s="7"/>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row>
    <row r="603" spans="1:64" ht="16.5" customHeight="1">
      <c r="A603" s="1"/>
      <c r="B603" s="139"/>
      <c r="C603" s="1"/>
      <c r="D603" s="1"/>
      <c r="E603" s="1"/>
      <c r="F603" s="1"/>
      <c r="G603" s="1"/>
      <c r="H603" s="4"/>
      <c r="I603" s="4"/>
      <c r="J603" s="4"/>
      <c r="K603" s="4"/>
      <c r="L603" s="4"/>
      <c r="M603" s="4"/>
      <c r="N603" s="3"/>
      <c r="O603" s="1"/>
      <c r="P603" s="1"/>
      <c r="Q603" s="4"/>
      <c r="R603" s="5"/>
      <c r="S603" s="4"/>
      <c r="T603" s="1"/>
      <c r="U603" s="1"/>
      <c r="V603" s="1"/>
      <c r="W603" s="1"/>
      <c r="X603" s="1"/>
      <c r="Y603" s="6"/>
      <c r="Z603" s="4"/>
      <c r="AA603" s="4"/>
      <c r="AB603" s="4"/>
      <c r="AC603" s="1"/>
      <c r="AD603" s="1"/>
      <c r="AE603" s="1"/>
      <c r="AF603" s="1"/>
      <c r="AG603" s="1"/>
      <c r="AH603" s="4"/>
      <c r="AI603" s="1"/>
      <c r="AJ603" s="3"/>
      <c r="AK603" s="4"/>
      <c r="AL603" s="6"/>
      <c r="AM603" s="7"/>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row>
    <row r="604" spans="1:64" ht="16.5" customHeight="1">
      <c r="A604" s="1"/>
      <c r="B604" s="139"/>
      <c r="C604" s="1"/>
      <c r="D604" s="1"/>
      <c r="E604" s="1"/>
      <c r="F604" s="1"/>
      <c r="G604" s="1"/>
      <c r="H604" s="4"/>
      <c r="I604" s="4"/>
      <c r="J604" s="4"/>
      <c r="K604" s="4"/>
      <c r="L604" s="4"/>
      <c r="M604" s="4"/>
      <c r="N604" s="3"/>
      <c r="O604" s="1"/>
      <c r="P604" s="1"/>
      <c r="Q604" s="4"/>
      <c r="R604" s="5"/>
      <c r="S604" s="4"/>
      <c r="T604" s="1"/>
      <c r="U604" s="1"/>
      <c r="V604" s="1"/>
      <c r="W604" s="1"/>
      <c r="X604" s="1"/>
      <c r="Y604" s="6"/>
      <c r="Z604" s="4"/>
      <c r="AA604" s="4"/>
      <c r="AB604" s="4"/>
      <c r="AC604" s="1"/>
      <c r="AD604" s="1"/>
      <c r="AE604" s="1"/>
      <c r="AF604" s="1"/>
      <c r="AG604" s="1"/>
      <c r="AH604" s="4"/>
      <c r="AI604" s="1"/>
      <c r="AJ604" s="3"/>
      <c r="AK604" s="4"/>
      <c r="AL604" s="6"/>
      <c r="AM604" s="7"/>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row>
    <row r="605" spans="1:64" ht="16.5" customHeight="1">
      <c r="A605" s="1"/>
      <c r="B605" s="139"/>
      <c r="C605" s="1"/>
      <c r="D605" s="1"/>
      <c r="E605" s="1"/>
      <c r="F605" s="1"/>
      <c r="G605" s="1"/>
      <c r="H605" s="4"/>
      <c r="I605" s="4"/>
      <c r="J605" s="4"/>
      <c r="K605" s="4"/>
      <c r="L605" s="4"/>
      <c r="M605" s="4"/>
      <c r="N605" s="3"/>
      <c r="O605" s="1"/>
      <c r="P605" s="1"/>
      <c r="Q605" s="4"/>
      <c r="R605" s="5"/>
      <c r="S605" s="4"/>
      <c r="T605" s="1"/>
      <c r="U605" s="1"/>
      <c r="V605" s="1"/>
      <c r="W605" s="1"/>
      <c r="X605" s="1"/>
      <c r="Y605" s="6"/>
      <c r="Z605" s="4"/>
      <c r="AA605" s="4"/>
      <c r="AB605" s="4"/>
      <c r="AC605" s="1"/>
      <c r="AD605" s="1"/>
      <c r="AE605" s="1"/>
      <c r="AF605" s="1"/>
      <c r="AG605" s="1"/>
      <c r="AH605" s="4"/>
      <c r="AI605" s="1"/>
      <c r="AJ605" s="3"/>
      <c r="AK605" s="4"/>
      <c r="AL605" s="6"/>
      <c r="AM605" s="7"/>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row>
    <row r="606" spans="1:64" ht="16.5" customHeight="1">
      <c r="A606" s="1"/>
      <c r="B606" s="139"/>
      <c r="C606" s="1"/>
      <c r="D606" s="1"/>
      <c r="E606" s="1"/>
      <c r="F606" s="1"/>
      <c r="G606" s="1"/>
      <c r="H606" s="4"/>
      <c r="I606" s="4"/>
      <c r="J606" s="4"/>
      <c r="K606" s="4"/>
      <c r="L606" s="4"/>
      <c r="M606" s="4"/>
      <c r="N606" s="3"/>
      <c r="O606" s="1"/>
      <c r="P606" s="1"/>
      <c r="Q606" s="4"/>
      <c r="R606" s="5"/>
      <c r="S606" s="4"/>
      <c r="T606" s="1"/>
      <c r="U606" s="1"/>
      <c r="V606" s="1"/>
      <c r="W606" s="1"/>
      <c r="X606" s="1"/>
      <c r="Y606" s="6"/>
      <c r="Z606" s="4"/>
      <c r="AA606" s="4"/>
      <c r="AB606" s="4"/>
      <c r="AC606" s="1"/>
      <c r="AD606" s="1"/>
      <c r="AE606" s="1"/>
      <c r="AF606" s="1"/>
      <c r="AG606" s="1"/>
      <c r="AH606" s="4"/>
      <c r="AI606" s="1"/>
      <c r="AJ606" s="3"/>
      <c r="AK606" s="4"/>
      <c r="AL606" s="6"/>
      <c r="AM606" s="7"/>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row>
    <row r="607" spans="1:64" ht="16.5" customHeight="1">
      <c r="A607" s="1"/>
      <c r="B607" s="139"/>
      <c r="C607" s="1"/>
      <c r="D607" s="1"/>
      <c r="E607" s="1"/>
      <c r="F607" s="1"/>
      <c r="G607" s="1"/>
      <c r="H607" s="4"/>
      <c r="I607" s="4"/>
      <c r="J607" s="4"/>
      <c r="K607" s="4"/>
      <c r="L607" s="4"/>
      <c r="M607" s="4"/>
      <c r="N607" s="3"/>
      <c r="O607" s="1"/>
      <c r="P607" s="1"/>
      <c r="Q607" s="4"/>
      <c r="R607" s="5"/>
      <c r="S607" s="4"/>
      <c r="T607" s="1"/>
      <c r="U607" s="1"/>
      <c r="V607" s="1"/>
      <c r="W607" s="1"/>
      <c r="X607" s="1"/>
      <c r="Y607" s="6"/>
      <c r="Z607" s="4"/>
      <c r="AA607" s="4"/>
      <c r="AB607" s="4"/>
      <c r="AC607" s="1"/>
      <c r="AD607" s="1"/>
      <c r="AE607" s="1"/>
      <c r="AF607" s="1"/>
      <c r="AG607" s="1"/>
      <c r="AH607" s="4"/>
      <c r="AI607" s="1"/>
      <c r="AJ607" s="3"/>
      <c r="AK607" s="4"/>
      <c r="AL607" s="6"/>
      <c r="AM607" s="7"/>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row>
    <row r="608" spans="1:64" ht="16.5" customHeight="1">
      <c r="A608" s="1"/>
      <c r="B608" s="139"/>
      <c r="C608" s="1"/>
      <c r="D608" s="1"/>
      <c r="E608" s="1"/>
      <c r="F608" s="1"/>
      <c r="G608" s="1"/>
      <c r="H608" s="4"/>
      <c r="I608" s="4"/>
      <c r="J608" s="4"/>
      <c r="K608" s="4"/>
      <c r="L608" s="4"/>
      <c r="M608" s="4"/>
      <c r="N608" s="3"/>
      <c r="O608" s="1"/>
      <c r="P608" s="1"/>
      <c r="Q608" s="4"/>
      <c r="R608" s="5"/>
      <c r="S608" s="4"/>
      <c r="T608" s="1"/>
      <c r="U608" s="1"/>
      <c r="V608" s="1"/>
      <c r="W608" s="1"/>
      <c r="X608" s="1"/>
      <c r="Y608" s="6"/>
      <c r="Z608" s="4"/>
      <c r="AA608" s="4"/>
      <c r="AB608" s="4"/>
      <c r="AC608" s="1"/>
      <c r="AD608" s="1"/>
      <c r="AE608" s="1"/>
      <c r="AF608" s="1"/>
      <c r="AG608" s="1"/>
      <c r="AH608" s="4"/>
      <c r="AI608" s="1"/>
      <c r="AJ608" s="3"/>
      <c r="AK608" s="4"/>
      <c r="AL608" s="6"/>
      <c r="AM608" s="7"/>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row>
    <row r="609" spans="1:64" ht="16.5" customHeight="1">
      <c r="A609" s="1"/>
      <c r="B609" s="139"/>
      <c r="C609" s="1"/>
      <c r="D609" s="1"/>
      <c r="E609" s="1"/>
      <c r="F609" s="1"/>
      <c r="G609" s="1"/>
      <c r="H609" s="4"/>
      <c r="I609" s="4"/>
      <c r="J609" s="4"/>
      <c r="K609" s="4"/>
      <c r="L609" s="4"/>
      <c r="M609" s="4"/>
      <c r="N609" s="3"/>
      <c r="O609" s="1"/>
      <c r="P609" s="1"/>
      <c r="Q609" s="4"/>
      <c r="R609" s="5"/>
      <c r="S609" s="4"/>
      <c r="T609" s="1"/>
      <c r="U609" s="1"/>
      <c r="V609" s="1"/>
      <c r="W609" s="1"/>
      <c r="X609" s="1"/>
      <c r="Y609" s="6"/>
      <c r="Z609" s="4"/>
      <c r="AA609" s="4"/>
      <c r="AB609" s="4"/>
      <c r="AC609" s="1"/>
      <c r="AD609" s="1"/>
      <c r="AE609" s="1"/>
      <c r="AF609" s="1"/>
      <c r="AG609" s="1"/>
      <c r="AH609" s="4"/>
      <c r="AI609" s="1"/>
      <c r="AJ609" s="3"/>
      <c r="AK609" s="4"/>
      <c r="AL609" s="6"/>
      <c r="AM609" s="7"/>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row>
    <row r="610" spans="1:64" ht="16.5" customHeight="1">
      <c r="A610" s="1"/>
      <c r="B610" s="139"/>
      <c r="C610" s="1"/>
      <c r="D610" s="1"/>
      <c r="E610" s="1"/>
      <c r="F610" s="1"/>
      <c r="G610" s="1"/>
      <c r="H610" s="4"/>
      <c r="I610" s="4"/>
      <c r="J610" s="4"/>
      <c r="K610" s="4"/>
      <c r="L610" s="4"/>
      <c r="M610" s="4"/>
      <c r="N610" s="3"/>
      <c r="O610" s="1"/>
      <c r="P610" s="1"/>
      <c r="Q610" s="4"/>
      <c r="R610" s="5"/>
      <c r="S610" s="4"/>
      <c r="T610" s="1"/>
      <c r="U610" s="1"/>
      <c r="V610" s="1"/>
      <c r="W610" s="1"/>
      <c r="X610" s="1"/>
      <c r="Y610" s="6"/>
      <c r="Z610" s="4"/>
      <c r="AA610" s="4"/>
      <c r="AB610" s="4"/>
      <c r="AC610" s="1"/>
      <c r="AD610" s="1"/>
      <c r="AE610" s="1"/>
      <c r="AF610" s="1"/>
      <c r="AG610" s="1"/>
      <c r="AH610" s="4"/>
      <c r="AI610" s="1"/>
      <c r="AJ610" s="3"/>
      <c r="AK610" s="4"/>
      <c r="AL610" s="6"/>
      <c r="AM610" s="7"/>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row>
    <row r="611" spans="1:64" ht="16.5" customHeight="1">
      <c r="A611" s="1"/>
      <c r="B611" s="139"/>
      <c r="C611" s="1"/>
      <c r="D611" s="1"/>
      <c r="E611" s="1"/>
      <c r="F611" s="1"/>
      <c r="G611" s="1"/>
      <c r="H611" s="4"/>
      <c r="I611" s="4"/>
      <c r="J611" s="4"/>
      <c r="K611" s="4"/>
      <c r="L611" s="4"/>
      <c r="M611" s="4"/>
      <c r="N611" s="3"/>
      <c r="O611" s="1"/>
      <c r="P611" s="1"/>
      <c r="Q611" s="4"/>
      <c r="R611" s="5"/>
      <c r="S611" s="4"/>
      <c r="T611" s="1"/>
      <c r="U611" s="1"/>
      <c r="V611" s="1"/>
      <c r="W611" s="1"/>
      <c r="X611" s="1"/>
      <c r="Y611" s="6"/>
      <c r="Z611" s="4"/>
      <c r="AA611" s="4"/>
      <c r="AB611" s="4"/>
      <c r="AC611" s="1"/>
      <c r="AD611" s="1"/>
      <c r="AE611" s="1"/>
      <c r="AF611" s="1"/>
      <c r="AG611" s="1"/>
      <c r="AH611" s="4"/>
      <c r="AI611" s="1"/>
      <c r="AJ611" s="3"/>
      <c r="AK611" s="4"/>
      <c r="AL611" s="6"/>
      <c r="AM611" s="7"/>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row>
    <row r="612" spans="1:64" ht="16.5" customHeight="1">
      <c r="A612" s="1"/>
      <c r="B612" s="139"/>
      <c r="C612" s="1"/>
      <c r="D612" s="1"/>
      <c r="E612" s="1"/>
      <c r="F612" s="1"/>
      <c r="G612" s="1"/>
      <c r="H612" s="4"/>
      <c r="I612" s="4"/>
      <c r="J612" s="4"/>
      <c r="K612" s="4"/>
      <c r="L612" s="4"/>
      <c r="M612" s="4"/>
      <c r="N612" s="3"/>
      <c r="O612" s="1"/>
      <c r="P612" s="1"/>
      <c r="Q612" s="4"/>
      <c r="R612" s="5"/>
      <c r="S612" s="4"/>
      <c r="T612" s="1"/>
      <c r="U612" s="1"/>
      <c r="V612" s="1"/>
      <c r="W612" s="1"/>
      <c r="X612" s="1"/>
      <c r="Y612" s="6"/>
      <c r="Z612" s="4"/>
      <c r="AA612" s="4"/>
      <c r="AB612" s="4"/>
      <c r="AC612" s="1"/>
      <c r="AD612" s="1"/>
      <c r="AE612" s="1"/>
      <c r="AF612" s="1"/>
      <c r="AG612" s="1"/>
      <c r="AH612" s="4"/>
      <c r="AI612" s="1"/>
      <c r="AJ612" s="3"/>
      <c r="AK612" s="4"/>
      <c r="AL612" s="6"/>
      <c r="AM612" s="7"/>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row>
    <row r="613" spans="1:64" ht="16.5" customHeight="1">
      <c r="A613" s="1"/>
      <c r="B613" s="139"/>
      <c r="C613" s="1"/>
      <c r="D613" s="1"/>
      <c r="E613" s="1"/>
      <c r="F613" s="1"/>
      <c r="G613" s="1"/>
      <c r="H613" s="4"/>
      <c r="I613" s="4"/>
      <c r="J613" s="4"/>
      <c r="K613" s="4"/>
      <c r="L613" s="4"/>
      <c r="M613" s="4"/>
      <c r="N613" s="3"/>
      <c r="O613" s="1"/>
      <c r="P613" s="1"/>
      <c r="Q613" s="4"/>
      <c r="R613" s="5"/>
      <c r="S613" s="4"/>
      <c r="T613" s="1"/>
      <c r="U613" s="1"/>
      <c r="V613" s="1"/>
      <c r="W613" s="1"/>
      <c r="X613" s="1"/>
      <c r="Y613" s="6"/>
      <c r="Z613" s="4"/>
      <c r="AA613" s="4"/>
      <c r="AB613" s="4"/>
      <c r="AC613" s="1"/>
      <c r="AD613" s="1"/>
      <c r="AE613" s="1"/>
      <c r="AF613" s="1"/>
      <c r="AG613" s="1"/>
      <c r="AH613" s="4"/>
      <c r="AI613" s="1"/>
      <c r="AJ613" s="3"/>
      <c r="AK613" s="4"/>
      <c r="AL613" s="6"/>
      <c r="AM613" s="7"/>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row>
    <row r="614" spans="1:64" ht="16.5" customHeight="1">
      <c r="A614" s="1"/>
      <c r="B614" s="139"/>
      <c r="C614" s="1"/>
      <c r="D614" s="1"/>
      <c r="E614" s="1"/>
      <c r="F614" s="1"/>
      <c r="G614" s="1"/>
      <c r="H614" s="4"/>
      <c r="I614" s="4"/>
      <c r="J614" s="4"/>
      <c r="K614" s="4"/>
      <c r="L614" s="4"/>
      <c r="M614" s="4"/>
      <c r="N614" s="3"/>
      <c r="O614" s="1"/>
      <c r="P614" s="1"/>
      <c r="Q614" s="4"/>
      <c r="R614" s="5"/>
      <c r="S614" s="4"/>
      <c r="T614" s="1"/>
      <c r="U614" s="1"/>
      <c r="V614" s="1"/>
      <c r="W614" s="1"/>
      <c r="X614" s="1"/>
      <c r="Y614" s="6"/>
      <c r="Z614" s="4"/>
      <c r="AA614" s="4"/>
      <c r="AB614" s="4"/>
      <c r="AC614" s="1"/>
      <c r="AD614" s="1"/>
      <c r="AE614" s="1"/>
      <c r="AF614" s="1"/>
      <c r="AG614" s="1"/>
      <c r="AH614" s="4"/>
      <c r="AI614" s="1"/>
      <c r="AJ614" s="3"/>
      <c r="AK614" s="4"/>
      <c r="AL614" s="6"/>
      <c r="AM614" s="7"/>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row>
    <row r="615" spans="1:64" ht="16.5" customHeight="1">
      <c r="A615" s="1"/>
      <c r="B615" s="139"/>
      <c r="C615" s="1"/>
      <c r="D615" s="1"/>
      <c r="E615" s="1"/>
      <c r="F615" s="1"/>
      <c r="G615" s="1"/>
      <c r="H615" s="4"/>
      <c r="I615" s="4"/>
      <c r="J615" s="4"/>
      <c r="K615" s="4"/>
      <c r="L615" s="4"/>
      <c r="M615" s="4"/>
      <c r="N615" s="3"/>
      <c r="O615" s="1"/>
      <c r="P615" s="1"/>
      <c r="Q615" s="4"/>
      <c r="R615" s="5"/>
      <c r="S615" s="4"/>
      <c r="T615" s="1"/>
      <c r="U615" s="1"/>
      <c r="V615" s="1"/>
      <c r="W615" s="1"/>
      <c r="X615" s="1"/>
      <c r="Y615" s="6"/>
      <c r="Z615" s="4"/>
      <c r="AA615" s="4"/>
      <c r="AB615" s="4"/>
      <c r="AC615" s="1"/>
      <c r="AD615" s="1"/>
      <c r="AE615" s="1"/>
      <c r="AF615" s="1"/>
      <c r="AG615" s="1"/>
      <c r="AH615" s="4"/>
      <c r="AI615" s="1"/>
      <c r="AJ615" s="3"/>
      <c r="AK615" s="4"/>
      <c r="AL615" s="6"/>
      <c r="AM615" s="7"/>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row>
    <row r="616" spans="1:64" ht="16.5" customHeight="1">
      <c r="A616" s="1"/>
      <c r="B616" s="139"/>
      <c r="C616" s="1"/>
      <c r="D616" s="1"/>
      <c r="E616" s="1"/>
      <c r="F616" s="1"/>
      <c r="G616" s="1"/>
      <c r="H616" s="4"/>
      <c r="I616" s="4"/>
      <c r="J616" s="4"/>
      <c r="K616" s="4"/>
      <c r="L616" s="4"/>
      <c r="M616" s="4"/>
      <c r="N616" s="3"/>
      <c r="O616" s="1"/>
      <c r="P616" s="1"/>
      <c r="Q616" s="4"/>
      <c r="R616" s="5"/>
      <c r="S616" s="4"/>
      <c r="T616" s="1"/>
      <c r="U616" s="1"/>
      <c r="V616" s="1"/>
      <c r="W616" s="1"/>
      <c r="X616" s="1"/>
      <c r="Y616" s="6"/>
      <c r="Z616" s="4"/>
      <c r="AA616" s="4"/>
      <c r="AB616" s="4"/>
      <c r="AC616" s="1"/>
      <c r="AD616" s="1"/>
      <c r="AE616" s="1"/>
      <c r="AF616" s="1"/>
      <c r="AG616" s="1"/>
      <c r="AH616" s="4"/>
      <c r="AI616" s="1"/>
      <c r="AJ616" s="3"/>
      <c r="AK616" s="4"/>
      <c r="AL616" s="6"/>
      <c r="AM616" s="7"/>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row>
    <row r="617" spans="1:64" ht="16.5" customHeight="1">
      <c r="A617" s="1"/>
      <c r="B617" s="139"/>
      <c r="C617" s="1"/>
      <c r="D617" s="1"/>
      <c r="E617" s="1"/>
      <c r="F617" s="1"/>
      <c r="G617" s="1"/>
      <c r="H617" s="4"/>
      <c r="I617" s="4"/>
      <c r="J617" s="4"/>
      <c r="K617" s="4"/>
      <c r="L617" s="4"/>
      <c r="M617" s="4"/>
      <c r="N617" s="3"/>
      <c r="O617" s="1"/>
      <c r="P617" s="1"/>
      <c r="Q617" s="4"/>
      <c r="R617" s="5"/>
      <c r="S617" s="4"/>
      <c r="T617" s="1"/>
      <c r="U617" s="1"/>
      <c r="V617" s="1"/>
      <c r="W617" s="1"/>
      <c r="X617" s="1"/>
      <c r="Y617" s="6"/>
      <c r="Z617" s="4"/>
      <c r="AA617" s="4"/>
      <c r="AB617" s="4"/>
      <c r="AC617" s="1"/>
      <c r="AD617" s="1"/>
      <c r="AE617" s="1"/>
      <c r="AF617" s="1"/>
      <c r="AG617" s="1"/>
      <c r="AH617" s="4"/>
      <c r="AI617" s="1"/>
      <c r="AJ617" s="3"/>
      <c r="AK617" s="4"/>
      <c r="AL617" s="6"/>
      <c r="AM617" s="7"/>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row>
    <row r="618" spans="1:64" ht="16.5" customHeight="1">
      <c r="A618" s="1"/>
      <c r="B618" s="139"/>
      <c r="C618" s="1"/>
      <c r="D618" s="1"/>
      <c r="E618" s="1"/>
      <c r="F618" s="1"/>
      <c r="G618" s="1"/>
      <c r="H618" s="4"/>
      <c r="I618" s="4"/>
      <c r="J618" s="4"/>
      <c r="K618" s="4"/>
      <c r="L618" s="4"/>
      <c r="M618" s="4"/>
      <c r="N618" s="3"/>
      <c r="O618" s="1"/>
      <c r="P618" s="1"/>
      <c r="Q618" s="4"/>
      <c r="R618" s="5"/>
      <c r="S618" s="4"/>
      <c r="T618" s="1"/>
      <c r="U618" s="1"/>
      <c r="V618" s="1"/>
      <c r="W618" s="1"/>
      <c r="X618" s="1"/>
      <c r="Y618" s="6"/>
      <c r="Z618" s="4"/>
      <c r="AA618" s="4"/>
      <c r="AB618" s="4"/>
      <c r="AC618" s="1"/>
      <c r="AD618" s="1"/>
      <c r="AE618" s="1"/>
      <c r="AF618" s="1"/>
      <c r="AG618" s="1"/>
      <c r="AH618" s="4"/>
      <c r="AI618" s="1"/>
      <c r="AJ618" s="3"/>
      <c r="AK618" s="4"/>
      <c r="AL618" s="6"/>
      <c r="AM618" s="7"/>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row>
    <row r="619" spans="1:64" ht="16.5" customHeight="1">
      <c r="A619" s="1"/>
      <c r="B619" s="139"/>
      <c r="C619" s="1"/>
      <c r="D619" s="1"/>
      <c r="E619" s="1"/>
      <c r="F619" s="1"/>
      <c r="G619" s="1"/>
      <c r="H619" s="4"/>
      <c r="I619" s="4"/>
      <c r="J619" s="4"/>
      <c r="K619" s="4"/>
      <c r="L619" s="4"/>
      <c r="M619" s="4"/>
      <c r="N619" s="3"/>
      <c r="O619" s="1"/>
      <c r="P619" s="1"/>
      <c r="Q619" s="4"/>
      <c r="R619" s="5"/>
      <c r="S619" s="4"/>
      <c r="T619" s="1"/>
      <c r="U619" s="1"/>
      <c r="V619" s="1"/>
      <c r="W619" s="1"/>
      <c r="X619" s="1"/>
      <c r="Y619" s="6"/>
      <c r="Z619" s="4"/>
      <c r="AA619" s="4"/>
      <c r="AB619" s="4"/>
      <c r="AC619" s="1"/>
      <c r="AD619" s="1"/>
      <c r="AE619" s="1"/>
      <c r="AF619" s="1"/>
      <c r="AG619" s="1"/>
      <c r="AH619" s="4"/>
      <c r="AI619" s="1"/>
      <c r="AJ619" s="3"/>
      <c r="AK619" s="4"/>
      <c r="AL619" s="6"/>
      <c r="AM619" s="7"/>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row>
    <row r="620" spans="1:64" ht="16.5" customHeight="1">
      <c r="A620" s="1"/>
      <c r="B620" s="139"/>
      <c r="C620" s="1"/>
      <c r="D620" s="1"/>
      <c r="E620" s="1"/>
      <c r="F620" s="1"/>
      <c r="G620" s="1"/>
      <c r="H620" s="4"/>
      <c r="I620" s="4"/>
      <c r="J620" s="4"/>
      <c r="K620" s="4"/>
      <c r="L620" s="4"/>
      <c r="M620" s="4"/>
      <c r="N620" s="3"/>
      <c r="O620" s="1"/>
      <c r="P620" s="1"/>
      <c r="Q620" s="4"/>
      <c r="R620" s="5"/>
      <c r="S620" s="4"/>
      <c r="T620" s="1"/>
      <c r="U620" s="1"/>
      <c r="V620" s="1"/>
      <c r="W620" s="1"/>
      <c r="X620" s="1"/>
      <c r="Y620" s="6"/>
      <c r="Z620" s="4"/>
      <c r="AA620" s="4"/>
      <c r="AB620" s="4"/>
      <c r="AC620" s="1"/>
      <c r="AD620" s="1"/>
      <c r="AE620" s="1"/>
      <c r="AF620" s="1"/>
      <c r="AG620" s="1"/>
      <c r="AH620" s="4"/>
      <c r="AI620" s="1"/>
      <c r="AJ620" s="3"/>
      <c r="AK620" s="4"/>
      <c r="AL620" s="6"/>
      <c r="AM620" s="7"/>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row>
    <row r="621" spans="1:64" ht="16.5" customHeight="1">
      <c r="A621" s="1"/>
      <c r="B621" s="139"/>
      <c r="C621" s="1"/>
      <c r="D621" s="1"/>
      <c r="E621" s="1"/>
      <c r="F621" s="1"/>
      <c r="G621" s="1"/>
      <c r="H621" s="4"/>
      <c r="I621" s="4"/>
      <c r="J621" s="4"/>
      <c r="K621" s="4"/>
      <c r="L621" s="4"/>
      <c r="M621" s="4"/>
      <c r="N621" s="3"/>
      <c r="O621" s="1"/>
      <c r="P621" s="1"/>
      <c r="Q621" s="4"/>
      <c r="R621" s="5"/>
      <c r="S621" s="4"/>
      <c r="T621" s="1"/>
      <c r="U621" s="1"/>
      <c r="V621" s="1"/>
      <c r="W621" s="1"/>
      <c r="X621" s="1"/>
      <c r="Y621" s="6"/>
      <c r="Z621" s="4"/>
      <c r="AA621" s="4"/>
      <c r="AB621" s="4"/>
      <c r="AC621" s="1"/>
      <c r="AD621" s="1"/>
      <c r="AE621" s="1"/>
      <c r="AF621" s="1"/>
      <c r="AG621" s="1"/>
      <c r="AH621" s="4"/>
      <c r="AI621" s="1"/>
      <c r="AJ621" s="3"/>
      <c r="AK621" s="4"/>
      <c r="AL621" s="6"/>
      <c r="AM621" s="7"/>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row>
    <row r="622" spans="1:64" ht="16.5" customHeight="1">
      <c r="A622" s="1"/>
      <c r="B622" s="139"/>
      <c r="C622" s="1"/>
      <c r="D622" s="1"/>
      <c r="E622" s="1"/>
      <c r="F622" s="1"/>
      <c r="G622" s="1"/>
      <c r="H622" s="4"/>
      <c r="I622" s="4"/>
      <c r="J622" s="4"/>
      <c r="K622" s="4"/>
      <c r="L622" s="4"/>
      <c r="M622" s="4"/>
      <c r="N622" s="3"/>
      <c r="O622" s="1"/>
      <c r="P622" s="1"/>
      <c r="Q622" s="4"/>
      <c r="R622" s="5"/>
      <c r="S622" s="4"/>
      <c r="T622" s="1"/>
      <c r="U622" s="1"/>
      <c r="V622" s="1"/>
      <c r="W622" s="1"/>
      <c r="X622" s="1"/>
      <c r="Y622" s="6"/>
      <c r="Z622" s="4"/>
      <c r="AA622" s="4"/>
      <c r="AB622" s="4"/>
      <c r="AC622" s="1"/>
      <c r="AD622" s="1"/>
      <c r="AE622" s="1"/>
      <c r="AF622" s="1"/>
      <c r="AG622" s="1"/>
      <c r="AH622" s="4"/>
      <c r="AI622" s="1"/>
      <c r="AJ622" s="3"/>
      <c r="AK622" s="4"/>
      <c r="AL622" s="6"/>
      <c r="AM622" s="7"/>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row>
    <row r="623" spans="1:64" ht="16.5" customHeight="1">
      <c r="A623" s="1"/>
      <c r="B623" s="139"/>
      <c r="C623" s="1"/>
      <c r="D623" s="1"/>
      <c r="E623" s="1"/>
      <c r="F623" s="1"/>
      <c r="G623" s="1"/>
      <c r="H623" s="4"/>
      <c r="I623" s="4"/>
      <c r="J623" s="4"/>
      <c r="K623" s="4"/>
      <c r="L623" s="4"/>
      <c r="M623" s="4"/>
      <c r="N623" s="3"/>
      <c r="O623" s="1"/>
      <c r="P623" s="1"/>
      <c r="Q623" s="4"/>
      <c r="R623" s="5"/>
      <c r="S623" s="4"/>
      <c r="T623" s="1"/>
      <c r="U623" s="1"/>
      <c r="V623" s="1"/>
      <c r="W623" s="1"/>
      <c r="X623" s="1"/>
      <c r="Y623" s="6"/>
      <c r="Z623" s="4"/>
      <c r="AA623" s="4"/>
      <c r="AB623" s="4"/>
      <c r="AC623" s="1"/>
      <c r="AD623" s="1"/>
      <c r="AE623" s="1"/>
      <c r="AF623" s="1"/>
      <c r="AG623" s="1"/>
      <c r="AH623" s="4"/>
      <c r="AI623" s="1"/>
      <c r="AJ623" s="3"/>
      <c r="AK623" s="4"/>
      <c r="AL623" s="6"/>
      <c r="AM623" s="7"/>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row>
    <row r="624" spans="1:64" ht="16.5" customHeight="1">
      <c r="A624" s="1"/>
      <c r="B624" s="139"/>
      <c r="C624" s="1"/>
      <c r="D624" s="1"/>
      <c r="E624" s="1"/>
      <c r="F624" s="1"/>
      <c r="G624" s="1"/>
      <c r="H624" s="4"/>
      <c r="I624" s="4"/>
      <c r="J624" s="4"/>
      <c r="K624" s="4"/>
      <c r="L624" s="4"/>
      <c r="M624" s="4"/>
      <c r="N624" s="3"/>
      <c r="O624" s="1"/>
      <c r="P624" s="1"/>
      <c r="Q624" s="4"/>
      <c r="R624" s="5"/>
      <c r="S624" s="4"/>
      <c r="T624" s="1"/>
      <c r="U624" s="1"/>
      <c r="V624" s="1"/>
      <c r="W624" s="1"/>
      <c r="X624" s="1"/>
      <c r="Y624" s="6"/>
      <c r="Z624" s="4"/>
      <c r="AA624" s="4"/>
      <c r="AB624" s="4"/>
      <c r="AC624" s="1"/>
      <c r="AD624" s="1"/>
      <c r="AE624" s="1"/>
      <c r="AF624" s="1"/>
      <c r="AG624" s="1"/>
      <c r="AH624" s="4"/>
      <c r="AI624" s="1"/>
      <c r="AJ624" s="3"/>
      <c r="AK624" s="4"/>
      <c r="AL624" s="6"/>
      <c r="AM624" s="7"/>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row>
    <row r="625" spans="1:64" ht="16.5" customHeight="1">
      <c r="A625" s="1"/>
      <c r="B625" s="139"/>
      <c r="C625" s="1"/>
      <c r="D625" s="1"/>
      <c r="E625" s="1"/>
      <c r="F625" s="1"/>
      <c r="G625" s="1"/>
      <c r="H625" s="4"/>
      <c r="I625" s="4"/>
      <c r="J625" s="4"/>
      <c r="K625" s="4"/>
      <c r="L625" s="4"/>
      <c r="M625" s="4"/>
      <c r="N625" s="3"/>
      <c r="O625" s="1"/>
      <c r="P625" s="1"/>
      <c r="Q625" s="4"/>
      <c r="R625" s="5"/>
      <c r="S625" s="4"/>
      <c r="T625" s="1"/>
      <c r="U625" s="1"/>
      <c r="V625" s="1"/>
      <c r="W625" s="1"/>
      <c r="X625" s="1"/>
      <c r="Y625" s="6"/>
      <c r="Z625" s="4"/>
      <c r="AA625" s="4"/>
      <c r="AB625" s="4"/>
      <c r="AC625" s="1"/>
      <c r="AD625" s="1"/>
      <c r="AE625" s="1"/>
      <c r="AF625" s="1"/>
      <c r="AG625" s="1"/>
      <c r="AH625" s="4"/>
      <c r="AI625" s="1"/>
      <c r="AJ625" s="3"/>
      <c r="AK625" s="4"/>
      <c r="AL625" s="6"/>
      <c r="AM625" s="7"/>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row>
    <row r="626" spans="1:64" ht="16.5" customHeight="1">
      <c r="A626" s="1"/>
      <c r="B626" s="139"/>
      <c r="C626" s="1"/>
      <c r="D626" s="1"/>
      <c r="E626" s="1"/>
      <c r="F626" s="1"/>
      <c r="G626" s="1"/>
      <c r="H626" s="4"/>
      <c r="I626" s="4"/>
      <c r="J626" s="4"/>
      <c r="K626" s="4"/>
      <c r="L626" s="4"/>
      <c r="M626" s="4"/>
      <c r="N626" s="3"/>
      <c r="O626" s="1"/>
      <c r="P626" s="1"/>
      <c r="Q626" s="4"/>
      <c r="R626" s="5"/>
      <c r="S626" s="4"/>
      <c r="T626" s="1"/>
      <c r="U626" s="1"/>
      <c r="V626" s="1"/>
      <c r="W626" s="1"/>
      <c r="X626" s="1"/>
      <c r="Y626" s="6"/>
      <c r="Z626" s="4"/>
      <c r="AA626" s="4"/>
      <c r="AB626" s="4"/>
      <c r="AC626" s="1"/>
      <c r="AD626" s="1"/>
      <c r="AE626" s="1"/>
      <c r="AF626" s="1"/>
      <c r="AG626" s="1"/>
      <c r="AH626" s="4"/>
      <c r="AI626" s="1"/>
      <c r="AJ626" s="3"/>
      <c r="AK626" s="4"/>
      <c r="AL626" s="6"/>
      <c r="AM626" s="7"/>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row>
    <row r="627" spans="1:64" ht="16.5" customHeight="1">
      <c r="A627" s="1"/>
      <c r="B627" s="139"/>
      <c r="C627" s="1"/>
      <c r="D627" s="1"/>
      <c r="E627" s="1"/>
      <c r="F627" s="1"/>
      <c r="G627" s="1"/>
      <c r="H627" s="4"/>
      <c r="I627" s="4"/>
      <c r="J627" s="4"/>
      <c r="K627" s="4"/>
      <c r="L627" s="4"/>
      <c r="M627" s="4"/>
      <c r="N627" s="3"/>
      <c r="O627" s="1"/>
      <c r="P627" s="1"/>
      <c r="Q627" s="4"/>
      <c r="R627" s="5"/>
      <c r="S627" s="4"/>
      <c r="T627" s="1"/>
      <c r="U627" s="1"/>
      <c r="V627" s="1"/>
      <c r="W627" s="1"/>
      <c r="X627" s="1"/>
      <c r="Y627" s="6"/>
      <c r="Z627" s="4"/>
      <c r="AA627" s="4"/>
      <c r="AB627" s="4"/>
      <c r="AC627" s="1"/>
      <c r="AD627" s="1"/>
      <c r="AE627" s="1"/>
      <c r="AF627" s="1"/>
      <c r="AG627" s="1"/>
      <c r="AH627" s="4"/>
      <c r="AI627" s="1"/>
      <c r="AJ627" s="3"/>
      <c r="AK627" s="4"/>
      <c r="AL627" s="6"/>
      <c r="AM627" s="7"/>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row>
    <row r="628" spans="1:64" ht="16.5" customHeight="1">
      <c r="A628" s="1"/>
      <c r="B628" s="139"/>
      <c r="C628" s="1"/>
      <c r="D628" s="1"/>
      <c r="E628" s="1"/>
      <c r="F628" s="1"/>
      <c r="G628" s="1"/>
      <c r="H628" s="4"/>
      <c r="I628" s="4"/>
      <c r="J628" s="4"/>
      <c r="K628" s="4"/>
      <c r="L628" s="4"/>
      <c r="M628" s="4"/>
      <c r="N628" s="3"/>
      <c r="O628" s="1"/>
      <c r="P628" s="1"/>
      <c r="Q628" s="4"/>
      <c r="R628" s="5"/>
      <c r="S628" s="4"/>
      <c r="T628" s="1"/>
      <c r="U628" s="1"/>
      <c r="V628" s="1"/>
      <c r="W628" s="1"/>
      <c r="X628" s="1"/>
      <c r="Y628" s="6"/>
      <c r="Z628" s="4"/>
      <c r="AA628" s="4"/>
      <c r="AB628" s="4"/>
      <c r="AC628" s="1"/>
      <c r="AD628" s="1"/>
      <c r="AE628" s="1"/>
      <c r="AF628" s="1"/>
      <c r="AG628" s="1"/>
      <c r="AH628" s="4"/>
      <c r="AI628" s="1"/>
      <c r="AJ628" s="3"/>
      <c r="AK628" s="4"/>
      <c r="AL628" s="6"/>
      <c r="AM628" s="7"/>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row>
    <row r="629" spans="1:64" ht="16.5" customHeight="1">
      <c r="A629" s="1"/>
      <c r="B629" s="139"/>
      <c r="C629" s="1"/>
      <c r="D629" s="1"/>
      <c r="E629" s="1"/>
      <c r="F629" s="1"/>
      <c r="G629" s="1"/>
      <c r="H629" s="4"/>
      <c r="I629" s="4"/>
      <c r="J629" s="4"/>
      <c r="K629" s="4"/>
      <c r="L629" s="4"/>
      <c r="M629" s="4"/>
      <c r="N629" s="3"/>
      <c r="O629" s="1"/>
      <c r="P629" s="1"/>
      <c r="Q629" s="4"/>
      <c r="R629" s="5"/>
      <c r="S629" s="4"/>
      <c r="T629" s="1"/>
      <c r="U629" s="1"/>
      <c r="V629" s="1"/>
      <c r="W629" s="1"/>
      <c r="X629" s="1"/>
      <c r="Y629" s="6"/>
      <c r="Z629" s="4"/>
      <c r="AA629" s="4"/>
      <c r="AB629" s="4"/>
      <c r="AC629" s="1"/>
      <c r="AD629" s="1"/>
      <c r="AE629" s="1"/>
      <c r="AF629" s="1"/>
      <c r="AG629" s="1"/>
      <c r="AH629" s="4"/>
      <c r="AI629" s="1"/>
      <c r="AJ629" s="3"/>
      <c r="AK629" s="4"/>
      <c r="AL629" s="6"/>
      <c r="AM629" s="7"/>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row>
    <row r="630" spans="1:64" ht="16.5" customHeight="1">
      <c r="A630" s="1"/>
      <c r="B630" s="139"/>
      <c r="C630" s="1"/>
      <c r="D630" s="1"/>
      <c r="E630" s="1"/>
      <c r="F630" s="1"/>
      <c r="G630" s="1"/>
      <c r="H630" s="4"/>
      <c r="I630" s="4"/>
      <c r="J630" s="4"/>
      <c r="K630" s="4"/>
      <c r="L630" s="4"/>
      <c r="M630" s="4"/>
      <c r="N630" s="3"/>
      <c r="O630" s="1"/>
      <c r="P630" s="1"/>
      <c r="Q630" s="4"/>
      <c r="R630" s="5"/>
      <c r="S630" s="4"/>
      <c r="T630" s="1"/>
      <c r="U630" s="1"/>
      <c r="V630" s="1"/>
      <c r="W630" s="1"/>
      <c r="X630" s="1"/>
      <c r="Y630" s="6"/>
      <c r="Z630" s="4"/>
      <c r="AA630" s="4"/>
      <c r="AB630" s="4"/>
      <c r="AC630" s="1"/>
      <c r="AD630" s="1"/>
      <c r="AE630" s="1"/>
      <c r="AF630" s="1"/>
      <c r="AG630" s="1"/>
      <c r="AH630" s="4"/>
      <c r="AI630" s="1"/>
      <c r="AJ630" s="3"/>
      <c r="AK630" s="4"/>
      <c r="AL630" s="6"/>
      <c r="AM630" s="7"/>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row>
    <row r="631" spans="1:64" ht="16.5" customHeight="1">
      <c r="A631" s="1"/>
      <c r="B631" s="139"/>
      <c r="C631" s="1"/>
      <c r="D631" s="1"/>
      <c r="E631" s="1"/>
      <c r="F631" s="1"/>
      <c r="G631" s="1"/>
      <c r="H631" s="4"/>
      <c r="I631" s="4"/>
      <c r="J631" s="4"/>
      <c r="K631" s="4"/>
      <c r="L631" s="4"/>
      <c r="M631" s="4"/>
      <c r="N631" s="3"/>
      <c r="O631" s="1"/>
      <c r="P631" s="1"/>
      <c r="Q631" s="4"/>
      <c r="R631" s="5"/>
      <c r="S631" s="4"/>
      <c r="T631" s="1"/>
      <c r="U631" s="1"/>
      <c r="V631" s="1"/>
      <c r="W631" s="1"/>
      <c r="X631" s="1"/>
      <c r="Y631" s="6"/>
      <c r="Z631" s="4"/>
      <c r="AA631" s="4"/>
      <c r="AB631" s="4"/>
      <c r="AC631" s="1"/>
      <c r="AD631" s="1"/>
      <c r="AE631" s="1"/>
      <c r="AF631" s="1"/>
      <c r="AG631" s="1"/>
      <c r="AH631" s="4"/>
      <c r="AI631" s="1"/>
      <c r="AJ631" s="3"/>
      <c r="AK631" s="4"/>
      <c r="AL631" s="6"/>
      <c r="AM631" s="7"/>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row>
    <row r="632" spans="1:64" ht="16.5" customHeight="1">
      <c r="A632" s="1"/>
      <c r="B632" s="139"/>
      <c r="C632" s="1"/>
      <c r="D632" s="1"/>
      <c r="E632" s="1"/>
      <c r="F632" s="1"/>
      <c r="G632" s="1"/>
      <c r="H632" s="4"/>
      <c r="I632" s="4"/>
      <c r="J632" s="4"/>
      <c r="K632" s="4"/>
      <c r="L632" s="4"/>
      <c r="M632" s="4"/>
      <c r="N632" s="3"/>
      <c r="O632" s="1"/>
      <c r="P632" s="1"/>
      <c r="Q632" s="4"/>
      <c r="R632" s="5"/>
      <c r="S632" s="4"/>
      <c r="T632" s="1"/>
      <c r="U632" s="1"/>
      <c r="V632" s="1"/>
      <c r="W632" s="1"/>
      <c r="X632" s="1"/>
      <c r="Y632" s="6"/>
      <c r="Z632" s="4"/>
      <c r="AA632" s="4"/>
      <c r="AB632" s="4"/>
      <c r="AC632" s="1"/>
      <c r="AD632" s="1"/>
      <c r="AE632" s="1"/>
      <c r="AF632" s="1"/>
      <c r="AG632" s="1"/>
      <c r="AH632" s="4"/>
      <c r="AI632" s="1"/>
      <c r="AJ632" s="3"/>
      <c r="AK632" s="4"/>
      <c r="AL632" s="6"/>
      <c r="AM632" s="7"/>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row>
    <row r="633" spans="1:64" ht="16.5" customHeight="1">
      <c r="A633" s="1"/>
      <c r="B633" s="139"/>
      <c r="C633" s="1"/>
      <c r="D633" s="1"/>
      <c r="E633" s="1"/>
      <c r="F633" s="1"/>
      <c r="G633" s="1"/>
      <c r="H633" s="4"/>
      <c r="I633" s="4"/>
      <c r="J633" s="4"/>
      <c r="K633" s="4"/>
      <c r="L633" s="4"/>
      <c r="M633" s="4"/>
      <c r="N633" s="3"/>
      <c r="O633" s="1"/>
      <c r="P633" s="1"/>
      <c r="Q633" s="4"/>
      <c r="R633" s="5"/>
      <c r="S633" s="4"/>
      <c r="T633" s="1"/>
      <c r="U633" s="1"/>
      <c r="V633" s="1"/>
      <c r="W633" s="1"/>
      <c r="X633" s="1"/>
      <c r="Y633" s="6"/>
      <c r="Z633" s="4"/>
      <c r="AA633" s="4"/>
      <c r="AB633" s="4"/>
      <c r="AC633" s="1"/>
      <c r="AD633" s="1"/>
      <c r="AE633" s="1"/>
      <c r="AF633" s="1"/>
      <c r="AG633" s="1"/>
      <c r="AH633" s="4"/>
      <c r="AI633" s="1"/>
      <c r="AJ633" s="3"/>
      <c r="AK633" s="4"/>
      <c r="AL633" s="6"/>
      <c r="AM633" s="7"/>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row>
    <row r="634" spans="1:64" ht="16.5" customHeight="1">
      <c r="A634" s="1"/>
      <c r="B634" s="139"/>
      <c r="C634" s="1"/>
      <c r="D634" s="1"/>
      <c r="E634" s="1"/>
      <c r="F634" s="1"/>
      <c r="G634" s="1"/>
      <c r="H634" s="4"/>
      <c r="I634" s="4"/>
      <c r="J634" s="4"/>
      <c r="K634" s="4"/>
      <c r="L634" s="4"/>
      <c r="M634" s="4"/>
      <c r="N634" s="3"/>
      <c r="O634" s="1"/>
      <c r="P634" s="1"/>
      <c r="Q634" s="4"/>
      <c r="R634" s="5"/>
      <c r="S634" s="4"/>
      <c r="T634" s="1"/>
      <c r="U634" s="1"/>
      <c r="V634" s="1"/>
      <c r="W634" s="1"/>
      <c r="X634" s="1"/>
      <c r="Y634" s="6"/>
      <c r="Z634" s="4"/>
      <c r="AA634" s="4"/>
      <c r="AB634" s="4"/>
      <c r="AC634" s="1"/>
      <c r="AD634" s="1"/>
      <c r="AE634" s="1"/>
      <c r="AF634" s="1"/>
      <c r="AG634" s="1"/>
      <c r="AH634" s="4"/>
      <c r="AI634" s="1"/>
      <c r="AJ634" s="3"/>
      <c r="AK634" s="4"/>
      <c r="AL634" s="6"/>
      <c r="AM634" s="7"/>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row>
    <row r="635" spans="1:64" ht="16.5" customHeight="1">
      <c r="A635" s="1"/>
      <c r="B635" s="139"/>
      <c r="C635" s="1"/>
      <c r="D635" s="1"/>
      <c r="E635" s="1"/>
      <c r="F635" s="1"/>
      <c r="G635" s="1"/>
      <c r="H635" s="4"/>
      <c r="I635" s="4"/>
      <c r="J635" s="4"/>
      <c r="K635" s="4"/>
      <c r="L635" s="4"/>
      <c r="M635" s="4"/>
      <c r="N635" s="3"/>
      <c r="O635" s="1"/>
      <c r="P635" s="1"/>
      <c r="Q635" s="4"/>
      <c r="R635" s="5"/>
      <c r="S635" s="4"/>
      <c r="T635" s="1"/>
      <c r="U635" s="1"/>
      <c r="V635" s="1"/>
      <c r="W635" s="1"/>
      <c r="X635" s="1"/>
      <c r="Y635" s="6"/>
      <c r="Z635" s="4"/>
      <c r="AA635" s="4"/>
      <c r="AB635" s="4"/>
      <c r="AC635" s="1"/>
      <c r="AD635" s="1"/>
      <c r="AE635" s="1"/>
      <c r="AF635" s="1"/>
      <c r="AG635" s="1"/>
      <c r="AH635" s="4"/>
      <c r="AI635" s="1"/>
      <c r="AJ635" s="3"/>
      <c r="AK635" s="4"/>
      <c r="AL635" s="6"/>
      <c r="AM635" s="7"/>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row>
    <row r="636" spans="1:64" ht="16.5" customHeight="1">
      <c r="A636" s="1"/>
      <c r="B636" s="139"/>
      <c r="C636" s="1"/>
      <c r="D636" s="1"/>
      <c r="E636" s="1"/>
      <c r="F636" s="1"/>
      <c r="G636" s="1"/>
      <c r="H636" s="4"/>
      <c r="I636" s="4"/>
      <c r="J636" s="4"/>
      <c r="K636" s="4"/>
      <c r="L636" s="4"/>
      <c r="M636" s="4"/>
      <c r="N636" s="3"/>
      <c r="O636" s="1"/>
      <c r="P636" s="1"/>
      <c r="Q636" s="4"/>
      <c r="R636" s="5"/>
      <c r="S636" s="4"/>
      <c r="T636" s="1"/>
      <c r="U636" s="1"/>
      <c r="V636" s="1"/>
      <c r="W636" s="1"/>
      <c r="X636" s="1"/>
      <c r="Y636" s="6"/>
      <c r="Z636" s="4"/>
      <c r="AA636" s="4"/>
      <c r="AB636" s="4"/>
      <c r="AC636" s="1"/>
      <c r="AD636" s="1"/>
      <c r="AE636" s="1"/>
      <c r="AF636" s="1"/>
      <c r="AG636" s="1"/>
      <c r="AH636" s="4"/>
      <c r="AI636" s="1"/>
      <c r="AJ636" s="3"/>
      <c r="AK636" s="4"/>
      <c r="AL636" s="6"/>
      <c r="AM636" s="7"/>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row>
    <row r="637" spans="1:64" ht="16.5" customHeight="1">
      <c r="A637" s="1"/>
      <c r="B637" s="139"/>
      <c r="C637" s="1"/>
      <c r="D637" s="1"/>
      <c r="E637" s="1"/>
      <c r="F637" s="1"/>
      <c r="G637" s="1"/>
      <c r="H637" s="4"/>
      <c r="I637" s="4"/>
      <c r="J637" s="4"/>
      <c r="K637" s="4"/>
      <c r="L637" s="4"/>
      <c r="M637" s="4"/>
      <c r="N637" s="3"/>
      <c r="O637" s="1"/>
      <c r="P637" s="1"/>
      <c r="Q637" s="4"/>
      <c r="R637" s="5"/>
      <c r="S637" s="4"/>
      <c r="T637" s="1"/>
      <c r="U637" s="1"/>
      <c r="V637" s="1"/>
      <c r="W637" s="1"/>
      <c r="X637" s="1"/>
      <c r="Y637" s="6"/>
      <c r="Z637" s="4"/>
      <c r="AA637" s="4"/>
      <c r="AB637" s="4"/>
      <c r="AC637" s="1"/>
      <c r="AD637" s="1"/>
      <c r="AE637" s="1"/>
      <c r="AF637" s="1"/>
      <c r="AG637" s="1"/>
      <c r="AH637" s="4"/>
      <c r="AI637" s="1"/>
      <c r="AJ637" s="3"/>
      <c r="AK637" s="4"/>
      <c r="AL637" s="6"/>
      <c r="AM637" s="7"/>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row>
    <row r="638" spans="1:64" ht="16.5" customHeight="1">
      <c r="A638" s="1"/>
      <c r="B638" s="139"/>
      <c r="C638" s="1"/>
      <c r="D638" s="1"/>
      <c r="E638" s="1"/>
      <c r="F638" s="1"/>
      <c r="G638" s="1"/>
      <c r="H638" s="4"/>
      <c r="I638" s="4"/>
      <c r="J638" s="4"/>
      <c r="K638" s="4"/>
      <c r="L638" s="4"/>
      <c r="M638" s="4"/>
      <c r="N638" s="3"/>
      <c r="O638" s="1"/>
      <c r="P638" s="1"/>
      <c r="Q638" s="4"/>
      <c r="R638" s="5"/>
      <c r="S638" s="4"/>
      <c r="T638" s="1"/>
      <c r="U638" s="1"/>
      <c r="V638" s="1"/>
      <c r="W638" s="1"/>
      <c r="X638" s="1"/>
      <c r="Y638" s="6"/>
      <c r="Z638" s="4"/>
      <c r="AA638" s="4"/>
      <c r="AB638" s="4"/>
      <c r="AC638" s="1"/>
      <c r="AD638" s="1"/>
      <c r="AE638" s="1"/>
      <c r="AF638" s="1"/>
      <c r="AG638" s="1"/>
      <c r="AH638" s="4"/>
      <c r="AI638" s="1"/>
      <c r="AJ638" s="3"/>
      <c r="AK638" s="4"/>
      <c r="AL638" s="6"/>
      <c r="AM638" s="7"/>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row>
    <row r="639" spans="1:64" ht="16.5" customHeight="1">
      <c r="A639" s="1"/>
      <c r="B639" s="139"/>
      <c r="C639" s="1"/>
      <c r="D639" s="1"/>
      <c r="E639" s="1"/>
      <c r="F639" s="1"/>
      <c r="G639" s="1"/>
      <c r="H639" s="4"/>
      <c r="I639" s="4"/>
      <c r="J639" s="4"/>
      <c r="K639" s="4"/>
      <c r="L639" s="4"/>
      <c r="M639" s="4"/>
      <c r="N639" s="3"/>
      <c r="O639" s="1"/>
      <c r="P639" s="1"/>
      <c r="Q639" s="4"/>
      <c r="R639" s="5"/>
      <c r="S639" s="4"/>
      <c r="T639" s="1"/>
      <c r="U639" s="1"/>
      <c r="V639" s="1"/>
      <c r="W639" s="1"/>
      <c r="X639" s="1"/>
      <c r="Y639" s="6"/>
      <c r="Z639" s="4"/>
      <c r="AA639" s="4"/>
      <c r="AB639" s="4"/>
      <c r="AC639" s="1"/>
      <c r="AD639" s="1"/>
      <c r="AE639" s="1"/>
      <c r="AF639" s="1"/>
      <c r="AG639" s="1"/>
      <c r="AH639" s="4"/>
      <c r="AI639" s="1"/>
      <c r="AJ639" s="3"/>
      <c r="AK639" s="4"/>
      <c r="AL639" s="6"/>
      <c r="AM639" s="7"/>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row>
    <row r="640" spans="1:64" ht="16.5" customHeight="1">
      <c r="A640" s="1"/>
      <c r="B640" s="139"/>
      <c r="C640" s="1"/>
      <c r="D640" s="1"/>
      <c r="E640" s="1"/>
      <c r="F640" s="1"/>
      <c r="G640" s="1"/>
      <c r="H640" s="4"/>
      <c r="I640" s="4"/>
      <c r="J640" s="4"/>
      <c r="K640" s="4"/>
      <c r="L640" s="4"/>
      <c r="M640" s="4"/>
      <c r="N640" s="3"/>
      <c r="O640" s="1"/>
      <c r="P640" s="1"/>
      <c r="Q640" s="4"/>
      <c r="R640" s="5"/>
      <c r="S640" s="4"/>
      <c r="T640" s="1"/>
      <c r="U640" s="1"/>
      <c r="V640" s="1"/>
      <c r="W640" s="1"/>
      <c r="X640" s="1"/>
      <c r="Y640" s="6"/>
      <c r="Z640" s="4"/>
      <c r="AA640" s="4"/>
      <c r="AB640" s="4"/>
      <c r="AC640" s="1"/>
      <c r="AD640" s="1"/>
      <c r="AE640" s="1"/>
      <c r="AF640" s="1"/>
      <c r="AG640" s="1"/>
      <c r="AH640" s="4"/>
      <c r="AI640" s="1"/>
      <c r="AJ640" s="3"/>
      <c r="AK640" s="4"/>
      <c r="AL640" s="6"/>
      <c r="AM640" s="7"/>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row>
    <row r="641" spans="1:64" ht="16.5" customHeight="1">
      <c r="A641" s="1"/>
      <c r="B641" s="139"/>
      <c r="C641" s="1"/>
      <c r="D641" s="1"/>
      <c r="E641" s="1"/>
      <c r="F641" s="1"/>
      <c r="G641" s="1"/>
      <c r="H641" s="4"/>
      <c r="I641" s="4"/>
      <c r="J641" s="4"/>
      <c r="K641" s="4"/>
      <c r="L641" s="4"/>
      <c r="M641" s="4"/>
      <c r="N641" s="3"/>
      <c r="O641" s="1"/>
      <c r="P641" s="1"/>
      <c r="Q641" s="4"/>
      <c r="R641" s="5"/>
      <c r="S641" s="4"/>
      <c r="T641" s="1"/>
      <c r="U641" s="1"/>
      <c r="V641" s="1"/>
      <c r="W641" s="1"/>
      <c r="X641" s="1"/>
      <c r="Y641" s="6"/>
      <c r="Z641" s="4"/>
      <c r="AA641" s="4"/>
      <c r="AB641" s="4"/>
      <c r="AC641" s="1"/>
      <c r="AD641" s="1"/>
      <c r="AE641" s="1"/>
      <c r="AF641" s="1"/>
      <c r="AG641" s="1"/>
      <c r="AH641" s="4"/>
      <c r="AI641" s="1"/>
      <c r="AJ641" s="3"/>
      <c r="AK641" s="4"/>
      <c r="AL641" s="6"/>
      <c r="AM641" s="7"/>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row>
    <row r="642" spans="1:64" ht="16.5" customHeight="1">
      <c r="A642" s="1"/>
      <c r="B642" s="139"/>
      <c r="C642" s="1"/>
      <c r="D642" s="1"/>
      <c r="E642" s="1"/>
      <c r="F642" s="1"/>
      <c r="G642" s="1"/>
      <c r="H642" s="4"/>
      <c r="I642" s="4"/>
      <c r="J642" s="4"/>
      <c r="K642" s="4"/>
      <c r="L642" s="4"/>
      <c r="M642" s="4"/>
      <c r="N642" s="3"/>
      <c r="O642" s="1"/>
      <c r="P642" s="1"/>
      <c r="Q642" s="4"/>
      <c r="R642" s="5"/>
      <c r="S642" s="4"/>
      <c r="T642" s="1"/>
      <c r="U642" s="1"/>
      <c r="V642" s="1"/>
      <c r="W642" s="1"/>
      <c r="X642" s="1"/>
      <c r="Y642" s="6"/>
      <c r="Z642" s="4"/>
      <c r="AA642" s="4"/>
      <c r="AB642" s="4"/>
      <c r="AC642" s="1"/>
      <c r="AD642" s="1"/>
      <c r="AE642" s="1"/>
      <c r="AF642" s="1"/>
      <c r="AG642" s="1"/>
      <c r="AH642" s="4"/>
      <c r="AI642" s="1"/>
      <c r="AJ642" s="3"/>
      <c r="AK642" s="4"/>
      <c r="AL642" s="6"/>
      <c r="AM642" s="7"/>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row>
    <row r="643" spans="1:64" ht="16.5" customHeight="1">
      <c r="A643" s="1"/>
      <c r="B643" s="139"/>
      <c r="C643" s="1"/>
      <c r="D643" s="1"/>
      <c r="E643" s="1"/>
      <c r="F643" s="1"/>
      <c r="G643" s="1"/>
      <c r="H643" s="4"/>
      <c r="I643" s="4"/>
      <c r="J643" s="4"/>
      <c r="K643" s="4"/>
      <c r="L643" s="4"/>
      <c r="M643" s="4"/>
      <c r="N643" s="3"/>
      <c r="O643" s="1"/>
      <c r="P643" s="1"/>
      <c r="Q643" s="4"/>
      <c r="R643" s="5"/>
      <c r="S643" s="4"/>
      <c r="T643" s="1"/>
      <c r="U643" s="1"/>
      <c r="V643" s="1"/>
      <c r="W643" s="1"/>
      <c r="X643" s="1"/>
      <c r="Y643" s="6"/>
      <c r="Z643" s="4"/>
      <c r="AA643" s="4"/>
      <c r="AB643" s="4"/>
      <c r="AC643" s="1"/>
      <c r="AD643" s="1"/>
      <c r="AE643" s="1"/>
      <c r="AF643" s="1"/>
      <c r="AG643" s="1"/>
      <c r="AH643" s="4"/>
      <c r="AI643" s="1"/>
      <c r="AJ643" s="3"/>
      <c r="AK643" s="4"/>
      <c r="AL643" s="6"/>
      <c r="AM643" s="7"/>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row>
    <row r="644" spans="1:64" ht="16.5" customHeight="1">
      <c r="A644" s="1"/>
      <c r="B644" s="139"/>
      <c r="C644" s="1"/>
      <c r="D644" s="1"/>
      <c r="E644" s="1"/>
      <c r="F644" s="1"/>
      <c r="G644" s="1"/>
      <c r="H644" s="4"/>
      <c r="I644" s="4"/>
      <c r="J644" s="4"/>
      <c r="K644" s="4"/>
      <c r="L644" s="4"/>
      <c r="M644" s="4"/>
      <c r="N644" s="3"/>
      <c r="O644" s="1"/>
      <c r="P644" s="1"/>
      <c r="Q644" s="4"/>
      <c r="R644" s="5"/>
      <c r="S644" s="4"/>
      <c r="T644" s="1"/>
      <c r="U644" s="1"/>
      <c r="V644" s="1"/>
      <c r="W644" s="1"/>
      <c r="X644" s="1"/>
      <c r="Y644" s="6"/>
      <c r="Z644" s="4"/>
      <c r="AA644" s="4"/>
      <c r="AB644" s="4"/>
      <c r="AC644" s="1"/>
      <c r="AD644" s="1"/>
      <c r="AE644" s="1"/>
      <c r="AF644" s="1"/>
      <c r="AG644" s="1"/>
      <c r="AH644" s="4"/>
      <c r="AI644" s="1"/>
      <c r="AJ644" s="3"/>
      <c r="AK644" s="4"/>
      <c r="AL644" s="6"/>
      <c r="AM644" s="7"/>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row>
    <row r="645" spans="1:64" ht="16.5" customHeight="1">
      <c r="A645" s="1"/>
      <c r="B645" s="139"/>
      <c r="C645" s="1"/>
      <c r="D645" s="1"/>
      <c r="E645" s="1"/>
      <c r="F645" s="1"/>
      <c r="G645" s="1"/>
      <c r="H645" s="4"/>
      <c r="I645" s="4"/>
      <c r="J645" s="4"/>
      <c r="K645" s="4"/>
      <c r="L645" s="4"/>
      <c r="M645" s="4"/>
      <c r="N645" s="3"/>
      <c r="O645" s="1"/>
      <c r="P645" s="1"/>
      <c r="Q645" s="4"/>
      <c r="R645" s="5"/>
      <c r="S645" s="4"/>
      <c r="T645" s="1"/>
      <c r="U645" s="1"/>
      <c r="V645" s="1"/>
      <c r="W645" s="1"/>
      <c r="X645" s="1"/>
      <c r="Y645" s="6"/>
      <c r="Z645" s="4"/>
      <c r="AA645" s="4"/>
      <c r="AB645" s="4"/>
      <c r="AC645" s="1"/>
      <c r="AD645" s="1"/>
      <c r="AE645" s="1"/>
      <c r="AF645" s="1"/>
      <c r="AG645" s="1"/>
      <c r="AH645" s="4"/>
      <c r="AI645" s="1"/>
      <c r="AJ645" s="3"/>
      <c r="AK645" s="4"/>
      <c r="AL645" s="6"/>
      <c r="AM645" s="7"/>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row>
    <row r="646" spans="1:64" ht="16.5" customHeight="1">
      <c r="A646" s="1"/>
      <c r="B646" s="139"/>
      <c r="C646" s="1"/>
      <c r="D646" s="1"/>
      <c r="E646" s="1"/>
      <c r="F646" s="1"/>
      <c r="G646" s="1"/>
      <c r="H646" s="4"/>
      <c r="I646" s="4"/>
      <c r="J646" s="4"/>
      <c r="K646" s="4"/>
      <c r="L646" s="4"/>
      <c r="M646" s="4"/>
      <c r="N646" s="3"/>
      <c r="O646" s="1"/>
      <c r="P646" s="1"/>
      <c r="Q646" s="4"/>
      <c r="R646" s="5"/>
      <c r="S646" s="4"/>
      <c r="T646" s="1"/>
      <c r="U646" s="1"/>
      <c r="V646" s="1"/>
      <c r="W646" s="1"/>
      <c r="X646" s="1"/>
      <c r="Y646" s="6"/>
      <c r="Z646" s="4"/>
      <c r="AA646" s="4"/>
      <c r="AB646" s="4"/>
      <c r="AC646" s="1"/>
      <c r="AD646" s="1"/>
      <c r="AE646" s="1"/>
      <c r="AF646" s="1"/>
      <c r="AG646" s="1"/>
      <c r="AH646" s="4"/>
      <c r="AI646" s="1"/>
      <c r="AJ646" s="3"/>
      <c r="AK646" s="4"/>
      <c r="AL646" s="6"/>
      <c r="AM646" s="7"/>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row>
    <row r="647" spans="1:64" ht="16.5" customHeight="1">
      <c r="A647" s="1"/>
      <c r="B647" s="139"/>
      <c r="C647" s="1"/>
      <c r="D647" s="1"/>
      <c r="E647" s="1"/>
      <c r="F647" s="1"/>
      <c r="G647" s="1"/>
      <c r="H647" s="4"/>
      <c r="I647" s="4"/>
      <c r="J647" s="4"/>
      <c r="K647" s="4"/>
      <c r="L647" s="4"/>
      <c r="M647" s="4"/>
      <c r="N647" s="3"/>
      <c r="O647" s="1"/>
      <c r="P647" s="1"/>
      <c r="Q647" s="4"/>
      <c r="R647" s="5"/>
      <c r="S647" s="4"/>
      <c r="T647" s="1"/>
      <c r="U647" s="1"/>
      <c r="V647" s="1"/>
      <c r="W647" s="1"/>
      <c r="X647" s="1"/>
      <c r="Y647" s="6"/>
      <c r="Z647" s="4"/>
      <c r="AA647" s="4"/>
      <c r="AB647" s="4"/>
      <c r="AC647" s="1"/>
      <c r="AD647" s="1"/>
      <c r="AE647" s="1"/>
      <c r="AF647" s="1"/>
      <c r="AG647" s="1"/>
      <c r="AH647" s="4"/>
      <c r="AI647" s="1"/>
      <c r="AJ647" s="3"/>
      <c r="AK647" s="4"/>
      <c r="AL647" s="6"/>
      <c r="AM647" s="7"/>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row>
    <row r="648" spans="1:64" ht="16.5" customHeight="1">
      <c r="A648" s="1"/>
      <c r="B648" s="139"/>
      <c r="C648" s="1"/>
      <c r="D648" s="1"/>
      <c r="E648" s="1"/>
      <c r="F648" s="1"/>
      <c r="G648" s="1"/>
      <c r="H648" s="4"/>
      <c r="I648" s="4"/>
      <c r="J648" s="4"/>
      <c r="K648" s="4"/>
      <c r="L648" s="4"/>
      <c r="M648" s="4"/>
      <c r="N648" s="3"/>
      <c r="O648" s="1"/>
      <c r="P648" s="1"/>
      <c r="Q648" s="4"/>
      <c r="R648" s="5"/>
      <c r="S648" s="4"/>
      <c r="T648" s="1"/>
      <c r="U648" s="1"/>
      <c r="V648" s="1"/>
      <c r="W648" s="1"/>
      <c r="X648" s="1"/>
      <c r="Y648" s="6"/>
      <c r="Z648" s="4"/>
      <c r="AA648" s="4"/>
      <c r="AB648" s="4"/>
      <c r="AC648" s="1"/>
      <c r="AD648" s="1"/>
      <c r="AE648" s="1"/>
      <c r="AF648" s="1"/>
      <c r="AG648" s="1"/>
      <c r="AH648" s="4"/>
      <c r="AI648" s="1"/>
      <c r="AJ648" s="3"/>
      <c r="AK648" s="4"/>
      <c r="AL648" s="6"/>
      <c r="AM648" s="7"/>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row>
    <row r="649" spans="1:64" ht="16.5" customHeight="1">
      <c r="A649" s="1"/>
      <c r="B649" s="139"/>
      <c r="C649" s="1"/>
      <c r="D649" s="1"/>
      <c r="E649" s="1"/>
      <c r="F649" s="1"/>
      <c r="G649" s="1"/>
      <c r="H649" s="4"/>
      <c r="I649" s="4"/>
      <c r="J649" s="4"/>
      <c r="K649" s="4"/>
      <c r="L649" s="4"/>
      <c r="M649" s="4"/>
      <c r="N649" s="3"/>
      <c r="O649" s="1"/>
      <c r="P649" s="1"/>
      <c r="Q649" s="4"/>
      <c r="R649" s="5"/>
      <c r="S649" s="4"/>
      <c r="T649" s="1"/>
      <c r="U649" s="1"/>
      <c r="V649" s="1"/>
      <c r="W649" s="1"/>
      <c r="X649" s="1"/>
      <c r="Y649" s="6"/>
      <c r="Z649" s="4"/>
      <c r="AA649" s="4"/>
      <c r="AB649" s="4"/>
      <c r="AC649" s="1"/>
      <c r="AD649" s="1"/>
      <c r="AE649" s="1"/>
      <c r="AF649" s="1"/>
      <c r="AG649" s="1"/>
      <c r="AH649" s="4"/>
      <c r="AI649" s="1"/>
      <c r="AJ649" s="3"/>
      <c r="AK649" s="4"/>
      <c r="AL649" s="6"/>
      <c r="AM649" s="7"/>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row>
    <row r="650" spans="1:64" ht="16.5" customHeight="1">
      <c r="A650" s="1"/>
      <c r="B650" s="139"/>
      <c r="C650" s="1"/>
      <c r="D650" s="1"/>
      <c r="E650" s="1"/>
      <c r="F650" s="1"/>
      <c r="G650" s="1"/>
      <c r="H650" s="4"/>
      <c r="I650" s="4"/>
      <c r="J650" s="4"/>
      <c r="K650" s="4"/>
      <c r="L650" s="4"/>
      <c r="M650" s="4"/>
      <c r="N650" s="3"/>
      <c r="O650" s="1"/>
      <c r="P650" s="1"/>
      <c r="Q650" s="4"/>
      <c r="R650" s="5"/>
      <c r="S650" s="4"/>
      <c r="T650" s="1"/>
      <c r="U650" s="1"/>
      <c r="V650" s="1"/>
      <c r="W650" s="1"/>
      <c r="X650" s="1"/>
      <c r="Y650" s="6"/>
      <c r="Z650" s="4"/>
      <c r="AA650" s="4"/>
      <c r="AB650" s="4"/>
      <c r="AC650" s="1"/>
      <c r="AD650" s="1"/>
      <c r="AE650" s="1"/>
      <c r="AF650" s="1"/>
      <c r="AG650" s="1"/>
      <c r="AH650" s="4"/>
      <c r="AI650" s="1"/>
      <c r="AJ650" s="3"/>
      <c r="AK650" s="4"/>
      <c r="AL650" s="6"/>
      <c r="AM650" s="7"/>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row>
    <row r="651" spans="1:64" ht="16.5" customHeight="1">
      <c r="A651" s="1"/>
      <c r="B651" s="139"/>
      <c r="C651" s="1"/>
      <c r="D651" s="1"/>
      <c r="E651" s="1"/>
      <c r="F651" s="1"/>
      <c r="G651" s="1"/>
      <c r="H651" s="4"/>
      <c r="I651" s="4"/>
      <c r="J651" s="4"/>
      <c r="K651" s="4"/>
      <c r="L651" s="4"/>
      <c r="M651" s="4"/>
      <c r="N651" s="3"/>
      <c r="O651" s="1"/>
      <c r="P651" s="1"/>
      <c r="Q651" s="4"/>
      <c r="R651" s="5"/>
      <c r="S651" s="4"/>
      <c r="T651" s="1"/>
      <c r="U651" s="1"/>
      <c r="V651" s="1"/>
      <c r="W651" s="1"/>
      <c r="X651" s="1"/>
      <c r="Y651" s="6"/>
      <c r="Z651" s="4"/>
      <c r="AA651" s="4"/>
      <c r="AB651" s="4"/>
      <c r="AC651" s="1"/>
      <c r="AD651" s="1"/>
      <c r="AE651" s="1"/>
      <c r="AF651" s="1"/>
      <c r="AG651" s="1"/>
      <c r="AH651" s="4"/>
      <c r="AI651" s="1"/>
      <c r="AJ651" s="3"/>
      <c r="AK651" s="4"/>
      <c r="AL651" s="6"/>
      <c r="AM651" s="7"/>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row>
    <row r="652" spans="1:64" ht="16.5" customHeight="1">
      <c r="A652" s="1"/>
      <c r="B652" s="139"/>
      <c r="C652" s="1"/>
      <c r="D652" s="1"/>
      <c r="E652" s="1"/>
      <c r="F652" s="1"/>
      <c r="G652" s="1"/>
      <c r="H652" s="4"/>
      <c r="I652" s="4"/>
      <c r="J652" s="4"/>
      <c r="K652" s="4"/>
      <c r="L652" s="4"/>
      <c r="M652" s="4"/>
      <c r="N652" s="3"/>
      <c r="O652" s="1"/>
      <c r="P652" s="1"/>
      <c r="Q652" s="4"/>
      <c r="R652" s="5"/>
      <c r="S652" s="4"/>
      <c r="T652" s="1"/>
      <c r="U652" s="1"/>
      <c r="V652" s="1"/>
      <c r="W652" s="1"/>
      <c r="X652" s="1"/>
      <c r="Y652" s="6"/>
      <c r="Z652" s="4"/>
      <c r="AA652" s="4"/>
      <c r="AB652" s="4"/>
      <c r="AC652" s="1"/>
      <c r="AD652" s="1"/>
      <c r="AE652" s="1"/>
      <c r="AF652" s="1"/>
      <c r="AG652" s="1"/>
      <c r="AH652" s="4"/>
      <c r="AI652" s="1"/>
      <c r="AJ652" s="3"/>
      <c r="AK652" s="4"/>
      <c r="AL652" s="6"/>
      <c r="AM652" s="7"/>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row>
    <row r="653" spans="1:64" ht="16.5" customHeight="1">
      <c r="A653" s="1"/>
      <c r="B653" s="139"/>
      <c r="C653" s="1"/>
      <c r="D653" s="1"/>
      <c r="E653" s="1"/>
      <c r="F653" s="1"/>
      <c r="G653" s="1"/>
      <c r="H653" s="4"/>
      <c r="I653" s="4"/>
      <c r="J653" s="4"/>
      <c r="K653" s="4"/>
      <c r="L653" s="4"/>
      <c r="M653" s="4"/>
      <c r="N653" s="3"/>
      <c r="O653" s="1"/>
      <c r="P653" s="1"/>
      <c r="Q653" s="4"/>
      <c r="R653" s="5"/>
      <c r="S653" s="4"/>
      <c r="T653" s="1"/>
      <c r="U653" s="1"/>
      <c r="V653" s="1"/>
      <c r="W653" s="1"/>
      <c r="X653" s="1"/>
      <c r="Y653" s="6"/>
      <c r="Z653" s="4"/>
      <c r="AA653" s="4"/>
      <c r="AB653" s="4"/>
      <c r="AC653" s="1"/>
      <c r="AD653" s="1"/>
      <c r="AE653" s="1"/>
      <c r="AF653" s="1"/>
      <c r="AG653" s="1"/>
      <c r="AH653" s="4"/>
      <c r="AI653" s="1"/>
      <c r="AJ653" s="3"/>
      <c r="AK653" s="4"/>
      <c r="AL653" s="6"/>
      <c r="AM653" s="7"/>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row>
    <row r="654" spans="1:64" ht="16.5" customHeight="1">
      <c r="A654" s="1"/>
      <c r="B654" s="139"/>
      <c r="C654" s="1"/>
      <c r="D654" s="1"/>
      <c r="E654" s="1"/>
      <c r="F654" s="1"/>
      <c r="G654" s="1"/>
      <c r="H654" s="4"/>
      <c r="I654" s="4"/>
      <c r="J654" s="4"/>
      <c r="K654" s="4"/>
      <c r="L654" s="4"/>
      <c r="M654" s="4"/>
      <c r="N654" s="3"/>
      <c r="O654" s="1"/>
      <c r="P654" s="1"/>
      <c r="Q654" s="4"/>
      <c r="R654" s="5"/>
      <c r="S654" s="4"/>
      <c r="T654" s="1"/>
      <c r="U654" s="1"/>
      <c r="V654" s="1"/>
      <c r="W654" s="1"/>
      <c r="X654" s="1"/>
      <c r="Y654" s="6"/>
      <c r="Z654" s="4"/>
      <c r="AA654" s="4"/>
      <c r="AB654" s="4"/>
      <c r="AC654" s="1"/>
      <c r="AD654" s="1"/>
      <c r="AE654" s="1"/>
      <c r="AF654" s="1"/>
      <c r="AG654" s="1"/>
      <c r="AH654" s="4"/>
      <c r="AI654" s="1"/>
      <c r="AJ654" s="3"/>
      <c r="AK654" s="4"/>
      <c r="AL654" s="6"/>
      <c r="AM654" s="7"/>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row>
    <row r="655" spans="1:64" ht="16.5" customHeight="1">
      <c r="A655" s="1"/>
      <c r="B655" s="139"/>
      <c r="C655" s="1"/>
      <c r="D655" s="1"/>
      <c r="E655" s="1"/>
      <c r="F655" s="1"/>
      <c r="G655" s="1"/>
      <c r="H655" s="4"/>
      <c r="I655" s="4"/>
      <c r="J655" s="4"/>
      <c r="K655" s="4"/>
      <c r="L655" s="4"/>
      <c r="M655" s="4"/>
      <c r="N655" s="3"/>
      <c r="O655" s="1"/>
      <c r="P655" s="1"/>
      <c r="Q655" s="4"/>
      <c r="R655" s="5"/>
      <c r="S655" s="4"/>
      <c r="T655" s="1"/>
      <c r="U655" s="1"/>
      <c r="V655" s="1"/>
      <c r="W655" s="1"/>
      <c r="X655" s="1"/>
      <c r="Y655" s="6"/>
      <c r="Z655" s="4"/>
      <c r="AA655" s="4"/>
      <c r="AB655" s="4"/>
      <c r="AC655" s="1"/>
      <c r="AD655" s="1"/>
      <c r="AE655" s="1"/>
      <c r="AF655" s="1"/>
      <c r="AG655" s="1"/>
      <c r="AH655" s="4"/>
      <c r="AI655" s="1"/>
      <c r="AJ655" s="3"/>
      <c r="AK655" s="4"/>
      <c r="AL655" s="6"/>
      <c r="AM655" s="7"/>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row>
    <row r="656" spans="1:64" ht="16.5" customHeight="1">
      <c r="A656" s="1"/>
      <c r="B656" s="139"/>
      <c r="C656" s="1"/>
      <c r="D656" s="1"/>
      <c r="E656" s="1"/>
      <c r="F656" s="1"/>
      <c r="G656" s="1"/>
      <c r="H656" s="4"/>
      <c r="I656" s="4"/>
      <c r="J656" s="4"/>
      <c r="K656" s="4"/>
      <c r="L656" s="4"/>
      <c r="M656" s="4"/>
      <c r="N656" s="3"/>
      <c r="O656" s="1"/>
      <c r="P656" s="1"/>
      <c r="Q656" s="4"/>
      <c r="R656" s="5"/>
      <c r="S656" s="4"/>
      <c r="T656" s="1"/>
      <c r="U656" s="1"/>
      <c r="V656" s="1"/>
      <c r="W656" s="1"/>
      <c r="X656" s="1"/>
      <c r="Y656" s="6"/>
      <c r="Z656" s="4"/>
      <c r="AA656" s="4"/>
      <c r="AB656" s="4"/>
      <c r="AC656" s="1"/>
      <c r="AD656" s="1"/>
      <c r="AE656" s="1"/>
      <c r="AF656" s="1"/>
      <c r="AG656" s="1"/>
      <c r="AH656" s="4"/>
      <c r="AI656" s="1"/>
      <c r="AJ656" s="3"/>
      <c r="AK656" s="4"/>
      <c r="AL656" s="6"/>
      <c r="AM656" s="7"/>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row>
    <row r="657" spans="1:64" ht="16.5" customHeight="1">
      <c r="A657" s="1"/>
      <c r="B657" s="139"/>
      <c r="C657" s="1"/>
      <c r="D657" s="1"/>
      <c r="E657" s="1"/>
      <c r="F657" s="1"/>
      <c r="G657" s="1"/>
      <c r="H657" s="4"/>
      <c r="I657" s="4"/>
      <c r="J657" s="4"/>
      <c r="K657" s="4"/>
      <c r="L657" s="4"/>
      <c r="M657" s="4"/>
      <c r="N657" s="3"/>
      <c r="O657" s="1"/>
      <c r="P657" s="1"/>
      <c r="Q657" s="4"/>
      <c r="R657" s="5"/>
      <c r="S657" s="4"/>
      <c r="T657" s="1"/>
      <c r="U657" s="1"/>
      <c r="V657" s="1"/>
      <c r="W657" s="1"/>
      <c r="X657" s="1"/>
      <c r="Y657" s="6"/>
      <c r="Z657" s="4"/>
      <c r="AA657" s="4"/>
      <c r="AB657" s="4"/>
      <c r="AC657" s="1"/>
      <c r="AD657" s="1"/>
      <c r="AE657" s="1"/>
      <c r="AF657" s="1"/>
      <c r="AG657" s="1"/>
      <c r="AH657" s="4"/>
      <c r="AI657" s="1"/>
      <c r="AJ657" s="3"/>
      <c r="AK657" s="4"/>
      <c r="AL657" s="6"/>
      <c r="AM657" s="7"/>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row>
    <row r="658" spans="1:64" ht="16.5" customHeight="1">
      <c r="A658" s="1"/>
      <c r="B658" s="139"/>
      <c r="C658" s="1"/>
      <c r="D658" s="1"/>
      <c r="E658" s="1"/>
      <c r="F658" s="1"/>
      <c r="G658" s="1"/>
      <c r="H658" s="4"/>
      <c r="I658" s="4"/>
      <c r="J658" s="4"/>
      <c r="K658" s="4"/>
      <c r="L658" s="4"/>
      <c r="M658" s="4"/>
      <c r="N658" s="3"/>
      <c r="O658" s="1"/>
      <c r="P658" s="1"/>
      <c r="Q658" s="4"/>
      <c r="R658" s="5"/>
      <c r="S658" s="4"/>
      <c r="T658" s="1"/>
      <c r="U658" s="1"/>
      <c r="V658" s="1"/>
      <c r="W658" s="1"/>
      <c r="X658" s="1"/>
      <c r="Y658" s="6"/>
      <c r="Z658" s="4"/>
      <c r="AA658" s="4"/>
      <c r="AB658" s="4"/>
      <c r="AC658" s="1"/>
      <c r="AD658" s="1"/>
      <c r="AE658" s="1"/>
      <c r="AF658" s="1"/>
      <c r="AG658" s="1"/>
      <c r="AH658" s="4"/>
      <c r="AI658" s="1"/>
      <c r="AJ658" s="3"/>
      <c r="AK658" s="4"/>
      <c r="AL658" s="6"/>
      <c r="AM658" s="7"/>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row>
    <row r="659" spans="1:64" ht="16.5" customHeight="1">
      <c r="A659" s="1"/>
      <c r="B659" s="139"/>
      <c r="C659" s="1"/>
      <c r="D659" s="1"/>
      <c r="E659" s="1"/>
      <c r="F659" s="1"/>
      <c r="G659" s="1"/>
      <c r="H659" s="4"/>
      <c r="I659" s="4"/>
      <c r="J659" s="4"/>
      <c r="K659" s="4"/>
      <c r="L659" s="4"/>
      <c r="M659" s="4"/>
      <c r="N659" s="3"/>
      <c r="O659" s="1"/>
      <c r="P659" s="1"/>
      <c r="Q659" s="4"/>
      <c r="R659" s="5"/>
      <c r="S659" s="4"/>
      <c r="T659" s="1"/>
      <c r="U659" s="1"/>
      <c r="V659" s="1"/>
      <c r="W659" s="1"/>
      <c r="X659" s="1"/>
      <c r="Y659" s="6"/>
      <c r="Z659" s="4"/>
      <c r="AA659" s="4"/>
      <c r="AB659" s="4"/>
      <c r="AC659" s="1"/>
      <c r="AD659" s="1"/>
      <c r="AE659" s="1"/>
      <c r="AF659" s="1"/>
      <c r="AG659" s="1"/>
      <c r="AH659" s="4"/>
      <c r="AI659" s="1"/>
      <c r="AJ659" s="3"/>
      <c r="AK659" s="4"/>
      <c r="AL659" s="6"/>
      <c r="AM659" s="7"/>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row>
    <row r="660" spans="1:64" ht="16.5" customHeight="1">
      <c r="A660" s="1"/>
      <c r="B660" s="139"/>
      <c r="C660" s="1"/>
      <c r="D660" s="1"/>
      <c r="E660" s="1"/>
      <c r="F660" s="1"/>
      <c r="G660" s="1"/>
      <c r="H660" s="4"/>
      <c r="I660" s="4"/>
      <c r="J660" s="4"/>
      <c r="K660" s="4"/>
      <c r="L660" s="4"/>
      <c r="M660" s="4"/>
      <c r="N660" s="3"/>
      <c r="O660" s="1"/>
      <c r="P660" s="1"/>
      <c r="Q660" s="4"/>
      <c r="R660" s="5"/>
      <c r="S660" s="4"/>
      <c r="T660" s="1"/>
      <c r="U660" s="1"/>
      <c r="V660" s="1"/>
      <c r="W660" s="1"/>
      <c r="X660" s="1"/>
      <c r="Y660" s="6"/>
      <c r="Z660" s="4"/>
      <c r="AA660" s="4"/>
      <c r="AB660" s="4"/>
      <c r="AC660" s="1"/>
      <c r="AD660" s="1"/>
      <c r="AE660" s="1"/>
      <c r="AF660" s="1"/>
      <c r="AG660" s="1"/>
      <c r="AH660" s="4"/>
      <c r="AI660" s="1"/>
      <c r="AJ660" s="3"/>
      <c r="AK660" s="4"/>
      <c r="AL660" s="6"/>
      <c r="AM660" s="7"/>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row>
    <row r="661" spans="1:64" ht="16.5" customHeight="1">
      <c r="A661" s="1"/>
      <c r="B661" s="139"/>
      <c r="C661" s="1"/>
      <c r="D661" s="1"/>
      <c r="E661" s="1"/>
      <c r="F661" s="1"/>
      <c r="G661" s="1"/>
      <c r="H661" s="4"/>
      <c r="I661" s="4"/>
      <c r="J661" s="4"/>
      <c r="K661" s="4"/>
      <c r="L661" s="4"/>
      <c r="M661" s="4"/>
      <c r="N661" s="3"/>
      <c r="O661" s="1"/>
      <c r="P661" s="1"/>
      <c r="Q661" s="4"/>
      <c r="R661" s="5"/>
      <c r="S661" s="4"/>
      <c r="T661" s="1"/>
      <c r="U661" s="1"/>
      <c r="V661" s="1"/>
      <c r="W661" s="1"/>
      <c r="X661" s="1"/>
      <c r="Y661" s="6"/>
      <c r="Z661" s="4"/>
      <c r="AA661" s="4"/>
      <c r="AB661" s="4"/>
      <c r="AC661" s="1"/>
      <c r="AD661" s="1"/>
      <c r="AE661" s="1"/>
      <c r="AF661" s="1"/>
      <c r="AG661" s="1"/>
      <c r="AH661" s="4"/>
      <c r="AI661" s="1"/>
      <c r="AJ661" s="3"/>
      <c r="AK661" s="4"/>
      <c r="AL661" s="6"/>
      <c r="AM661" s="7"/>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row>
    <row r="662" spans="1:64" ht="16.5" customHeight="1">
      <c r="A662" s="1"/>
      <c r="B662" s="139"/>
      <c r="C662" s="1"/>
      <c r="D662" s="1"/>
      <c r="E662" s="1"/>
      <c r="F662" s="1"/>
      <c r="G662" s="1"/>
      <c r="H662" s="4"/>
      <c r="I662" s="4"/>
      <c r="J662" s="4"/>
      <c r="K662" s="4"/>
      <c r="L662" s="4"/>
      <c r="M662" s="4"/>
      <c r="N662" s="3"/>
      <c r="O662" s="1"/>
      <c r="P662" s="1"/>
      <c r="Q662" s="4"/>
      <c r="R662" s="5"/>
      <c r="S662" s="4"/>
      <c r="T662" s="1"/>
      <c r="U662" s="1"/>
      <c r="V662" s="1"/>
      <c r="W662" s="1"/>
      <c r="X662" s="1"/>
      <c r="Y662" s="6"/>
      <c r="Z662" s="4"/>
      <c r="AA662" s="4"/>
      <c r="AB662" s="4"/>
      <c r="AC662" s="1"/>
      <c r="AD662" s="1"/>
      <c r="AE662" s="1"/>
      <c r="AF662" s="1"/>
      <c r="AG662" s="1"/>
      <c r="AH662" s="4"/>
      <c r="AI662" s="1"/>
      <c r="AJ662" s="3"/>
      <c r="AK662" s="4"/>
      <c r="AL662" s="6"/>
      <c r="AM662" s="7"/>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row>
    <row r="663" spans="1:64" ht="16.5" customHeight="1">
      <c r="A663" s="1"/>
      <c r="B663" s="139"/>
      <c r="C663" s="1"/>
      <c r="D663" s="1"/>
      <c r="E663" s="1"/>
      <c r="F663" s="1"/>
      <c r="G663" s="1"/>
      <c r="H663" s="4"/>
      <c r="I663" s="4"/>
      <c r="J663" s="4"/>
      <c r="K663" s="4"/>
      <c r="L663" s="4"/>
      <c r="M663" s="4"/>
      <c r="N663" s="3"/>
      <c r="O663" s="1"/>
      <c r="P663" s="1"/>
      <c r="Q663" s="4"/>
      <c r="R663" s="5"/>
      <c r="S663" s="4"/>
      <c r="T663" s="1"/>
      <c r="U663" s="1"/>
      <c r="V663" s="1"/>
      <c r="W663" s="1"/>
      <c r="X663" s="1"/>
      <c r="Y663" s="6"/>
      <c r="Z663" s="4"/>
      <c r="AA663" s="4"/>
      <c r="AB663" s="4"/>
      <c r="AC663" s="1"/>
      <c r="AD663" s="1"/>
      <c r="AE663" s="1"/>
      <c r="AF663" s="1"/>
      <c r="AG663" s="1"/>
      <c r="AH663" s="4"/>
      <c r="AI663" s="1"/>
      <c r="AJ663" s="3"/>
      <c r="AK663" s="4"/>
      <c r="AL663" s="6"/>
      <c r="AM663" s="7"/>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row>
    <row r="664" spans="1:64" ht="16.5" customHeight="1">
      <c r="A664" s="1"/>
      <c r="B664" s="139"/>
      <c r="C664" s="1"/>
      <c r="D664" s="1"/>
      <c r="E664" s="1"/>
      <c r="F664" s="1"/>
      <c r="G664" s="1"/>
      <c r="H664" s="4"/>
      <c r="I664" s="4"/>
      <c r="J664" s="4"/>
      <c r="K664" s="4"/>
      <c r="L664" s="4"/>
      <c r="M664" s="4"/>
      <c r="N664" s="3"/>
      <c r="O664" s="1"/>
      <c r="P664" s="1"/>
      <c r="Q664" s="4"/>
      <c r="R664" s="5"/>
      <c r="S664" s="4"/>
      <c r="T664" s="1"/>
      <c r="U664" s="1"/>
      <c r="V664" s="1"/>
      <c r="W664" s="1"/>
      <c r="X664" s="1"/>
      <c r="Y664" s="6"/>
      <c r="Z664" s="4"/>
      <c r="AA664" s="4"/>
      <c r="AB664" s="4"/>
      <c r="AC664" s="1"/>
      <c r="AD664" s="1"/>
      <c r="AE664" s="1"/>
      <c r="AF664" s="1"/>
      <c r="AG664" s="1"/>
      <c r="AH664" s="4"/>
      <c r="AI664" s="1"/>
      <c r="AJ664" s="3"/>
      <c r="AK664" s="4"/>
      <c r="AL664" s="6"/>
      <c r="AM664" s="7"/>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row>
    <row r="665" spans="1:64" ht="16.5" customHeight="1">
      <c r="A665" s="1"/>
      <c r="B665" s="139"/>
      <c r="C665" s="1"/>
      <c r="D665" s="1"/>
      <c r="E665" s="1"/>
      <c r="F665" s="1"/>
      <c r="G665" s="1"/>
      <c r="H665" s="4"/>
      <c r="I665" s="4"/>
      <c r="J665" s="4"/>
      <c r="K665" s="4"/>
      <c r="L665" s="4"/>
      <c r="M665" s="4"/>
      <c r="N665" s="3"/>
      <c r="O665" s="1"/>
      <c r="P665" s="1"/>
      <c r="Q665" s="4"/>
      <c r="R665" s="5"/>
      <c r="S665" s="4"/>
      <c r="T665" s="1"/>
      <c r="U665" s="1"/>
      <c r="V665" s="1"/>
      <c r="W665" s="1"/>
      <c r="X665" s="1"/>
      <c r="Y665" s="6"/>
      <c r="Z665" s="4"/>
      <c r="AA665" s="4"/>
      <c r="AB665" s="4"/>
      <c r="AC665" s="1"/>
      <c r="AD665" s="1"/>
      <c r="AE665" s="1"/>
      <c r="AF665" s="1"/>
      <c r="AG665" s="1"/>
      <c r="AH665" s="4"/>
      <c r="AI665" s="1"/>
      <c r="AJ665" s="3"/>
      <c r="AK665" s="4"/>
      <c r="AL665" s="6"/>
      <c r="AM665" s="7"/>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row>
    <row r="666" spans="1:64" ht="16.5" customHeight="1">
      <c r="A666" s="1"/>
      <c r="B666" s="139"/>
      <c r="C666" s="1"/>
      <c r="D666" s="1"/>
      <c r="E666" s="1"/>
      <c r="F666" s="1"/>
      <c r="G666" s="1"/>
      <c r="H666" s="4"/>
      <c r="I666" s="4"/>
      <c r="J666" s="4"/>
      <c r="K666" s="4"/>
      <c r="L666" s="4"/>
      <c r="M666" s="4"/>
      <c r="N666" s="3"/>
      <c r="O666" s="1"/>
      <c r="P666" s="1"/>
      <c r="Q666" s="4"/>
      <c r="R666" s="5"/>
      <c r="S666" s="4"/>
      <c r="T666" s="1"/>
      <c r="U666" s="1"/>
      <c r="V666" s="1"/>
      <c r="W666" s="1"/>
      <c r="X666" s="1"/>
      <c r="Y666" s="6"/>
      <c r="Z666" s="4"/>
      <c r="AA666" s="4"/>
      <c r="AB666" s="4"/>
      <c r="AC666" s="1"/>
      <c r="AD666" s="1"/>
      <c r="AE666" s="1"/>
      <c r="AF666" s="1"/>
      <c r="AG666" s="1"/>
      <c r="AH666" s="4"/>
      <c r="AI666" s="1"/>
      <c r="AJ666" s="3"/>
      <c r="AK666" s="4"/>
      <c r="AL666" s="6"/>
      <c r="AM666" s="7"/>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row>
    <row r="667" spans="1:64" ht="16.5" customHeight="1">
      <c r="A667" s="1"/>
      <c r="B667" s="139"/>
      <c r="C667" s="1"/>
      <c r="D667" s="1"/>
      <c r="E667" s="1"/>
      <c r="F667" s="1"/>
      <c r="G667" s="1"/>
      <c r="H667" s="4"/>
      <c r="I667" s="4"/>
      <c r="J667" s="4"/>
      <c r="K667" s="4"/>
      <c r="L667" s="4"/>
      <c r="M667" s="4"/>
      <c r="N667" s="3"/>
      <c r="O667" s="1"/>
      <c r="P667" s="1"/>
      <c r="Q667" s="4"/>
      <c r="R667" s="5"/>
      <c r="S667" s="4"/>
      <c r="T667" s="1"/>
      <c r="U667" s="1"/>
      <c r="V667" s="1"/>
      <c r="W667" s="1"/>
      <c r="X667" s="1"/>
      <c r="Y667" s="6"/>
      <c r="Z667" s="4"/>
      <c r="AA667" s="4"/>
      <c r="AB667" s="4"/>
      <c r="AC667" s="1"/>
      <c r="AD667" s="1"/>
      <c r="AE667" s="1"/>
      <c r="AF667" s="1"/>
      <c r="AG667" s="1"/>
      <c r="AH667" s="4"/>
      <c r="AI667" s="1"/>
      <c r="AJ667" s="3"/>
      <c r="AK667" s="4"/>
      <c r="AL667" s="6"/>
      <c r="AM667" s="7"/>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row>
    <row r="668" spans="1:64" ht="16.5" customHeight="1">
      <c r="A668" s="1"/>
      <c r="B668" s="139"/>
      <c r="C668" s="1"/>
      <c r="D668" s="1"/>
      <c r="E668" s="1"/>
      <c r="F668" s="1"/>
      <c r="G668" s="1"/>
      <c r="H668" s="4"/>
      <c r="I668" s="4"/>
      <c r="J668" s="4"/>
      <c r="K668" s="4"/>
      <c r="L668" s="4"/>
      <c r="M668" s="4"/>
      <c r="N668" s="3"/>
      <c r="O668" s="1"/>
      <c r="P668" s="1"/>
      <c r="Q668" s="4"/>
      <c r="R668" s="5"/>
      <c r="S668" s="4"/>
      <c r="T668" s="1"/>
      <c r="U668" s="1"/>
      <c r="V668" s="1"/>
      <c r="W668" s="1"/>
      <c r="X668" s="1"/>
      <c r="Y668" s="6"/>
      <c r="Z668" s="4"/>
      <c r="AA668" s="4"/>
      <c r="AB668" s="4"/>
      <c r="AC668" s="1"/>
      <c r="AD668" s="1"/>
      <c r="AE668" s="1"/>
      <c r="AF668" s="1"/>
      <c r="AG668" s="1"/>
      <c r="AH668" s="4"/>
      <c r="AI668" s="1"/>
      <c r="AJ668" s="3"/>
      <c r="AK668" s="4"/>
      <c r="AL668" s="6"/>
      <c r="AM668" s="7"/>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row>
    <row r="669" spans="1:64" ht="16.5" customHeight="1">
      <c r="A669" s="1"/>
      <c r="B669" s="139"/>
      <c r="C669" s="1"/>
      <c r="D669" s="1"/>
      <c r="E669" s="1"/>
      <c r="F669" s="1"/>
      <c r="G669" s="1"/>
      <c r="H669" s="4"/>
      <c r="I669" s="4"/>
      <c r="J669" s="4"/>
      <c r="K669" s="4"/>
      <c r="L669" s="4"/>
      <c r="M669" s="4"/>
      <c r="N669" s="3"/>
      <c r="O669" s="1"/>
      <c r="P669" s="1"/>
      <c r="Q669" s="4"/>
      <c r="R669" s="5"/>
      <c r="S669" s="4"/>
      <c r="T669" s="1"/>
      <c r="U669" s="1"/>
      <c r="V669" s="1"/>
      <c r="W669" s="1"/>
      <c r="X669" s="1"/>
      <c r="Y669" s="6"/>
      <c r="Z669" s="4"/>
      <c r="AA669" s="4"/>
      <c r="AB669" s="4"/>
      <c r="AC669" s="1"/>
      <c r="AD669" s="1"/>
      <c r="AE669" s="1"/>
      <c r="AF669" s="1"/>
      <c r="AG669" s="1"/>
      <c r="AH669" s="4"/>
      <c r="AI669" s="1"/>
      <c r="AJ669" s="3"/>
      <c r="AK669" s="4"/>
      <c r="AL669" s="6"/>
      <c r="AM669" s="7"/>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row>
    <row r="670" spans="1:64" ht="16.5" customHeight="1">
      <c r="A670" s="1"/>
      <c r="B670" s="139"/>
      <c r="C670" s="1"/>
      <c r="D670" s="1"/>
      <c r="E670" s="1"/>
      <c r="F670" s="1"/>
      <c r="G670" s="1"/>
      <c r="H670" s="4"/>
      <c r="I670" s="4"/>
      <c r="J670" s="4"/>
      <c r="K670" s="4"/>
      <c r="L670" s="4"/>
      <c r="M670" s="4"/>
      <c r="N670" s="3"/>
      <c r="O670" s="1"/>
      <c r="P670" s="1"/>
      <c r="Q670" s="4"/>
      <c r="R670" s="5"/>
      <c r="S670" s="4"/>
      <c r="T670" s="1"/>
      <c r="U670" s="1"/>
      <c r="V670" s="1"/>
      <c r="W670" s="1"/>
      <c r="X670" s="1"/>
      <c r="Y670" s="6"/>
      <c r="Z670" s="4"/>
      <c r="AA670" s="4"/>
      <c r="AB670" s="4"/>
      <c r="AC670" s="1"/>
      <c r="AD670" s="1"/>
      <c r="AE670" s="1"/>
      <c r="AF670" s="1"/>
      <c r="AG670" s="1"/>
      <c r="AH670" s="4"/>
      <c r="AI670" s="1"/>
      <c r="AJ670" s="3"/>
      <c r="AK670" s="4"/>
      <c r="AL670" s="6"/>
      <c r="AM670" s="7"/>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row>
    <row r="671" spans="1:64" ht="16.5" customHeight="1">
      <c r="A671" s="1"/>
      <c r="B671" s="139"/>
      <c r="C671" s="1"/>
      <c r="D671" s="1"/>
      <c r="E671" s="1"/>
      <c r="F671" s="1"/>
      <c r="G671" s="1"/>
      <c r="H671" s="4"/>
      <c r="I671" s="4"/>
      <c r="J671" s="4"/>
      <c r="K671" s="4"/>
      <c r="L671" s="4"/>
      <c r="M671" s="4"/>
      <c r="N671" s="3"/>
      <c r="O671" s="1"/>
      <c r="P671" s="1"/>
      <c r="Q671" s="4"/>
      <c r="R671" s="5"/>
      <c r="S671" s="4"/>
      <c r="T671" s="1"/>
      <c r="U671" s="1"/>
      <c r="V671" s="1"/>
      <c r="W671" s="1"/>
      <c r="X671" s="1"/>
      <c r="Y671" s="6"/>
      <c r="Z671" s="4"/>
      <c r="AA671" s="4"/>
      <c r="AB671" s="4"/>
      <c r="AC671" s="1"/>
      <c r="AD671" s="1"/>
      <c r="AE671" s="1"/>
      <c r="AF671" s="1"/>
      <c r="AG671" s="1"/>
      <c r="AH671" s="4"/>
      <c r="AI671" s="1"/>
      <c r="AJ671" s="3"/>
      <c r="AK671" s="4"/>
      <c r="AL671" s="6"/>
      <c r="AM671" s="7"/>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row>
    <row r="672" spans="1:64" ht="16.5" customHeight="1">
      <c r="A672" s="1"/>
      <c r="B672" s="139"/>
      <c r="C672" s="1"/>
      <c r="D672" s="1"/>
      <c r="E672" s="1"/>
      <c r="F672" s="1"/>
      <c r="G672" s="1"/>
      <c r="H672" s="4"/>
      <c r="I672" s="4"/>
      <c r="J672" s="4"/>
      <c r="K672" s="4"/>
      <c r="L672" s="4"/>
      <c r="M672" s="4"/>
      <c r="N672" s="3"/>
      <c r="O672" s="1"/>
      <c r="P672" s="1"/>
      <c r="Q672" s="4"/>
      <c r="R672" s="5"/>
      <c r="S672" s="4"/>
      <c r="T672" s="1"/>
      <c r="U672" s="1"/>
      <c r="V672" s="1"/>
      <c r="W672" s="1"/>
      <c r="X672" s="1"/>
      <c r="Y672" s="6"/>
      <c r="Z672" s="4"/>
      <c r="AA672" s="4"/>
      <c r="AB672" s="4"/>
      <c r="AC672" s="1"/>
      <c r="AD672" s="1"/>
      <c r="AE672" s="1"/>
      <c r="AF672" s="1"/>
      <c r="AG672" s="1"/>
      <c r="AH672" s="4"/>
      <c r="AI672" s="1"/>
      <c r="AJ672" s="3"/>
      <c r="AK672" s="4"/>
      <c r="AL672" s="6"/>
      <c r="AM672" s="7"/>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row>
    <row r="673" spans="1:64" ht="16.5" customHeight="1">
      <c r="A673" s="1"/>
      <c r="B673" s="139"/>
      <c r="C673" s="1"/>
      <c r="D673" s="1"/>
      <c r="E673" s="1"/>
      <c r="F673" s="1"/>
      <c r="G673" s="1"/>
      <c r="H673" s="4"/>
      <c r="I673" s="4"/>
      <c r="J673" s="4"/>
      <c r="K673" s="4"/>
      <c r="L673" s="4"/>
      <c r="M673" s="4"/>
      <c r="N673" s="3"/>
      <c r="O673" s="1"/>
      <c r="P673" s="1"/>
      <c r="Q673" s="4"/>
      <c r="R673" s="5"/>
      <c r="S673" s="4"/>
      <c r="T673" s="1"/>
      <c r="U673" s="1"/>
      <c r="V673" s="1"/>
      <c r="W673" s="1"/>
      <c r="X673" s="1"/>
      <c r="Y673" s="6"/>
      <c r="Z673" s="4"/>
      <c r="AA673" s="4"/>
      <c r="AB673" s="4"/>
      <c r="AC673" s="1"/>
      <c r="AD673" s="1"/>
      <c r="AE673" s="1"/>
      <c r="AF673" s="1"/>
      <c r="AG673" s="1"/>
      <c r="AH673" s="4"/>
      <c r="AI673" s="1"/>
      <c r="AJ673" s="3"/>
      <c r="AK673" s="4"/>
      <c r="AL673" s="6"/>
      <c r="AM673" s="7"/>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row>
    <row r="674" spans="1:64" ht="16.5" customHeight="1">
      <c r="A674" s="1"/>
      <c r="B674" s="139"/>
      <c r="C674" s="1"/>
      <c r="D674" s="1"/>
      <c r="E674" s="1"/>
      <c r="F674" s="1"/>
      <c r="G674" s="1"/>
      <c r="H674" s="4"/>
      <c r="I674" s="4"/>
      <c r="J674" s="4"/>
      <c r="K674" s="4"/>
      <c r="L674" s="4"/>
      <c r="M674" s="4"/>
      <c r="N674" s="3"/>
      <c r="O674" s="1"/>
      <c r="P674" s="1"/>
      <c r="Q674" s="4"/>
      <c r="R674" s="5"/>
      <c r="S674" s="4"/>
      <c r="T674" s="1"/>
      <c r="U674" s="1"/>
      <c r="V674" s="1"/>
      <c r="W674" s="1"/>
      <c r="X674" s="1"/>
      <c r="Y674" s="6"/>
      <c r="Z674" s="4"/>
      <c r="AA674" s="4"/>
      <c r="AB674" s="4"/>
      <c r="AC674" s="1"/>
      <c r="AD674" s="1"/>
      <c r="AE674" s="1"/>
      <c r="AF674" s="1"/>
      <c r="AG674" s="1"/>
      <c r="AH674" s="4"/>
      <c r="AI674" s="1"/>
      <c r="AJ674" s="3"/>
      <c r="AK674" s="4"/>
      <c r="AL674" s="6"/>
      <c r="AM674" s="7"/>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row>
    <row r="675" spans="1:64" ht="16.5" customHeight="1">
      <c r="A675" s="1"/>
      <c r="B675" s="139"/>
      <c r="C675" s="1"/>
      <c r="D675" s="1"/>
      <c r="E675" s="1"/>
      <c r="F675" s="1"/>
      <c r="G675" s="1"/>
      <c r="H675" s="4"/>
      <c r="I675" s="4"/>
      <c r="J675" s="4"/>
      <c r="K675" s="4"/>
      <c r="L675" s="4"/>
      <c r="M675" s="4"/>
      <c r="N675" s="3"/>
      <c r="O675" s="1"/>
      <c r="P675" s="1"/>
      <c r="Q675" s="4"/>
      <c r="R675" s="5"/>
      <c r="S675" s="4"/>
      <c r="T675" s="1"/>
      <c r="U675" s="1"/>
      <c r="V675" s="1"/>
      <c r="W675" s="1"/>
      <c r="X675" s="1"/>
      <c r="Y675" s="6"/>
      <c r="Z675" s="4"/>
      <c r="AA675" s="4"/>
      <c r="AB675" s="4"/>
      <c r="AC675" s="1"/>
      <c r="AD675" s="1"/>
      <c r="AE675" s="1"/>
      <c r="AF675" s="1"/>
      <c r="AG675" s="1"/>
      <c r="AH675" s="4"/>
      <c r="AI675" s="1"/>
      <c r="AJ675" s="3"/>
      <c r="AK675" s="4"/>
      <c r="AL675" s="6"/>
      <c r="AM675" s="7"/>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row>
    <row r="676" spans="1:64" ht="16.5" customHeight="1">
      <c r="A676" s="1"/>
      <c r="B676" s="139"/>
      <c r="C676" s="1"/>
      <c r="D676" s="1"/>
      <c r="E676" s="1"/>
      <c r="F676" s="1"/>
      <c r="G676" s="1"/>
      <c r="H676" s="4"/>
      <c r="I676" s="4"/>
      <c r="J676" s="4"/>
      <c r="K676" s="4"/>
      <c r="L676" s="4"/>
      <c r="M676" s="4"/>
      <c r="N676" s="3"/>
      <c r="O676" s="1"/>
      <c r="P676" s="1"/>
      <c r="Q676" s="4"/>
      <c r="R676" s="5"/>
      <c r="S676" s="4"/>
      <c r="T676" s="1"/>
      <c r="U676" s="1"/>
      <c r="V676" s="1"/>
      <c r="W676" s="1"/>
      <c r="X676" s="1"/>
      <c r="Y676" s="6"/>
      <c r="Z676" s="4"/>
      <c r="AA676" s="4"/>
      <c r="AB676" s="4"/>
      <c r="AC676" s="1"/>
      <c r="AD676" s="1"/>
      <c r="AE676" s="1"/>
      <c r="AF676" s="1"/>
      <c r="AG676" s="1"/>
      <c r="AH676" s="4"/>
      <c r="AI676" s="1"/>
      <c r="AJ676" s="3"/>
      <c r="AK676" s="4"/>
      <c r="AL676" s="6"/>
      <c r="AM676" s="7"/>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row>
    <row r="677" spans="1:64" ht="16.5" customHeight="1">
      <c r="A677" s="1"/>
      <c r="B677" s="139"/>
      <c r="C677" s="1"/>
      <c r="D677" s="1"/>
      <c r="E677" s="1"/>
      <c r="F677" s="1"/>
      <c r="G677" s="1"/>
      <c r="H677" s="4"/>
      <c r="I677" s="4"/>
      <c r="J677" s="4"/>
      <c r="K677" s="4"/>
      <c r="L677" s="4"/>
      <c r="M677" s="4"/>
      <c r="N677" s="3"/>
      <c r="O677" s="1"/>
      <c r="P677" s="1"/>
      <c r="Q677" s="4"/>
      <c r="R677" s="5"/>
      <c r="S677" s="4"/>
      <c r="T677" s="1"/>
      <c r="U677" s="1"/>
      <c r="V677" s="1"/>
      <c r="W677" s="1"/>
      <c r="X677" s="1"/>
      <c r="Y677" s="6"/>
      <c r="Z677" s="4"/>
      <c r="AA677" s="4"/>
      <c r="AB677" s="4"/>
      <c r="AC677" s="1"/>
      <c r="AD677" s="1"/>
      <c r="AE677" s="1"/>
      <c r="AF677" s="1"/>
      <c r="AG677" s="1"/>
      <c r="AH677" s="4"/>
      <c r="AI677" s="1"/>
      <c r="AJ677" s="3"/>
      <c r="AK677" s="4"/>
      <c r="AL677" s="6"/>
      <c r="AM677" s="7"/>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row>
    <row r="678" spans="1:64" ht="16.5" customHeight="1">
      <c r="A678" s="1"/>
      <c r="B678" s="139"/>
      <c r="C678" s="1"/>
      <c r="D678" s="1"/>
      <c r="E678" s="1"/>
      <c r="F678" s="1"/>
      <c r="G678" s="1"/>
      <c r="H678" s="4"/>
      <c r="I678" s="4"/>
      <c r="J678" s="4"/>
      <c r="K678" s="4"/>
      <c r="L678" s="4"/>
      <c r="M678" s="4"/>
      <c r="N678" s="3"/>
      <c r="O678" s="1"/>
      <c r="P678" s="1"/>
      <c r="Q678" s="4"/>
      <c r="R678" s="5"/>
      <c r="S678" s="4"/>
      <c r="T678" s="1"/>
      <c r="U678" s="1"/>
      <c r="V678" s="1"/>
      <c r="W678" s="1"/>
      <c r="X678" s="1"/>
      <c r="Y678" s="6"/>
      <c r="Z678" s="4"/>
      <c r="AA678" s="4"/>
      <c r="AB678" s="4"/>
      <c r="AC678" s="1"/>
      <c r="AD678" s="1"/>
      <c r="AE678" s="1"/>
      <c r="AF678" s="1"/>
      <c r="AG678" s="1"/>
      <c r="AH678" s="4"/>
      <c r="AI678" s="1"/>
      <c r="AJ678" s="3"/>
      <c r="AK678" s="4"/>
      <c r="AL678" s="6"/>
      <c r="AM678" s="7"/>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row>
    <row r="679" spans="1:64" ht="16.5" customHeight="1">
      <c r="A679" s="1"/>
      <c r="B679" s="139"/>
      <c r="C679" s="1"/>
      <c r="D679" s="1"/>
      <c r="E679" s="1"/>
      <c r="F679" s="1"/>
      <c r="G679" s="1"/>
      <c r="H679" s="4"/>
      <c r="I679" s="4"/>
      <c r="J679" s="4"/>
      <c r="K679" s="4"/>
      <c r="L679" s="4"/>
      <c r="M679" s="4"/>
      <c r="N679" s="3"/>
      <c r="O679" s="1"/>
      <c r="P679" s="1"/>
      <c r="Q679" s="4"/>
      <c r="R679" s="5"/>
      <c r="S679" s="4"/>
      <c r="T679" s="1"/>
      <c r="U679" s="1"/>
      <c r="V679" s="1"/>
      <c r="W679" s="1"/>
      <c r="X679" s="1"/>
      <c r="Y679" s="6"/>
      <c r="Z679" s="4"/>
      <c r="AA679" s="4"/>
      <c r="AB679" s="4"/>
      <c r="AC679" s="1"/>
      <c r="AD679" s="1"/>
      <c r="AE679" s="1"/>
      <c r="AF679" s="1"/>
      <c r="AG679" s="1"/>
      <c r="AH679" s="4"/>
      <c r="AI679" s="1"/>
      <c r="AJ679" s="3"/>
      <c r="AK679" s="4"/>
      <c r="AL679" s="6"/>
      <c r="AM679" s="7"/>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row>
    <row r="680" spans="1:64" ht="16.5" customHeight="1">
      <c r="A680" s="1"/>
      <c r="B680" s="139"/>
      <c r="C680" s="1"/>
      <c r="D680" s="1"/>
      <c r="E680" s="1"/>
      <c r="F680" s="1"/>
      <c r="G680" s="1"/>
      <c r="H680" s="4"/>
      <c r="I680" s="4"/>
      <c r="J680" s="4"/>
      <c r="K680" s="4"/>
      <c r="L680" s="4"/>
      <c r="M680" s="4"/>
      <c r="N680" s="3"/>
      <c r="O680" s="1"/>
      <c r="P680" s="1"/>
      <c r="Q680" s="4"/>
      <c r="R680" s="5"/>
      <c r="S680" s="4"/>
      <c r="T680" s="1"/>
      <c r="U680" s="1"/>
      <c r="V680" s="1"/>
      <c r="W680" s="1"/>
      <c r="X680" s="1"/>
      <c r="Y680" s="6"/>
      <c r="Z680" s="4"/>
      <c r="AA680" s="4"/>
      <c r="AB680" s="4"/>
      <c r="AC680" s="1"/>
      <c r="AD680" s="1"/>
      <c r="AE680" s="1"/>
      <c r="AF680" s="1"/>
      <c r="AG680" s="1"/>
      <c r="AH680" s="4"/>
      <c r="AI680" s="1"/>
      <c r="AJ680" s="3"/>
      <c r="AK680" s="4"/>
      <c r="AL680" s="6"/>
      <c r="AM680" s="7"/>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row>
    <row r="681" spans="1:64" ht="16.5" customHeight="1">
      <c r="A681" s="1"/>
      <c r="B681" s="139"/>
      <c r="C681" s="1"/>
      <c r="D681" s="1"/>
      <c r="E681" s="1"/>
      <c r="F681" s="1"/>
      <c r="G681" s="1"/>
      <c r="H681" s="4"/>
      <c r="I681" s="4"/>
      <c r="J681" s="4"/>
      <c r="K681" s="4"/>
      <c r="L681" s="4"/>
      <c r="M681" s="4"/>
      <c r="N681" s="3"/>
      <c r="O681" s="1"/>
      <c r="P681" s="1"/>
      <c r="Q681" s="4"/>
      <c r="R681" s="5"/>
      <c r="S681" s="4"/>
      <c r="T681" s="1"/>
      <c r="U681" s="1"/>
      <c r="V681" s="1"/>
      <c r="W681" s="1"/>
      <c r="X681" s="1"/>
      <c r="Y681" s="6"/>
      <c r="Z681" s="4"/>
      <c r="AA681" s="4"/>
      <c r="AB681" s="4"/>
      <c r="AC681" s="1"/>
      <c r="AD681" s="1"/>
      <c r="AE681" s="1"/>
      <c r="AF681" s="1"/>
      <c r="AG681" s="1"/>
      <c r="AH681" s="4"/>
      <c r="AI681" s="1"/>
      <c r="AJ681" s="3"/>
      <c r="AK681" s="4"/>
      <c r="AL681" s="6"/>
      <c r="AM681" s="7"/>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row>
    <row r="682" spans="1:64" ht="16.5" customHeight="1">
      <c r="A682" s="1"/>
      <c r="B682" s="139"/>
      <c r="C682" s="1"/>
      <c r="D682" s="1"/>
      <c r="E682" s="1"/>
      <c r="F682" s="1"/>
      <c r="G682" s="1"/>
      <c r="H682" s="4"/>
      <c r="I682" s="4"/>
      <c r="J682" s="4"/>
      <c r="K682" s="4"/>
      <c r="L682" s="4"/>
      <c r="M682" s="4"/>
      <c r="N682" s="3"/>
      <c r="O682" s="1"/>
      <c r="P682" s="1"/>
      <c r="Q682" s="4"/>
      <c r="R682" s="5"/>
      <c r="S682" s="4"/>
      <c r="T682" s="1"/>
      <c r="U682" s="1"/>
      <c r="V682" s="1"/>
      <c r="W682" s="1"/>
      <c r="X682" s="1"/>
      <c r="Y682" s="6"/>
      <c r="Z682" s="4"/>
      <c r="AA682" s="4"/>
      <c r="AB682" s="4"/>
      <c r="AC682" s="1"/>
      <c r="AD682" s="1"/>
      <c r="AE682" s="1"/>
      <c r="AF682" s="1"/>
      <c r="AG682" s="1"/>
      <c r="AH682" s="4"/>
      <c r="AI682" s="1"/>
      <c r="AJ682" s="3"/>
      <c r="AK682" s="4"/>
      <c r="AL682" s="6"/>
      <c r="AM682" s="7"/>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row>
    <row r="683" spans="1:64" ht="16.5" customHeight="1">
      <c r="A683" s="1"/>
      <c r="B683" s="139"/>
      <c r="C683" s="1"/>
      <c r="D683" s="1"/>
      <c r="E683" s="1"/>
      <c r="F683" s="1"/>
      <c r="G683" s="1"/>
      <c r="H683" s="4"/>
      <c r="I683" s="4"/>
      <c r="J683" s="4"/>
      <c r="K683" s="4"/>
      <c r="L683" s="4"/>
      <c r="M683" s="4"/>
      <c r="N683" s="3"/>
      <c r="O683" s="1"/>
      <c r="P683" s="1"/>
      <c r="Q683" s="4"/>
      <c r="R683" s="5"/>
      <c r="S683" s="4"/>
      <c r="T683" s="1"/>
      <c r="U683" s="1"/>
      <c r="V683" s="1"/>
      <c r="W683" s="1"/>
      <c r="X683" s="1"/>
      <c r="Y683" s="6"/>
      <c r="Z683" s="4"/>
      <c r="AA683" s="4"/>
      <c r="AB683" s="4"/>
      <c r="AC683" s="1"/>
      <c r="AD683" s="1"/>
      <c r="AE683" s="1"/>
      <c r="AF683" s="1"/>
      <c r="AG683" s="1"/>
      <c r="AH683" s="4"/>
      <c r="AI683" s="1"/>
      <c r="AJ683" s="3"/>
      <c r="AK683" s="4"/>
      <c r="AL683" s="6"/>
      <c r="AM683" s="7"/>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row>
    <row r="684" spans="1:64" ht="16.5" customHeight="1">
      <c r="A684" s="1"/>
      <c r="B684" s="139"/>
      <c r="C684" s="1"/>
      <c r="D684" s="1"/>
      <c r="E684" s="1"/>
      <c r="F684" s="1"/>
      <c r="G684" s="1"/>
      <c r="H684" s="4"/>
      <c r="I684" s="4"/>
      <c r="J684" s="4"/>
      <c r="K684" s="4"/>
      <c r="L684" s="4"/>
      <c r="M684" s="4"/>
      <c r="N684" s="3"/>
      <c r="O684" s="1"/>
      <c r="P684" s="1"/>
      <c r="Q684" s="4"/>
      <c r="R684" s="5"/>
      <c r="S684" s="4"/>
      <c r="T684" s="1"/>
      <c r="U684" s="1"/>
      <c r="V684" s="1"/>
      <c r="W684" s="1"/>
      <c r="X684" s="1"/>
      <c r="Y684" s="6"/>
      <c r="Z684" s="4"/>
      <c r="AA684" s="4"/>
      <c r="AB684" s="4"/>
      <c r="AC684" s="1"/>
      <c r="AD684" s="1"/>
      <c r="AE684" s="1"/>
      <c r="AF684" s="1"/>
      <c r="AG684" s="1"/>
      <c r="AH684" s="4"/>
      <c r="AI684" s="1"/>
      <c r="AJ684" s="3"/>
      <c r="AK684" s="4"/>
      <c r="AL684" s="6"/>
      <c r="AM684" s="7"/>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row>
    <row r="685" spans="1:64" ht="16.5" customHeight="1">
      <c r="A685" s="1"/>
      <c r="B685" s="139"/>
      <c r="C685" s="1"/>
      <c r="D685" s="1"/>
      <c r="E685" s="1"/>
      <c r="F685" s="1"/>
      <c r="G685" s="1"/>
      <c r="H685" s="4"/>
      <c r="I685" s="4"/>
      <c r="J685" s="4"/>
      <c r="K685" s="4"/>
      <c r="L685" s="4"/>
      <c r="M685" s="4"/>
      <c r="N685" s="3"/>
      <c r="O685" s="1"/>
      <c r="P685" s="1"/>
      <c r="Q685" s="4"/>
      <c r="R685" s="5"/>
      <c r="S685" s="4"/>
      <c r="T685" s="1"/>
      <c r="U685" s="1"/>
      <c r="V685" s="1"/>
      <c r="W685" s="1"/>
      <c r="X685" s="1"/>
      <c r="Y685" s="6"/>
      <c r="Z685" s="4"/>
      <c r="AA685" s="4"/>
      <c r="AB685" s="4"/>
      <c r="AC685" s="1"/>
      <c r="AD685" s="1"/>
      <c r="AE685" s="1"/>
      <c r="AF685" s="1"/>
      <c r="AG685" s="1"/>
      <c r="AH685" s="4"/>
      <c r="AI685" s="1"/>
      <c r="AJ685" s="3"/>
      <c r="AK685" s="4"/>
      <c r="AL685" s="6"/>
      <c r="AM685" s="7"/>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row>
    <row r="686" spans="1:64" ht="16.5" customHeight="1">
      <c r="A686" s="1"/>
      <c r="B686" s="139"/>
      <c r="C686" s="1"/>
      <c r="D686" s="1"/>
      <c r="E686" s="1"/>
      <c r="F686" s="1"/>
      <c r="G686" s="1"/>
      <c r="H686" s="4"/>
      <c r="I686" s="4"/>
      <c r="J686" s="4"/>
      <c r="K686" s="4"/>
      <c r="L686" s="4"/>
      <c r="M686" s="4"/>
      <c r="N686" s="3"/>
      <c r="O686" s="1"/>
      <c r="P686" s="1"/>
      <c r="Q686" s="4"/>
      <c r="R686" s="5"/>
      <c r="S686" s="4"/>
      <c r="T686" s="1"/>
      <c r="U686" s="1"/>
      <c r="V686" s="1"/>
      <c r="W686" s="1"/>
      <c r="X686" s="1"/>
      <c r="Y686" s="6"/>
      <c r="Z686" s="4"/>
      <c r="AA686" s="4"/>
      <c r="AB686" s="4"/>
      <c r="AC686" s="1"/>
      <c r="AD686" s="1"/>
      <c r="AE686" s="1"/>
      <c r="AF686" s="1"/>
      <c r="AG686" s="1"/>
      <c r="AH686" s="4"/>
      <c r="AI686" s="1"/>
      <c r="AJ686" s="3"/>
      <c r="AK686" s="4"/>
      <c r="AL686" s="6"/>
      <c r="AM686" s="7"/>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row>
    <row r="687" spans="1:64" ht="16.5" customHeight="1">
      <c r="A687" s="1"/>
      <c r="B687" s="139"/>
      <c r="C687" s="1"/>
      <c r="D687" s="1"/>
      <c r="E687" s="1"/>
      <c r="F687" s="1"/>
      <c r="G687" s="1"/>
      <c r="H687" s="4"/>
      <c r="I687" s="4"/>
      <c r="J687" s="4"/>
      <c r="K687" s="4"/>
      <c r="L687" s="4"/>
      <c r="M687" s="4"/>
      <c r="N687" s="3"/>
      <c r="O687" s="1"/>
      <c r="P687" s="1"/>
      <c r="Q687" s="4"/>
      <c r="R687" s="5"/>
      <c r="S687" s="4"/>
      <c r="T687" s="1"/>
      <c r="U687" s="1"/>
      <c r="V687" s="1"/>
      <c r="W687" s="1"/>
      <c r="X687" s="1"/>
      <c r="Y687" s="6"/>
      <c r="Z687" s="4"/>
      <c r="AA687" s="4"/>
      <c r="AB687" s="4"/>
      <c r="AC687" s="1"/>
      <c r="AD687" s="1"/>
      <c r="AE687" s="1"/>
      <c r="AF687" s="1"/>
      <c r="AG687" s="1"/>
      <c r="AH687" s="4"/>
      <c r="AI687" s="1"/>
      <c r="AJ687" s="3"/>
      <c r="AK687" s="4"/>
      <c r="AL687" s="6"/>
      <c r="AM687" s="7"/>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row>
    <row r="688" spans="1:64" ht="16.5" customHeight="1">
      <c r="A688" s="1"/>
      <c r="B688" s="139"/>
      <c r="C688" s="1"/>
      <c r="D688" s="1"/>
      <c r="E688" s="1"/>
      <c r="F688" s="1"/>
      <c r="G688" s="1"/>
      <c r="H688" s="4"/>
      <c r="I688" s="4"/>
      <c r="J688" s="4"/>
      <c r="K688" s="4"/>
      <c r="L688" s="4"/>
      <c r="M688" s="4"/>
      <c r="N688" s="3"/>
      <c r="O688" s="1"/>
      <c r="P688" s="1"/>
      <c r="Q688" s="4"/>
      <c r="R688" s="5"/>
      <c r="S688" s="4"/>
      <c r="T688" s="1"/>
      <c r="U688" s="1"/>
      <c r="V688" s="1"/>
      <c r="W688" s="1"/>
      <c r="X688" s="1"/>
      <c r="Y688" s="6"/>
      <c r="Z688" s="4"/>
      <c r="AA688" s="4"/>
      <c r="AB688" s="4"/>
      <c r="AC688" s="1"/>
      <c r="AD688" s="1"/>
      <c r="AE688" s="1"/>
      <c r="AF688" s="1"/>
      <c r="AG688" s="1"/>
      <c r="AH688" s="4"/>
      <c r="AI688" s="1"/>
      <c r="AJ688" s="3"/>
      <c r="AK688" s="4"/>
      <c r="AL688" s="6"/>
      <c r="AM688" s="7"/>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row>
    <row r="689" spans="1:64" ht="16.5" customHeight="1">
      <c r="A689" s="1"/>
      <c r="B689" s="139"/>
      <c r="C689" s="1"/>
      <c r="D689" s="1"/>
      <c r="E689" s="1"/>
      <c r="F689" s="1"/>
      <c r="G689" s="1"/>
      <c r="H689" s="4"/>
      <c r="I689" s="4"/>
      <c r="J689" s="4"/>
      <c r="K689" s="4"/>
      <c r="L689" s="4"/>
      <c r="M689" s="4"/>
      <c r="N689" s="3"/>
      <c r="O689" s="1"/>
      <c r="P689" s="1"/>
      <c r="Q689" s="4"/>
      <c r="R689" s="5"/>
      <c r="S689" s="4"/>
      <c r="T689" s="1"/>
      <c r="U689" s="1"/>
      <c r="V689" s="1"/>
      <c r="W689" s="1"/>
      <c r="X689" s="1"/>
      <c r="Y689" s="6"/>
      <c r="Z689" s="4"/>
      <c r="AA689" s="4"/>
      <c r="AB689" s="4"/>
      <c r="AC689" s="1"/>
      <c r="AD689" s="1"/>
      <c r="AE689" s="1"/>
      <c r="AF689" s="1"/>
      <c r="AG689" s="1"/>
      <c r="AH689" s="4"/>
      <c r="AI689" s="1"/>
      <c r="AJ689" s="3"/>
      <c r="AK689" s="4"/>
      <c r="AL689" s="6"/>
      <c r="AM689" s="7"/>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row>
    <row r="690" spans="1:64" ht="16.5" customHeight="1">
      <c r="A690" s="1"/>
      <c r="B690" s="139"/>
      <c r="C690" s="1"/>
      <c r="D690" s="1"/>
      <c r="E690" s="1"/>
      <c r="F690" s="1"/>
      <c r="G690" s="1"/>
      <c r="H690" s="4"/>
      <c r="I690" s="4"/>
      <c r="J690" s="4"/>
      <c r="K690" s="4"/>
      <c r="L690" s="4"/>
      <c r="M690" s="4"/>
      <c r="N690" s="3"/>
      <c r="O690" s="1"/>
      <c r="P690" s="1"/>
      <c r="Q690" s="4"/>
      <c r="R690" s="5"/>
      <c r="S690" s="4"/>
      <c r="T690" s="1"/>
      <c r="U690" s="1"/>
      <c r="V690" s="1"/>
      <c r="W690" s="1"/>
      <c r="X690" s="1"/>
      <c r="Y690" s="6"/>
      <c r="Z690" s="4"/>
      <c r="AA690" s="4"/>
      <c r="AB690" s="4"/>
      <c r="AC690" s="1"/>
      <c r="AD690" s="1"/>
      <c r="AE690" s="1"/>
      <c r="AF690" s="1"/>
      <c r="AG690" s="1"/>
      <c r="AH690" s="4"/>
      <c r="AI690" s="1"/>
      <c r="AJ690" s="3"/>
      <c r="AK690" s="4"/>
      <c r="AL690" s="6"/>
      <c r="AM690" s="7"/>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row>
    <row r="691" spans="1:64" ht="16.5" customHeight="1">
      <c r="A691" s="1"/>
      <c r="B691" s="139"/>
      <c r="C691" s="1"/>
      <c r="D691" s="1"/>
      <c r="E691" s="1"/>
      <c r="F691" s="1"/>
      <c r="G691" s="1"/>
      <c r="H691" s="4"/>
      <c r="I691" s="4"/>
      <c r="J691" s="4"/>
      <c r="K691" s="4"/>
      <c r="L691" s="4"/>
      <c r="M691" s="4"/>
      <c r="N691" s="3"/>
      <c r="O691" s="1"/>
      <c r="P691" s="1"/>
      <c r="Q691" s="4"/>
      <c r="R691" s="5"/>
      <c r="S691" s="4"/>
      <c r="T691" s="1"/>
      <c r="U691" s="1"/>
      <c r="V691" s="1"/>
      <c r="W691" s="1"/>
      <c r="X691" s="1"/>
      <c r="Y691" s="6"/>
      <c r="Z691" s="4"/>
      <c r="AA691" s="4"/>
      <c r="AB691" s="4"/>
      <c r="AC691" s="1"/>
      <c r="AD691" s="1"/>
      <c r="AE691" s="1"/>
      <c r="AF691" s="1"/>
      <c r="AG691" s="1"/>
      <c r="AH691" s="4"/>
      <c r="AI691" s="1"/>
      <c r="AJ691" s="3"/>
      <c r="AK691" s="4"/>
      <c r="AL691" s="6"/>
      <c r="AM691" s="7"/>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row>
    <row r="692" spans="1:64" ht="16.5" customHeight="1">
      <c r="A692" s="1"/>
      <c r="B692" s="139"/>
      <c r="C692" s="1"/>
      <c r="D692" s="1"/>
      <c r="E692" s="1"/>
      <c r="F692" s="1"/>
      <c r="G692" s="1"/>
      <c r="H692" s="4"/>
      <c r="I692" s="4"/>
      <c r="J692" s="4"/>
      <c r="K692" s="4"/>
      <c r="L692" s="4"/>
      <c r="M692" s="4"/>
      <c r="N692" s="3"/>
      <c r="O692" s="1"/>
      <c r="P692" s="1"/>
      <c r="Q692" s="4"/>
      <c r="R692" s="5"/>
      <c r="S692" s="4"/>
      <c r="T692" s="1"/>
      <c r="U692" s="1"/>
      <c r="V692" s="1"/>
      <c r="W692" s="1"/>
      <c r="X692" s="1"/>
      <c r="Y692" s="6"/>
      <c r="Z692" s="4"/>
      <c r="AA692" s="4"/>
      <c r="AB692" s="4"/>
      <c r="AC692" s="1"/>
      <c r="AD692" s="1"/>
      <c r="AE692" s="1"/>
      <c r="AF692" s="1"/>
      <c r="AG692" s="1"/>
      <c r="AH692" s="4"/>
      <c r="AI692" s="1"/>
      <c r="AJ692" s="3"/>
      <c r="AK692" s="4"/>
      <c r="AL692" s="6"/>
      <c r="AM692" s="7"/>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row>
    <row r="693" spans="1:64" ht="16.5" customHeight="1">
      <c r="A693" s="1"/>
      <c r="B693" s="139"/>
      <c r="C693" s="1"/>
      <c r="D693" s="1"/>
      <c r="E693" s="1"/>
      <c r="F693" s="1"/>
      <c r="G693" s="1"/>
      <c r="H693" s="4"/>
      <c r="I693" s="4"/>
      <c r="J693" s="4"/>
      <c r="K693" s="4"/>
      <c r="L693" s="4"/>
      <c r="M693" s="4"/>
      <c r="N693" s="3"/>
      <c r="O693" s="1"/>
      <c r="P693" s="1"/>
      <c r="Q693" s="4"/>
      <c r="R693" s="5"/>
      <c r="S693" s="4"/>
      <c r="T693" s="1"/>
      <c r="U693" s="1"/>
      <c r="V693" s="1"/>
      <c r="W693" s="1"/>
      <c r="X693" s="1"/>
      <c r="Y693" s="6"/>
      <c r="Z693" s="4"/>
      <c r="AA693" s="4"/>
      <c r="AB693" s="4"/>
      <c r="AC693" s="1"/>
      <c r="AD693" s="1"/>
      <c r="AE693" s="1"/>
      <c r="AF693" s="1"/>
      <c r="AG693" s="1"/>
      <c r="AH693" s="4"/>
      <c r="AI693" s="1"/>
      <c r="AJ693" s="3"/>
      <c r="AK693" s="4"/>
      <c r="AL693" s="6"/>
      <c r="AM693" s="7"/>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row>
    <row r="694" spans="1:64" ht="16.5" customHeight="1">
      <c r="A694" s="1"/>
      <c r="B694" s="139"/>
      <c r="C694" s="1"/>
      <c r="D694" s="1"/>
      <c r="E694" s="1"/>
      <c r="F694" s="1"/>
      <c r="G694" s="1"/>
      <c r="H694" s="4"/>
      <c r="I694" s="4"/>
      <c r="J694" s="4"/>
      <c r="K694" s="4"/>
      <c r="L694" s="4"/>
      <c r="M694" s="4"/>
      <c r="N694" s="3"/>
      <c r="O694" s="1"/>
      <c r="P694" s="1"/>
      <c r="Q694" s="4"/>
      <c r="R694" s="5"/>
      <c r="S694" s="4"/>
      <c r="T694" s="1"/>
      <c r="U694" s="1"/>
      <c r="V694" s="1"/>
      <c r="W694" s="1"/>
      <c r="X694" s="1"/>
      <c r="Y694" s="6"/>
      <c r="Z694" s="4"/>
      <c r="AA694" s="4"/>
      <c r="AB694" s="4"/>
      <c r="AC694" s="1"/>
      <c r="AD694" s="1"/>
      <c r="AE694" s="1"/>
      <c r="AF694" s="1"/>
      <c r="AG694" s="1"/>
      <c r="AH694" s="4"/>
      <c r="AI694" s="1"/>
      <c r="AJ694" s="3"/>
      <c r="AK694" s="4"/>
      <c r="AL694" s="6"/>
      <c r="AM694" s="7"/>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row>
    <row r="695" spans="1:64" ht="16.5" customHeight="1">
      <c r="A695" s="1"/>
      <c r="B695" s="139"/>
      <c r="C695" s="1"/>
      <c r="D695" s="1"/>
      <c r="E695" s="1"/>
      <c r="F695" s="1"/>
      <c r="G695" s="1"/>
      <c r="H695" s="4"/>
      <c r="I695" s="4"/>
      <c r="J695" s="4"/>
      <c r="K695" s="4"/>
      <c r="L695" s="4"/>
      <c r="M695" s="4"/>
      <c r="N695" s="3"/>
      <c r="O695" s="1"/>
      <c r="P695" s="1"/>
      <c r="Q695" s="4"/>
      <c r="R695" s="5"/>
      <c r="S695" s="4"/>
      <c r="T695" s="1"/>
      <c r="U695" s="1"/>
      <c r="V695" s="1"/>
      <c r="W695" s="1"/>
      <c r="X695" s="1"/>
      <c r="Y695" s="6"/>
      <c r="Z695" s="4"/>
      <c r="AA695" s="4"/>
      <c r="AB695" s="4"/>
      <c r="AC695" s="1"/>
      <c r="AD695" s="1"/>
      <c r="AE695" s="1"/>
      <c r="AF695" s="1"/>
      <c r="AG695" s="1"/>
      <c r="AH695" s="4"/>
      <c r="AI695" s="1"/>
      <c r="AJ695" s="3"/>
      <c r="AK695" s="4"/>
      <c r="AL695" s="6"/>
      <c r="AM695" s="7"/>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row>
    <row r="696" spans="1:64" ht="16.5" customHeight="1">
      <c r="A696" s="1"/>
      <c r="B696" s="139"/>
      <c r="C696" s="1"/>
      <c r="D696" s="1"/>
      <c r="E696" s="1"/>
      <c r="F696" s="1"/>
      <c r="G696" s="1"/>
      <c r="H696" s="4"/>
      <c r="I696" s="4"/>
      <c r="J696" s="4"/>
      <c r="K696" s="4"/>
      <c r="L696" s="4"/>
      <c r="M696" s="4"/>
      <c r="N696" s="3"/>
      <c r="O696" s="1"/>
      <c r="P696" s="1"/>
      <c r="Q696" s="4"/>
      <c r="R696" s="5"/>
      <c r="S696" s="4"/>
      <c r="T696" s="1"/>
      <c r="U696" s="1"/>
      <c r="V696" s="1"/>
      <c r="W696" s="1"/>
      <c r="X696" s="1"/>
      <c r="Y696" s="6"/>
      <c r="Z696" s="4"/>
      <c r="AA696" s="4"/>
      <c r="AB696" s="4"/>
      <c r="AC696" s="1"/>
      <c r="AD696" s="1"/>
      <c r="AE696" s="1"/>
      <c r="AF696" s="1"/>
      <c r="AG696" s="1"/>
      <c r="AH696" s="4"/>
      <c r="AI696" s="1"/>
      <c r="AJ696" s="3"/>
      <c r="AK696" s="4"/>
      <c r="AL696" s="6"/>
      <c r="AM696" s="7"/>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row>
    <row r="697" spans="1:64" ht="16.5" customHeight="1">
      <c r="A697" s="1"/>
      <c r="B697" s="139"/>
      <c r="C697" s="1"/>
      <c r="D697" s="1"/>
      <c r="E697" s="1"/>
      <c r="F697" s="1"/>
      <c r="G697" s="1"/>
      <c r="H697" s="4"/>
      <c r="I697" s="4"/>
      <c r="J697" s="4"/>
      <c r="K697" s="4"/>
      <c r="L697" s="4"/>
      <c r="M697" s="4"/>
      <c r="N697" s="3"/>
      <c r="O697" s="1"/>
      <c r="P697" s="1"/>
      <c r="Q697" s="4"/>
      <c r="R697" s="5"/>
      <c r="S697" s="4"/>
      <c r="T697" s="1"/>
      <c r="U697" s="1"/>
      <c r="V697" s="1"/>
      <c r="W697" s="1"/>
      <c r="X697" s="1"/>
      <c r="Y697" s="6"/>
      <c r="Z697" s="4"/>
      <c r="AA697" s="4"/>
      <c r="AB697" s="4"/>
      <c r="AC697" s="1"/>
      <c r="AD697" s="1"/>
      <c r="AE697" s="1"/>
      <c r="AF697" s="1"/>
      <c r="AG697" s="1"/>
      <c r="AH697" s="4"/>
      <c r="AI697" s="1"/>
      <c r="AJ697" s="3"/>
      <c r="AK697" s="4"/>
      <c r="AL697" s="6"/>
      <c r="AM697" s="7"/>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row>
    <row r="698" spans="1:64" ht="16.5" customHeight="1">
      <c r="A698" s="1"/>
      <c r="B698" s="139"/>
      <c r="C698" s="1"/>
      <c r="D698" s="1"/>
      <c r="E698" s="1"/>
      <c r="F698" s="1"/>
      <c r="G698" s="1"/>
      <c r="H698" s="4"/>
      <c r="I698" s="4"/>
      <c r="J698" s="4"/>
      <c r="K698" s="4"/>
      <c r="L698" s="4"/>
      <c r="M698" s="4"/>
      <c r="N698" s="3"/>
      <c r="O698" s="1"/>
      <c r="P698" s="1"/>
      <c r="Q698" s="4"/>
      <c r="R698" s="5"/>
      <c r="S698" s="4"/>
      <c r="T698" s="1"/>
      <c r="U698" s="1"/>
      <c r="V698" s="1"/>
      <c r="W698" s="1"/>
      <c r="X698" s="1"/>
      <c r="Y698" s="6"/>
      <c r="Z698" s="4"/>
      <c r="AA698" s="4"/>
      <c r="AB698" s="4"/>
      <c r="AC698" s="1"/>
      <c r="AD698" s="1"/>
      <c r="AE698" s="1"/>
      <c r="AF698" s="1"/>
      <c r="AG698" s="1"/>
      <c r="AH698" s="4"/>
      <c r="AI698" s="1"/>
      <c r="AJ698" s="3"/>
      <c r="AK698" s="4"/>
      <c r="AL698" s="6"/>
      <c r="AM698" s="7"/>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row>
    <row r="699" spans="1:64" ht="16.5" customHeight="1">
      <c r="A699" s="1"/>
      <c r="B699" s="139"/>
      <c r="C699" s="1"/>
      <c r="D699" s="1"/>
      <c r="E699" s="1"/>
      <c r="F699" s="1"/>
      <c r="G699" s="1"/>
      <c r="H699" s="4"/>
      <c r="I699" s="4"/>
      <c r="J699" s="4"/>
      <c r="K699" s="4"/>
      <c r="L699" s="4"/>
      <c r="M699" s="4"/>
      <c r="N699" s="3"/>
      <c r="O699" s="1"/>
      <c r="P699" s="1"/>
      <c r="Q699" s="4"/>
      <c r="R699" s="5"/>
      <c r="S699" s="4"/>
      <c r="T699" s="1"/>
      <c r="U699" s="1"/>
      <c r="V699" s="1"/>
      <c r="W699" s="1"/>
      <c r="X699" s="1"/>
      <c r="Y699" s="6"/>
      <c r="Z699" s="4"/>
      <c r="AA699" s="4"/>
      <c r="AB699" s="4"/>
      <c r="AC699" s="1"/>
      <c r="AD699" s="1"/>
      <c r="AE699" s="1"/>
      <c r="AF699" s="1"/>
      <c r="AG699" s="1"/>
      <c r="AH699" s="4"/>
      <c r="AI699" s="1"/>
      <c r="AJ699" s="3"/>
      <c r="AK699" s="4"/>
      <c r="AL699" s="6"/>
      <c r="AM699" s="7"/>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row>
    <row r="700" spans="1:64" ht="16.5" customHeight="1">
      <c r="A700" s="1"/>
      <c r="B700" s="139"/>
      <c r="C700" s="1"/>
      <c r="D700" s="1"/>
      <c r="E700" s="1"/>
      <c r="F700" s="1"/>
      <c r="G700" s="1"/>
      <c r="H700" s="4"/>
      <c r="I700" s="4"/>
      <c r="J700" s="4"/>
      <c r="K700" s="4"/>
      <c r="L700" s="4"/>
      <c r="M700" s="4"/>
      <c r="N700" s="3"/>
      <c r="O700" s="1"/>
      <c r="P700" s="1"/>
      <c r="Q700" s="4"/>
      <c r="R700" s="5"/>
      <c r="S700" s="4"/>
      <c r="T700" s="1"/>
      <c r="U700" s="1"/>
      <c r="V700" s="1"/>
      <c r="W700" s="1"/>
      <c r="X700" s="1"/>
      <c r="Y700" s="6"/>
      <c r="Z700" s="4"/>
      <c r="AA700" s="4"/>
      <c r="AB700" s="4"/>
      <c r="AC700" s="1"/>
      <c r="AD700" s="1"/>
      <c r="AE700" s="1"/>
      <c r="AF700" s="1"/>
      <c r="AG700" s="1"/>
      <c r="AH700" s="4"/>
      <c r="AI700" s="1"/>
      <c r="AJ700" s="3"/>
      <c r="AK700" s="4"/>
      <c r="AL700" s="6"/>
      <c r="AM700" s="7"/>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row>
    <row r="701" spans="1:64" ht="16.5" customHeight="1">
      <c r="A701" s="1"/>
      <c r="B701" s="139"/>
      <c r="C701" s="1"/>
      <c r="D701" s="1"/>
      <c r="E701" s="1"/>
      <c r="F701" s="1"/>
      <c r="G701" s="1"/>
      <c r="H701" s="4"/>
      <c r="I701" s="4"/>
      <c r="J701" s="4"/>
      <c r="K701" s="4"/>
      <c r="L701" s="4"/>
      <c r="M701" s="4"/>
      <c r="N701" s="3"/>
      <c r="O701" s="1"/>
      <c r="P701" s="1"/>
      <c r="Q701" s="4"/>
      <c r="R701" s="5"/>
      <c r="S701" s="4"/>
      <c r="T701" s="1"/>
      <c r="U701" s="1"/>
      <c r="V701" s="1"/>
      <c r="W701" s="1"/>
      <c r="X701" s="1"/>
      <c r="Y701" s="6"/>
      <c r="Z701" s="4"/>
      <c r="AA701" s="4"/>
      <c r="AB701" s="4"/>
      <c r="AC701" s="1"/>
      <c r="AD701" s="1"/>
      <c r="AE701" s="1"/>
      <c r="AF701" s="1"/>
      <c r="AG701" s="1"/>
      <c r="AH701" s="4"/>
      <c r="AI701" s="1"/>
      <c r="AJ701" s="3"/>
      <c r="AK701" s="4"/>
      <c r="AL701" s="6"/>
      <c r="AM701" s="7"/>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row>
    <row r="702" spans="1:64" ht="16.5" customHeight="1">
      <c r="A702" s="1"/>
      <c r="B702" s="139"/>
      <c r="C702" s="1"/>
      <c r="D702" s="1"/>
      <c r="E702" s="1"/>
      <c r="F702" s="1"/>
      <c r="G702" s="1"/>
      <c r="H702" s="4"/>
      <c r="I702" s="4"/>
      <c r="J702" s="4"/>
      <c r="K702" s="4"/>
      <c r="L702" s="4"/>
      <c r="M702" s="4"/>
      <c r="N702" s="3"/>
      <c r="O702" s="1"/>
      <c r="P702" s="1"/>
      <c r="Q702" s="4"/>
      <c r="R702" s="5"/>
      <c r="S702" s="4"/>
      <c r="T702" s="1"/>
      <c r="U702" s="1"/>
      <c r="V702" s="1"/>
      <c r="W702" s="1"/>
      <c r="X702" s="1"/>
      <c r="Y702" s="6"/>
      <c r="Z702" s="4"/>
      <c r="AA702" s="4"/>
      <c r="AB702" s="4"/>
      <c r="AC702" s="1"/>
      <c r="AD702" s="1"/>
      <c r="AE702" s="1"/>
      <c r="AF702" s="1"/>
      <c r="AG702" s="1"/>
      <c r="AH702" s="4"/>
      <c r="AI702" s="1"/>
      <c r="AJ702" s="3"/>
      <c r="AK702" s="4"/>
      <c r="AL702" s="6"/>
      <c r="AM702" s="7"/>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row>
    <row r="703" spans="1:64" ht="16.5" customHeight="1">
      <c r="A703" s="1"/>
      <c r="B703" s="139"/>
      <c r="C703" s="1"/>
      <c r="D703" s="1"/>
      <c r="E703" s="1"/>
      <c r="F703" s="1"/>
      <c r="G703" s="1"/>
      <c r="H703" s="4"/>
      <c r="I703" s="4"/>
      <c r="J703" s="4"/>
      <c r="K703" s="4"/>
      <c r="L703" s="4"/>
      <c r="M703" s="4"/>
      <c r="N703" s="3"/>
      <c r="O703" s="1"/>
      <c r="P703" s="1"/>
      <c r="Q703" s="4"/>
      <c r="R703" s="5"/>
      <c r="S703" s="4"/>
      <c r="T703" s="1"/>
      <c r="U703" s="1"/>
      <c r="V703" s="1"/>
      <c r="W703" s="1"/>
      <c r="X703" s="1"/>
      <c r="Y703" s="6"/>
      <c r="Z703" s="4"/>
      <c r="AA703" s="4"/>
      <c r="AB703" s="4"/>
      <c r="AC703" s="1"/>
      <c r="AD703" s="1"/>
      <c r="AE703" s="1"/>
      <c r="AF703" s="1"/>
      <c r="AG703" s="1"/>
      <c r="AH703" s="4"/>
      <c r="AI703" s="1"/>
      <c r="AJ703" s="3"/>
      <c r="AK703" s="4"/>
      <c r="AL703" s="6"/>
      <c r="AM703" s="7"/>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row>
    <row r="704" spans="1:64" ht="16.5" customHeight="1">
      <c r="A704" s="1"/>
      <c r="B704" s="139"/>
      <c r="C704" s="1"/>
      <c r="D704" s="1"/>
      <c r="E704" s="1"/>
      <c r="F704" s="1"/>
      <c r="G704" s="1"/>
      <c r="H704" s="4"/>
      <c r="I704" s="4"/>
      <c r="J704" s="4"/>
      <c r="K704" s="4"/>
      <c r="L704" s="4"/>
      <c r="M704" s="4"/>
      <c r="N704" s="3"/>
      <c r="O704" s="1"/>
      <c r="P704" s="1"/>
      <c r="Q704" s="4"/>
      <c r="R704" s="5"/>
      <c r="S704" s="4"/>
      <c r="T704" s="1"/>
      <c r="U704" s="1"/>
      <c r="V704" s="1"/>
      <c r="W704" s="1"/>
      <c r="X704" s="1"/>
      <c r="Y704" s="6"/>
      <c r="Z704" s="4"/>
      <c r="AA704" s="4"/>
      <c r="AB704" s="4"/>
      <c r="AC704" s="1"/>
      <c r="AD704" s="1"/>
      <c r="AE704" s="1"/>
      <c r="AF704" s="1"/>
      <c r="AG704" s="1"/>
      <c r="AH704" s="4"/>
      <c r="AI704" s="1"/>
      <c r="AJ704" s="3"/>
      <c r="AK704" s="4"/>
      <c r="AL704" s="6"/>
      <c r="AM704" s="7"/>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row>
    <row r="705" spans="1:64" ht="16.5" customHeight="1">
      <c r="A705" s="1"/>
      <c r="B705" s="139"/>
      <c r="C705" s="1"/>
      <c r="D705" s="1"/>
      <c r="E705" s="1"/>
      <c r="F705" s="1"/>
      <c r="G705" s="1"/>
      <c r="H705" s="4"/>
      <c r="I705" s="4"/>
      <c r="J705" s="4"/>
      <c r="K705" s="4"/>
      <c r="L705" s="4"/>
      <c r="M705" s="4"/>
      <c r="N705" s="3"/>
      <c r="O705" s="1"/>
      <c r="P705" s="1"/>
      <c r="Q705" s="4"/>
      <c r="R705" s="5"/>
      <c r="S705" s="4"/>
      <c r="T705" s="1"/>
      <c r="U705" s="1"/>
      <c r="V705" s="1"/>
      <c r="W705" s="1"/>
      <c r="X705" s="1"/>
      <c r="Y705" s="6"/>
      <c r="Z705" s="4"/>
      <c r="AA705" s="4"/>
      <c r="AB705" s="4"/>
      <c r="AC705" s="1"/>
      <c r="AD705" s="1"/>
      <c r="AE705" s="1"/>
      <c r="AF705" s="1"/>
      <c r="AG705" s="1"/>
      <c r="AH705" s="4"/>
      <c r="AI705" s="1"/>
      <c r="AJ705" s="3"/>
      <c r="AK705" s="4"/>
      <c r="AL705" s="6"/>
      <c r="AM705" s="7"/>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row>
    <row r="706" spans="1:64" ht="16.5" customHeight="1">
      <c r="A706" s="1"/>
      <c r="B706" s="139"/>
      <c r="C706" s="1"/>
      <c r="D706" s="1"/>
      <c r="E706" s="1"/>
      <c r="F706" s="1"/>
      <c r="G706" s="1"/>
      <c r="H706" s="4"/>
      <c r="I706" s="4"/>
      <c r="J706" s="4"/>
      <c r="K706" s="4"/>
      <c r="L706" s="4"/>
      <c r="M706" s="4"/>
      <c r="N706" s="3"/>
      <c r="O706" s="1"/>
      <c r="P706" s="1"/>
      <c r="Q706" s="4"/>
      <c r="R706" s="5"/>
      <c r="S706" s="4"/>
      <c r="T706" s="1"/>
      <c r="U706" s="1"/>
      <c r="V706" s="1"/>
      <c r="W706" s="1"/>
      <c r="X706" s="1"/>
      <c r="Y706" s="6"/>
      <c r="Z706" s="4"/>
      <c r="AA706" s="4"/>
      <c r="AB706" s="4"/>
      <c r="AC706" s="1"/>
      <c r="AD706" s="1"/>
      <c r="AE706" s="1"/>
      <c r="AF706" s="1"/>
      <c r="AG706" s="1"/>
      <c r="AH706" s="4"/>
      <c r="AI706" s="1"/>
      <c r="AJ706" s="3"/>
      <c r="AK706" s="4"/>
      <c r="AL706" s="6"/>
      <c r="AM706" s="7"/>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row>
    <row r="707" spans="1:64" ht="16.5" customHeight="1">
      <c r="A707" s="1"/>
      <c r="B707" s="139"/>
      <c r="C707" s="1"/>
      <c r="D707" s="1"/>
      <c r="E707" s="1"/>
      <c r="F707" s="1"/>
      <c r="G707" s="1"/>
      <c r="H707" s="4"/>
      <c r="I707" s="4"/>
      <c r="J707" s="4"/>
      <c r="K707" s="4"/>
      <c r="L707" s="4"/>
      <c r="M707" s="4"/>
      <c r="N707" s="3"/>
      <c r="O707" s="1"/>
      <c r="P707" s="1"/>
      <c r="Q707" s="4"/>
      <c r="R707" s="5"/>
      <c r="S707" s="4"/>
      <c r="T707" s="1"/>
      <c r="U707" s="1"/>
      <c r="V707" s="1"/>
      <c r="W707" s="1"/>
      <c r="X707" s="1"/>
      <c r="Y707" s="6"/>
      <c r="Z707" s="4"/>
      <c r="AA707" s="4"/>
      <c r="AB707" s="4"/>
      <c r="AC707" s="1"/>
      <c r="AD707" s="1"/>
      <c r="AE707" s="1"/>
      <c r="AF707" s="1"/>
      <c r="AG707" s="1"/>
      <c r="AH707" s="4"/>
      <c r="AI707" s="1"/>
      <c r="AJ707" s="3"/>
      <c r="AK707" s="4"/>
      <c r="AL707" s="6"/>
      <c r="AM707" s="7"/>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row>
    <row r="708" spans="1:64" ht="16.5" customHeight="1">
      <c r="A708" s="1"/>
      <c r="B708" s="139"/>
      <c r="C708" s="1"/>
      <c r="D708" s="1"/>
      <c r="E708" s="1"/>
      <c r="F708" s="1"/>
      <c r="G708" s="1"/>
      <c r="H708" s="4"/>
      <c r="I708" s="4"/>
      <c r="J708" s="4"/>
      <c r="K708" s="4"/>
      <c r="L708" s="4"/>
      <c r="M708" s="4"/>
      <c r="N708" s="3"/>
      <c r="O708" s="1"/>
      <c r="P708" s="1"/>
      <c r="Q708" s="4"/>
      <c r="R708" s="5"/>
      <c r="S708" s="4"/>
      <c r="T708" s="1"/>
      <c r="U708" s="1"/>
      <c r="V708" s="1"/>
      <c r="W708" s="1"/>
      <c r="X708" s="1"/>
      <c r="Y708" s="6"/>
      <c r="Z708" s="4"/>
      <c r="AA708" s="4"/>
      <c r="AB708" s="4"/>
      <c r="AC708" s="1"/>
      <c r="AD708" s="1"/>
      <c r="AE708" s="1"/>
      <c r="AF708" s="1"/>
      <c r="AG708" s="1"/>
      <c r="AH708" s="4"/>
      <c r="AI708" s="1"/>
      <c r="AJ708" s="3"/>
      <c r="AK708" s="4"/>
      <c r="AL708" s="6"/>
      <c r="AM708" s="7"/>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row>
    <row r="709" spans="1:64" ht="16.5" customHeight="1">
      <c r="A709" s="1"/>
      <c r="B709" s="139"/>
      <c r="C709" s="1"/>
      <c r="D709" s="1"/>
      <c r="E709" s="1"/>
      <c r="F709" s="1"/>
      <c r="G709" s="1"/>
      <c r="H709" s="4"/>
      <c r="I709" s="4"/>
      <c r="J709" s="4"/>
      <c r="K709" s="4"/>
      <c r="L709" s="4"/>
      <c r="M709" s="4"/>
      <c r="N709" s="3"/>
      <c r="O709" s="1"/>
      <c r="P709" s="1"/>
      <c r="Q709" s="4"/>
      <c r="R709" s="5"/>
      <c r="S709" s="4"/>
      <c r="T709" s="1"/>
      <c r="U709" s="1"/>
      <c r="V709" s="1"/>
      <c r="W709" s="1"/>
      <c r="X709" s="1"/>
      <c r="Y709" s="6"/>
      <c r="Z709" s="4"/>
      <c r="AA709" s="4"/>
      <c r="AB709" s="4"/>
      <c r="AC709" s="1"/>
      <c r="AD709" s="1"/>
      <c r="AE709" s="1"/>
      <c r="AF709" s="1"/>
      <c r="AG709" s="1"/>
      <c r="AH709" s="4"/>
      <c r="AI709" s="1"/>
      <c r="AJ709" s="3"/>
      <c r="AK709" s="4"/>
      <c r="AL709" s="6"/>
      <c r="AM709" s="7"/>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row>
    <row r="710" spans="1:64" ht="16.5" customHeight="1">
      <c r="A710" s="1"/>
      <c r="B710" s="139"/>
      <c r="C710" s="1"/>
      <c r="D710" s="1"/>
      <c r="E710" s="1"/>
      <c r="F710" s="1"/>
      <c r="G710" s="1"/>
      <c r="H710" s="4"/>
      <c r="I710" s="4"/>
      <c r="J710" s="4"/>
      <c r="K710" s="4"/>
      <c r="L710" s="4"/>
      <c r="M710" s="4"/>
      <c r="N710" s="3"/>
      <c r="O710" s="1"/>
      <c r="P710" s="1"/>
      <c r="Q710" s="4"/>
      <c r="R710" s="5"/>
      <c r="S710" s="4"/>
      <c r="T710" s="1"/>
      <c r="U710" s="1"/>
      <c r="V710" s="1"/>
      <c r="W710" s="1"/>
      <c r="X710" s="1"/>
      <c r="Y710" s="6"/>
      <c r="Z710" s="4"/>
      <c r="AA710" s="4"/>
      <c r="AB710" s="4"/>
      <c r="AC710" s="1"/>
      <c r="AD710" s="1"/>
      <c r="AE710" s="1"/>
      <c r="AF710" s="1"/>
      <c r="AG710" s="1"/>
      <c r="AH710" s="4"/>
      <c r="AI710" s="1"/>
      <c r="AJ710" s="3"/>
      <c r="AK710" s="4"/>
      <c r="AL710" s="6"/>
      <c r="AM710" s="7"/>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row>
    <row r="711" spans="1:64" ht="16.5" customHeight="1">
      <c r="A711" s="1"/>
      <c r="B711" s="139"/>
      <c r="C711" s="1"/>
      <c r="D711" s="1"/>
      <c r="E711" s="1"/>
      <c r="F711" s="1"/>
      <c r="G711" s="1"/>
      <c r="H711" s="4"/>
      <c r="I711" s="4"/>
      <c r="J711" s="4"/>
      <c r="K711" s="4"/>
      <c r="L711" s="4"/>
      <c r="M711" s="4"/>
      <c r="N711" s="3"/>
      <c r="O711" s="1"/>
      <c r="P711" s="1"/>
      <c r="Q711" s="4"/>
      <c r="R711" s="5"/>
      <c r="S711" s="4"/>
      <c r="T711" s="1"/>
      <c r="U711" s="1"/>
      <c r="V711" s="1"/>
      <c r="W711" s="1"/>
      <c r="X711" s="1"/>
      <c r="Y711" s="6"/>
      <c r="Z711" s="4"/>
      <c r="AA711" s="4"/>
      <c r="AB711" s="4"/>
      <c r="AC711" s="1"/>
      <c r="AD711" s="1"/>
      <c r="AE711" s="1"/>
      <c r="AF711" s="1"/>
      <c r="AG711" s="1"/>
      <c r="AH711" s="4"/>
      <c r="AI711" s="1"/>
      <c r="AJ711" s="3"/>
      <c r="AK711" s="4"/>
      <c r="AL711" s="6"/>
      <c r="AM711" s="7"/>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row>
    <row r="712" spans="1:64" ht="16.5" customHeight="1">
      <c r="A712" s="1"/>
      <c r="B712" s="139"/>
      <c r="C712" s="1"/>
      <c r="D712" s="1"/>
      <c r="E712" s="1"/>
      <c r="F712" s="1"/>
      <c r="G712" s="1"/>
      <c r="H712" s="4"/>
      <c r="I712" s="4"/>
      <c r="J712" s="4"/>
      <c r="K712" s="4"/>
      <c r="L712" s="4"/>
      <c r="M712" s="4"/>
      <c r="N712" s="3"/>
      <c r="O712" s="1"/>
      <c r="P712" s="1"/>
      <c r="Q712" s="4"/>
      <c r="R712" s="5"/>
      <c r="S712" s="4"/>
      <c r="T712" s="1"/>
      <c r="U712" s="1"/>
      <c r="V712" s="1"/>
      <c r="W712" s="1"/>
      <c r="X712" s="1"/>
      <c r="Y712" s="6"/>
      <c r="Z712" s="4"/>
      <c r="AA712" s="4"/>
      <c r="AB712" s="4"/>
      <c r="AC712" s="1"/>
      <c r="AD712" s="1"/>
      <c r="AE712" s="1"/>
      <c r="AF712" s="1"/>
      <c r="AG712" s="1"/>
      <c r="AH712" s="4"/>
      <c r="AI712" s="1"/>
      <c r="AJ712" s="3"/>
      <c r="AK712" s="4"/>
      <c r="AL712" s="6"/>
      <c r="AM712" s="7"/>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row>
    <row r="713" spans="1:64" ht="16.5" customHeight="1">
      <c r="A713" s="1"/>
      <c r="B713" s="139"/>
      <c r="C713" s="1"/>
      <c r="D713" s="1"/>
      <c r="E713" s="1"/>
      <c r="F713" s="1"/>
      <c r="G713" s="1"/>
      <c r="H713" s="4"/>
      <c r="I713" s="4"/>
      <c r="J713" s="4"/>
      <c r="K713" s="4"/>
      <c r="L713" s="4"/>
      <c r="M713" s="4"/>
      <c r="N713" s="3"/>
      <c r="O713" s="1"/>
      <c r="P713" s="1"/>
      <c r="Q713" s="4"/>
      <c r="R713" s="5"/>
      <c r="S713" s="4"/>
      <c r="T713" s="1"/>
      <c r="U713" s="1"/>
      <c r="V713" s="1"/>
      <c r="W713" s="1"/>
      <c r="X713" s="1"/>
      <c r="Y713" s="6"/>
      <c r="Z713" s="4"/>
      <c r="AA713" s="4"/>
      <c r="AB713" s="4"/>
      <c r="AC713" s="1"/>
      <c r="AD713" s="1"/>
      <c r="AE713" s="1"/>
      <c r="AF713" s="1"/>
      <c r="AG713" s="1"/>
      <c r="AH713" s="4"/>
      <c r="AI713" s="1"/>
      <c r="AJ713" s="3"/>
      <c r="AK713" s="4"/>
      <c r="AL713" s="6"/>
      <c r="AM713" s="7"/>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row>
    <row r="714" spans="1:64" ht="16.5" customHeight="1">
      <c r="A714" s="1"/>
      <c r="B714" s="139"/>
      <c r="C714" s="1"/>
      <c r="D714" s="1"/>
      <c r="E714" s="1"/>
      <c r="F714" s="1"/>
      <c r="G714" s="1"/>
      <c r="H714" s="4"/>
      <c r="I714" s="4"/>
      <c r="J714" s="4"/>
      <c r="K714" s="4"/>
      <c r="L714" s="4"/>
      <c r="M714" s="4"/>
      <c r="N714" s="3"/>
      <c r="O714" s="1"/>
      <c r="P714" s="1"/>
      <c r="Q714" s="4"/>
      <c r="R714" s="5"/>
      <c r="S714" s="4"/>
      <c r="T714" s="1"/>
      <c r="U714" s="1"/>
      <c r="V714" s="1"/>
      <c r="W714" s="1"/>
      <c r="X714" s="1"/>
      <c r="Y714" s="6"/>
      <c r="Z714" s="4"/>
      <c r="AA714" s="4"/>
      <c r="AB714" s="4"/>
      <c r="AC714" s="1"/>
      <c r="AD714" s="1"/>
      <c r="AE714" s="1"/>
      <c r="AF714" s="1"/>
      <c r="AG714" s="1"/>
      <c r="AH714" s="4"/>
      <c r="AI714" s="1"/>
      <c r="AJ714" s="3"/>
      <c r="AK714" s="4"/>
      <c r="AL714" s="6"/>
      <c r="AM714" s="7"/>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row>
    <row r="715" spans="1:64" ht="16.5" customHeight="1">
      <c r="A715" s="1"/>
      <c r="B715" s="139"/>
      <c r="C715" s="1"/>
      <c r="D715" s="1"/>
      <c r="E715" s="1"/>
      <c r="F715" s="1"/>
      <c r="G715" s="1"/>
      <c r="H715" s="4"/>
      <c r="I715" s="4"/>
      <c r="J715" s="4"/>
      <c r="K715" s="4"/>
      <c r="L715" s="4"/>
      <c r="M715" s="4"/>
      <c r="N715" s="3"/>
      <c r="O715" s="1"/>
      <c r="P715" s="1"/>
      <c r="Q715" s="4"/>
      <c r="R715" s="5"/>
      <c r="S715" s="4"/>
      <c r="T715" s="1"/>
      <c r="U715" s="1"/>
      <c r="V715" s="1"/>
      <c r="W715" s="1"/>
      <c r="X715" s="1"/>
      <c r="Y715" s="6"/>
      <c r="Z715" s="4"/>
      <c r="AA715" s="4"/>
      <c r="AB715" s="4"/>
      <c r="AC715" s="1"/>
      <c r="AD715" s="1"/>
      <c r="AE715" s="1"/>
      <c r="AF715" s="1"/>
      <c r="AG715" s="1"/>
      <c r="AH715" s="4"/>
      <c r="AI715" s="1"/>
      <c r="AJ715" s="3"/>
      <c r="AK715" s="4"/>
      <c r="AL715" s="6"/>
      <c r="AM715" s="7"/>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row>
    <row r="716" spans="1:64" ht="16.5" customHeight="1">
      <c r="A716" s="1"/>
      <c r="B716" s="139"/>
      <c r="C716" s="1"/>
      <c r="D716" s="1"/>
      <c r="E716" s="1"/>
      <c r="F716" s="1"/>
      <c r="G716" s="1"/>
      <c r="H716" s="4"/>
      <c r="I716" s="4"/>
      <c r="J716" s="4"/>
      <c r="K716" s="4"/>
      <c r="L716" s="4"/>
      <c r="M716" s="4"/>
      <c r="N716" s="3"/>
      <c r="O716" s="1"/>
      <c r="P716" s="1"/>
      <c r="Q716" s="4"/>
      <c r="R716" s="5"/>
      <c r="S716" s="4"/>
      <c r="T716" s="1"/>
      <c r="U716" s="1"/>
      <c r="V716" s="1"/>
      <c r="W716" s="1"/>
      <c r="X716" s="1"/>
      <c r="Y716" s="6"/>
      <c r="Z716" s="4"/>
      <c r="AA716" s="4"/>
      <c r="AB716" s="4"/>
      <c r="AC716" s="1"/>
      <c r="AD716" s="1"/>
      <c r="AE716" s="1"/>
      <c r="AF716" s="1"/>
      <c r="AG716" s="1"/>
      <c r="AH716" s="4"/>
      <c r="AI716" s="1"/>
      <c r="AJ716" s="3"/>
      <c r="AK716" s="4"/>
      <c r="AL716" s="6"/>
      <c r="AM716" s="7"/>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row>
    <row r="717" spans="1:64" ht="16.5" customHeight="1">
      <c r="A717" s="1"/>
      <c r="B717" s="139"/>
      <c r="C717" s="1"/>
      <c r="D717" s="1"/>
      <c r="E717" s="1"/>
      <c r="F717" s="1"/>
      <c r="G717" s="1"/>
      <c r="H717" s="4"/>
      <c r="I717" s="4"/>
      <c r="J717" s="4"/>
      <c r="K717" s="4"/>
      <c r="L717" s="4"/>
      <c r="M717" s="4"/>
      <c r="N717" s="3"/>
      <c r="O717" s="1"/>
      <c r="P717" s="1"/>
      <c r="Q717" s="4"/>
      <c r="R717" s="5"/>
      <c r="S717" s="4"/>
      <c r="T717" s="1"/>
      <c r="U717" s="1"/>
      <c r="V717" s="1"/>
      <c r="W717" s="1"/>
      <c r="X717" s="1"/>
      <c r="Y717" s="6"/>
      <c r="Z717" s="4"/>
      <c r="AA717" s="4"/>
      <c r="AB717" s="4"/>
      <c r="AC717" s="1"/>
      <c r="AD717" s="1"/>
      <c r="AE717" s="1"/>
      <c r="AF717" s="1"/>
      <c r="AG717" s="1"/>
      <c r="AH717" s="4"/>
      <c r="AI717" s="1"/>
      <c r="AJ717" s="3"/>
      <c r="AK717" s="4"/>
      <c r="AL717" s="6"/>
      <c r="AM717" s="7"/>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row>
    <row r="718" spans="1:64" ht="16.5" customHeight="1">
      <c r="A718" s="1"/>
      <c r="B718" s="139"/>
      <c r="C718" s="1"/>
      <c r="D718" s="1"/>
      <c r="E718" s="1"/>
      <c r="F718" s="1"/>
      <c r="G718" s="1"/>
      <c r="H718" s="4"/>
      <c r="I718" s="4"/>
      <c r="J718" s="4"/>
      <c r="K718" s="4"/>
      <c r="L718" s="4"/>
      <c r="M718" s="4"/>
      <c r="N718" s="3"/>
      <c r="O718" s="1"/>
      <c r="P718" s="1"/>
      <c r="Q718" s="4"/>
      <c r="R718" s="5"/>
      <c r="S718" s="4"/>
      <c r="T718" s="1"/>
      <c r="U718" s="1"/>
      <c r="V718" s="1"/>
      <c r="W718" s="1"/>
      <c r="X718" s="1"/>
      <c r="Y718" s="6"/>
      <c r="Z718" s="4"/>
      <c r="AA718" s="4"/>
      <c r="AB718" s="4"/>
      <c r="AC718" s="1"/>
      <c r="AD718" s="1"/>
      <c r="AE718" s="1"/>
      <c r="AF718" s="1"/>
      <c r="AG718" s="1"/>
      <c r="AH718" s="4"/>
      <c r="AI718" s="1"/>
      <c r="AJ718" s="3"/>
      <c r="AK718" s="4"/>
      <c r="AL718" s="6"/>
      <c r="AM718" s="7"/>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row>
    <row r="719" spans="1:64" ht="16.5" customHeight="1">
      <c r="A719" s="1"/>
      <c r="B719" s="139"/>
      <c r="C719" s="1"/>
      <c r="D719" s="1"/>
      <c r="E719" s="1"/>
      <c r="F719" s="1"/>
      <c r="G719" s="1"/>
      <c r="H719" s="4"/>
      <c r="I719" s="4"/>
      <c r="J719" s="4"/>
      <c r="K719" s="4"/>
      <c r="L719" s="4"/>
      <c r="M719" s="4"/>
      <c r="N719" s="3"/>
      <c r="O719" s="1"/>
      <c r="P719" s="1"/>
      <c r="Q719" s="4"/>
      <c r="R719" s="5"/>
      <c r="S719" s="4"/>
      <c r="T719" s="1"/>
      <c r="U719" s="1"/>
      <c r="V719" s="1"/>
      <c r="W719" s="1"/>
      <c r="X719" s="1"/>
      <c r="Y719" s="6"/>
      <c r="Z719" s="4"/>
      <c r="AA719" s="4"/>
      <c r="AB719" s="4"/>
      <c r="AC719" s="1"/>
      <c r="AD719" s="1"/>
      <c r="AE719" s="1"/>
      <c r="AF719" s="1"/>
      <c r="AG719" s="1"/>
      <c r="AH719" s="4"/>
      <c r="AI719" s="1"/>
      <c r="AJ719" s="3"/>
      <c r="AK719" s="4"/>
      <c r="AL719" s="6"/>
      <c r="AM719" s="7"/>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row>
    <row r="720" spans="1:64" ht="16.5" customHeight="1">
      <c r="A720" s="1"/>
      <c r="B720" s="139"/>
      <c r="C720" s="1"/>
      <c r="D720" s="1"/>
      <c r="E720" s="1"/>
      <c r="F720" s="1"/>
      <c r="G720" s="1"/>
      <c r="H720" s="4"/>
      <c r="I720" s="4"/>
      <c r="J720" s="4"/>
      <c r="K720" s="4"/>
      <c r="L720" s="4"/>
      <c r="M720" s="4"/>
      <c r="N720" s="3"/>
      <c r="O720" s="1"/>
      <c r="P720" s="1"/>
      <c r="Q720" s="4"/>
      <c r="R720" s="5"/>
      <c r="S720" s="4"/>
      <c r="T720" s="1"/>
      <c r="U720" s="1"/>
      <c r="V720" s="1"/>
      <c r="W720" s="1"/>
      <c r="X720" s="1"/>
      <c r="Y720" s="6"/>
      <c r="Z720" s="4"/>
      <c r="AA720" s="4"/>
      <c r="AB720" s="4"/>
      <c r="AC720" s="1"/>
      <c r="AD720" s="1"/>
      <c r="AE720" s="1"/>
      <c r="AF720" s="1"/>
      <c r="AG720" s="1"/>
      <c r="AH720" s="4"/>
      <c r="AI720" s="1"/>
      <c r="AJ720" s="3"/>
      <c r="AK720" s="4"/>
      <c r="AL720" s="6"/>
      <c r="AM720" s="7"/>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row>
    <row r="721" spans="1:64" ht="16.5" customHeight="1">
      <c r="A721" s="1"/>
      <c r="B721" s="139"/>
      <c r="C721" s="1"/>
      <c r="D721" s="1"/>
      <c r="E721" s="1"/>
      <c r="F721" s="1"/>
      <c r="G721" s="1"/>
      <c r="H721" s="4"/>
      <c r="I721" s="4"/>
      <c r="J721" s="4"/>
      <c r="K721" s="4"/>
      <c r="L721" s="4"/>
      <c r="M721" s="4"/>
      <c r="N721" s="3"/>
      <c r="O721" s="1"/>
      <c r="P721" s="1"/>
      <c r="Q721" s="4"/>
      <c r="R721" s="5"/>
      <c r="S721" s="4"/>
      <c r="T721" s="1"/>
      <c r="U721" s="1"/>
      <c r="V721" s="1"/>
      <c r="W721" s="1"/>
      <c r="X721" s="1"/>
      <c r="Y721" s="6"/>
      <c r="Z721" s="4"/>
      <c r="AA721" s="4"/>
      <c r="AB721" s="4"/>
      <c r="AC721" s="1"/>
      <c r="AD721" s="1"/>
      <c r="AE721" s="1"/>
      <c r="AF721" s="1"/>
      <c r="AG721" s="1"/>
      <c r="AH721" s="4"/>
      <c r="AI721" s="1"/>
      <c r="AJ721" s="3"/>
      <c r="AK721" s="4"/>
      <c r="AL721" s="6"/>
      <c r="AM721" s="7"/>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row>
    <row r="722" spans="1:64" ht="16.5" customHeight="1">
      <c r="A722" s="1"/>
      <c r="B722" s="139"/>
      <c r="C722" s="1"/>
      <c r="D722" s="1"/>
      <c r="E722" s="1"/>
      <c r="F722" s="1"/>
      <c r="G722" s="1"/>
      <c r="H722" s="4"/>
      <c r="I722" s="4"/>
      <c r="J722" s="4"/>
      <c r="K722" s="4"/>
      <c r="L722" s="4"/>
      <c r="M722" s="4"/>
      <c r="N722" s="3"/>
      <c r="O722" s="1"/>
      <c r="P722" s="1"/>
      <c r="Q722" s="4"/>
      <c r="R722" s="5"/>
      <c r="S722" s="4"/>
      <c r="T722" s="1"/>
      <c r="U722" s="1"/>
      <c r="V722" s="1"/>
      <c r="W722" s="1"/>
      <c r="X722" s="1"/>
      <c r="Y722" s="6"/>
      <c r="Z722" s="4"/>
      <c r="AA722" s="4"/>
      <c r="AB722" s="4"/>
      <c r="AC722" s="1"/>
      <c r="AD722" s="1"/>
      <c r="AE722" s="1"/>
      <c r="AF722" s="1"/>
      <c r="AG722" s="1"/>
      <c r="AH722" s="4"/>
      <c r="AI722" s="1"/>
      <c r="AJ722" s="3"/>
      <c r="AK722" s="4"/>
      <c r="AL722" s="6"/>
      <c r="AM722" s="7"/>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row>
    <row r="723" spans="1:64" ht="16.5" customHeight="1">
      <c r="A723" s="1"/>
      <c r="B723" s="139"/>
      <c r="C723" s="1"/>
      <c r="D723" s="1"/>
      <c r="E723" s="1"/>
      <c r="F723" s="1"/>
      <c r="G723" s="1"/>
      <c r="H723" s="4"/>
      <c r="I723" s="4"/>
      <c r="J723" s="4"/>
      <c r="K723" s="4"/>
      <c r="L723" s="4"/>
      <c r="M723" s="4"/>
      <c r="N723" s="3"/>
      <c r="O723" s="1"/>
      <c r="P723" s="1"/>
      <c r="Q723" s="4"/>
      <c r="R723" s="5"/>
      <c r="S723" s="4"/>
      <c r="T723" s="1"/>
      <c r="U723" s="1"/>
      <c r="V723" s="1"/>
      <c r="W723" s="1"/>
      <c r="X723" s="1"/>
      <c r="Y723" s="6"/>
      <c r="Z723" s="4"/>
      <c r="AA723" s="4"/>
      <c r="AB723" s="4"/>
      <c r="AC723" s="1"/>
      <c r="AD723" s="1"/>
      <c r="AE723" s="1"/>
      <c r="AF723" s="1"/>
      <c r="AG723" s="1"/>
      <c r="AH723" s="4"/>
      <c r="AI723" s="1"/>
      <c r="AJ723" s="3"/>
      <c r="AK723" s="4"/>
      <c r="AL723" s="6"/>
      <c r="AM723" s="7"/>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row>
    <row r="724" spans="1:64" ht="16.5" customHeight="1">
      <c r="A724" s="1"/>
      <c r="B724" s="139"/>
      <c r="C724" s="1"/>
      <c r="D724" s="1"/>
      <c r="E724" s="1"/>
      <c r="F724" s="1"/>
      <c r="G724" s="1"/>
      <c r="H724" s="4"/>
      <c r="I724" s="4"/>
      <c r="J724" s="4"/>
      <c r="K724" s="4"/>
      <c r="L724" s="4"/>
      <c r="M724" s="4"/>
      <c r="N724" s="3"/>
      <c r="O724" s="1"/>
      <c r="P724" s="1"/>
      <c r="Q724" s="4"/>
      <c r="R724" s="5"/>
      <c r="S724" s="4"/>
      <c r="T724" s="1"/>
      <c r="U724" s="1"/>
      <c r="V724" s="1"/>
      <c r="W724" s="1"/>
      <c r="X724" s="1"/>
      <c r="Y724" s="6"/>
      <c r="Z724" s="4"/>
      <c r="AA724" s="4"/>
      <c r="AB724" s="4"/>
      <c r="AC724" s="1"/>
      <c r="AD724" s="1"/>
      <c r="AE724" s="1"/>
      <c r="AF724" s="1"/>
      <c r="AG724" s="1"/>
      <c r="AH724" s="4"/>
      <c r="AI724" s="1"/>
      <c r="AJ724" s="3"/>
      <c r="AK724" s="4"/>
      <c r="AL724" s="6"/>
      <c r="AM724" s="7"/>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row>
    <row r="725" spans="1:64" ht="16.5" customHeight="1">
      <c r="A725" s="1"/>
      <c r="B725" s="139"/>
      <c r="C725" s="1"/>
      <c r="D725" s="1"/>
      <c r="E725" s="1"/>
      <c r="F725" s="1"/>
      <c r="G725" s="1"/>
      <c r="H725" s="4"/>
      <c r="I725" s="4"/>
      <c r="J725" s="4"/>
      <c r="K725" s="4"/>
      <c r="L725" s="4"/>
      <c r="M725" s="4"/>
      <c r="N725" s="3"/>
      <c r="O725" s="1"/>
      <c r="P725" s="1"/>
      <c r="Q725" s="4"/>
      <c r="R725" s="5"/>
      <c r="S725" s="4"/>
      <c r="T725" s="1"/>
      <c r="U725" s="1"/>
      <c r="V725" s="1"/>
      <c r="W725" s="1"/>
      <c r="X725" s="1"/>
      <c r="Y725" s="6"/>
      <c r="Z725" s="4"/>
      <c r="AA725" s="4"/>
      <c r="AB725" s="4"/>
      <c r="AC725" s="1"/>
      <c r="AD725" s="1"/>
      <c r="AE725" s="1"/>
      <c r="AF725" s="1"/>
      <c r="AG725" s="1"/>
      <c r="AH725" s="4"/>
      <c r="AI725" s="1"/>
      <c r="AJ725" s="3"/>
      <c r="AK725" s="4"/>
      <c r="AL725" s="6"/>
      <c r="AM725" s="7"/>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row>
    <row r="726" spans="1:64" ht="16.5" customHeight="1">
      <c r="A726" s="1"/>
      <c r="B726" s="139"/>
      <c r="C726" s="1"/>
      <c r="D726" s="1"/>
      <c r="E726" s="1"/>
      <c r="F726" s="1"/>
      <c r="G726" s="1"/>
      <c r="H726" s="4"/>
      <c r="I726" s="4"/>
      <c r="J726" s="4"/>
      <c r="K726" s="4"/>
      <c r="L726" s="4"/>
      <c r="M726" s="4"/>
      <c r="N726" s="3"/>
      <c r="O726" s="1"/>
      <c r="P726" s="1"/>
      <c r="Q726" s="4"/>
      <c r="R726" s="5"/>
      <c r="S726" s="4"/>
      <c r="T726" s="1"/>
      <c r="U726" s="1"/>
      <c r="V726" s="1"/>
      <c r="W726" s="1"/>
      <c r="X726" s="1"/>
      <c r="Y726" s="6"/>
      <c r="Z726" s="4"/>
      <c r="AA726" s="4"/>
      <c r="AB726" s="4"/>
      <c r="AC726" s="1"/>
      <c r="AD726" s="1"/>
      <c r="AE726" s="1"/>
      <c r="AF726" s="1"/>
      <c r="AG726" s="1"/>
      <c r="AH726" s="4"/>
      <c r="AI726" s="1"/>
      <c r="AJ726" s="3"/>
      <c r="AK726" s="4"/>
      <c r="AL726" s="6"/>
      <c r="AM726" s="7"/>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row>
    <row r="727" spans="1:64" ht="16.5" customHeight="1">
      <c r="A727" s="1"/>
      <c r="B727" s="139"/>
      <c r="C727" s="1"/>
      <c r="D727" s="1"/>
      <c r="E727" s="1"/>
      <c r="F727" s="1"/>
      <c r="G727" s="1"/>
      <c r="H727" s="4"/>
      <c r="I727" s="4"/>
      <c r="J727" s="4"/>
      <c r="K727" s="4"/>
      <c r="L727" s="4"/>
      <c r="M727" s="4"/>
      <c r="N727" s="3"/>
      <c r="O727" s="1"/>
      <c r="P727" s="1"/>
      <c r="Q727" s="4"/>
      <c r="R727" s="5"/>
      <c r="S727" s="4"/>
      <c r="T727" s="1"/>
      <c r="U727" s="1"/>
      <c r="V727" s="1"/>
      <c r="W727" s="1"/>
      <c r="X727" s="1"/>
      <c r="Y727" s="6"/>
      <c r="Z727" s="4"/>
      <c r="AA727" s="4"/>
      <c r="AB727" s="4"/>
      <c r="AC727" s="1"/>
      <c r="AD727" s="1"/>
      <c r="AE727" s="1"/>
      <c r="AF727" s="1"/>
      <c r="AG727" s="1"/>
      <c r="AH727" s="4"/>
      <c r="AI727" s="1"/>
      <c r="AJ727" s="3"/>
      <c r="AK727" s="4"/>
      <c r="AL727" s="6"/>
      <c r="AM727" s="7"/>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row>
    <row r="728" spans="1:64" ht="16.5" customHeight="1">
      <c r="A728" s="1"/>
      <c r="B728" s="139"/>
      <c r="C728" s="1"/>
      <c r="D728" s="1"/>
      <c r="E728" s="1"/>
      <c r="F728" s="1"/>
      <c r="G728" s="1"/>
      <c r="H728" s="4"/>
      <c r="I728" s="4"/>
      <c r="J728" s="4"/>
      <c r="K728" s="4"/>
      <c r="L728" s="4"/>
      <c r="M728" s="4"/>
      <c r="N728" s="3"/>
      <c r="O728" s="1"/>
      <c r="P728" s="1"/>
      <c r="Q728" s="4"/>
      <c r="R728" s="5"/>
      <c r="S728" s="4"/>
      <c r="T728" s="1"/>
      <c r="U728" s="1"/>
      <c r="V728" s="1"/>
      <c r="W728" s="1"/>
      <c r="X728" s="1"/>
      <c r="Y728" s="6"/>
      <c r="Z728" s="4"/>
      <c r="AA728" s="4"/>
      <c r="AB728" s="4"/>
      <c r="AC728" s="1"/>
      <c r="AD728" s="1"/>
      <c r="AE728" s="1"/>
      <c r="AF728" s="1"/>
      <c r="AG728" s="1"/>
      <c r="AH728" s="4"/>
      <c r="AI728" s="1"/>
      <c r="AJ728" s="3"/>
      <c r="AK728" s="4"/>
      <c r="AL728" s="6"/>
      <c r="AM728" s="7"/>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row>
    <row r="729" spans="1:64" ht="16.5" customHeight="1">
      <c r="A729" s="1"/>
      <c r="B729" s="139"/>
      <c r="C729" s="1"/>
      <c r="D729" s="1"/>
      <c r="E729" s="1"/>
      <c r="F729" s="1"/>
      <c r="G729" s="1"/>
      <c r="H729" s="4"/>
      <c r="I729" s="4"/>
      <c r="J729" s="4"/>
      <c r="K729" s="4"/>
      <c r="L729" s="4"/>
      <c r="M729" s="4"/>
      <c r="N729" s="3"/>
      <c r="O729" s="1"/>
      <c r="P729" s="1"/>
      <c r="Q729" s="4"/>
      <c r="R729" s="5"/>
      <c r="S729" s="4"/>
      <c r="T729" s="1"/>
      <c r="U729" s="1"/>
      <c r="V729" s="1"/>
      <c r="W729" s="1"/>
      <c r="X729" s="1"/>
      <c r="Y729" s="6"/>
      <c r="Z729" s="4"/>
      <c r="AA729" s="4"/>
      <c r="AB729" s="4"/>
      <c r="AC729" s="1"/>
      <c r="AD729" s="1"/>
      <c r="AE729" s="1"/>
      <c r="AF729" s="1"/>
      <c r="AG729" s="1"/>
      <c r="AH729" s="4"/>
      <c r="AI729" s="1"/>
      <c r="AJ729" s="3"/>
      <c r="AK729" s="4"/>
      <c r="AL729" s="6"/>
      <c r="AM729" s="7"/>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row>
    <row r="730" spans="1:64" ht="16.5" customHeight="1">
      <c r="A730" s="1"/>
      <c r="B730" s="139"/>
      <c r="C730" s="1"/>
      <c r="D730" s="1"/>
      <c r="E730" s="1"/>
      <c r="F730" s="1"/>
      <c r="G730" s="1"/>
      <c r="H730" s="4"/>
      <c r="I730" s="4"/>
      <c r="J730" s="4"/>
      <c r="K730" s="4"/>
      <c r="L730" s="4"/>
      <c r="M730" s="4"/>
      <c r="N730" s="3"/>
      <c r="O730" s="1"/>
      <c r="P730" s="1"/>
      <c r="Q730" s="4"/>
      <c r="R730" s="5"/>
      <c r="S730" s="4"/>
      <c r="T730" s="1"/>
      <c r="U730" s="1"/>
      <c r="V730" s="1"/>
      <c r="W730" s="1"/>
      <c r="X730" s="1"/>
      <c r="Y730" s="6"/>
      <c r="Z730" s="4"/>
      <c r="AA730" s="4"/>
      <c r="AB730" s="4"/>
      <c r="AC730" s="1"/>
      <c r="AD730" s="1"/>
      <c r="AE730" s="1"/>
      <c r="AF730" s="1"/>
      <c r="AG730" s="1"/>
      <c r="AH730" s="4"/>
      <c r="AI730" s="1"/>
      <c r="AJ730" s="3"/>
      <c r="AK730" s="4"/>
      <c r="AL730" s="6"/>
      <c r="AM730" s="7"/>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row>
    <row r="731" spans="1:64" ht="16.5" customHeight="1">
      <c r="A731" s="1"/>
      <c r="B731" s="139"/>
      <c r="C731" s="1"/>
      <c r="D731" s="1"/>
      <c r="E731" s="1"/>
      <c r="F731" s="1"/>
      <c r="G731" s="1"/>
      <c r="H731" s="4"/>
      <c r="I731" s="4"/>
      <c r="J731" s="4"/>
      <c r="K731" s="4"/>
      <c r="L731" s="4"/>
      <c r="M731" s="4"/>
      <c r="N731" s="3"/>
      <c r="O731" s="1"/>
      <c r="P731" s="1"/>
      <c r="Q731" s="4"/>
      <c r="R731" s="5"/>
      <c r="S731" s="4"/>
      <c r="T731" s="1"/>
      <c r="U731" s="1"/>
      <c r="V731" s="1"/>
      <c r="W731" s="1"/>
      <c r="X731" s="1"/>
      <c r="Y731" s="6"/>
      <c r="Z731" s="4"/>
      <c r="AA731" s="4"/>
      <c r="AB731" s="4"/>
      <c r="AC731" s="1"/>
      <c r="AD731" s="1"/>
      <c r="AE731" s="1"/>
      <c r="AF731" s="1"/>
      <c r="AG731" s="1"/>
      <c r="AH731" s="4"/>
      <c r="AI731" s="1"/>
      <c r="AJ731" s="3"/>
      <c r="AK731" s="4"/>
      <c r="AL731" s="6"/>
      <c r="AM731" s="7"/>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row>
    <row r="732" spans="1:64" ht="16.5" customHeight="1">
      <c r="A732" s="1"/>
      <c r="B732" s="139"/>
      <c r="C732" s="1"/>
      <c r="D732" s="1"/>
      <c r="E732" s="1"/>
      <c r="F732" s="1"/>
      <c r="G732" s="1"/>
      <c r="H732" s="4"/>
      <c r="I732" s="4"/>
      <c r="J732" s="4"/>
      <c r="K732" s="4"/>
      <c r="L732" s="4"/>
      <c r="M732" s="4"/>
      <c r="N732" s="3"/>
      <c r="O732" s="1"/>
      <c r="P732" s="1"/>
      <c r="Q732" s="4"/>
      <c r="R732" s="5"/>
      <c r="S732" s="4"/>
      <c r="T732" s="1"/>
      <c r="U732" s="1"/>
      <c r="V732" s="1"/>
      <c r="W732" s="1"/>
      <c r="X732" s="1"/>
      <c r="Y732" s="6"/>
      <c r="Z732" s="4"/>
      <c r="AA732" s="4"/>
      <c r="AB732" s="4"/>
      <c r="AC732" s="1"/>
      <c r="AD732" s="1"/>
      <c r="AE732" s="1"/>
      <c r="AF732" s="1"/>
      <c r="AG732" s="1"/>
      <c r="AH732" s="4"/>
      <c r="AI732" s="1"/>
      <c r="AJ732" s="3"/>
      <c r="AK732" s="4"/>
      <c r="AL732" s="6"/>
      <c r="AM732" s="7"/>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row>
    <row r="733" spans="1:64" ht="16.5" customHeight="1">
      <c r="A733" s="1"/>
      <c r="B733" s="139"/>
      <c r="C733" s="1"/>
      <c r="D733" s="1"/>
      <c r="E733" s="1"/>
      <c r="F733" s="1"/>
      <c r="G733" s="1"/>
      <c r="H733" s="4"/>
      <c r="I733" s="4"/>
      <c r="J733" s="4"/>
      <c r="K733" s="4"/>
      <c r="L733" s="4"/>
      <c r="M733" s="4"/>
      <c r="N733" s="3"/>
      <c r="O733" s="1"/>
      <c r="P733" s="1"/>
      <c r="Q733" s="4"/>
      <c r="R733" s="5"/>
      <c r="S733" s="4"/>
      <c r="T733" s="1"/>
      <c r="U733" s="1"/>
      <c r="V733" s="1"/>
      <c r="W733" s="1"/>
      <c r="X733" s="1"/>
      <c r="Y733" s="6"/>
      <c r="Z733" s="4"/>
      <c r="AA733" s="4"/>
      <c r="AB733" s="4"/>
      <c r="AC733" s="1"/>
      <c r="AD733" s="1"/>
      <c r="AE733" s="1"/>
      <c r="AF733" s="1"/>
      <c r="AG733" s="1"/>
      <c r="AH733" s="4"/>
      <c r="AI733" s="1"/>
      <c r="AJ733" s="3"/>
      <c r="AK733" s="4"/>
      <c r="AL733" s="6"/>
      <c r="AM733" s="7"/>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row>
    <row r="734" spans="1:64" ht="16.5" customHeight="1">
      <c r="A734" s="1"/>
      <c r="B734" s="139"/>
      <c r="C734" s="1"/>
      <c r="D734" s="1"/>
      <c r="E734" s="1"/>
      <c r="F734" s="1"/>
      <c r="G734" s="1"/>
      <c r="H734" s="4"/>
      <c r="I734" s="4"/>
      <c r="J734" s="4"/>
      <c r="K734" s="4"/>
      <c r="L734" s="4"/>
      <c r="M734" s="4"/>
      <c r="N734" s="3"/>
      <c r="O734" s="1"/>
      <c r="P734" s="1"/>
      <c r="Q734" s="4"/>
      <c r="R734" s="5"/>
      <c r="S734" s="4"/>
      <c r="T734" s="1"/>
      <c r="U734" s="1"/>
      <c r="V734" s="1"/>
      <c r="W734" s="1"/>
      <c r="X734" s="1"/>
      <c r="Y734" s="6"/>
      <c r="Z734" s="4"/>
      <c r="AA734" s="4"/>
      <c r="AB734" s="4"/>
      <c r="AC734" s="1"/>
      <c r="AD734" s="1"/>
      <c r="AE734" s="1"/>
      <c r="AF734" s="1"/>
      <c r="AG734" s="1"/>
      <c r="AH734" s="4"/>
      <c r="AI734" s="1"/>
      <c r="AJ734" s="3"/>
      <c r="AK734" s="4"/>
      <c r="AL734" s="6"/>
      <c r="AM734" s="7"/>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row>
    <row r="735" spans="1:64" ht="16.5" customHeight="1">
      <c r="A735" s="1"/>
      <c r="B735" s="139"/>
      <c r="C735" s="1"/>
      <c r="D735" s="1"/>
      <c r="E735" s="1"/>
      <c r="F735" s="1"/>
      <c r="G735" s="1"/>
      <c r="H735" s="4"/>
      <c r="I735" s="4"/>
      <c r="J735" s="4"/>
      <c r="K735" s="4"/>
      <c r="L735" s="4"/>
      <c r="M735" s="4"/>
      <c r="N735" s="3"/>
      <c r="O735" s="1"/>
      <c r="P735" s="1"/>
      <c r="Q735" s="4"/>
      <c r="R735" s="5"/>
      <c r="S735" s="4"/>
      <c r="T735" s="1"/>
      <c r="U735" s="1"/>
      <c r="V735" s="1"/>
      <c r="W735" s="1"/>
      <c r="X735" s="1"/>
      <c r="Y735" s="6"/>
      <c r="Z735" s="4"/>
      <c r="AA735" s="4"/>
      <c r="AB735" s="4"/>
      <c r="AC735" s="1"/>
      <c r="AD735" s="1"/>
      <c r="AE735" s="1"/>
      <c r="AF735" s="1"/>
      <c r="AG735" s="1"/>
      <c r="AH735" s="4"/>
      <c r="AI735" s="1"/>
      <c r="AJ735" s="3"/>
      <c r="AK735" s="4"/>
      <c r="AL735" s="6"/>
      <c r="AM735" s="7"/>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row>
    <row r="736" spans="1:64" ht="16.5" customHeight="1">
      <c r="A736" s="1"/>
      <c r="B736" s="139"/>
      <c r="C736" s="1"/>
      <c r="D736" s="1"/>
      <c r="E736" s="1"/>
      <c r="F736" s="1"/>
      <c r="G736" s="1"/>
      <c r="H736" s="4"/>
      <c r="I736" s="4"/>
      <c r="J736" s="4"/>
      <c r="K736" s="4"/>
      <c r="L736" s="4"/>
      <c r="M736" s="4"/>
      <c r="N736" s="3"/>
      <c r="O736" s="1"/>
      <c r="P736" s="1"/>
      <c r="Q736" s="4"/>
      <c r="R736" s="5"/>
      <c r="S736" s="4"/>
      <c r="T736" s="1"/>
      <c r="U736" s="1"/>
      <c r="V736" s="1"/>
      <c r="W736" s="1"/>
      <c r="X736" s="1"/>
      <c r="Y736" s="6"/>
      <c r="Z736" s="4"/>
      <c r="AA736" s="4"/>
      <c r="AB736" s="4"/>
      <c r="AC736" s="1"/>
      <c r="AD736" s="1"/>
      <c r="AE736" s="1"/>
      <c r="AF736" s="1"/>
      <c r="AG736" s="1"/>
      <c r="AH736" s="4"/>
      <c r="AI736" s="1"/>
      <c r="AJ736" s="3"/>
      <c r="AK736" s="4"/>
      <c r="AL736" s="6"/>
      <c r="AM736" s="7"/>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row>
    <row r="737" spans="1:64" ht="16.5" customHeight="1">
      <c r="A737" s="1"/>
      <c r="B737" s="139"/>
      <c r="C737" s="1"/>
      <c r="D737" s="1"/>
      <c r="E737" s="1"/>
      <c r="F737" s="1"/>
      <c r="G737" s="1"/>
      <c r="H737" s="4"/>
      <c r="I737" s="4"/>
      <c r="J737" s="4"/>
      <c r="K737" s="4"/>
      <c r="L737" s="4"/>
      <c r="M737" s="4"/>
      <c r="N737" s="3"/>
      <c r="O737" s="1"/>
      <c r="P737" s="1"/>
      <c r="Q737" s="4"/>
      <c r="R737" s="5"/>
      <c r="S737" s="4"/>
      <c r="T737" s="1"/>
      <c r="U737" s="1"/>
      <c r="V737" s="1"/>
      <c r="W737" s="1"/>
      <c r="X737" s="1"/>
      <c r="Y737" s="6"/>
      <c r="Z737" s="4"/>
      <c r="AA737" s="4"/>
      <c r="AB737" s="4"/>
      <c r="AC737" s="1"/>
      <c r="AD737" s="1"/>
      <c r="AE737" s="1"/>
      <c r="AF737" s="1"/>
      <c r="AG737" s="1"/>
      <c r="AH737" s="4"/>
      <c r="AI737" s="1"/>
      <c r="AJ737" s="3"/>
      <c r="AK737" s="4"/>
      <c r="AL737" s="6"/>
      <c r="AM737" s="7"/>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row>
    <row r="738" spans="1:64" ht="16.5" customHeight="1">
      <c r="A738" s="1"/>
      <c r="B738" s="139"/>
      <c r="C738" s="1"/>
      <c r="D738" s="1"/>
      <c r="E738" s="1"/>
      <c r="F738" s="1"/>
      <c r="G738" s="1"/>
      <c r="H738" s="4"/>
      <c r="I738" s="4"/>
      <c r="J738" s="4"/>
      <c r="K738" s="4"/>
      <c r="L738" s="4"/>
      <c r="M738" s="4"/>
      <c r="N738" s="3"/>
      <c r="O738" s="1"/>
      <c r="P738" s="1"/>
      <c r="Q738" s="4"/>
      <c r="R738" s="5"/>
      <c r="S738" s="4"/>
      <c r="T738" s="1"/>
      <c r="U738" s="1"/>
      <c r="V738" s="1"/>
      <c r="W738" s="1"/>
      <c r="X738" s="1"/>
      <c r="Y738" s="6"/>
      <c r="Z738" s="4"/>
      <c r="AA738" s="4"/>
      <c r="AB738" s="4"/>
      <c r="AC738" s="1"/>
      <c r="AD738" s="1"/>
      <c r="AE738" s="1"/>
      <c r="AF738" s="1"/>
      <c r="AG738" s="1"/>
      <c r="AH738" s="4"/>
      <c r="AI738" s="1"/>
      <c r="AJ738" s="3"/>
      <c r="AK738" s="4"/>
      <c r="AL738" s="6"/>
      <c r="AM738" s="7"/>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row>
    <row r="739" spans="1:64" ht="16.5" customHeight="1">
      <c r="A739" s="1"/>
      <c r="B739" s="139"/>
      <c r="C739" s="1"/>
      <c r="D739" s="1"/>
      <c r="E739" s="1"/>
      <c r="F739" s="1"/>
      <c r="G739" s="1"/>
      <c r="H739" s="4"/>
      <c r="I739" s="4"/>
      <c r="J739" s="4"/>
      <c r="K739" s="4"/>
      <c r="L739" s="4"/>
      <c r="M739" s="4"/>
      <c r="N739" s="3"/>
      <c r="O739" s="1"/>
      <c r="P739" s="1"/>
      <c r="Q739" s="4"/>
      <c r="R739" s="5"/>
      <c r="S739" s="4"/>
      <c r="T739" s="1"/>
      <c r="U739" s="1"/>
      <c r="V739" s="1"/>
      <c r="W739" s="1"/>
      <c r="X739" s="1"/>
      <c r="Y739" s="6"/>
      <c r="Z739" s="4"/>
      <c r="AA739" s="4"/>
      <c r="AB739" s="4"/>
      <c r="AC739" s="1"/>
      <c r="AD739" s="1"/>
      <c r="AE739" s="1"/>
      <c r="AF739" s="1"/>
      <c r="AG739" s="1"/>
      <c r="AH739" s="4"/>
      <c r="AI739" s="1"/>
      <c r="AJ739" s="3"/>
      <c r="AK739" s="4"/>
      <c r="AL739" s="6"/>
      <c r="AM739" s="7"/>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row>
    <row r="740" spans="1:64" ht="16.5" customHeight="1">
      <c r="A740" s="1"/>
      <c r="B740" s="139"/>
      <c r="C740" s="1"/>
      <c r="D740" s="1"/>
      <c r="E740" s="1"/>
      <c r="F740" s="1"/>
      <c r="G740" s="1"/>
      <c r="H740" s="4"/>
      <c r="I740" s="4"/>
      <c r="J740" s="4"/>
      <c r="K740" s="4"/>
      <c r="L740" s="4"/>
      <c r="M740" s="4"/>
      <c r="N740" s="3"/>
      <c r="O740" s="1"/>
      <c r="P740" s="1"/>
      <c r="Q740" s="4"/>
      <c r="R740" s="5"/>
      <c r="S740" s="4"/>
      <c r="T740" s="1"/>
      <c r="U740" s="1"/>
      <c r="V740" s="1"/>
      <c r="W740" s="1"/>
      <c r="X740" s="1"/>
      <c r="Y740" s="6"/>
      <c r="Z740" s="4"/>
      <c r="AA740" s="4"/>
      <c r="AB740" s="4"/>
      <c r="AC740" s="1"/>
      <c r="AD740" s="1"/>
      <c r="AE740" s="1"/>
      <c r="AF740" s="1"/>
      <c r="AG740" s="1"/>
      <c r="AH740" s="4"/>
      <c r="AI740" s="1"/>
      <c r="AJ740" s="3"/>
      <c r="AK740" s="4"/>
      <c r="AL740" s="6"/>
      <c r="AM740" s="7"/>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row>
    <row r="741" spans="1:64" ht="16.5" customHeight="1">
      <c r="A741" s="1"/>
      <c r="B741" s="139"/>
      <c r="C741" s="1"/>
      <c r="D741" s="1"/>
      <c r="E741" s="1"/>
      <c r="F741" s="1"/>
      <c r="G741" s="1"/>
      <c r="H741" s="4"/>
      <c r="I741" s="4"/>
      <c r="J741" s="4"/>
      <c r="K741" s="4"/>
      <c r="L741" s="4"/>
      <c r="M741" s="4"/>
      <c r="N741" s="3"/>
      <c r="O741" s="1"/>
      <c r="P741" s="1"/>
      <c r="Q741" s="4"/>
      <c r="R741" s="5"/>
      <c r="S741" s="4"/>
      <c r="T741" s="1"/>
      <c r="U741" s="1"/>
      <c r="V741" s="1"/>
      <c r="W741" s="1"/>
      <c r="X741" s="1"/>
      <c r="Y741" s="6"/>
      <c r="Z741" s="4"/>
      <c r="AA741" s="4"/>
      <c r="AB741" s="4"/>
      <c r="AC741" s="1"/>
      <c r="AD741" s="1"/>
      <c r="AE741" s="1"/>
      <c r="AF741" s="1"/>
      <c r="AG741" s="1"/>
      <c r="AH741" s="4"/>
      <c r="AI741" s="1"/>
      <c r="AJ741" s="3"/>
      <c r="AK741" s="4"/>
      <c r="AL741" s="6"/>
      <c r="AM741" s="7"/>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row>
    <row r="742" spans="1:64" ht="16.5" customHeight="1">
      <c r="A742" s="1"/>
      <c r="B742" s="139"/>
      <c r="C742" s="1"/>
      <c r="D742" s="1"/>
      <c r="E742" s="1"/>
      <c r="F742" s="1"/>
      <c r="G742" s="1"/>
      <c r="H742" s="4"/>
      <c r="I742" s="4"/>
      <c r="J742" s="4"/>
      <c r="K742" s="4"/>
      <c r="L742" s="4"/>
      <c r="M742" s="4"/>
      <c r="N742" s="3"/>
      <c r="O742" s="1"/>
      <c r="P742" s="1"/>
      <c r="Q742" s="4"/>
      <c r="R742" s="5"/>
      <c r="S742" s="4"/>
      <c r="T742" s="1"/>
      <c r="U742" s="1"/>
      <c r="V742" s="1"/>
      <c r="W742" s="1"/>
      <c r="X742" s="1"/>
      <c r="Y742" s="6"/>
      <c r="Z742" s="4"/>
      <c r="AA742" s="4"/>
      <c r="AB742" s="4"/>
      <c r="AC742" s="1"/>
      <c r="AD742" s="1"/>
      <c r="AE742" s="1"/>
      <c r="AF742" s="1"/>
      <c r="AG742" s="1"/>
      <c r="AH742" s="4"/>
      <c r="AI742" s="1"/>
      <c r="AJ742" s="3"/>
      <c r="AK742" s="4"/>
      <c r="AL742" s="6"/>
      <c r="AM742" s="7"/>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row>
    <row r="743" spans="1:64" ht="16.5" customHeight="1">
      <c r="A743" s="1"/>
      <c r="B743" s="139"/>
      <c r="C743" s="1"/>
      <c r="D743" s="1"/>
      <c r="E743" s="1"/>
      <c r="F743" s="1"/>
      <c r="G743" s="1"/>
      <c r="H743" s="4"/>
      <c r="I743" s="4"/>
      <c r="J743" s="4"/>
      <c r="K743" s="4"/>
      <c r="L743" s="4"/>
      <c r="M743" s="4"/>
      <c r="N743" s="3"/>
      <c r="O743" s="1"/>
      <c r="P743" s="1"/>
      <c r="Q743" s="4"/>
      <c r="R743" s="5"/>
      <c r="S743" s="4"/>
      <c r="T743" s="1"/>
      <c r="U743" s="1"/>
      <c r="V743" s="1"/>
      <c r="W743" s="1"/>
      <c r="X743" s="1"/>
      <c r="Y743" s="6"/>
      <c r="Z743" s="4"/>
      <c r="AA743" s="4"/>
      <c r="AB743" s="4"/>
      <c r="AC743" s="1"/>
      <c r="AD743" s="1"/>
      <c r="AE743" s="1"/>
      <c r="AF743" s="1"/>
      <c r="AG743" s="1"/>
      <c r="AH743" s="4"/>
      <c r="AI743" s="1"/>
      <c r="AJ743" s="3"/>
      <c r="AK743" s="4"/>
      <c r="AL743" s="6"/>
      <c r="AM743" s="7"/>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row>
    <row r="744" spans="1:64" ht="16.5" customHeight="1">
      <c r="A744" s="1"/>
      <c r="B744" s="139"/>
      <c r="C744" s="1"/>
      <c r="D744" s="1"/>
      <c r="E744" s="1"/>
      <c r="F744" s="1"/>
      <c r="G744" s="1"/>
      <c r="H744" s="4"/>
      <c r="I744" s="4"/>
      <c r="J744" s="4"/>
      <c r="K744" s="4"/>
      <c r="L744" s="4"/>
      <c r="M744" s="4"/>
      <c r="N744" s="3"/>
      <c r="O744" s="1"/>
      <c r="P744" s="1"/>
      <c r="Q744" s="4"/>
      <c r="R744" s="5"/>
      <c r="S744" s="4"/>
      <c r="T744" s="1"/>
      <c r="U744" s="1"/>
      <c r="V744" s="1"/>
      <c r="W744" s="1"/>
      <c r="X744" s="1"/>
      <c r="Y744" s="6"/>
      <c r="Z744" s="4"/>
      <c r="AA744" s="4"/>
      <c r="AB744" s="4"/>
      <c r="AC744" s="1"/>
      <c r="AD744" s="1"/>
      <c r="AE744" s="1"/>
      <c r="AF744" s="1"/>
      <c r="AG744" s="1"/>
      <c r="AH744" s="4"/>
      <c r="AI744" s="1"/>
      <c r="AJ744" s="3"/>
      <c r="AK744" s="4"/>
      <c r="AL744" s="6"/>
      <c r="AM744" s="7"/>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row>
    <row r="745" spans="1:64" ht="16.5" customHeight="1">
      <c r="A745" s="1"/>
      <c r="B745" s="139"/>
      <c r="C745" s="1"/>
      <c r="D745" s="1"/>
      <c r="E745" s="1"/>
      <c r="F745" s="1"/>
      <c r="G745" s="1"/>
      <c r="H745" s="4"/>
      <c r="I745" s="4"/>
      <c r="J745" s="4"/>
      <c r="K745" s="4"/>
      <c r="L745" s="4"/>
      <c r="M745" s="4"/>
      <c r="N745" s="3"/>
      <c r="O745" s="1"/>
      <c r="P745" s="1"/>
      <c r="Q745" s="4"/>
      <c r="R745" s="5"/>
      <c r="S745" s="4"/>
      <c r="T745" s="1"/>
      <c r="U745" s="1"/>
      <c r="V745" s="1"/>
      <c r="W745" s="1"/>
      <c r="X745" s="1"/>
      <c r="Y745" s="6"/>
      <c r="Z745" s="4"/>
      <c r="AA745" s="4"/>
      <c r="AB745" s="4"/>
      <c r="AC745" s="1"/>
      <c r="AD745" s="1"/>
      <c r="AE745" s="1"/>
      <c r="AF745" s="1"/>
      <c r="AG745" s="1"/>
      <c r="AH745" s="4"/>
      <c r="AI745" s="1"/>
      <c r="AJ745" s="3"/>
      <c r="AK745" s="4"/>
      <c r="AL745" s="6"/>
      <c r="AM745" s="7"/>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row>
    <row r="746" spans="1:64" ht="16.5" customHeight="1">
      <c r="A746" s="1"/>
      <c r="B746" s="139"/>
      <c r="C746" s="1"/>
      <c r="D746" s="1"/>
      <c r="E746" s="1"/>
      <c r="F746" s="1"/>
      <c r="G746" s="1"/>
      <c r="H746" s="4"/>
      <c r="I746" s="4"/>
      <c r="J746" s="4"/>
      <c r="K746" s="4"/>
      <c r="L746" s="4"/>
      <c r="M746" s="4"/>
      <c r="N746" s="3"/>
      <c r="O746" s="1"/>
      <c r="P746" s="1"/>
      <c r="Q746" s="4"/>
      <c r="R746" s="5"/>
      <c r="S746" s="4"/>
      <c r="T746" s="1"/>
      <c r="U746" s="1"/>
      <c r="V746" s="1"/>
      <c r="W746" s="1"/>
      <c r="X746" s="1"/>
      <c r="Y746" s="6"/>
      <c r="Z746" s="4"/>
      <c r="AA746" s="4"/>
      <c r="AB746" s="4"/>
      <c r="AC746" s="1"/>
      <c r="AD746" s="1"/>
      <c r="AE746" s="1"/>
      <c r="AF746" s="1"/>
      <c r="AG746" s="1"/>
      <c r="AH746" s="4"/>
      <c r="AI746" s="1"/>
      <c r="AJ746" s="3"/>
      <c r="AK746" s="4"/>
      <c r="AL746" s="6"/>
      <c r="AM746" s="7"/>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row>
    <row r="747" spans="1:64" ht="16.5" customHeight="1">
      <c r="A747" s="1"/>
      <c r="B747" s="139"/>
      <c r="C747" s="1"/>
      <c r="D747" s="1"/>
      <c r="E747" s="1"/>
      <c r="F747" s="1"/>
      <c r="G747" s="1"/>
      <c r="H747" s="4"/>
      <c r="I747" s="4"/>
      <c r="J747" s="4"/>
      <c r="K747" s="4"/>
      <c r="L747" s="4"/>
      <c r="M747" s="4"/>
      <c r="N747" s="3"/>
      <c r="O747" s="1"/>
      <c r="P747" s="1"/>
      <c r="Q747" s="4"/>
      <c r="R747" s="5"/>
      <c r="S747" s="4"/>
      <c r="T747" s="1"/>
      <c r="U747" s="1"/>
      <c r="V747" s="1"/>
      <c r="W747" s="1"/>
      <c r="X747" s="1"/>
      <c r="Y747" s="6"/>
      <c r="Z747" s="4"/>
      <c r="AA747" s="4"/>
      <c r="AB747" s="4"/>
      <c r="AC747" s="1"/>
      <c r="AD747" s="1"/>
      <c r="AE747" s="1"/>
      <c r="AF747" s="1"/>
      <c r="AG747" s="1"/>
      <c r="AH747" s="4"/>
      <c r="AI747" s="1"/>
      <c r="AJ747" s="3"/>
      <c r="AK747" s="4"/>
      <c r="AL747" s="6"/>
      <c r="AM747" s="7"/>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row>
    <row r="748" spans="1:64" ht="16.5" customHeight="1">
      <c r="A748" s="1"/>
      <c r="B748" s="139"/>
      <c r="C748" s="1"/>
      <c r="D748" s="1"/>
      <c r="E748" s="1"/>
      <c r="F748" s="1"/>
      <c r="G748" s="1"/>
      <c r="H748" s="4"/>
      <c r="I748" s="4"/>
      <c r="J748" s="4"/>
      <c r="K748" s="4"/>
      <c r="L748" s="4"/>
      <c r="M748" s="4"/>
      <c r="N748" s="3"/>
      <c r="O748" s="1"/>
      <c r="P748" s="1"/>
      <c r="Q748" s="4"/>
      <c r="R748" s="5"/>
      <c r="S748" s="4"/>
      <c r="T748" s="1"/>
      <c r="U748" s="1"/>
      <c r="V748" s="1"/>
      <c r="W748" s="1"/>
      <c r="X748" s="1"/>
      <c r="Y748" s="6"/>
      <c r="Z748" s="4"/>
      <c r="AA748" s="4"/>
      <c r="AB748" s="4"/>
      <c r="AC748" s="1"/>
      <c r="AD748" s="1"/>
      <c r="AE748" s="1"/>
      <c r="AF748" s="1"/>
      <c r="AG748" s="1"/>
      <c r="AH748" s="4"/>
      <c r="AI748" s="1"/>
      <c r="AJ748" s="3"/>
      <c r="AK748" s="4"/>
      <c r="AL748" s="6"/>
      <c r="AM748" s="7"/>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row>
    <row r="749" spans="1:64" ht="16.5" customHeight="1">
      <c r="A749" s="1"/>
      <c r="B749" s="139"/>
      <c r="C749" s="1"/>
      <c r="D749" s="1"/>
      <c r="E749" s="1"/>
      <c r="F749" s="1"/>
      <c r="G749" s="1"/>
      <c r="H749" s="4"/>
      <c r="I749" s="4"/>
      <c r="J749" s="4"/>
      <c r="K749" s="4"/>
      <c r="L749" s="4"/>
      <c r="M749" s="4"/>
      <c r="N749" s="3"/>
      <c r="O749" s="1"/>
      <c r="P749" s="1"/>
      <c r="Q749" s="4"/>
      <c r="R749" s="5"/>
      <c r="S749" s="4"/>
      <c r="T749" s="1"/>
      <c r="U749" s="1"/>
      <c r="V749" s="1"/>
      <c r="W749" s="1"/>
      <c r="X749" s="1"/>
      <c r="Y749" s="6"/>
      <c r="Z749" s="4"/>
      <c r="AA749" s="4"/>
      <c r="AB749" s="4"/>
      <c r="AC749" s="1"/>
      <c r="AD749" s="1"/>
      <c r="AE749" s="1"/>
      <c r="AF749" s="1"/>
      <c r="AG749" s="1"/>
      <c r="AH749" s="4"/>
      <c r="AI749" s="1"/>
      <c r="AJ749" s="3"/>
      <c r="AK749" s="4"/>
      <c r="AL749" s="6"/>
      <c r="AM749" s="7"/>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row>
    <row r="750" spans="1:64" ht="16.5" customHeight="1">
      <c r="A750" s="1"/>
      <c r="B750" s="139"/>
      <c r="C750" s="1"/>
      <c r="D750" s="1"/>
      <c r="E750" s="1"/>
      <c r="F750" s="1"/>
      <c r="G750" s="1"/>
      <c r="H750" s="4"/>
      <c r="I750" s="4"/>
      <c r="J750" s="4"/>
      <c r="K750" s="4"/>
      <c r="L750" s="4"/>
      <c r="M750" s="4"/>
      <c r="N750" s="3"/>
      <c r="O750" s="1"/>
      <c r="P750" s="1"/>
      <c r="Q750" s="4"/>
      <c r="R750" s="5"/>
      <c r="S750" s="4"/>
      <c r="T750" s="1"/>
      <c r="U750" s="1"/>
      <c r="V750" s="1"/>
      <c r="W750" s="1"/>
      <c r="X750" s="1"/>
      <c r="Y750" s="6"/>
      <c r="Z750" s="4"/>
      <c r="AA750" s="4"/>
      <c r="AB750" s="4"/>
      <c r="AC750" s="1"/>
      <c r="AD750" s="1"/>
      <c r="AE750" s="1"/>
      <c r="AF750" s="1"/>
      <c r="AG750" s="1"/>
      <c r="AH750" s="4"/>
      <c r="AI750" s="1"/>
      <c r="AJ750" s="3"/>
      <c r="AK750" s="4"/>
      <c r="AL750" s="6"/>
      <c r="AM750" s="7"/>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row>
    <row r="751" spans="1:64" ht="16.5" customHeight="1">
      <c r="A751" s="1"/>
      <c r="B751" s="139"/>
      <c r="C751" s="1"/>
      <c r="D751" s="1"/>
      <c r="E751" s="1"/>
      <c r="F751" s="1"/>
      <c r="G751" s="1"/>
      <c r="H751" s="4"/>
      <c r="I751" s="4"/>
      <c r="J751" s="4"/>
      <c r="K751" s="4"/>
      <c r="L751" s="4"/>
      <c r="M751" s="4"/>
      <c r="N751" s="3"/>
      <c r="O751" s="1"/>
      <c r="P751" s="1"/>
      <c r="Q751" s="4"/>
      <c r="R751" s="5"/>
      <c r="S751" s="4"/>
      <c r="T751" s="1"/>
      <c r="U751" s="1"/>
      <c r="V751" s="1"/>
      <c r="W751" s="1"/>
      <c r="X751" s="1"/>
      <c r="Y751" s="6"/>
      <c r="Z751" s="4"/>
      <c r="AA751" s="4"/>
      <c r="AB751" s="4"/>
      <c r="AC751" s="1"/>
      <c r="AD751" s="1"/>
      <c r="AE751" s="1"/>
      <c r="AF751" s="1"/>
      <c r="AG751" s="1"/>
      <c r="AH751" s="4"/>
      <c r="AI751" s="1"/>
      <c r="AJ751" s="3"/>
      <c r="AK751" s="4"/>
      <c r="AL751" s="6"/>
      <c r="AM751" s="7"/>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row>
    <row r="752" spans="1:64" ht="16.5" customHeight="1">
      <c r="A752" s="1"/>
      <c r="B752" s="139"/>
      <c r="C752" s="1"/>
      <c r="D752" s="1"/>
      <c r="E752" s="1"/>
      <c r="F752" s="1"/>
      <c r="G752" s="1"/>
      <c r="H752" s="4"/>
      <c r="I752" s="4"/>
      <c r="J752" s="4"/>
      <c r="K752" s="4"/>
      <c r="L752" s="4"/>
      <c r="M752" s="4"/>
      <c r="N752" s="3"/>
      <c r="O752" s="1"/>
      <c r="P752" s="1"/>
      <c r="Q752" s="4"/>
      <c r="R752" s="5"/>
      <c r="S752" s="4"/>
      <c r="T752" s="1"/>
      <c r="U752" s="1"/>
      <c r="V752" s="1"/>
      <c r="W752" s="1"/>
      <c r="X752" s="1"/>
      <c r="Y752" s="6"/>
      <c r="Z752" s="4"/>
      <c r="AA752" s="4"/>
      <c r="AB752" s="4"/>
      <c r="AC752" s="1"/>
      <c r="AD752" s="1"/>
      <c r="AE752" s="1"/>
      <c r="AF752" s="1"/>
      <c r="AG752" s="1"/>
      <c r="AH752" s="4"/>
      <c r="AI752" s="1"/>
      <c r="AJ752" s="3"/>
      <c r="AK752" s="4"/>
      <c r="AL752" s="6"/>
      <c r="AM752" s="7"/>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row>
    <row r="753" spans="1:64" ht="16.5" customHeight="1">
      <c r="A753" s="1"/>
      <c r="B753" s="139"/>
      <c r="C753" s="1"/>
      <c r="D753" s="1"/>
      <c r="E753" s="1"/>
      <c r="F753" s="1"/>
      <c r="G753" s="1"/>
      <c r="H753" s="4"/>
      <c r="I753" s="4"/>
      <c r="J753" s="4"/>
      <c r="K753" s="4"/>
      <c r="L753" s="4"/>
      <c r="M753" s="4"/>
      <c r="N753" s="3"/>
      <c r="O753" s="1"/>
      <c r="P753" s="1"/>
      <c r="Q753" s="4"/>
      <c r="R753" s="5"/>
      <c r="S753" s="4"/>
      <c r="T753" s="1"/>
      <c r="U753" s="1"/>
      <c r="V753" s="1"/>
      <c r="W753" s="1"/>
      <c r="X753" s="1"/>
      <c r="Y753" s="6"/>
      <c r="Z753" s="4"/>
      <c r="AA753" s="4"/>
      <c r="AB753" s="4"/>
      <c r="AC753" s="1"/>
      <c r="AD753" s="1"/>
      <c r="AE753" s="1"/>
      <c r="AF753" s="1"/>
      <c r="AG753" s="1"/>
      <c r="AH753" s="4"/>
      <c r="AI753" s="1"/>
      <c r="AJ753" s="3"/>
      <c r="AK753" s="4"/>
      <c r="AL753" s="6"/>
      <c r="AM753" s="7"/>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row>
    <row r="754" spans="1:64" ht="16.5" customHeight="1">
      <c r="A754" s="1"/>
      <c r="B754" s="139"/>
      <c r="C754" s="1"/>
      <c r="D754" s="1"/>
      <c r="E754" s="1"/>
      <c r="F754" s="1"/>
      <c r="G754" s="1"/>
      <c r="H754" s="4"/>
      <c r="I754" s="4"/>
      <c r="J754" s="4"/>
      <c r="K754" s="4"/>
      <c r="L754" s="4"/>
      <c r="M754" s="4"/>
      <c r="N754" s="3"/>
      <c r="O754" s="1"/>
      <c r="P754" s="1"/>
      <c r="Q754" s="4"/>
      <c r="R754" s="5"/>
      <c r="S754" s="4"/>
      <c r="T754" s="1"/>
      <c r="U754" s="1"/>
      <c r="V754" s="1"/>
      <c r="W754" s="1"/>
      <c r="X754" s="1"/>
      <c r="Y754" s="6"/>
      <c r="Z754" s="4"/>
      <c r="AA754" s="4"/>
      <c r="AB754" s="4"/>
      <c r="AC754" s="1"/>
      <c r="AD754" s="1"/>
      <c r="AE754" s="1"/>
      <c r="AF754" s="1"/>
      <c r="AG754" s="1"/>
      <c r="AH754" s="4"/>
      <c r="AI754" s="1"/>
      <c r="AJ754" s="3"/>
      <c r="AK754" s="4"/>
      <c r="AL754" s="6"/>
      <c r="AM754" s="7"/>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row>
    <row r="755" spans="1:64" ht="16.5" customHeight="1">
      <c r="A755" s="1"/>
      <c r="B755" s="139"/>
      <c r="C755" s="1"/>
      <c r="D755" s="1"/>
      <c r="E755" s="1"/>
      <c r="F755" s="1"/>
      <c r="G755" s="1"/>
      <c r="H755" s="4"/>
      <c r="I755" s="4"/>
      <c r="J755" s="4"/>
      <c r="K755" s="4"/>
      <c r="L755" s="4"/>
      <c r="M755" s="4"/>
      <c r="N755" s="3"/>
      <c r="O755" s="1"/>
      <c r="P755" s="1"/>
      <c r="Q755" s="4"/>
      <c r="R755" s="5"/>
      <c r="S755" s="4"/>
      <c r="T755" s="1"/>
      <c r="U755" s="1"/>
      <c r="V755" s="1"/>
      <c r="W755" s="1"/>
      <c r="X755" s="1"/>
      <c r="Y755" s="6"/>
      <c r="Z755" s="4"/>
      <c r="AA755" s="4"/>
      <c r="AB755" s="4"/>
      <c r="AC755" s="1"/>
      <c r="AD755" s="1"/>
      <c r="AE755" s="1"/>
      <c r="AF755" s="1"/>
      <c r="AG755" s="1"/>
      <c r="AH755" s="4"/>
      <c r="AI755" s="1"/>
      <c r="AJ755" s="3"/>
      <c r="AK755" s="4"/>
      <c r="AL755" s="6"/>
      <c r="AM755" s="7"/>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row>
    <row r="756" spans="1:64" ht="16.5" customHeight="1">
      <c r="A756" s="1"/>
      <c r="B756" s="139"/>
      <c r="C756" s="1"/>
      <c r="D756" s="1"/>
      <c r="E756" s="1"/>
      <c r="F756" s="1"/>
      <c r="G756" s="1"/>
      <c r="H756" s="4"/>
      <c r="I756" s="4"/>
      <c r="J756" s="4"/>
      <c r="K756" s="4"/>
      <c r="L756" s="4"/>
      <c r="M756" s="4"/>
      <c r="N756" s="3"/>
      <c r="O756" s="1"/>
      <c r="P756" s="1"/>
      <c r="Q756" s="4"/>
      <c r="R756" s="5"/>
      <c r="S756" s="4"/>
      <c r="T756" s="1"/>
      <c r="U756" s="1"/>
      <c r="V756" s="1"/>
      <c r="W756" s="1"/>
      <c r="X756" s="1"/>
      <c r="Y756" s="6"/>
      <c r="Z756" s="4"/>
      <c r="AA756" s="4"/>
      <c r="AB756" s="4"/>
      <c r="AC756" s="1"/>
      <c r="AD756" s="1"/>
      <c r="AE756" s="1"/>
      <c r="AF756" s="1"/>
      <c r="AG756" s="1"/>
      <c r="AH756" s="4"/>
      <c r="AI756" s="1"/>
      <c r="AJ756" s="3"/>
      <c r="AK756" s="4"/>
      <c r="AL756" s="6"/>
      <c r="AM756" s="7"/>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row>
    <row r="757" spans="1:64" ht="16.5" customHeight="1">
      <c r="A757" s="1"/>
      <c r="B757" s="139"/>
      <c r="C757" s="1"/>
      <c r="D757" s="1"/>
      <c r="E757" s="1"/>
      <c r="F757" s="1"/>
      <c r="G757" s="1"/>
      <c r="H757" s="4"/>
      <c r="I757" s="4"/>
      <c r="J757" s="4"/>
      <c r="K757" s="4"/>
      <c r="L757" s="4"/>
      <c r="M757" s="4"/>
      <c r="N757" s="3"/>
      <c r="O757" s="1"/>
      <c r="P757" s="1"/>
      <c r="Q757" s="4"/>
      <c r="R757" s="5"/>
      <c r="S757" s="4"/>
      <c r="T757" s="1"/>
      <c r="U757" s="1"/>
      <c r="V757" s="1"/>
      <c r="W757" s="1"/>
      <c r="X757" s="1"/>
      <c r="Y757" s="6"/>
      <c r="Z757" s="4"/>
      <c r="AA757" s="4"/>
      <c r="AB757" s="4"/>
      <c r="AC757" s="1"/>
      <c r="AD757" s="1"/>
      <c r="AE757" s="1"/>
      <c r="AF757" s="1"/>
      <c r="AG757" s="1"/>
      <c r="AH757" s="4"/>
      <c r="AI757" s="1"/>
      <c r="AJ757" s="3"/>
      <c r="AK757" s="4"/>
      <c r="AL757" s="6"/>
      <c r="AM757" s="7"/>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row>
    <row r="758" spans="1:64" ht="16.5" customHeight="1">
      <c r="A758" s="1"/>
      <c r="B758" s="139"/>
      <c r="C758" s="1"/>
      <c r="D758" s="1"/>
      <c r="E758" s="1"/>
      <c r="F758" s="1"/>
      <c r="G758" s="1"/>
      <c r="H758" s="4"/>
      <c r="I758" s="4"/>
      <c r="J758" s="4"/>
      <c r="K758" s="4"/>
      <c r="L758" s="4"/>
      <c r="M758" s="4"/>
      <c r="N758" s="3"/>
      <c r="O758" s="1"/>
      <c r="P758" s="1"/>
      <c r="Q758" s="4"/>
      <c r="R758" s="5"/>
      <c r="S758" s="4"/>
      <c r="T758" s="1"/>
      <c r="U758" s="1"/>
      <c r="V758" s="1"/>
      <c r="W758" s="1"/>
      <c r="X758" s="1"/>
      <c r="Y758" s="6"/>
      <c r="Z758" s="4"/>
      <c r="AA758" s="4"/>
      <c r="AB758" s="4"/>
      <c r="AC758" s="1"/>
      <c r="AD758" s="1"/>
      <c r="AE758" s="1"/>
      <c r="AF758" s="1"/>
      <c r="AG758" s="1"/>
      <c r="AH758" s="4"/>
      <c r="AI758" s="1"/>
      <c r="AJ758" s="3"/>
      <c r="AK758" s="4"/>
      <c r="AL758" s="6"/>
      <c r="AM758" s="7"/>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row>
    <row r="759" spans="1:64" ht="16.5" customHeight="1">
      <c r="A759" s="1"/>
      <c r="B759" s="139"/>
      <c r="C759" s="1"/>
      <c r="D759" s="1"/>
      <c r="E759" s="1"/>
      <c r="F759" s="1"/>
      <c r="G759" s="1"/>
      <c r="H759" s="4"/>
      <c r="I759" s="4"/>
      <c r="J759" s="4"/>
      <c r="K759" s="4"/>
      <c r="L759" s="4"/>
      <c r="M759" s="4"/>
      <c r="N759" s="3"/>
      <c r="O759" s="1"/>
      <c r="P759" s="1"/>
      <c r="Q759" s="4"/>
      <c r="R759" s="5"/>
      <c r="S759" s="4"/>
      <c r="T759" s="1"/>
      <c r="U759" s="1"/>
      <c r="V759" s="1"/>
      <c r="W759" s="1"/>
      <c r="X759" s="1"/>
      <c r="Y759" s="6"/>
      <c r="Z759" s="4"/>
      <c r="AA759" s="4"/>
      <c r="AB759" s="4"/>
      <c r="AC759" s="1"/>
      <c r="AD759" s="1"/>
      <c r="AE759" s="1"/>
      <c r="AF759" s="1"/>
      <c r="AG759" s="1"/>
      <c r="AH759" s="4"/>
      <c r="AI759" s="1"/>
      <c r="AJ759" s="3"/>
      <c r="AK759" s="4"/>
      <c r="AL759" s="6"/>
      <c r="AM759" s="7"/>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row>
    <row r="760" spans="1:64" ht="16.5" customHeight="1">
      <c r="A760" s="1"/>
      <c r="B760" s="139"/>
      <c r="C760" s="1"/>
      <c r="D760" s="1"/>
      <c r="E760" s="1"/>
      <c r="F760" s="1"/>
      <c r="G760" s="1"/>
      <c r="H760" s="4"/>
      <c r="I760" s="4"/>
      <c r="J760" s="4"/>
      <c r="K760" s="4"/>
      <c r="L760" s="4"/>
      <c r="M760" s="4"/>
      <c r="N760" s="3"/>
      <c r="O760" s="1"/>
      <c r="P760" s="1"/>
      <c r="Q760" s="4"/>
      <c r="R760" s="5"/>
      <c r="S760" s="4"/>
      <c r="T760" s="1"/>
      <c r="U760" s="1"/>
      <c r="V760" s="1"/>
      <c r="W760" s="1"/>
      <c r="X760" s="1"/>
      <c r="Y760" s="6"/>
      <c r="Z760" s="4"/>
      <c r="AA760" s="4"/>
      <c r="AB760" s="4"/>
      <c r="AC760" s="1"/>
      <c r="AD760" s="1"/>
      <c r="AE760" s="1"/>
      <c r="AF760" s="1"/>
      <c r="AG760" s="1"/>
      <c r="AH760" s="4"/>
      <c r="AI760" s="1"/>
      <c r="AJ760" s="3"/>
      <c r="AK760" s="4"/>
      <c r="AL760" s="6"/>
      <c r="AM760" s="7"/>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row>
    <row r="761" spans="1:64" ht="16.5" customHeight="1">
      <c r="A761" s="1"/>
      <c r="B761" s="139"/>
      <c r="C761" s="1"/>
      <c r="D761" s="1"/>
      <c r="E761" s="1"/>
      <c r="F761" s="1"/>
      <c r="G761" s="1"/>
      <c r="H761" s="4"/>
      <c r="I761" s="4"/>
      <c r="J761" s="4"/>
      <c r="K761" s="4"/>
      <c r="L761" s="4"/>
      <c r="M761" s="4"/>
      <c r="N761" s="3"/>
      <c r="O761" s="1"/>
      <c r="P761" s="1"/>
      <c r="Q761" s="4"/>
      <c r="R761" s="5"/>
      <c r="S761" s="4"/>
      <c r="T761" s="1"/>
      <c r="U761" s="1"/>
      <c r="V761" s="1"/>
      <c r="W761" s="1"/>
      <c r="X761" s="1"/>
      <c r="Y761" s="6"/>
      <c r="Z761" s="4"/>
      <c r="AA761" s="4"/>
      <c r="AB761" s="4"/>
      <c r="AC761" s="1"/>
      <c r="AD761" s="1"/>
      <c r="AE761" s="1"/>
      <c r="AF761" s="1"/>
      <c r="AG761" s="1"/>
      <c r="AH761" s="4"/>
      <c r="AI761" s="1"/>
      <c r="AJ761" s="3"/>
      <c r="AK761" s="4"/>
      <c r="AL761" s="6"/>
      <c r="AM761" s="7"/>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row>
    <row r="762" spans="1:64" ht="16.5" customHeight="1">
      <c r="A762" s="1"/>
      <c r="B762" s="139"/>
      <c r="C762" s="1"/>
      <c r="D762" s="1"/>
      <c r="E762" s="1"/>
      <c r="F762" s="1"/>
      <c r="G762" s="1"/>
      <c r="H762" s="4"/>
      <c r="I762" s="4"/>
      <c r="J762" s="4"/>
      <c r="K762" s="4"/>
      <c r="L762" s="4"/>
      <c r="M762" s="4"/>
      <c r="N762" s="3"/>
      <c r="O762" s="1"/>
      <c r="P762" s="1"/>
      <c r="Q762" s="4"/>
      <c r="R762" s="5"/>
      <c r="S762" s="4"/>
      <c r="T762" s="1"/>
      <c r="U762" s="1"/>
      <c r="V762" s="1"/>
      <c r="W762" s="1"/>
      <c r="X762" s="1"/>
      <c r="Y762" s="6"/>
      <c r="Z762" s="4"/>
      <c r="AA762" s="4"/>
      <c r="AB762" s="4"/>
      <c r="AC762" s="1"/>
      <c r="AD762" s="1"/>
      <c r="AE762" s="1"/>
      <c r="AF762" s="1"/>
      <c r="AG762" s="1"/>
      <c r="AH762" s="4"/>
      <c r="AI762" s="1"/>
      <c r="AJ762" s="3"/>
      <c r="AK762" s="4"/>
      <c r="AL762" s="6"/>
      <c r="AM762" s="7"/>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row>
    <row r="763" spans="1:64" ht="16.5" customHeight="1">
      <c r="A763" s="1"/>
      <c r="B763" s="139"/>
      <c r="C763" s="1"/>
      <c r="D763" s="1"/>
      <c r="E763" s="1"/>
      <c r="F763" s="1"/>
      <c r="G763" s="1"/>
      <c r="H763" s="4"/>
      <c r="I763" s="4"/>
      <c r="J763" s="4"/>
      <c r="K763" s="4"/>
      <c r="L763" s="4"/>
      <c r="M763" s="4"/>
      <c r="N763" s="3"/>
      <c r="O763" s="1"/>
      <c r="P763" s="1"/>
      <c r="Q763" s="4"/>
      <c r="R763" s="5"/>
      <c r="S763" s="4"/>
      <c r="T763" s="1"/>
      <c r="U763" s="1"/>
      <c r="V763" s="1"/>
      <c r="W763" s="1"/>
      <c r="X763" s="1"/>
      <c r="Y763" s="6"/>
      <c r="Z763" s="4"/>
      <c r="AA763" s="4"/>
      <c r="AB763" s="4"/>
      <c r="AC763" s="1"/>
      <c r="AD763" s="1"/>
      <c r="AE763" s="1"/>
      <c r="AF763" s="1"/>
      <c r="AG763" s="1"/>
      <c r="AH763" s="4"/>
      <c r="AI763" s="1"/>
      <c r="AJ763" s="3"/>
      <c r="AK763" s="4"/>
      <c r="AL763" s="6"/>
      <c r="AM763" s="7"/>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row>
    <row r="764" spans="1:64" ht="16.5" customHeight="1">
      <c r="A764" s="1"/>
      <c r="B764" s="139"/>
      <c r="C764" s="1"/>
      <c r="D764" s="1"/>
      <c r="E764" s="1"/>
      <c r="F764" s="1"/>
      <c r="G764" s="1"/>
      <c r="H764" s="4"/>
      <c r="I764" s="4"/>
      <c r="J764" s="4"/>
      <c r="K764" s="4"/>
      <c r="L764" s="4"/>
      <c r="M764" s="4"/>
      <c r="N764" s="3"/>
      <c r="O764" s="1"/>
      <c r="P764" s="1"/>
      <c r="Q764" s="4"/>
      <c r="R764" s="5"/>
      <c r="S764" s="4"/>
      <c r="T764" s="1"/>
      <c r="U764" s="1"/>
      <c r="V764" s="1"/>
      <c r="W764" s="1"/>
      <c r="X764" s="1"/>
      <c r="Y764" s="6"/>
      <c r="Z764" s="4"/>
      <c r="AA764" s="4"/>
      <c r="AB764" s="4"/>
      <c r="AC764" s="1"/>
      <c r="AD764" s="1"/>
      <c r="AE764" s="1"/>
      <c r="AF764" s="1"/>
      <c r="AG764" s="1"/>
      <c r="AH764" s="4"/>
      <c r="AI764" s="1"/>
      <c r="AJ764" s="3"/>
      <c r="AK764" s="4"/>
      <c r="AL764" s="6"/>
      <c r="AM764" s="7"/>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row>
    <row r="765" spans="1:64" ht="16.5" customHeight="1">
      <c r="A765" s="1"/>
      <c r="B765" s="139"/>
      <c r="C765" s="1"/>
      <c r="D765" s="1"/>
      <c r="E765" s="1"/>
      <c r="F765" s="1"/>
      <c r="G765" s="1"/>
      <c r="H765" s="4"/>
      <c r="I765" s="4"/>
      <c r="J765" s="4"/>
      <c r="K765" s="4"/>
      <c r="L765" s="4"/>
      <c r="M765" s="4"/>
      <c r="N765" s="3"/>
      <c r="O765" s="1"/>
      <c r="P765" s="1"/>
      <c r="Q765" s="4"/>
      <c r="R765" s="5"/>
      <c r="S765" s="4"/>
      <c r="T765" s="1"/>
      <c r="U765" s="1"/>
      <c r="V765" s="1"/>
      <c r="W765" s="1"/>
      <c r="X765" s="1"/>
      <c r="Y765" s="6"/>
      <c r="Z765" s="4"/>
      <c r="AA765" s="4"/>
      <c r="AB765" s="4"/>
      <c r="AC765" s="1"/>
      <c r="AD765" s="1"/>
      <c r="AE765" s="1"/>
      <c r="AF765" s="1"/>
      <c r="AG765" s="1"/>
      <c r="AH765" s="4"/>
      <c r="AI765" s="1"/>
      <c r="AJ765" s="3"/>
      <c r="AK765" s="4"/>
      <c r="AL765" s="6"/>
      <c r="AM765" s="7"/>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row>
    <row r="766" spans="1:64" ht="16.5" customHeight="1">
      <c r="A766" s="1"/>
      <c r="B766" s="139"/>
      <c r="C766" s="1"/>
      <c r="D766" s="1"/>
      <c r="E766" s="1"/>
      <c r="F766" s="1"/>
      <c r="G766" s="1"/>
      <c r="H766" s="4"/>
      <c r="I766" s="4"/>
      <c r="J766" s="4"/>
      <c r="K766" s="4"/>
      <c r="L766" s="4"/>
      <c r="M766" s="4"/>
      <c r="N766" s="3"/>
      <c r="O766" s="1"/>
      <c r="P766" s="1"/>
      <c r="Q766" s="4"/>
      <c r="R766" s="5"/>
      <c r="S766" s="4"/>
      <c r="T766" s="1"/>
      <c r="U766" s="1"/>
      <c r="V766" s="1"/>
      <c r="W766" s="1"/>
      <c r="X766" s="1"/>
      <c r="Y766" s="6"/>
      <c r="Z766" s="4"/>
      <c r="AA766" s="4"/>
      <c r="AB766" s="4"/>
      <c r="AC766" s="1"/>
      <c r="AD766" s="1"/>
      <c r="AE766" s="1"/>
      <c r="AF766" s="1"/>
      <c r="AG766" s="1"/>
      <c r="AH766" s="4"/>
      <c r="AI766" s="1"/>
      <c r="AJ766" s="3"/>
      <c r="AK766" s="4"/>
      <c r="AL766" s="6"/>
      <c r="AM766" s="7"/>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row>
    <row r="767" spans="1:64" ht="16.5" customHeight="1">
      <c r="A767" s="1"/>
      <c r="B767" s="139"/>
      <c r="C767" s="1"/>
      <c r="D767" s="1"/>
      <c r="E767" s="1"/>
      <c r="F767" s="1"/>
      <c r="G767" s="1"/>
      <c r="H767" s="4"/>
      <c r="I767" s="4"/>
      <c r="J767" s="4"/>
      <c r="K767" s="4"/>
      <c r="L767" s="4"/>
      <c r="M767" s="4"/>
      <c r="N767" s="3"/>
      <c r="O767" s="1"/>
      <c r="P767" s="1"/>
      <c r="Q767" s="4"/>
      <c r="R767" s="5"/>
      <c r="S767" s="4"/>
      <c r="T767" s="1"/>
      <c r="U767" s="1"/>
      <c r="V767" s="1"/>
      <c r="W767" s="1"/>
      <c r="X767" s="1"/>
      <c r="Y767" s="6"/>
      <c r="Z767" s="4"/>
      <c r="AA767" s="4"/>
      <c r="AB767" s="4"/>
      <c r="AC767" s="1"/>
      <c r="AD767" s="1"/>
      <c r="AE767" s="1"/>
      <c r="AF767" s="1"/>
      <c r="AG767" s="1"/>
      <c r="AH767" s="4"/>
      <c r="AI767" s="1"/>
      <c r="AJ767" s="3"/>
      <c r="AK767" s="4"/>
      <c r="AL767" s="6"/>
      <c r="AM767" s="7"/>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row>
    <row r="768" spans="1:64" ht="16.5" customHeight="1">
      <c r="A768" s="1"/>
      <c r="B768" s="139"/>
      <c r="C768" s="1"/>
      <c r="D768" s="1"/>
      <c r="E768" s="1"/>
      <c r="F768" s="1"/>
      <c r="G768" s="1"/>
      <c r="H768" s="4"/>
      <c r="I768" s="4"/>
      <c r="J768" s="4"/>
      <c r="K768" s="4"/>
      <c r="L768" s="4"/>
      <c r="M768" s="4"/>
      <c r="N768" s="3"/>
      <c r="O768" s="1"/>
      <c r="P768" s="1"/>
      <c r="Q768" s="4"/>
      <c r="R768" s="5"/>
      <c r="S768" s="4"/>
      <c r="T768" s="1"/>
      <c r="U768" s="1"/>
      <c r="V768" s="1"/>
      <c r="W768" s="1"/>
      <c r="X768" s="1"/>
      <c r="Y768" s="6"/>
      <c r="Z768" s="4"/>
      <c r="AA768" s="4"/>
      <c r="AB768" s="4"/>
      <c r="AC768" s="1"/>
      <c r="AD768" s="1"/>
      <c r="AE768" s="1"/>
      <c r="AF768" s="1"/>
      <c r="AG768" s="1"/>
      <c r="AH768" s="4"/>
      <c r="AI768" s="1"/>
      <c r="AJ768" s="3"/>
      <c r="AK768" s="4"/>
      <c r="AL768" s="6"/>
      <c r="AM768" s="7"/>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row>
    <row r="769" spans="1:64" ht="16.5" customHeight="1">
      <c r="A769" s="1"/>
      <c r="B769" s="139"/>
      <c r="C769" s="1"/>
      <c r="D769" s="1"/>
      <c r="E769" s="1"/>
      <c r="F769" s="1"/>
      <c r="G769" s="1"/>
      <c r="H769" s="4"/>
      <c r="I769" s="4"/>
      <c r="J769" s="4"/>
      <c r="K769" s="4"/>
      <c r="L769" s="4"/>
      <c r="M769" s="4"/>
      <c r="N769" s="3"/>
      <c r="O769" s="1"/>
      <c r="P769" s="1"/>
      <c r="Q769" s="4"/>
      <c r="R769" s="5"/>
      <c r="S769" s="4"/>
      <c r="T769" s="1"/>
      <c r="U769" s="1"/>
      <c r="V769" s="1"/>
      <c r="W769" s="1"/>
      <c r="X769" s="1"/>
      <c r="Y769" s="6"/>
      <c r="Z769" s="4"/>
      <c r="AA769" s="4"/>
      <c r="AB769" s="4"/>
      <c r="AC769" s="1"/>
      <c r="AD769" s="1"/>
      <c r="AE769" s="1"/>
      <c r="AF769" s="1"/>
      <c r="AG769" s="1"/>
      <c r="AH769" s="4"/>
      <c r="AI769" s="1"/>
      <c r="AJ769" s="3"/>
      <c r="AK769" s="4"/>
      <c r="AL769" s="6"/>
      <c r="AM769" s="7"/>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row>
    <row r="770" spans="1:64" ht="16.5" customHeight="1">
      <c r="A770" s="1"/>
      <c r="B770" s="139"/>
      <c r="C770" s="1"/>
      <c r="D770" s="1"/>
      <c r="E770" s="1"/>
      <c r="F770" s="1"/>
      <c r="G770" s="1"/>
      <c r="H770" s="4"/>
      <c r="I770" s="4"/>
      <c r="J770" s="4"/>
      <c r="K770" s="4"/>
      <c r="L770" s="4"/>
      <c r="M770" s="4"/>
      <c r="N770" s="3"/>
      <c r="O770" s="1"/>
      <c r="P770" s="1"/>
      <c r="Q770" s="4"/>
      <c r="R770" s="5"/>
      <c r="S770" s="4"/>
      <c r="T770" s="1"/>
      <c r="U770" s="1"/>
      <c r="V770" s="1"/>
      <c r="W770" s="1"/>
      <c r="X770" s="1"/>
      <c r="Y770" s="6"/>
      <c r="Z770" s="4"/>
      <c r="AA770" s="4"/>
      <c r="AB770" s="4"/>
      <c r="AC770" s="1"/>
      <c r="AD770" s="1"/>
      <c r="AE770" s="1"/>
      <c r="AF770" s="1"/>
      <c r="AG770" s="1"/>
      <c r="AH770" s="4"/>
      <c r="AI770" s="1"/>
      <c r="AJ770" s="3"/>
      <c r="AK770" s="4"/>
      <c r="AL770" s="6"/>
      <c r="AM770" s="7"/>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row>
    <row r="771" spans="1:64" ht="16.5" customHeight="1">
      <c r="A771" s="1"/>
      <c r="B771" s="139"/>
      <c r="C771" s="1"/>
      <c r="D771" s="1"/>
      <c r="E771" s="1"/>
      <c r="F771" s="1"/>
      <c r="G771" s="1"/>
      <c r="H771" s="4"/>
      <c r="I771" s="4"/>
      <c r="J771" s="4"/>
      <c r="K771" s="4"/>
      <c r="L771" s="4"/>
      <c r="M771" s="4"/>
      <c r="N771" s="3"/>
      <c r="O771" s="1"/>
      <c r="P771" s="1"/>
      <c r="Q771" s="4"/>
      <c r="R771" s="5"/>
      <c r="S771" s="4"/>
      <c r="T771" s="1"/>
      <c r="U771" s="1"/>
      <c r="V771" s="1"/>
      <c r="W771" s="1"/>
      <c r="X771" s="1"/>
      <c r="Y771" s="6"/>
      <c r="Z771" s="4"/>
      <c r="AA771" s="4"/>
      <c r="AB771" s="4"/>
      <c r="AC771" s="1"/>
      <c r="AD771" s="1"/>
      <c r="AE771" s="1"/>
      <c r="AF771" s="1"/>
      <c r="AG771" s="1"/>
      <c r="AH771" s="4"/>
      <c r="AI771" s="1"/>
      <c r="AJ771" s="3"/>
      <c r="AK771" s="4"/>
      <c r="AL771" s="6"/>
      <c r="AM771" s="7"/>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row>
    <row r="772" spans="1:64" ht="16.5" customHeight="1">
      <c r="A772" s="1"/>
      <c r="B772" s="139"/>
      <c r="C772" s="1"/>
      <c r="D772" s="1"/>
      <c r="E772" s="1"/>
      <c r="F772" s="1"/>
      <c r="G772" s="1"/>
      <c r="H772" s="4"/>
      <c r="I772" s="4"/>
      <c r="J772" s="4"/>
      <c r="K772" s="4"/>
      <c r="L772" s="4"/>
      <c r="M772" s="4"/>
      <c r="N772" s="3"/>
      <c r="O772" s="1"/>
      <c r="P772" s="1"/>
      <c r="Q772" s="4"/>
      <c r="R772" s="5"/>
      <c r="S772" s="4"/>
      <c r="T772" s="1"/>
      <c r="U772" s="1"/>
      <c r="V772" s="1"/>
      <c r="W772" s="1"/>
      <c r="X772" s="1"/>
      <c r="Y772" s="6"/>
      <c r="Z772" s="4"/>
      <c r="AA772" s="4"/>
      <c r="AB772" s="4"/>
      <c r="AC772" s="1"/>
      <c r="AD772" s="1"/>
      <c r="AE772" s="1"/>
      <c r="AF772" s="1"/>
      <c r="AG772" s="1"/>
      <c r="AH772" s="4"/>
      <c r="AI772" s="1"/>
      <c r="AJ772" s="3"/>
      <c r="AK772" s="4"/>
      <c r="AL772" s="6"/>
      <c r="AM772" s="7"/>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row>
    <row r="773" spans="1:64" ht="16.5" customHeight="1">
      <c r="A773" s="1"/>
      <c r="B773" s="139"/>
      <c r="C773" s="1"/>
      <c r="D773" s="1"/>
      <c r="E773" s="1"/>
      <c r="F773" s="1"/>
      <c r="G773" s="1"/>
      <c r="H773" s="4"/>
      <c r="I773" s="4"/>
      <c r="J773" s="4"/>
      <c r="K773" s="4"/>
      <c r="L773" s="4"/>
      <c r="M773" s="4"/>
      <c r="N773" s="3"/>
      <c r="O773" s="1"/>
      <c r="P773" s="1"/>
      <c r="Q773" s="4"/>
      <c r="R773" s="5"/>
      <c r="S773" s="4"/>
      <c r="T773" s="1"/>
      <c r="U773" s="1"/>
      <c r="V773" s="1"/>
      <c r="W773" s="1"/>
      <c r="X773" s="1"/>
      <c r="Y773" s="6"/>
      <c r="Z773" s="4"/>
      <c r="AA773" s="4"/>
      <c r="AB773" s="4"/>
      <c r="AC773" s="1"/>
      <c r="AD773" s="1"/>
      <c r="AE773" s="1"/>
      <c r="AF773" s="1"/>
      <c r="AG773" s="1"/>
      <c r="AH773" s="4"/>
      <c r="AI773" s="1"/>
      <c r="AJ773" s="3"/>
      <c r="AK773" s="4"/>
      <c r="AL773" s="6"/>
      <c r="AM773" s="7"/>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row>
    <row r="774" spans="1:64" ht="16.5" customHeight="1">
      <c r="A774" s="1"/>
      <c r="B774" s="139"/>
      <c r="C774" s="1"/>
      <c r="D774" s="1"/>
      <c r="E774" s="1"/>
      <c r="F774" s="1"/>
      <c r="G774" s="1"/>
      <c r="H774" s="4"/>
      <c r="I774" s="4"/>
      <c r="J774" s="4"/>
      <c r="K774" s="4"/>
      <c r="L774" s="4"/>
      <c r="M774" s="4"/>
      <c r="N774" s="3"/>
      <c r="O774" s="1"/>
      <c r="P774" s="1"/>
      <c r="Q774" s="4"/>
      <c r="R774" s="5"/>
      <c r="S774" s="4"/>
      <c r="T774" s="1"/>
      <c r="U774" s="1"/>
      <c r="V774" s="1"/>
      <c r="W774" s="1"/>
      <c r="X774" s="1"/>
      <c r="Y774" s="6"/>
      <c r="Z774" s="4"/>
      <c r="AA774" s="4"/>
      <c r="AB774" s="4"/>
      <c r="AC774" s="1"/>
      <c r="AD774" s="1"/>
      <c r="AE774" s="1"/>
      <c r="AF774" s="1"/>
      <c r="AG774" s="1"/>
      <c r="AH774" s="4"/>
      <c r="AI774" s="1"/>
      <c r="AJ774" s="3"/>
      <c r="AK774" s="4"/>
      <c r="AL774" s="6"/>
      <c r="AM774" s="7"/>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row>
    <row r="775" spans="1:64" ht="16.5" customHeight="1">
      <c r="A775" s="1"/>
      <c r="B775" s="139"/>
      <c r="C775" s="1"/>
      <c r="D775" s="1"/>
      <c r="E775" s="1"/>
      <c r="F775" s="1"/>
      <c r="G775" s="1"/>
      <c r="H775" s="4"/>
      <c r="I775" s="4"/>
      <c r="J775" s="4"/>
      <c r="K775" s="4"/>
      <c r="L775" s="4"/>
      <c r="M775" s="4"/>
      <c r="N775" s="3"/>
      <c r="O775" s="1"/>
      <c r="P775" s="1"/>
      <c r="Q775" s="4"/>
      <c r="R775" s="5"/>
      <c r="S775" s="4"/>
      <c r="T775" s="1"/>
      <c r="U775" s="1"/>
      <c r="V775" s="1"/>
      <c r="W775" s="1"/>
      <c r="X775" s="1"/>
      <c r="Y775" s="6"/>
      <c r="Z775" s="4"/>
      <c r="AA775" s="4"/>
      <c r="AB775" s="4"/>
      <c r="AC775" s="1"/>
      <c r="AD775" s="1"/>
      <c r="AE775" s="1"/>
      <c r="AF775" s="1"/>
      <c r="AG775" s="1"/>
      <c r="AH775" s="4"/>
      <c r="AI775" s="1"/>
      <c r="AJ775" s="3"/>
      <c r="AK775" s="4"/>
      <c r="AL775" s="6"/>
      <c r="AM775" s="7"/>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row>
    <row r="776" spans="1:64" ht="16.5" customHeight="1">
      <c r="A776" s="1"/>
      <c r="B776" s="139"/>
      <c r="C776" s="1"/>
      <c r="D776" s="1"/>
      <c r="E776" s="1"/>
      <c r="F776" s="1"/>
      <c r="G776" s="1"/>
      <c r="H776" s="4"/>
      <c r="I776" s="4"/>
      <c r="J776" s="4"/>
      <c r="K776" s="4"/>
      <c r="L776" s="4"/>
      <c r="M776" s="4"/>
      <c r="N776" s="3"/>
      <c r="O776" s="1"/>
      <c r="P776" s="1"/>
      <c r="Q776" s="4"/>
      <c r="R776" s="5"/>
      <c r="S776" s="4"/>
      <c r="T776" s="1"/>
      <c r="U776" s="1"/>
      <c r="V776" s="1"/>
      <c r="W776" s="1"/>
      <c r="X776" s="1"/>
      <c r="Y776" s="6"/>
      <c r="Z776" s="4"/>
      <c r="AA776" s="4"/>
      <c r="AB776" s="4"/>
      <c r="AC776" s="1"/>
      <c r="AD776" s="1"/>
      <c r="AE776" s="1"/>
      <c r="AF776" s="1"/>
      <c r="AG776" s="1"/>
      <c r="AH776" s="4"/>
      <c r="AI776" s="1"/>
      <c r="AJ776" s="3"/>
      <c r="AK776" s="4"/>
      <c r="AL776" s="6"/>
      <c r="AM776" s="7"/>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row>
    <row r="777" spans="1:64" ht="16.5" customHeight="1">
      <c r="A777" s="1"/>
      <c r="B777" s="139"/>
      <c r="C777" s="1"/>
      <c r="D777" s="1"/>
      <c r="E777" s="1"/>
      <c r="F777" s="1"/>
      <c r="G777" s="1"/>
      <c r="H777" s="4"/>
      <c r="I777" s="4"/>
      <c r="J777" s="4"/>
      <c r="K777" s="4"/>
      <c r="L777" s="4"/>
      <c r="M777" s="4"/>
      <c r="N777" s="3"/>
      <c r="O777" s="1"/>
      <c r="P777" s="1"/>
      <c r="Q777" s="4"/>
      <c r="R777" s="5"/>
      <c r="S777" s="4"/>
      <c r="T777" s="1"/>
      <c r="U777" s="1"/>
      <c r="V777" s="1"/>
      <c r="W777" s="1"/>
      <c r="X777" s="1"/>
      <c r="Y777" s="6"/>
      <c r="Z777" s="4"/>
      <c r="AA777" s="4"/>
      <c r="AB777" s="4"/>
      <c r="AC777" s="1"/>
      <c r="AD777" s="1"/>
      <c r="AE777" s="1"/>
      <c r="AF777" s="1"/>
      <c r="AG777" s="1"/>
      <c r="AH777" s="4"/>
      <c r="AI777" s="1"/>
      <c r="AJ777" s="3"/>
      <c r="AK777" s="4"/>
      <c r="AL777" s="6"/>
      <c r="AM777" s="7"/>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row>
    <row r="778" spans="1:64" ht="16.5" customHeight="1">
      <c r="A778" s="1"/>
      <c r="B778" s="139"/>
      <c r="C778" s="1"/>
      <c r="D778" s="1"/>
      <c r="E778" s="1"/>
      <c r="F778" s="1"/>
      <c r="G778" s="1"/>
      <c r="H778" s="4"/>
      <c r="I778" s="4"/>
      <c r="J778" s="4"/>
      <c r="K778" s="4"/>
      <c r="L778" s="4"/>
      <c r="M778" s="4"/>
      <c r="N778" s="3"/>
      <c r="O778" s="1"/>
      <c r="P778" s="1"/>
      <c r="Q778" s="4"/>
      <c r="R778" s="5"/>
      <c r="S778" s="4"/>
      <c r="T778" s="1"/>
      <c r="U778" s="1"/>
      <c r="V778" s="1"/>
      <c r="W778" s="1"/>
      <c r="X778" s="1"/>
      <c r="Y778" s="6"/>
      <c r="Z778" s="4"/>
      <c r="AA778" s="4"/>
      <c r="AB778" s="4"/>
      <c r="AC778" s="1"/>
      <c r="AD778" s="1"/>
      <c r="AE778" s="1"/>
      <c r="AF778" s="1"/>
      <c r="AG778" s="1"/>
      <c r="AH778" s="4"/>
      <c r="AI778" s="1"/>
      <c r="AJ778" s="3"/>
      <c r="AK778" s="4"/>
      <c r="AL778" s="6"/>
      <c r="AM778" s="7"/>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row>
    <row r="779" spans="1:64" ht="16.5" customHeight="1">
      <c r="A779" s="1"/>
      <c r="B779" s="139"/>
      <c r="C779" s="1"/>
      <c r="D779" s="1"/>
      <c r="E779" s="1"/>
      <c r="F779" s="1"/>
      <c r="G779" s="1"/>
      <c r="H779" s="4"/>
      <c r="I779" s="4"/>
      <c r="J779" s="4"/>
      <c r="K779" s="4"/>
      <c r="L779" s="4"/>
      <c r="M779" s="4"/>
      <c r="N779" s="3"/>
      <c r="O779" s="1"/>
      <c r="P779" s="1"/>
      <c r="Q779" s="4"/>
      <c r="R779" s="5"/>
      <c r="S779" s="4"/>
      <c r="T779" s="1"/>
      <c r="U779" s="1"/>
      <c r="V779" s="1"/>
      <c r="W779" s="1"/>
      <c r="X779" s="1"/>
      <c r="Y779" s="6"/>
      <c r="Z779" s="4"/>
      <c r="AA779" s="4"/>
      <c r="AB779" s="4"/>
      <c r="AC779" s="1"/>
      <c r="AD779" s="1"/>
      <c r="AE779" s="1"/>
      <c r="AF779" s="1"/>
      <c r="AG779" s="1"/>
      <c r="AH779" s="4"/>
      <c r="AI779" s="1"/>
      <c r="AJ779" s="3"/>
      <c r="AK779" s="4"/>
      <c r="AL779" s="6"/>
      <c r="AM779" s="7"/>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row>
    <row r="780" spans="1:64" ht="16.5" customHeight="1">
      <c r="A780" s="1"/>
      <c r="B780" s="139"/>
      <c r="C780" s="1"/>
      <c r="D780" s="1"/>
      <c r="E780" s="1"/>
      <c r="F780" s="1"/>
      <c r="G780" s="1"/>
      <c r="H780" s="4"/>
      <c r="I780" s="4"/>
      <c r="J780" s="4"/>
      <c r="K780" s="4"/>
      <c r="L780" s="4"/>
      <c r="M780" s="4"/>
      <c r="N780" s="3"/>
      <c r="O780" s="1"/>
      <c r="P780" s="1"/>
      <c r="Q780" s="4"/>
      <c r="R780" s="5"/>
      <c r="S780" s="4"/>
      <c r="T780" s="1"/>
      <c r="U780" s="1"/>
      <c r="V780" s="1"/>
      <c r="W780" s="1"/>
      <c r="X780" s="1"/>
      <c r="Y780" s="6"/>
      <c r="Z780" s="4"/>
      <c r="AA780" s="4"/>
      <c r="AB780" s="4"/>
      <c r="AC780" s="1"/>
      <c r="AD780" s="1"/>
      <c r="AE780" s="1"/>
      <c r="AF780" s="1"/>
      <c r="AG780" s="1"/>
      <c r="AH780" s="4"/>
      <c r="AI780" s="1"/>
      <c r="AJ780" s="3"/>
      <c r="AK780" s="4"/>
      <c r="AL780" s="6"/>
      <c r="AM780" s="7"/>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row>
    <row r="781" spans="1:64" ht="16.5" customHeight="1">
      <c r="A781" s="1"/>
      <c r="B781" s="139"/>
      <c r="C781" s="1"/>
      <c r="D781" s="1"/>
      <c r="E781" s="1"/>
      <c r="F781" s="1"/>
      <c r="G781" s="1"/>
      <c r="H781" s="4"/>
      <c r="I781" s="4"/>
      <c r="J781" s="4"/>
      <c r="K781" s="4"/>
      <c r="L781" s="4"/>
      <c r="M781" s="4"/>
      <c r="N781" s="3"/>
      <c r="O781" s="1"/>
      <c r="P781" s="1"/>
      <c r="Q781" s="4"/>
      <c r="R781" s="5"/>
      <c r="S781" s="4"/>
      <c r="T781" s="1"/>
      <c r="U781" s="1"/>
      <c r="V781" s="1"/>
      <c r="W781" s="1"/>
      <c r="X781" s="1"/>
      <c r="Y781" s="6"/>
      <c r="Z781" s="4"/>
      <c r="AA781" s="4"/>
      <c r="AB781" s="4"/>
      <c r="AC781" s="1"/>
      <c r="AD781" s="1"/>
      <c r="AE781" s="1"/>
      <c r="AF781" s="1"/>
      <c r="AG781" s="1"/>
      <c r="AH781" s="4"/>
      <c r="AI781" s="1"/>
      <c r="AJ781" s="3"/>
      <c r="AK781" s="4"/>
      <c r="AL781" s="6"/>
      <c r="AM781" s="7"/>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row>
    <row r="782" spans="1:64" ht="16.5" customHeight="1">
      <c r="A782" s="1"/>
      <c r="B782" s="139"/>
      <c r="C782" s="1"/>
      <c r="D782" s="1"/>
      <c r="E782" s="1"/>
      <c r="F782" s="1"/>
      <c r="G782" s="1"/>
      <c r="H782" s="4"/>
      <c r="I782" s="4"/>
      <c r="J782" s="4"/>
      <c r="K782" s="4"/>
      <c r="L782" s="4"/>
      <c r="M782" s="4"/>
      <c r="N782" s="3"/>
      <c r="O782" s="1"/>
      <c r="P782" s="1"/>
      <c r="Q782" s="4"/>
      <c r="R782" s="5"/>
      <c r="S782" s="4"/>
      <c r="T782" s="1"/>
      <c r="U782" s="1"/>
      <c r="V782" s="1"/>
      <c r="W782" s="1"/>
      <c r="X782" s="1"/>
      <c r="Y782" s="6"/>
      <c r="Z782" s="4"/>
      <c r="AA782" s="4"/>
      <c r="AB782" s="4"/>
      <c r="AC782" s="1"/>
      <c r="AD782" s="1"/>
      <c r="AE782" s="1"/>
      <c r="AF782" s="1"/>
      <c r="AG782" s="1"/>
      <c r="AH782" s="4"/>
      <c r="AI782" s="1"/>
      <c r="AJ782" s="3"/>
      <c r="AK782" s="4"/>
      <c r="AL782" s="6"/>
      <c r="AM782" s="7"/>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row>
    <row r="783" spans="1:64" ht="16.5" customHeight="1">
      <c r="A783" s="1"/>
      <c r="B783" s="139"/>
      <c r="C783" s="1"/>
      <c r="D783" s="1"/>
      <c r="E783" s="1"/>
      <c r="F783" s="1"/>
      <c r="G783" s="1"/>
      <c r="H783" s="4"/>
      <c r="I783" s="4"/>
      <c r="J783" s="4"/>
      <c r="K783" s="4"/>
      <c r="L783" s="4"/>
      <c r="M783" s="4"/>
      <c r="N783" s="3"/>
      <c r="O783" s="1"/>
      <c r="P783" s="1"/>
      <c r="Q783" s="4"/>
      <c r="R783" s="5"/>
      <c r="S783" s="4"/>
      <c r="T783" s="1"/>
      <c r="U783" s="1"/>
      <c r="V783" s="1"/>
      <c r="W783" s="1"/>
      <c r="X783" s="1"/>
      <c r="Y783" s="6"/>
      <c r="Z783" s="4"/>
      <c r="AA783" s="4"/>
      <c r="AB783" s="4"/>
      <c r="AC783" s="1"/>
      <c r="AD783" s="1"/>
      <c r="AE783" s="1"/>
      <c r="AF783" s="1"/>
      <c r="AG783" s="1"/>
      <c r="AH783" s="4"/>
      <c r="AI783" s="1"/>
      <c r="AJ783" s="3"/>
      <c r="AK783" s="4"/>
      <c r="AL783" s="6"/>
      <c r="AM783" s="7"/>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row>
    <row r="784" spans="1:64" ht="16.5" customHeight="1">
      <c r="A784" s="1"/>
      <c r="B784" s="139"/>
      <c r="C784" s="1"/>
      <c r="D784" s="1"/>
      <c r="E784" s="1"/>
      <c r="F784" s="1"/>
      <c r="G784" s="1"/>
      <c r="H784" s="4"/>
      <c r="I784" s="4"/>
      <c r="J784" s="4"/>
      <c r="K784" s="4"/>
      <c r="L784" s="4"/>
      <c r="M784" s="4"/>
      <c r="N784" s="3"/>
      <c r="O784" s="1"/>
      <c r="P784" s="1"/>
      <c r="Q784" s="4"/>
      <c r="R784" s="5"/>
      <c r="S784" s="4"/>
      <c r="T784" s="1"/>
      <c r="U784" s="1"/>
      <c r="V784" s="1"/>
      <c r="W784" s="1"/>
      <c r="X784" s="1"/>
      <c r="Y784" s="6"/>
      <c r="Z784" s="4"/>
      <c r="AA784" s="4"/>
      <c r="AB784" s="4"/>
      <c r="AC784" s="1"/>
      <c r="AD784" s="1"/>
      <c r="AE784" s="1"/>
      <c r="AF784" s="1"/>
      <c r="AG784" s="1"/>
      <c r="AH784" s="4"/>
      <c r="AI784" s="1"/>
      <c r="AJ784" s="3"/>
      <c r="AK784" s="4"/>
      <c r="AL784" s="6"/>
      <c r="AM784" s="7"/>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row>
    <row r="785" spans="1:64" ht="16.5" customHeight="1">
      <c r="A785" s="1"/>
      <c r="B785" s="139"/>
      <c r="C785" s="1"/>
      <c r="D785" s="1"/>
      <c r="E785" s="1"/>
      <c r="F785" s="1"/>
      <c r="G785" s="1"/>
      <c r="H785" s="4"/>
      <c r="I785" s="4"/>
      <c r="J785" s="4"/>
      <c r="K785" s="4"/>
      <c r="L785" s="4"/>
      <c r="M785" s="4"/>
      <c r="N785" s="3"/>
      <c r="O785" s="1"/>
      <c r="P785" s="1"/>
      <c r="Q785" s="4"/>
      <c r="R785" s="5"/>
      <c r="S785" s="4"/>
      <c r="T785" s="1"/>
      <c r="U785" s="1"/>
      <c r="V785" s="1"/>
      <c r="W785" s="1"/>
      <c r="X785" s="1"/>
      <c r="Y785" s="6"/>
      <c r="Z785" s="4"/>
      <c r="AA785" s="4"/>
      <c r="AB785" s="4"/>
      <c r="AC785" s="1"/>
      <c r="AD785" s="1"/>
      <c r="AE785" s="1"/>
      <c r="AF785" s="1"/>
      <c r="AG785" s="1"/>
      <c r="AH785" s="4"/>
      <c r="AI785" s="1"/>
      <c r="AJ785" s="3"/>
      <c r="AK785" s="4"/>
      <c r="AL785" s="6"/>
      <c r="AM785" s="7"/>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row>
    <row r="786" spans="1:64" ht="16.5" customHeight="1">
      <c r="A786" s="1"/>
      <c r="B786" s="139"/>
      <c r="C786" s="1"/>
      <c r="D786" s="1"/>
      <c r="E786" s="1"/>
      <c r="F786" s="1"/>
      <c r="G786" s="1"/>
      <c r="H786" s="4"/>
      <c r="I786" s="4"/>
      <c r="J786" s="4"/>
      <c r="K786" s="4"/>
      <c r="L786" s="4"/>
      <c r="M786" s="4"/>
      <c r="N786" s="3"/>
      <c r="O786" s="1"/>
      <c r="P786" s="1"/>
      <c r="Q786" s="4"/>
      <c r="R786" s="5"/>
      <c r="S786" s="4"/>
      <c r="T786" s="1"/>
      <c r="U786" s="1"/>
      <c r="V786" s="1"/>
      <c r="W786" s="1"/>
      <c r="X786" s="1"/>
      <c r="Y786" s="6"/>
      <c r="Z786" s="4"/>
      <c r="AA786" s="4"/>
      <c r="AB786" s="4"/>
      <c r="AC786" s="1"/>
      <c r="AD786" s="1"/>
      <c r="AE786" s="1"/>
      <c r="AF786" s="1"/>
      <c r="AG786" s="1"/>
      <c r="AH786" s="4"/>
      <c r="AI786" s="1"/>
      <c r="AJ786" s="3"/>
      <c r="AK786" s="4"/>
      <c r="AL786" s="6"/>
      <c r="AM786" s="7"/>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row>
    <row r="787" spans="1:64" ht="16.5" customHeight="1">
      <c r="A787" s="1"/>
      <c r="B787" s="139"/>
      <c r="C787" s="1"/>
      <c r="D787" s="1"/>
      <c r="E787" s="1"/>
      <c r="F787" s="1"/>
      <c r="G787" s="1"/>
      <c r="H787" s="4"/>
      <c r="I787" s="4"/>
      <c r="J787" s="4"/>
      <c r="K787" s="4"/>
      <c r="L787" s="4"/>
      <c r="M787" s="4"/>
      <c r="N787" s="3"/>
      <c r="O787" s="1"/>
      <c r="P787" s="1"/>
      <c r="Q787" s="4"/>
      <c r="R787" s="5"/>
      <c r="S787" s="4"/>
      <c r="T787" s="1"/>
      <c r="U787" s="1"/>
      <c r="V787" s="1"/>
      <c r="W787" s="1"/>
      <c r="X787" s="1"/>
      <c r="Y787" s="6"/>
      <c r="Z787" s="4"/>
      <c r="AA787" s="4"/>
      <c r="AB787" s="4"/>
      <c r="AC787" s="1"/>
      <c r="AD787" s="1"/>
      <c r="AE787" s="1"/>
      <c r="AF787" s="1"/>
      <c r="AG787" s="1"/>
      <c r="AH787" s="4"/>
      <c r="AI787" s="1"/>
      <c r="AJ787" s="3"/>
      <c r="AK787" s="4"/>
      <c r="AL787" s="6"/>
      <c r="AM787" s="7"/>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row>
    <row r="788" spans="1:64" ht="16.5" customHeight="1">
      <c r="A788" s="1"/>
      <c r="B788" s="139"/>
      <c r="C788" s="1"/>
      <c r="D788" s="1"/>
      <c r="E788" s="1"/>
      <c r="F788" s="1"/>
      <c r="G788" s="1"/>
      <c r="H788" s="4"/>
      <c r="I788" s="4"/>
      <c r="J788" s="4"/>
      <c r="K788" s="4"/>
      <c r="L788" s="4"/>
      <c r="M788" s="4"/>
      <c r="N788" s="3"/>
      <c r="O788" s="1"/>
      <c r="P788" s="1"/>
      <c r="Q788" s="4"/>
      <c r="R788" s="5"/>
      <c r="S788" s="4"/>
      <c r="T788" s="1"/>
      <c r="U788" s="1"/>
      <c r="V788" s="1"/>
      <c r="W788" s="1"/>
      <c r="X788" s="1"/>
      <c r="Y788" s="6"/>
      <c r="Z788" s="4"/>
      <c r="AA788" s="4"/>
      <c r="AB788" s="4"/>
      <c r="AC788" s="1"/>
      <c r="AD788" s="1"/>
      <c r="AE788" s="1"/>
      <c r="AF788" s="1"/>
      <c r="AG788" s="1"/>
      <c r="AH788" s="4"/>
      <c r="AI788" s="1"/>
      <c r="AJ788" s="3"/>
      <c r="AK788" s="4"/>
      <c r="AL788" s="6"/>
      <c r="AM788" s="7"/>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row>
    <row r="789" spans="1:64" ht="16.5" customHeight="1">
      <c r="A789" s="1"/>
      <c r="B789" s="139"/>
      <c r="C789" s="1"/>
      <c r="D789" s="1"/>
      <c r="E789" s="1"/>
      <c r="F789" s="1"/>
      <c r="G789" s="1"/>
      <c r="H789" s="4"/>
      <c r="I789" s="4"/>
      <c r="J789" s="4"/>
      <c r="K789" s="4"/>
      <c r="L789" s="4"/>
      <c r="M789" s="4"/>
      <c r="N789" s="3"/>
      <c r="O789" s="1"/>
      <c r="P789" s="1"/>
      <c r="Q789" s="4"/>
      <c r="R789" s="5"/>
      <c r="S789" s="4"/>
      <c r="T789" s="1"/>
      <c r="U789" s="1"/>
      <c r="V789" s="1"/>
      <c r="W789" s="1"/>
      <c r="X789" s="1"/>
      <c r="Y789" s="6"/>
      <c r="Z789" s="4"/>
      <c r="AA789" s="4"/>
      <c r="AB789" s="4"/>
      <c r="AC789" s="1"/>
      <c r="AD789" s="1"/>
      <c r="AE789" s="1"/>
      <c r="AF789" s="1"/>
      <c r="AG789" s="1"/>
      <c r="AH789" s="4"/>
      <c r="AI789" s="1"/>
      <c r="AJ789" s="3"/>
      <c r="AK789" s="4"/>
      <c r="AL789" s="6"/>
      <c r="AM789" s="7"/>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row>
    <row r="790" spans="1:64" ht="16.5" customHeight="1">
      <c r="A790" s="1"/>
      <c r="B790" s="139"/>
      <c r="C790" s="1"/>
      <c r="D790" s="1"/>
      <c r="E790" s="1"/>
      <c r="F790" s="1"/>
      <c r="G790" s="1"/>
      <c r="H790" s="4"/>
      <c r="I790" s="4"/>
      <c r="J790" s="4"/>
      <c r="K790" s="4"/>
      <c r="L790" s="4"/>
      <c r="M790" s="4"/>
      <c r="N790" s="3"/>
      <c r="O790" s="1"/>
      <c r="P790" s="1"/>
      <c r="Q790" s="4"/>
      <c r="R790" s="5"/>
      <c r="S790" s="4"/>
      <c r="T790" s="1"/>
      <c r="U790" s="1"/>
      <c r="V790" s="1"/>
      <c r="W790" s="1"/>
      <c r="X790" s="1"/>
      <c r="Y790" s="6"/>
      <c r="Z790" s="4"/>
      <c r="AA790" s="4"/>
      <c r="AB790" s="4"/>
      <c r="AC790" s="1"/>
      <c r="AD790" s="1"/>
      <c r="AE790" s="1"/>
      <c r="AF790" s="1"/>
      <c r="AG790" s="1"/>
      <c r="AH790" s="4"/>
      <c r="AI790" s="1"/>
      <c r="AJ790" s="3"/>
      <c r="AK790" s="4"/>
      <c r="AL790" s="6"/>
      <c r="AM790" s="7"/>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row>
    <row r="791" spans="1:64" ht="16.5" customHeight="1">
      <c r="A791" s="1"/>
      <c r="B791" s="139"/>
      <c r="C791" s="1"/>
      <c r="D791" s="1"/>
      <c r="E791" s="1"/>
      <c r="F791" s="1"/>
      <c r="G791" s="1"/>
      <c r="H791" s="4"/>
      <c r="I791" s="4"/>
      <c r="J791" s="4"/>
      <c r="K791" s="4"/>
      <c r="L791" s="4"/>
      <c r="M791" s="4"/>
      <c r="N791" s="3"/>
      <c r="O791" s="1"/>
      <c r="P791" s="1"/>
      <c r="Q791" s="4"/>
      <c r="R791" s="5"/>
      <c r="S791" s="4"/>
      <c r="T791" s="1"/>
      <c r="U791" s="1"/>
      <c r="V791" s="1"/>
      <c r="W791" s="1"/>
      <c r="X791" s="1"/>
      <c r="Y791" s="6"/>
      <c r="Z791" s="4"/>
      <c r="AA791" s="4"/>
      <c r="AB791" s="4"/>
      <c r="AC791" s="1"/>
      <c r="AD791" s="1"/>
      <c r="AE791" s="1"/>
      <c r="AF791" s="1"/>
      <c r="AG791" s="1"/>
      <c r="AH791" s="4"/>
      <c r="AI791" s="1"/>
      <c r="AJ791" s="3"/>
      <c r="AK791" s="4"/>
      <c r="AL791" s="6"/>
      <c r="AM791" s="7"/>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row>
    <row r="792" spans="1:64" ht="16.5" customHeight="1">
      <c r="A792" s="1"/>
      <c r="B792" s="139"/>
      <c r="C792" s="1"/>
      <c r="D792" s="1"/>
      <c r="E792" s="1"/>
      <c r="F792" s="1"/>
      <c r="G792" s="1"/>
      <c r="H792" s="4"/>
      <c r="I792" s="4"/>
      <c r="J792" s="4"/>
      <c r="K792" s="4"/>
      <c r="L792" s="4"/>
      <c r="M792" s="4"/>
      <c r="N792" s="3"/>
      <c r="O792" s="1"/>
      <c r="P792" s="1"/>
      <c r="Q792" s="4"/>
      <c r="R792" s="5"/>
      <c r="S792" s="4"/>
      <c r="T792" s="1"/>
      <c r="U792" s="1"/>
      <c r="V792" s="1"/>
      <c r="W792" s="1"/>
      <c r="X792" s="1"/>
      <c r="Y792" s="6"/>
      <c r="Z792" s="4"/>
      <c r="AA792" s="4"/>
      <c r="AB792" s="4"/>
      <c r="AC792" s="1"/>
      <c r="AD792" s="1"/>
      <c r="AE792" s="1"/>
      <c r="AF792" s="1"/>
      <c r="AG792" s="1"/>
      <c r="AH792" s="4"/>
      <c r="AI792" s="1"/>
      <c r="AJ792" s="3"/>
      <c r="AK792" s="4"/>
      <c r="AL792" s="6"/>
      <c r="AM792" s="7"/>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row>
    <row r="793" spans="1:64" ht="16.5" customHeight="1">
      <c r="A793" s="1"/>
      <c r="B793" s="139"/>
      <c r="C793" s="1"/>
      <c r="D793" s="1"/>
      <c r="E793" s="1"/>
      <c r="F793" s="1"/>
      <c r="G793" s="1"/>
      <c r="H793" s="4"/>
      <c r="I793" s="4"/>
      <c r="J793" s="4"/>
      <c r="K793" s="4"/>
      <c r="L793" s="4"/>
      <c r="M793" s="4"/>
      <c r="N793" s="3"/>
      <c r="O793" s="1"/>
      <c r="P793" s="1"/>
      <c r="Q793" s="4"/>
      <c r="R793" s="5"/>
      <c r="S793" s="4"/>
      <c r="T793" s="1"/>
      <c r="U793" s="1"/>
      <c r="V793" s="1"/>
      <c r="W793" s="1"/>
      <c r="X793" s="1"/>
      <c r="Y793" s="6"/>
      <c r="Z793" s="4"/>
      <c r="AA793" s="4"/>
      <c r="AB793" s="4"/>
      <c r="AC793" s="1"/>
      <c r="AD793" s="1"/>
      <c r="AE793" s="1"/>
      <c r="AF793" s="1"/>
      <c r="AG793" s="1"/>
      <c r="AH793" s="4"/>
      <c r="AI793" s="1"/>
      <c r="AJ793" s="3"/>
      <c r="AK793" s="4"/>
      <c r="AL793" s="6"/>
      <c r="AM793" s="7"/>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row>
    <row r="794" spans="1:64" ht="16.5" customHeight="1">
      <c r="A794" s="1"/>
      <c r="B794" s="139"/>
      <c r="C794" s="1"/>
      <c r="D794" s="1"/>
      <c r="E794" s="1"/>
      <c r="F794" s="1"/>
      <c r="G794" s="1"/>
      <c r="H794" s="4"/>
      <c r="I794" s="4"/>
      <c r="J794" s="4"/>
      <c r="K794" s="4"/>
      <c r="L794" s="4"/>
      <c r="M794" s="4"/>
      <c r="N794" s="3"/>
      <c r="O794" s="1"/>
      <c r="P794" s="1"/>
      <c r="Q794" s="4"/>
      <c r="R794" s="5"/>
      <c r="S794" s="4"/>
      <c r="T794" s="1"/>
      <c r="U794" s="1"/>
      <c r="V794" s="1"/>
      <c r="W794" s="1"/>
      <c r="X794" s="1"/>
      <c r="Y794" s="6"/>
      <c r="Z794" s="4"/>
      <c r="AA794" s="4"/>
      <c r="AB794" s="4"/>
      <c r="AC794" s="1"/>
      <c r="AD794" s="1"/>
      <c r="AE794" s="1"/>
      <c r="AF794" s="1"/>
      <c r="AG794" s="1"/>
      <c r="AH794" s="4"/>
      <c r="AI794" s="1"/>
      <c r="AJ794" s="3"/>
      <c r="AK794" s="4"/>
      <c r="AL794" s="6"/>
      <c r="AM794" s="7"/>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row>
    <row r="795" spans="1:64" ht="16.5" customHeight="1">
      <c r="A795" s="1"/>
      <c r="B795" s="139"/>
      <c r="C795" s="1"/>
      <c r="D795" s="1"/>
      <c r="E795" s="1"/>
      <c r="F795" s="1"/>
      <c r="G795" s="1"/>
      <c r="H795" s="4"/>
      <c r="I795" s="4"/>
      <c r="J795" s="4"/>
      <c r="K795" s="4"/>
      <c r="L795" s="4"/>
      <c r="M795" s="4"/>
      <c r="N795" s="3"/>
      <c r="O795" s="1"/>
      <c r="P795" s="1"/>
      <c r="Q795" s="4"/>
      <c r="R795" s="5"/>
      <c r="S795" s="4"/>
      <c r="T795" s="1"/>
      <c r="U795" s="1"/>
      <c r="V795" s="1"/>
      <c r="W795" s="1"/>
      <c r="X795" s="1"/>
      <c r="Y795" s="6"/>
      <c r="Z795" s="4"/>
      <c r="AA795" s="4"/>
      <c r="AB795" s="4"/>
      <c r="AC795" s="1"/>
      <c r="AD795" s="1"/>
      <c r="AE795" s="1"/>
      <c r="AF795" s="1"/>
      <c r="AG795" s="1"/>
      <c r="AH795" s="4"/>
      <c r="AI795" s="1"/>
      <c r="AJ795" s="3"/>
      <c r="AK795" s="4"/>
      <c r="AL795" s="6"/>
      <c r="AM795" s="7"/>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row>
    <row r="796" spans="1:64" ht="16.5" customHeight="1">
      <c r="A796" s="1"/>
      <c r="B796" s="139"/>
      <c r="C796" s="1"/>
      <c r="D796" s="1"/>
      <c r="E796" s="1"/>
      <c r="F796" s="1"/>
      <c r="G796" s="1"/>
      <c r="H796" s="4"/>
      <c r="I796" s="4"/>
      <c r="J796" s="4"/>
      <c r="K796" s="4"/>
      <c r="L796" s="4"/>
      <c r="M796" s="4"/>
      <c r="N796" s="3"/>
      <c r="O796" s="1"/>
      <c r="P796" s="1"/>
      <c r="Q796" s="4"/>
      <c r="R796" s="5"/>
      <c r="S796" s="4"/>
      <c r="T796" s="1"/>
      <c r="U796" s="1"/>
      <c r="V796" s="1"/>
      <c r="W796" s="1"/>
      <c r="X796" s="1"/>
      <c r="Y796" s="6"/>
      <c r="Z796" s="4"/>
      <c r="AA796" s="4"/>
      <c r="AB796" s="4"/>
      <c r="AC796" s="1"/>
      <c r="AD796" s="1"/>
      <c r="AE796" s="1"/>
      <c r="AF796" s="1"/>
      <c r="AG796" s="1"/>
      <c r="AH796" s="4"/>
      <c r="AI796" s="1"/>
      <c r="AJ796" s="3"/>
      <c r="AK796" s="4"/>
      <c r="AL796" s="6"/>
      <c r="AM796" s="7"/>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row>
    <row r="797" spans="1:64" ht="16.5" customHeight="1">
      <c r="A797" s="1"/>
      <c r="B797" s="139"/>
      <c r="C797" s="1"/>
      <c r="D797" s="1"/>
      <c r="E797" s="1"/>
      <c r="F797" s="1"/>
      <c r="G797" s="1"/>
      <c r="H797" s="4"/>
      <c r="I797" s="4"/>
      <c r="J797" s="4"/>
      <c r="K797" s="4"/>
      <c r="L797" s="4"/>
      <c r="M797" s="4"/>
      <c r="N797" s="3"/>
      <c r="O797" s="1"/>
      <c r="P797" s="1"/>
      <c r="Q797" s="4"/>
      <c r="R797" s="5"/>
      <c r="S797" s="4"/>
      <c r="T797" s="1"/>
      <c r="U797" s="1"/>
      <c r="V797" s="1"/>
      <c r="W797" s="1"/>
      <c r="X797" s="1"/>
      <c r="Y797" s="6"/>
      <c r="Z797" s="4"/>
      <c r="AA797" s="4"/>
      <c r="AB797" s="4"/>
      <c r="AC797" s="1"/>
      <c r="AD797" s="1"/>
      <c r="AE797" s="1"/>
      <c r="AF797" s="1"/>
      <c r="AG797" s="1"/>
      <c r="AH797" s="4"/>
      <c r="AI797" s="1"/>
      <c r="AJ797" s="3"/>
      <c r="AK797" s="4"/>
      <c r="AL797" s="6"/>
      <c r="AM797" s="7"/>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row>
    <row r="798" spans="1:64" ht="16.5" customHeight="1">
      <c r="A798" s="1"/>
      <c r="B798" s="139"/>
      <c r="C798" s="1"/>
      <c r="D798" s="1"/>
      <c r="E798" s="1"/>
      <c r="F798" s="1"/>
      <c r="G798" s="1"/>
      <c r="H798" s="4"/>
      <c r="I798" s="4"/>
      <c r="J798" s="4"/>
      <c r="K798" s="4"/>
      <c r="L798" s="4"/>
      <c r="M798" s="4"/>
      <c r="N798" s="3"/>
      <c r="O798" s="1"/>
      <c r="P798" s="1"/>
      <c r="Q798" s="4"/>
      <c r="R798" s="5"/>
      <c r="S798" s="4"/>
      <c r="T798" s="1"/>
      <c r="U798" s="1"/>
      <c r="V798" s="1"/>
      <c r="W798" s="1"/>
      <c r="X798" s="1"/>
      <c r="Y798" s="6"/>
      <c r="Z798" s="4"/>
      <c r="AA798" s="4"/>
      <c r="AB798" s="4"/>
      <c r="AC798" s="1"/>
      <c r="AD798" s="1"/>
      <c r="AE798" s="1"/>
      <c r="AF798" s="1"/>
      <c r="AG798" s="1"/>
      <c r="AH798" s="4"/>
      <c r="AI798" s="1"/>
      <c r="AJ798" s="3"/>
      <c r="AK798" s="4"/>
      <c r="AL798" s="6"/>
      <c r="AM798" s="7"/>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row>
    <row r="799" spans="1:64" ht="16.5" customHeight="1">
      <c r="A799" s="1"/>
      <c r="B799" s="139"/>
      <c r="C799" s="1"/>
      <c r="D799" s="1"/>
      <c r="E799" s="1"/>
      <c r="F799" s="1"/>
      <c r="G799" s="1"/>
      <c r="H799" s="4"/>
      <c r="I799" s="4"/>
      <c r="J799" s="4"/>
      <c r="K799" s="4"/>
      <c r="L799" s="4"/>
      <c r="M799" s="4"/>
      <c r="N799" s="3"/>
      <c r="O799" s="1"/>
      <c r="P799" s="1"/>
      <c r="Q799" s="4"/>
      <c r="R799" s="5"/>
      <c r="S799" s="4"/>
      <c r="T799" s="1"/>
      <c r="U799" s="1"/>
      <c r="V799" s="1"/>
      <c r="W799" s="1"/>
      <c r="X799" s="1"/>
      <c r="Y799" s="6"/>
      <c r="Z799" s="4"/>
      <c r="AA799" s="4"/>
      <c r="AB799" s="4"/>
      <c r="AC799" s="1"/>
      <c r="AD799" s="1"/>
      <c r="AE799" s="1"/>
      <c r="AF799" s="1"/>
      <c r="AG799" s="1"/>
      <c r="AH799" s="4"/>
      <c r="AI799" s="1"/>
      <c r="AJ799" s="3"/>
      <c r="AK799" s="4"/>
      <c r="AL799" s="6"/>
      <c r="AM799" s="7"/>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row>
    <row r="800" spans="1:64" ht="16.5" customHeight="1">
      <c r="A800" s="1"/>
      <c r="B800" s="139"/>
      <c r="C800" s="1"/>
      <c r="D800" s="1"/>
      <c r="E800" s="1"/>
      <c r="F800" s="1"/>
      <c r="G800" s="1"/>
      <c r="H800" s="4"/>
      <c r="I800" s="4"/>
      <c r="J800" s="4"/>
      <c r="K800" s="4"/>
      <c r="L800" s="4"/>
      <c r="M800" s="4"/>
      <c r="N800" s="3"/>
      <c r="O800" s="1"/>
      <c r="P800" s="1"/>
      <c r="Q800" s="4"/>
      <c r="R800" s="5"/>
      <c r="S800" s="4"/>
      <c r="T800" s="1"/>
      <c r="U800" s="1"/>
      <c r="V800" s="1"/>
      <c r="W800" s="1"/>
      <c r="X800" s="1"/>
      <c r="Y800" s="6"/>
      <c r="Z800" s="4"/>
      <c r="AA800" s="4"/>
      <c r="AB800" s="4"/>
      <c r="AC800" s="1"/>
      <c r="AD800" s="1"/>
      <c r="AE800" s="1"/>
      <c r="AF800" s="1"/>
      <c r="AG800" s="1"/>
      <c r="AH800" s="4"/>
      <c r="AI800" s="1"/>
      <c r="AJ800" s="3"/>
      <c r="AK800" s="4"/>
      <c r="AL800" s="6"/>
      <c r="AM800" s="7"/>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row>
    <row r="801" spans="1:64" ht="16.5" customHeight="1">
      <c r="A801" s="1"/>
      <c r="B801" s="139"/>
      <c r="C801" s="1"/>
      <c r="D801" s="1"/>
      <c r="E801" s="1"/>
      <c r="F801" s="1"/>
      <c r="G801" s="1"/>
      <c r="H801" s="4"/>
      <c r="I801" s="4"/>
      <c r="J801" s="4"/>
      <c r="K801" s="4"/>
      <c r="L801" s="4"/>
      <c r="M801" s="4"/>
      <c r="N801" s="3"/>
      <c r="O801" s="1"/>
      <c r="P801" s="1"/>
      <c r="Q801" s="4"/>
      <c r="R801" s="5"/>
      <c r="S801" s="4"/>
      <c r="T801" s="1"/>
      <c r="U801" s="1"/>
      <c r="V801" s="1"/>
      <c r="W801" s="1"/>
      <c r="X801" s="1"/>
      <c r="Y801" s="6"/>
      <c r="Z801" s="4"/>
      <c r="AA801" s="4"/>
      <c r="AB801" s="4"/>
      <c r="AC801" s="1"/>
      <c r="AD801" s="1"/>
      <c r="AE801" s="1"/>
      <c r="AF801" s="1"/>
      <c r="AG801" s="1"/>
      <c r="AH801" s="4"/>
      <c r="AI801" s="1"/>
      <c r="AJ801" s="3"/>
      <c r="AK801" s="4"/>
      <c r="AL801" s="6"/>
      <c r="AM801" s="7"/>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row>
    <row r="802" spans="1:64" ht="16.5" customHeight="1">
      <c r="A802" s="1"/>
      <c r="B802" s="139"/>
      <c r="C802" s="1"/>
      <c r="D802" s="1"/>
      <c r="E802" s="1"/>
      <c r="F802" s="1"/>
      <c r="G802" s="1"/>
      <c r="H802" s="4"/>
      <c r="I802" s="4"/>
      <c r="J802" s="4"/>
      <c r="K802" s="4"/>
      <c r="L802" s="4"/>
      <c r="M802" s="4"/>
      <c r="N802" s="3"/>
      <c r="O802" s="1"/>
      <c r="P802" s="1"/>
      <c r="Q802" s="4"/>
      <c r="R802" s="5"/>
      <c r="S802" s="4"/>
      <c r="T802" s="1"/>
      <c r="U802" s="1"/>
      <c r="V802" s="1"/>
      <c r="W802" s="1"/>
      <c r="X802" s="1"/>
      <c r="Y802" s="6"/>
      <c r="Z802" s="4"/>
      <c r="AA802" s="4"/>
      <c r="AB802" s="4"/>
      <c r="AC802" s="1"/>
      <c r="AD802" s="1"/>
      <c r="AE802" s="1"/>
      <c r="AF802" s="1"/>
      <c r="AG802" s="1"/>
      <c r="AH802" s="4"/>
      <c r="AI802" s="1"/>
      <c r="AJ802" s="3"/>
      <c r="AK802" s="4"/>
      <c r="AL802" s="6"/>
      <c r="AM802" s="7"/>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row>
    <row r="803" spans="1:64" ht="16.5" customHeight="1">
      <c r="A803" s="1"/>
      <c r="B803" s="139"/>
      <c r="C803" s="1"/>
      <c r="D803" s="1"/>
      <c r="E803" s="1"/>
      <c r="F803" s="1"/>
      <c r="G803" s="1"/>
      <c r="H803" s="4"/>
      <c r="I803" s="4"/>
      <c r="J803" s="4"/>
      <c r="K803" s="4"/>
      <c r="L803" s="4"/>
      <c r="M803" s="4"/>
      <c r="N803" s="3"/>
      <c r="O803" s="1"/>
      <c r="P803" s="1"/>
      <c r="Q803" s="4"/>
      <c r="R803" s="5"/>
      <c r="S803" s="4"/>
      <c r="T803" s="1"/>
      <c r="U803" s="1"/>
      <c r="V803" s="1"/>
      <c r="W803" s="1"/>
      <c r="X803" s="1"/>
      <c r="Y803" s="6"/>
      <c r="Z803" s="4"/>
      <c r="AA803" s="4"/>
      <c r="AB803" s="4"/>
      <c r="AC803" s="1"/>
      <c r="AD803" s="1"/>
      <c r="AE803" s="1"/>
      <c r="AF803" s="1"/>
      <c r="AG803" s="1"/>
      <c r="AH803" s="4"/>
      <c r="AI803" s="1"/>
      <c r="AJ803" s="3"/>
      <c r="AK803" s="4"/>
      <c r="AL803" s="6"/>
      <c r="AM803" s="7"/>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row>
    <row r="804" spans="1:64" ht="16.5" customHeight="1">
      <c r="A804" s="1"/>
      <c r="B804" s="139"/>
      <c r="C804" s="1"/>
      <c r="D804" s="1"/>
      <c r="E804" s="1"/>
      <c r="F804" s="1"/>
      <c r="G804" s="1"/>
      <c r="H804" s="4"/>
      <c r="I804" s="4"/>
      <c r="J804" s="4"/>
      <c r="K804" s="4"/>
      <c r="L804" s="4"/>
      <c r="M804" s="4"/>
      <c r="N804" s="3"/>
      <c r="O804" s="1"/>
      <c r="P804" s="1"/>
      <c r="Q804" s="4"/>
      <c r="R804" s="5"/>
      <c r="S804" s="4"/>
      <c r="T804" s="1"/>
      <c r="U804" s="1"/>
      <c r="V804" s="1"/>
      <c r="W804" s="1"/>
      <c r="X804" s="1"/>
      <c r="Y804" s="6"/>
      <c r="Z804" s="4"/>
      <c r="AA804" s="4"/>
      <c r="AB804" s="4"/>
      <c r="AC804" s="1"/>
      <c r="AD804" s="1"/>
      <c r="AE804" s="1"/>
      <c r="AF804" s="1"/>
      <c r="AG804" s="1"/>
      <c r="AH804" s="4"/>
      <c r="AI804" s="1"/>
      <c r="AJ804" s="3"/>
      <c r="AK804" s="4"/>
      <c r="AL804" s="6"/>
      <c r="AM804" s="7"/>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row>
    <row r="805" spans="1:64" ht="16.5" customHeight="1">
      <c r="A805" s="1"/>
      <c r="B805" s="139"/>
      <c r="C805" s="1"/>
      <c r="D805" s="1"/>
      <c r="E805" s="1"/>
      <c r="F805" s="1"/>
      <c r="G805" s="1"/>
      <c r="H805" s="4"/>
      <c r="I805" s="4"/>
      <c r="J805" s="4"/>
      <c r="K805" s="4"/>
      <c r="L805" s="4"/>
      <c r="M805" s="4"/>
      <c r="N805" s="3"/>
      <c r="O805" s="1"/>
      <c r="P805" s="1"/>
      <c r="Q805" s="4"/>
      <c r="R805" s="5"/>
      <c r="S805" s="4"/>
      <c r="T805" s="1"/>
      <c r="U805" s="1"/>
      <c r="V805" s="1"/>
      <c r="W805" s="1"/>
      <c r="X805" s="1"/>
      <c r="Y805" s="6"/>
      <c r="Z805" s="4"/>
      <c r="AA805" s="4"/>
      <c r="AB805" s="4"/>
      <c r="AC805" s="1"/>
      <c r="AD805" s="1"/>
      <c r="AE805" s="1"/>
      <c r="AF805" s="1"/>
      <c r="AG805" s="1"/>
      <c r="AH805" s="4"/>
      <c r="AI805" s="1"/>
      <c r="AJ805" s="3"/>
      <c r="AK805" s="4"/>
      <c r="AL805" s="6"/>
      <c r="AM805" s="7"/>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row>
    <row r="806" spans="1:64" ht="16.5" customHeight="1">
      <c r="A806" s="1"/>
      <c r="B806" s="139"/>
      <c r="C806" s="1"/>
      <c r="D806" s="1"/>
      <c r="E806" s="1"/>
      <c r="F806" s="1"/>
      <c r="G806" s="1"/>
      <c r="H806" s="4"/>
      <c r="I806" s="4"/>
      <c r="J806" s="4"/>
      <c r="K806" s="4"/>
      <c r="L806" s="4"/>
      <c r="M806" s="4"/>
      <c r="N806" s="3"/>
      <c r="O806" s="1"/>
      <c r="P806" s="1"/>
      <c r="Q806" s="4"/>
      <c r="R806" s="5"/>
      <c r="S806" s="4"/>
      <c r="T806" s="1"/>
      <c r="U806" s="1"/>
      <c r="V806" s="1"/>
      <c r="W806" s="1"/>
      <c r="X806" s="1"/>
      <c r="Y806" s="6"/>
      <c r="Z806" s="4"/>
      <c r="AA806" s="4"/>
      <c r="AB806" s="4"/>
      <c r="AC806" s="1"/>
      <c r="AD806" s="1"/>
      <c r="AE806" s="1"/>
      <c r="AF806" s="1"/>
      <c r="AG806" s="1"/>
      <c r="AH806" s="4"/>
      <c r="AI806" s="1"/>
      <c r="AJ806" s="3"/>
      <c r="AK806" s="4"/>
      <c r="AL806" s="6"/>
      <c r="AM806" s="7"/>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row>
    <row r="807" spans="1:64" ht="16.5" customHeight="1">
      <c r="A807" s="1"/>
      <c r="B807" s="139"/>
      <c r="C807" s="1"/>
      <c r="D807" s="1"/>
      <c r="E807" s="1"/>
      <c r="F807" s="1"/>
      <c r="G807" s="1"/>
      <c r="H807" s="4"/>
      <c r="I807" s="4"/>
      <c r="J807" s="4"/>
      <c r="K807" s="4"/>
      <c r="L807" s="4"/>
      <c r="M807" s="4"/>
      <c r="N807" s="3"/>
      <c r="O807" s="1"/>
      <c r="P807" s="1"/>
      <c r="Q807" s="4"/>
      <c r="R807" s="5"/>
      <c r="S807" s="4"/>
      <c r="T807" s="1"/>
      <c r="U807" s="1"/>
      <c r="V807" s="1"/>
      <c r="W807" s="1"/>
      <c r="X807" s="1"/>
      <c r="Y807" s="6"/>
      <c r="Z807" s="4"/>
      <c r="AA807" s="4"/>
      <c r="AB807" s="4"/>
      <c r="AC807" s="1"/>
      <c r="AD807" s="1"/>
      <c r="AE807" s="1"/>
      <c r="AF807" s="1"/>
      <c r="AG807" s="1"/>
      <c r="AH807" s="4"/>
      <c r="AI807" s="1"/>
      <c r="AJ807" s="3"/>
      <c r="AK807" s="4"/>
      <c r="AL807" s="6"/>
      <c r="AM807" s="7"/>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row>
    <row r="808" spans="1:64" ht="16.5" customHeight="1">
      <c r="A808" s="1"/>
      <c r="B808" s="139"/>
      <c r="C808" s="1"/>
      <c r="D808" s="1"/>
      <c r="E808" s="1"/>
      <c r="F808" s="1"/>
      <c r="G808" s="1"/>
      <c r="H808" s="4"/>
      <c r="I808" s="4"/>
      <c r="J808" s="4"/>
      <c r="K808" s="4"/>
      <c r="L808" s="4"/>
      <c r="M808" s="4"/>
      <c r="N808" s="3"/>
      <c r="O808" s="1"/>
      <c r="P808" s="1"/>
      <c r="Q808" s="4"/>
      <c r="R808" s="5"/>
      <c r="S808" s="4"/>
      <c r="T808" s="1"/>
      <c r="U808" s="1"/>
      <c r="V808" s="1"/>
      <c r="W808" s="1"/>
      <c r="X808" s="1"/>
      <c r="Y808" s="6"/>
      <c r="Z808" s="4"/>
      <c r="AA808" s="4"/>
      <c r="AB808" s="4"/>
      <c r="AC808" s="1"/>
      <c r="AD808" s="1"/>
      <c r="AE808" s="1"/>
      <c r="AF808" s="1"/>
      <c r="AG808" s="1"/>
      <c r="AH808" s="4"/>
      <c r="AI808" s="1"/>
      <c r="AJ808" s="3"/>
      <c r="AK808" s="4"/>
      <c r="AL808" s="6"/>
      <c r="AM808" s="7"/>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row>
    <row r="809" spans="1:64" ht="16.5" customHeight="1">
      <c r="A809" s="1"/>
      <c r="B809" s="139"/>
      <c r="C809" s="1"/>
      <c r="D809" s="1"/>
      <c r="E809" s="1"/>
      <c r="F809" s="1"/>
      <c r="G809" s="1"/>
      <c r="H809" s="4"/>
      <c r="I809" s="4"/>
      <c r="J809" s="4"/>
      <c r="K809" s="4"/>
      <c r="L809" s="4"/>
      <c r="M809" s="4"/>
      <c r="N809" s="3"/>
      <c r="O809" s="1"/>
      <c r="P809" s="1"/>
      <c r="Q809" s="4"/>
      <c r="R809" s="5"/>
      <c r="S809" s="4"/>
      <c r="T809" s="1"/>
      <c r="U809" s="1"/>
      <c r="V809" s="1"/>
      <c r="W809" s="1"/>
      <c r="X809" s="1"/>
      <c r="Y809" s="6"/>
      <c r="Z809" s="4"/>
      <c r="AA809" s="4"/>
      <c r="AB809" s="4"/>
      <c r="AC809" s="1"/>
      <c r="AD809" s="1"/>
      <c r="AE809" s="1"/>
      <c r="AF809" s="1"/>
      <c r="AG809" s="1"/>
      <c r="AH809" s="4"/>
      <c r="AI809" s="1"/>
      <c r="AJ809" s="3"/>
      <c r="AK809" s="4"/>
      <c r="AL809" s="6"/>
      <c r="AM809" s="7"/>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spans="1:64" ht="16.5" customHeight="1">
      <c r="A810" s="1"/>
      <c r="B810" s="139"/>
      <c r="C810" s="1"/>
      <c r="D810" s="1"/>
      <c r="E810" s="1"/>
      <c r="F810" s="1"/>
      <c r="G810" s="1"/>
      <c r="H810" s="4"/>
      <c r="I810" s="4"/>
      <c r="J810" s="4"/>
      <c r="K810" s="4"/>
      <c r="L810" s="4"/>
      <c r="M810" s="4"/>
      <c r="N810" s="3"/>
      <c r="O810" s="1"/>
      <c r="P810" s="1"/>
      <c r="Q810" s="4"/>
      <c r="R810" s="5"/>
      <c r="S810" s="4"/>
      <c r="T810" s="1"/>
      <c r="U810" s="1"/>
      <c r="V810" s="1"/>
      <c r="W810" s="1"/>
      <c r="X810" s="1"/>
      <c r="Y810" s="6"/>
      <c r="Z810" s="4"/>
      <c r="AA810" s="4"/>
      <c r="AB810" s="4"/>
      <c r="AC810" s="1"/>
      <c r="AD810" s="1"/>
      <c r="AE810" s="1"/>
      <c r="AF810" s="1"/>
      <c r="AG810" s="1"/>
      <c r="AH810" s="4"/>
      <c r="AI810" s="1"/>
      <c r="AJ810" s="3"/>
      <c r="AK810" s="4"/>
      <c r="AL810" s="6"/>
      <c r="AM810" s="7"/>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row>
    <row r="811" spans="1:64" ht="16.5" customHeight="1">
      <c r="A811" s="1"/>
      <c r="B811" s="139"/>
      <c r="C811" s="1"/>
      <c r="D811" s="1"/>
      <c r="E811" s="1"/>
      <c r="F811" s="1"/>
      <c r="G811" s="1"/>
      <c r="H811" s="4"/>
      <c r="I811" s="4"/>
      <c r="J811" s="4"/>
      <c r="K811" s="4"/>
      <c r="L811" s="4"/>
      <c r="M811" s="4"/>
      <c r="N811" s="3"/>
      <c r="O811" s="1"/>
      <c r="P811" s="1"/>
      <c r="Q811" s="4"/>
      <c r="R811" s="5"/>
      <c r="S811" s="4"/>
      <c r="T811" s="1"/>
      <c r="U811" s="1"/>
      <c r="V811" s="1"/>
      <c r="W811" s="1"/>
      <c r="X811" s="1"/>
      <c r="Y811" s="6"/>
      <c r="Z811" s="4"/>
      <c r="AA811" s="4"/>
      <c r="AB811" s="4"/>
      <c r="AC811" s="1"/>
      <c r="AD811" s="1"/>
      <c r="AE811" s="1"/>
      <c r="AF811" s="1"/>
      <c r="AG811" s="1"/>
      <c r="AH811" s="4"/>
      <c r="AI811" s="1"/>
      <c r="AJ811" s="3"/>
      <c r="AK811" s="4"/>
      <c r="AL811" s="6"/>
      <c r="AM811" s="7"/>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row>
    <row r="812" spans="1:64" ht="16.5" customHeight="1">
      <c r="A812" s="1"/>
      <c r="B812" s="139"/>
      <c r="C812" s="1"/>
      <c r="D812" s="1"/>
      <c r="E812" s="1"/>
      <c r="F812" s="1"/>
      <c r="G812" s="1"/>
      <c r="H812" s="4"/>
      <c r="I812" s="4"/>
      <c r="J812" s="4"/>
      <c r="K812" s="4"/>
      <c r="L812" s="4"/>
      <c r="M812" s="4"/>
      <c r="N812" s="3"/>
      <c r="O812" s="1"/>
      <c r="P812" s="1"/>
      <c r="Q812" s="4"/>
      <c r="R812" s="5"/>
      <c r="S812" s="4"/>
      <c r="T812" s="1"/>
      <c r="U812" s="1"/>
      <c r="V812" s="1"/>
      <c r="W812" s="1"/>
      <c r="X812" s="1"/>
      <c r="Y812" s="6"/>
      <c r="Z812" s="4"/>
      <c r="AA812" s="4"/>
      <c r="AB812" s="4"/>
      <c r="AC812" s="1"/>
      <c r="AD812" s="1"/>
      <c r="AE812" s="1"/>
      <c r="AF812" s="1"/>
      <c r="AG812" s="1"/>
      <c r="AH812" s="4"/>
      <c r="AI812" s="1"/>
      <c r="AJ812" s="3"/>
      <c r="AK812" s="4"/>
      <c r="AL812" s="6"/>
      <c r="AM812" s="7"/>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row>
    <row r="813" spans="1:64" ht="16.5" customHeight="1">
      <c r="A813" s="1"/>
      <c r="B813" s="139"/>
      <c r="C813" s="1"/>
      <c r="D813" s="1"/>
      <c r="E813" s="1"/>
      <c r="F813" s="1"/>
      <c r="G813" s="1"/>
      <c r="H813" s="4"/>
      <c r="I813" s="4"/>
      <c r="J813" s="4"/>
      <c r="K813" s="4"/>
      <c r="L813" s="4"/>
      <c r="M813" s="4"/>
      <c r="N813" s="3"/>
      <c r="O813" s="1"/>
      <c r="P813" s="1"/>
      <c r="Q813" s="4"/>
      <c r="R813" s="5"/>
      <c r="S813" s="4"/>
      <c r="T813" s="1"/>
      <c r="U813" s="1"/>
      <c r="V813" s="1"/>
      <c r="W813" s="1"/>
      <c r="X813" s="1"/>
      <c r="Y813" s="6"/>
      <c r="Z813" s="4"/>
      <c r="AA813" s="4"/>
      <c r="AB813" s="4"/>
      <c r="AC813" s="1"/>
      <c r="AD813" s="1"/>
      <c r="AE813" s="1"/>
      <c r="AF813" s="1"/>
      <c r="AG813" s="1"/>
      <c r="AH813" s="4"/>
      <c r="AI813" s="1"/>
      <c r="AJ813" s="3"/>
      <c r="AK813" s="4"/>
      <c r="AL813" s="6"/>
      <c r="AM813" s="7"/>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row>
    <row r="814" spans="1:64" ht="16.5" customHeight="1">
      <c r="A814" s="1"/>
      <c r="B814" s="139"/>
      <c r="C814" s="1"/>
      <c r="D814" s="1"/>
      <c r="E814" s="1"/>
      <c r="F814" s="1"/>
      <c r="G814" s="1"/>
      <c r="H814" s="4"/>
      <c r="I814" s="4"/>
      <c r="J814" s="4"/>
      <c r="K814" s="4"/>
      <c r="L814" s="4"/>
      <c r="M814" s="4"/>
      <c r="N814" s="3"/>
      <c r="O814" s="1"/>
      <c r="P814" s="1"/>
      <c r="Q814" s="4"/>
      <c r="R814" s="5"/>
      <c r="S814" s="4"/>
      <c r="T814" s="1"/>
      <c r="U814" s="1"/>
      <c r="V814" s="1"/>
      <c r="W814" s="1"/>
      <c r="X814" s="1"/>
      <c r="Y814" s="6"/>
      <c r="Z814" s="4"/>
      <c r="AA814" s="4"/>
      <c r="AB814" s="4"/>
      <c r="AC814" s="1"/>
      <c r="AD814" s="1"/>
      <c r="AE814" s="1"/>
      <c r="AF814" s="1"/>
      <c r="AG814" s="1"/>
      <c r="AH814" s="4"/>
      <c r="AI814" s="1"/>
      <c r="AJ814" s="3"/>
      <c r="AK814" s="4"/>
      <c r="AL814" s="6"/>
      <c r="AM814" s="7"/>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row>
    <row r="815" spans="1:64" ht="16.5" customHeight="1">
      <c r="A815" s="1"/>
      <c r="B815" s="139"/>
      <c r="C815" s="1"/>
      <c r="D815" s="1"/>
      <c r="E815" s="1"/>
      <c r="F815" s="1"/>
      <c r="G815" s="1"/>
      <c r="H815" s="4"/>
      <c r="I815" s="4"/>
      <c r="J815" s="4"/>
      <c r="K815" s="4"/>
      <c r="L815" s="4"/>
      <c r="M815" s="4"/>
      <c r="N815" s="3"/>
      <c r="O815" s="1"/>
      <c r="P815" s="1"/>
      <c r="Q815" s="4"/>
      <c r="R815" s="5"/>
      <c r="S815" s="4"/>
      <c r="T815" s="1"/>
      <c r="U815" s="1"/>
      <c r="V815" s="1"/>
      <c r="W815" s="1"/>
      <c r="X815" s="1"/>
      <c r="Y815" s="6"/>
      <c r="Z815" s="4"/>
      <c r="AA815" s="4"/>
      <c r="AB815" s="4"/>
      <c r="AC815" s="1"/>
      <c r="AD815" s="1"/>
      <c r="AE815" s="1"/>
      <c r="AF815" s="1"/>
      <c r="AG815" s="1"/>
      <c r="AH815" s="4"/>
      <c r="AI815" s="1"/>
      <c r="AJ815" s="3"/>
      <c r="AK815" s="4"/>
      <c r="AL815" s="6"/>
      <c r="AM815" s="7"/>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row>
    <row r="816" spans="1:64" ht="16.5" customHeight="1">
      <c r="A816" s="1"/>
      <c r="B816" s="139"/>
      <c r="C816" s="1"/>
      <c r="D816" s="1"/>
      <c r="E816" s="1"/>
      <c r="F816" s="1"/>
      <c r="G816" s="1"/>
      <c r="H816" s="4"/>
      <c r="I816" s="4"/>
      <c r="J816" s="4"/>
      <c r="K816" s="4"/>
      <c r="L816" s="4"/>
      <c r="M816" s="4"/>
      <c r="N816" s="3"/>
      <c r="O816" s="1"/>
      <c r="P816" s="1"/>
      <c r="Q816" s="4"/>
      <c r="R816" s="5"/>
      <c r="S816" s="4"/>
      <c r="T816" s="1"/>
      <c r="U816" s="1"/>
      <c r="V816" s="1"/>
      <c r="W816" s="1"/>
      <c r="X816" s="1"/>
      <c r="Y816" s="6"/>
      <c r="Z816" s="4"/>
      <c r="AA816" s="4"/>
      <c r="AB816" s="4"/>
      <c r="AC816" s="1"/>
      <c r="AD816" s="1"/>
      <c r="AE816" s="1"/>
      <c r="AF816" s="1"/>
      <c r="AG816" s="1"/>
      <c r="AH816" s="4"/>
      <c r="AI816" s="1"/>
      <c r="AJ816" s="3"/>
      <c r="AK816" s="4"/>
      <c r="AL816" s="6"/>
      <c r="AM816" s="7"/>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row>
    <row r="817" spans="1:64" ht="16.5" customHeight="1">
      <c r="A817" s="1"/>
      <c r="B817" s="139"/>
      <c r="C817" s="1"/>
      <c r="D817" s="1"/>
      <c r="E817" s="1"/>
      <c r="F817" s="1"/>
      <c r="G817" s="1"/>
      <c r="H817" s="4"/>
      <c r="I817" s="4"/>
      <c r="J817" s="4"/>
      <c r="K817" s="4"/>
      <c r="L817" s="4"/>
      <c r="M817" s="4"/>
      <c r="N817" s="3"/>
      <c r="O817" s="1"/>
      <c r="P817" s="1"/>
      <c r="Q817" s="4"/>
      <c r="R817" s="5"/>
      <c r="S817" s="4"/>
      <c r="T817" s="1"/>
      <c r="U817" s="1"/>
      <c r="V817" s="1"/>
      <c r="W817" s="1"/>
      <c r="X817" s="1"/>
      <c r="Y817" s="6"/>
      <c r="Z817" s="4"/>
      <c r="AA817" s="4"/>
      <c r="AB817" s="4"/>
      <c r="AC817" s="1"/>
      <c r="AD817" s="1"/>
      <c r="AE817" s="1"/>
      <c r="AF817" s="1"/>
      <c r="AG817" s="1"/>
      <c r="AH817" s="4"/>
      <c r="AI817" s="1"/>
      <c r="AJ817" s="3"/>
      <c r="AK817" s="4"/>
      <c r="AL817" s="6"/>
      <c r="AM817" s="7"/>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row>
    <row r="818" spans="1:64" ht="16.5" customHeight="1">
      <c r="A818" s="1"/>
      <c r="B818" s="139"/>
      <c r="C818" s="1"/>
      <c r="D818" s="1"/>
      <c r="E818" s="1"/>
      <c r="F818" s="1"/>
      <c r="G818" s="1"/>
      <c r="H818" s="4"/>
      <c r="I818" s="4"/>
      <c r="J818" s="4"/>
      <c r="K818" s="4"/>
      <c r="L818" s="4"/>
      <c r="M818" s="4"/>
      <c r="N818" s="3"/>
      <c r="O818" s="1"/>
      <c r="P818" s="1"/>
      <c r="Q818" s="4"/>
      <c r="R818" s="5"/>
      <c r="S818" s="4"/>
      <c r="T818" s="1"/>
      <c r="U818" s="1"/>
      <c r="V818" s="1"/>
      <c r="W818" s="1"/>
      <c r="X818" s="1"/>
      <c r="Y818" s="6"/>
      <c r="Z818" s="4"/>
      <c r="AA818" s="4"/>
      <c r="AB818" s="4"/>
      <c r="AC818" s="1"/>
      <c r="AD818" s="1"/>
      <c r="AE818" s="1"/>
      <c r="AF818" s="1"/>
      <c r="AG818" s="1"/>
      <c r="AH818" s="4"/>
      <c r="AI818" s="1"/>
      <c r="AJ818" s="3"/>
      <c r="AK818" s="4"/>
      <c r="AL818" s="6"/>
      <c r="AM818" s="7"/>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row>
    <row r="819" spans="1:64" ht="16.5" customHeight="1">
      <c r="A819" s="1"/>
      <c r="B819" s="139"/>
      <c r="C819" s="1"/>
      <c r="D819" s="1"/>
      <c r="E819" s="1"/>
      <c r="F819" s="1"/>
      <c r="G819" s="1"/>
      <c r="H819" s="4"/>
      <c r="I819" s="4"/>
      <c r="J819" s="4"/>
      <c r="K819" s="4"/>
      <c r="L819" s="4"/>
      <c r="M819" s="4"/>
      <c r="N819" s="3"/>
      <c r="O819" s="1"/>
      <c r="P819" s="1"/>
      <c r="Q819" s="4"/>
      <c r="R819" s="5"/>
      <c r="S819" s="4"/>
      <c r="T819" s="1"/>
      <c r="U819" s="1"/>
      <c r="V819" s="1"/>
      <c r="W819" s="1"/>
      <c r="X819" s="1"/>
      <c r="Y819" s="6"/>
      <c r="Z819" s="4"/>
      <c r="AA819" s="4"/>
      <c r="AB819" s="4"/>
      <c r="AC819" s="1"/>
      <c r="AD819" s="1"/>
      <c r="AE819" s="1"/>
      <c r="AF819" s="1"/>
      <c r="AG819" s="1"/>
      <c r="AH819" s="4"/>
      <c r="AI819" s="1"/>
      <c r="AJ819" s="3"/>
      <c r="AK819" s="4"/>
      <c r="AL819" s="6"/>
      <c r="AM819" s="7"/>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row>
    <row r="820" spans="1:64" ht="16.5" customHeight="1">
      <c r="A820" s="1"/>
      <c r="B820" s="139"/>
      <c r="C820" s="1"/>
      <c r="D820" s="1"/>
      <c r="E820" s="1"/>
      <c r="F820" s="1"/>
      <c r="G820" s="1"/>
      <c r="H820" s="4"/>
      <c r="I820" s="4"/>
      <c r="J820" s="4"/>
      <c r="K820" s="4"/>
      <c r="L820" s="4"/>
      <c r="M820" s="4"/>
      <c r="N820" s="3"/>
      <c r="O820" s="1"/>
      <c r="P820" s="1"/>
      <c r="Q820" s="4"/>
      <c r="R820" s="5"/>
      <c r="S820" s="4"/>
      <c r="T820" s="1"/>
      <c r="U820" s="1"/>
      <c r="V820" s="1"/>
      <c r="W820" s="1"/>
      <c r="X820" s="1"/>
      <c r="Y820" s="6"/>
      <c r="Z820" s="4"/>
      <c r="AA820" s="4"/>
      <c r="AB820" s="4"/>
      <c r="AC820" s="1"/>
      <c r="AD820" s="1"/>
      <c r="AE820" s="1"/>
      <c r="AF820" s="1"/>
      <c r="AG820" s="1"/>
      <c r="AH820" s="4"/>
      <c r="AI820" s="1"/>
      <c r="AJ820" s="3"/>
      <c r="AK820" s="4"/>
      <c r="AL820" s="6"/>
      <c r="AM820" s="7"/>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row>
    <row r="821" spans="1:64" ht="16.5" customHeight="1">
      <c r="A821" s="1"/>
      <c r="B821" s="139"/>
      <c r="C821" s="1"/>
      <c r="D821" s="1"/>
      <c r="E821" s="1"/>
      <c r="F821" s="1"/>
      <c r="G821" s="1"/>
      <c r="H821" s="4"/>
      <c r="I821" s="4"/>
      <c r="J821" s="4"/>
      <c r="K821" s="4"/>
      <c r="L821" s="4"/>
      <c r="M821" s="4"/>
      <c r="N821" s="3"/>
      <c r="O821" s="1"/>
      <c r="P821" s="1"/>
      <c r="Q821" s="4"/>
      <c r="R821" s="5"/>
      <c r="S821" s="4"/>
      <c r="T821" s="1"/>
      <c r="U821" s="1"/>
      <c r="V821" s="1"/>
      <c r="W821" s="1"/>
      <c r="X821" s="1"/>
      <c r="Y821" s="6"/>
      <c r="Z821" s="4"/>
      <c r="AA821" s="4"/>
      <c r="AB821" s="4"/>
      <c r="AC821" s="1"/>
      <c r="AD821" s="1"/>
      <c r="AE821" s="1"/>
      <c r="AF821" s="1"/>
      <c r="AG821" s="1"/>
      <c r="AH821" s="4"/>
      <c r="AI821" s="1"/>
      <c r="AJ821" s="3"/>
      <c r="AK821" s="4"/>
      <c r="AL821" s="6"/>
      <c r="AM821" s="7"/>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row>
    <row r="822" spans="1:64" ht="16.5" customHeight="1">
      <c r="A822" s="1"/>
      <c r="B822" s="139"/>
      <c r="C822" s="1"/>
      <c r="D822" s="1"/>
      <c r="E822" s="1"/>
      <c r="F822" s="1"/>
      <c r="G822" s="1"/>
      <c r="H822" s="4"/>
      <c r="I822" s="4"/>
      <c r="J822" s="4"/>
      <c r="K822" s="4"/>
      <c r="L822" s="4"/>
      <c r="M822" s="4"/>
      <c r="N822" s="3"/>
      <c r="O822" s="1"/>
      <c r="P822" s="1"/>
      <c r="Q822" s="4"/>
      <c r="R822" s="5"/>
      <c r="S822" s="4"/>
      <c r="T822" s="1"/>
      <c r="U822" s="1"/>
      <c r="V822" s="1"/>
      <c r="W822" s="1"/>
      <c r="X822" s="1"/>
      <c r="Y822" s="6"/>
      <c r="Z822" s="4"/>
      <c r="AA822" s="4"/>
      <c r="AB822" s="4"/>
      <c r="AC822" s="1"/>
      <c r="AD822" s="1"/>
      <c r="AE822" s="1"/>
      <c r="AF822" s="1"/>
      <c r="AG822" s="1"/>
      <c r="AH822" s="4"/>
      <c r="AI822" s="1"/>
      <c r="AJ822" s="3"/>
      <c r="AK822" s="4"/>
      <c r="AL822" s="6"/>
      <c r="AM822" s="7"/>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row>
    <row r="823" spans="1:64" ht="16.5" customHeight="1">
      <c r="A823" s="1"/>
      <c r="B823" s="139"/>
      <c r="C823" s="1"/>
      <c r="D823" s="1"/>
      <c r="E823" s="1"/>
      <c r="F823" s="1"/>
      <c r="G823" s="1"/>
      <c r="H823" s="4"/>
      <c r="I823" s="4"/>
      <c r="J823" s="4"/>
      <c r="K823" s="4"/>
      <c r="L823" s="4"/>
      <c r="M823" s="4"/>
      <c r="N823" s="3"/>
      <c r="O823" s="1"/>
      <c r="P823" s="1"/>
      <c r="Q823" s="4"/>
      <c r="R823" s="5"/>
      <c r="S823" s="4"/>
      <c r="T823" s="1"/>
      <c r="U823" s="1"/>
      <c r="V823" s="1"/>
      <c r="W823" s="1"/>
      <c r="X823" s="1"/>
      <c r="Y823" s="6"/>
      <c r="Z823" s="4"/>
      <c r="AA823" s="4"/>
      <c r="AB823" s="4"/>
      <c r="AC823" s="1"/>
      <c r="AD823" s="1"/>
      <c r="AE823" s="1"/>
      <c r="AF823" s="1"/>
      <c r="AG823" s="1"/>
      <c r="AH823" s="4"/>
      <c r="AI823" s="1"/>
      <c r="AJ823" s="3"/>
      <c r="AK823" s="4"/>
      <c r="AL823" s="6"/>
      <c r="AM823" s="7"/>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row>
    <row r="824" spans="1:64" ht="16.5" customHeight="1">
      <c r="A824" s="1"/>
      <c r="B824" s="139"/>
      <c r="C824" s="1"/>
      <c r="D824" s="1"/>
      <c r="E824" s="1"/>
      <c r="F824" s="1"/>
      <c r="G824" s="1"/>
      <c r="H824" s="4"/>
      <c r="I824" s="4"/>
      <c r="J824" s="4"/>
      <c r="K824" s="4"/>
      <c r="L824" s="4"/>
      <c r="M824" s="4"/>
      <c r="N824" s="3"/>
      <c r="O824" s="1"/>
      <c r="P824" s="1"/>
      <c r="Q824" s="4"/>
      <c r="R824" s="5"/>
      <c r="S824" s="4"/>
      <c r="T824" s="1"/>
      <c r="U824" s="1"/>
      <c r="V824" s="1"/>
      <c r="W824" s="1"/>
      <c r="X824" s="1"/>
      <c r="Y824" s="6"/>
      <c r="Z824" s="4"/>
      <c r="AA824" s="4"/>
      <c r="AB824" s="4"/>
      <c r="AC824" s="1"/>
      <c r="AD824" s="1"/>
      <c r="AE824" s="1"/>
      <c r="AF824" s="1"/>
      <c r="AG824" s="1"/>
      <c r="AH824" s="4"/>
      <c r="AI824" s="1"/>
      <c r="AJ824" s="3"/>
      <c r="AK824" s="4"/>
      <c r="AL824" s="6"/>
      <c r="AM824" s="7"/>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row>
    <row r="825" spans="1:64" ht="16.5" customHeight="1">
      <c r="A825" s="1"/>
      <c r="B825" s="139"/>
      <c r="C825" s="1"/>
      <c r="D825" s="1"/>
      <c r="E825" s="1"/>
      <c r="F825" s="1"/>
      <c r="G825" s="1"/>
      <c r="H825" s="4"/>
      <c r="I825" s="4"/>
      <c r="J825" s="4"/>
      <c r="K825" s="4"/>
      <c r="L825" s="4"/>
      <c r="M825" s="4"/>
      <c r="N825" s="3"/>
      <c r="O825" s="1"/>
      <c r="P825" s="1"/>
      <c r="Q825" s="4"/>
      <c r="R825" s="5"/>
      <c r="S825" s="4"/>
      <c r="T825" s="1"/>
      <c r="U825" s="1"/>
      <c r="V825" s="1"/>
      <c r="W825" s="1"/>
      <c r="X825" s="1"/>
      <c r="Y825" s="6"/>
      <c r="Z825" s="4"/>
      <c r="AA825" s="4"/>
      <c r="AB825" s="4"/>
      <c r="AC825" s="1"/>
      <c r="AD825" s="1"/>
      <c r="AE825" s="1"/>
      <c r="AF825" s="1"/>
      <c r="AG825" s="1"/>
      <c r="AH825" s="4"/>
      <c r="AI825" s="1"/>
      <c r="AJ825" s="3"/>
      <c r="AK825" s="4"/>
      <c r="AL825" s="6"/>
      <c r="AM825" s="7"/>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row>
    <row r="826" spans="1:64" ht="16.5" customHeight="1">
      <c r="A826" s="1"/>
      <c r="B826" s="139"/>
      <c r="C826" s="1"/>
      <c r="D826" s="1"/>
      <c r="E826" s="1"/>
      <c r="F826" s="1"/>
      <c r="G826" s="1"/>
      <c r="H826" s="4"/>
      <c r="I826" s="4"/>
      <c r="J826" s="4"/>
      <c r="K826" s="4"/>
      <c r="L826" s="4"/>
      <c r="M826" s="4"/>
      <c r="N826" s="3"/>
      <c r="O826" s="1"/>
      <c r="P826" s="1"/>
      <c r="Q826" s="4"/>
      <c r="R826" s="5"/>
      <c r="S826" s="4"/>
      <c r="T826" s="1"/>
      <c r="U826" s="1"/>
      <c r="V826" s="1"/>
      <c r="W826" s="1"/>
      <c r="X826" s="1"/>
      <c r="Y826" s="6"/>
      <c r="Z826" s="4"/>
      <c r="AA826" s="4"/>
      <c r="AB826" s="4"/>
      <c r="AC826" s="1"/>
      <c r="AD826" s="1"/>
      <c r="AE826" s="1"/>
      <c r="AF826" s="1"/>
      <c r="AG826" s="1"/>
      <c r="AH826" s="4"/>
      <c r="AI826" s="1"/>
      <c r="AJ826" s="3"/>
      <c r="AK826" s="4"/>
      <c r="AL826" s="6"/>
      <c r="AM826" s="7"/>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row>
    <row r="827" spans="1:64" ht="16.5" customHeight="1">
      <c r="A827" s="1"/>
      <c r="B827" s="139"/>
      <c r="C827" s="1"/>
      <c r="D827" s="1"/>
      <c r="E827" s="1"/>
      <c r="F827" s="1"/>
      <c r="G827" s="1"/>
      <c r="H827" s="4"/>
      <c r="I827" s="4"/>
      <c r="J827" s="4"/>
      <c r="K827" s="4"/>
      <c r="L827" s="4"/>
      <c r="M827" s="4"/>
      <c r="N827" s="3"/>
      <c r="O827" s="1"/>
      <c r="P827" s="1"/>
      <c r="Q827" s="4"/>
      <c r="R827" s="5"/>
      <c r="S827" s="4"/>
      <c r="T827" s="1"/>
      <c r="U827" s="1"/>
      <c r="V827" s="1"/>
      <c r="W827" s="1"/>
      <c r="X827" s="1"/>
      <c r="Y827" s="6"/>
      <c r="Z827" s="4"/>
      <c r="AA827" s="4"/>
      <c r="AB827" s="4"/>
      <c r="AC827" s="1"/>
      <c r="AD827" s="1"/>
      <c r="AE827" s="1"/>
      <c r="AF827" s="1"/>
      <c r="AG827" s="1"/>
      <c r="AH827" s="4"/>
      <c r="AI827" s="1"/>
      <c r="AJ827" s="3"/>
      <c r="AK827" s="4"/>
      <c r="AL827" s="6"/>
      <c r="AM827" s="7"/>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row>
    <row r="828" spans="1:64" ht="16.5" customHeight="1">
      <c r="A828" s="1"/>
      <c r="B828" s="139"/>
      <c r="C828" s="1"/>
      <c r="D828" s="1"/>
      <c r="E828" s="1"/>
      <c r="F828" s="1"/>
      <c r="G828" s="1"/>
      <c r="H828" s="4"/>
      <c r="I828" s="4"/>
      <c r="J828" s="4"/>
      <c r="K828" s="4"/>
      <c r="L828" s="4"/>
      <c r="M828" s="4"/>
      <c r="N828" s="3"/>
      <c r="O828" s="1"/>
      <c r="P828" s="1"/>
      <c r="Q828" s="4"/>
      <c r="R828" s="5"/>
      <c r="S828" s="4"/>
      <c r="T828" s="1"/>
      <c r="U828" s="1"/>
      <c r="V828" s="1"/>
      <c r="W828" s="1"/>
      <c r="X828" s="1"/>
      <c r="Y828" s="6"/>
      <c r="Z828" s="4"/>
      <c r="AA828" s="4"/>
      <c r="AB828" s="4"/>
      <c r="AC828" s="1"/>
      <c r="AD828" s="1"/>
      <c r="AE828" s="1"/>
      <c r="AF828" s="1"/>
      <c r="AG828" s="1"/>
      <c r="AH828" s="4"/>
      <c r="AI828" s="1"/>
      <c r="AJ828" s="3"/>
      <c r="AK828" s="4"/>
      <c r="AL828" s="6"/>
      <c r="AM828" s="7"/>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row>
    <row r="829" spans="1:64" ht="16.5" customHeight="1">
      <c r="A829" s="1"/>
      <c r="B829" s="139"/>
      <c r="C829" s="1"/>
      <c r="D829" s="1"/>
      <c r="E829" s="1"/>
      <c r="F829" s="1"/>
      <c r="G829" s="1"/>
      <c r="H829" s="4"/>
      <c r="I829" s="4"/>
      <c r="J829" s="4"/>
      <c r="K829" s="4"/>
      <c r="L829" s="4"/>
      <c r="M829" s="4"/>
      <c r="N829" s="3"/>
      <c r="O829" s="1"/>
      <c r="P829" s="1"/>
      <c r="Q829" s="4"/>
      <c r="R829" s="5"/>
      <c r="S829" s="4"/>
      <c r="T829" s="1"/>
      <c r="U829" s="1"/>
      <c r="V829" s="1"/>
      <c r="W829" s="1"/>
      <c r="X829" s="1"/>
      <c r="Y829" s="6"/>
      <c r="Z829" s="4"/>
      <c r="AA829" s="4"/>
      <c r="AB829" s="4"/>
      <c r="AC829" s="1"/>
      <c r="AD829" s="1"/>
      <c r="AE829" s="1"/>
      <c r="AF829" s="1"/>
      <c r="AG829" s="1"/>
      <c r="AH829" s="4"/>
      <c r="AI829" s="1"/>
      <c r="AJ829" s="3"/>
      <c r="AK829" s="4"/>
      <c r="AL829" s="6"/>
      <c r="AM829" s="7"/>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row>
    <row r="830" spans="1:64" ht="16.5" customHeight="1">
      <c r="A830" s="1"/>
      <c r="B830" s="139"/>
      <c r="C830" s="1"/>
      <c r="D830" s="1"/>
      <c r="E830" s="1"/>
      <c r="F830" s="1"/>
      <c r="G830" s="1"/>
      <c r="H830" s="4"/>
      <c r="I830" s="4"/>
      <c r="J830" s="4"/>
      <c r="K830" s="4"/>
      <c r="L830" s="4"/>
      <c r="M830" s="4"/>
      <c r="N830" s="3"/>
      <c r="O830" s="1"/>
      <c r="P830" s="1"/>
      <c r="Q830" s="4"/>
      <c r="R830" s="5"/>
      <c r="S830" s="4"/>
      <c r="T830" s="1"/>
      <c r="U830" s="1"/>
      <c r="V830" s="1"/>
      <c r="W830" s="1"/>
      <c r="X830" s="1"/>
      <c r="Y830" s="6"/>
      <c r="Z830" s="4"/>
      <c r="AA830" s="4"/>
      <c r="AB830" s="4"/>
      <c r="AC830" s="1"/>
      <c r="AD830" s="1"/>
      <c r="AE830" s="1"/>
      <c r="AF830" s="1"/>
      <c r="AG830" s="1"/>
      <c r="AH830" s="4"/>
      <c r="AI830" s="1"/>
      <c r="AJ830" s="3"/>
      <c r="AK830" s="4"/>
      <c r="AL830" s="6"/>
      <c r="AM830" s="7"/>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row>
    <row r="831" spans="1:64" ht="16.5" customHeight="1">
      <c r="A831" s="1"/>
      <c r="B831" s="139"/>
      <c r="C831" s="1"/>
      <c r="D831" s="1"/>
      <c r="E831" s="1"/>
      <c r="F831" s="1"/>
      <c r="G831" s="1"/>
      <c r="H831" s="4"/>
      <c r="I831" s="4"/>
      <c r="J831" s="4"/>
      <c r="K831" s="4"/>
      <c r="L831" s="4"/>
      <c r="M831" s="4"/>
      <c r="N831" s="3"/>
      <c r="O831" s="1"/>
      <c r="P831" s="1"/>
      <c r="Q831" s="4"/>
      <c r="R831" s="5"/>
      <c r="S831" s="4"/>
      <c r="T831" s="1"/>
      <c r="U831" s="1"/>
      <c r="V831" s="1"/>
      <c r="W831" s="1"/>
      <c r="X831" s="1"/>
      <c r="Y831" s="6"/>
      <c r="Z831" s="4"/>
      <c r="AA831" s="4"/>
      <c r="AB831" s="4"/>
      <c r="AC831" s="1"/>
      <c r="AD831" s="1"/>
      <c r="AE831" s="1"/>
      <c r="AF831" s="1"/>
      <c r="AG831" s="1"/>
      <c r="AH831" s="4"/>
      <c r="AI831" s="1"/>
      <c r="AJ831" s="3"/>
      <c r="AK831" s="4"/>
      <c r="AL831" s="6"/>
      <c r="AM831" s="7"/>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row>
    <row r="832" spans="1:64" ht="16.5" customHeight="1">
      <c r="A832" s="1"/>
      <c r="B832" s="139"/>
      <c r="C832" s="1"/>
      <c r="D832" s="1"/>
      <c r="E832" s="1"/>
      <c r="F832" s="1"/>
      <c r="G832" s="1"/>
      <c r="H832" s="4"/>
      <c r="I832" s="4"/>
      <c r="J832" s="4"/>
      <c r="K832" s="4"/>
      <c r="L832" s="4"/>
      <c r="M832" s="4"/>
      <c r="N832" s="3"/>
      <c r="O832" s="1"/>
      <c r="P832" s="1"/>
      <c r="Q832" s="4"/>
      <c r="R832" s="5"/>
      <c r="S832" s="4"/>
      <c r="T832" s="1"/>
      <c r="U832" s="1"/>
      <c r="V832" s="1"/>
      <c r="W832" s="1"/>
      <c r="X832" s="1"/>
      <c r="Y832" s="6"/>
      <c r="Z832" s="4"/>
      <c r="AA832" s="4"/>
      <c r="AB832" s="4"/>
      <c r="AC832" s="1"/>
      <c r="AD832" s="1"/>
      <c r="AE832" s="1"/>
      <c r="AF832" s="1"/>
      <c r="AG832" s="1"/>
      <c r="AH832" s="4"/>
      <c r="AI832" s="1"/>
      <c r="AJ832" s="3"/>
      <c r="AK832" s="4"/>
      <c r="AL832" s="6"/>
      <c r="AM832" s="7"/>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row>
    <row r="833" spans="1:64" ht="16.5" customHeight="1">
      <c r="A833" s="1"/>
      <c r="B833" s="139"/>
      <c r="C833" s="1"/>
      <c r="D833" s="1"/>
      <c r="E833" s="1"/>
      <c r="F833" s="1"/>
      <c r="G833" s="1"/>
      <c r="H833" s="4"/>
      <c r="I833" s="4"/>
      <c r="J833" s="4"/>
      <c r="K833" s="4"/>
      <c r="L833" s="4"/>
      <c r="M833" s="4"/>
      <c r="N833" s="3"/>
      <c r="O833" s="1"/>
      <c r="P833" s="1"/>
      <c r="Q833" s="4"/>
      <c r="R833" s="5"/>
      <c r="S833" s="4"/>
      <c r="T833" s="1"/>
      <c r="U833" s="1"/>
      <c r="V833" s="1"/>
      <c r="W833" s="1"/>
      <c r="X833" s="1"/>
      <c r="Y833" s="6"/>
      <c r="Z833" s="4"/>
      <c r="AA833" s="4"/>
      <c r="AB833" s="4"/>
      <c r="AC833" s="1"/>
      <c r="AD833" s="1"/>
      <c r="AE833" s="1"/>
      <c r="AF833" s="1"/>
      <c r="AG833" s="1"/>
      <c r="AH833" s="4"/>
      <c r="AI833" s="1"/>
      <c r="AJ833" s="3"/>
      <c r="AK833" s="4"/>
      <c r="AL833" s="6"/>
      <c r="AM833" s="7"/>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row>
    <row r="834" spans="1:64" ht="16.5" customHeight="1">
      <c r="A834" s="1"/>
      <c r="B834" s="139"/>
      <c r="C834" s="1"/>
      <c r="D834" s="1"/>
      <c r="E834" s="1"/>
      <c r="F834" s="1"/>
      <c r="G834" s="1"/>
      <c r="H834" s="4"/>
      <c r="I834" s="4"/>
      <c r="J834" s="4"/>
      <c r="K834" s="4"/>
      <c r="L834" s="4"/>
      <c r="M834" s="4"/>
      <c r="N834" s="3"/>
      <c r="O834" s="1"/>
      <c r="P834" s="1"/>
      <c r="Q834" s="4"/>
      <c r="R834" s="5"/>
      <c r="S834" s="4"/>
      <c r="T834" s="1"/>
      <c r="U834" s="1"/>
      <c r="V834" s="1"/>
      <c r="W834" s="1"/>
      <c r="X834" s="1"/>
      <c r="Y834" s="6"/>
      <c r="Z834" s="4"/>
      <c r="AA834" s="4"/>
      <c r="AB834" s="4"/>
      <c r="AC834" s="1"/>
      <c r="AD834" s="1"/>
      <c r="AE834" s="1"/>
      <c r="AF834" s="1"/>
      <c r="AG834" s="1"/>
      <c r="AH834" s="4"/>
      <c r="AI834" s="1"/>
      <c r="AJ834" s="3"/>
      <c r="AK834" s="4"/>
      <c r="AL834" s="6"/>
      <c r="AM834" s="7"/>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row>
    <row r="835" spans="1:64" ht="16.5" customHeight="1">
      <c r="A835" s="1"/>
      <c r="B835" s="139"/>
      <c r="C835" s="1"/>
      <c r="D835" s="1"/>
      <c r="E835" s="1"/>
      <c r="F835" s="1"/>
      <c r="G835" s="1"/>
      <c r="H835" s="4"/>
      <c r="I835" s="4"/>
      <c r="J835" s="4"/>
      <c r="K835" s="4"/>
      <c r="L835" s="4"/>
      <c r="M835" s="4"/>
      <c r="N835" s="3"/>
      <c r="O835" s="1"/>
      <c r="P835" s="1"/>
      <c r="Q835" s="4"/>
      <c r="R835" s="5"/>
      <c r="S835" s="4"/>
      <c r="T835" s="1"/>
      <c r="U835" s="1"/>
      <c r="V835" s="1"/>
      <c r="W835" s="1"/>
      <c r="X835" s="1"/>
      <c r="Y835" s="6"/>
      <c r="Z835" s="4"/>
      <c r="AA835" s="4"/>
      <c r="AB835" s="4"/>
      <c r="AC835" s="1"/>
      <c r="AD835" s="1"/>
      <c r="AE835" s="1"/>
      <c r="AF835" s="1"/>
      <c r="AG835" s="1"/>
      <c r="AH835" s="4"/>
      <c r="AI835" s="1"/>
      <c r="AJ835" s="3"/>
      <c r="AK835" s="4"/>
      <c r="AL835" s="6"/>
      <c r="AM835" s="7"/>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row>
    <row r="836" spans="1:64" ht="16.5" customHeight="1">
      <c r="A836" s="1"/>
      <c r="B836" s="139"/>
      <c r="C836" s="1"/>
      <c r="D836" s="1"/>
      <c r="E836" s="1"/>
      <c r="F836" s="1"/>
      <c r="G836" s="1"/>
      <c r="H836" s="4"/>
      <c r="I836" s="4"/>
      <c r="J836" s="4"/>
      <c r="K836" s="4"/>
      <c r="L836" s="4"/>
      <c r="M836" s="4"/>
      <c r="N836" s="3"/>
      <c r="O836" s="1"/>
      <c r="P836" s="1"/>
      <c r="Q836" s="4"/>
      <c r="R836" s="5"/>
      <c r="S836" s="4"/>
      <c r="T836" s="1"/>
      <c r="U836" s="1"/>
      <c r="V836" s="1"/>
      <c r="W836" s="1"/>
      <c r="X836" s="1"/>
      <c r="Y836" s="6"/>
      <c r="Z836" s="4"/>
      <c r="AA836" s="4"/>
      <c r="AB836" s="4"/>
      <c r="AC836" s="1"/>
      <c r="AD836" s="1"/>
      <c r="AE836" s="1"/>
      <c r="AF836" s="1"/>
      <c r="AG836" s="1"/>
      <c r="AH836" s="4"/>
      <c r="AI836" s="1"/>
      <c r="AJ836" s="3"/>
      <c r="AK836" s="4"/>
      <c r="AL836" s="6"/>
      <c r="AM836" s="7"/>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row>
    <row r="837" spans="1:64" ht="16.5" customHeight="1">
      <c r="A837" s="1"/>
      <c r="B837" s="139"/>
      <c r="C837" s="1"/>
      <c r="D837" s="1"/>
      <c r="E837" s="1"/>
      <c r="F837" s="1"/>
      <c r="G837" s="1"/>
      <c r="H837" s="4"/>
      <c r="I837" s="4"/>
      <c r="J837" s="4"/>
      <c r="K837" s="4"/>
      <c r="L837" s="4"/>
      <c r="M837" s="4"/>
      <c r="N837" s="3"/>
      <c r="O837" s="1"/>
      <c r="P837" s="1"/>
      <c r="Q837" s="4"/>
      <c r="R837" s="5"/>
      <c r="S837" s="4"/>
      <c r="T837" s="1"/>
      <c r="U837" s="1"/>
      <c r="V837" s="1"/>
      <c r="W837" s="1"/>
      <c r="X837" s="1"/>
      <c r="Y837" s="6"/>
      <c r="Z837" s="4"/>
      <c r="AA837" s="4"/>
      <c r="AB837" s="4"/>
      <c r="AC837" s="1"/>
      <c r="AD837" s="1"/>
      <c r="AE837" s="1"/>
      <c r="AF837" s="1"/>
      <c r="AG837" s="1"/>
      <c r="AH837" s="4"/>
      <c r="AI837" s="1"/>
      <c r="AJ837" s="3"/>
      <c r="AK837" s="4"/>
      <c r="AL837" s="6"/>
      <c r="AM837" s="7"/>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row>
    <row r="838" spans="1:64" ht="16.5" customHeight="1">
      <c r="A838" s="1"/>
      <c r="B838" s="139"/>
      <c r="C838" s="1"/>
      <c r="D838" s="1"/>
      <c r="E838" s="1"/>
      <c r="F838" s="1"/>
      <c r="G838" s="1"/>
      <c r="H838" s="4"/>
      <c r="I838" s="4"/>
      <c r="J838" s="4"/>
      <c r="K838" s="4"/>
      <c r="L838" s="4"/>
      <c r="M838" s="4"/>
      <c r="N838" s="3"/>
      <c r="O838" s="1"/>
      <c r="P838" s="1"/>
      <c r="Q838" s="4"/>
      <c r="R838" s="5"/>
      <c r="S838" s="4"/>
      <c r="T838" s="1"/>
      <c r="U838" s="1"/>
      <c r="V838" s="1"/>
      <c r="W838" s="1"/>
      <c r="X838" s="1"/>
      <c r="Y838" s="6"/>
      <c r="Z838" s="4"/>
      <c r="AA838" s="4"/>
      <c r="AB838" s="4"/>
      <c r="AC838" s="1"/>
      <c r="AD838" s="1"/>
      <c r="AE838" s="1"/>
      <c r="AF838" s="1"/>
      <c r="AG838" s="1"/>
      <c r="AH838" s="4"/>
      <c r="AI838" s="1"/>
      <c r="AJ838" s="3"/>
      <c r="AK838" s="4"/>
      <c r="AL838" s="6"/>
      <c r="AM838" s="7"/>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row>
    <row r="839" spans="1:64" ht="16.5" customHeight="1">
      <c r="A839" s="1"/>
      <c r="B839" s="139"/>
      <c r="C839" s="1"/>
      <c r="D839" s="1"/>
      <c r="E839" s="1"/>
      <c r="F839" s="1"/>
      <c r="G839" s="1"/>
      <c r="H839" s="4"/>
      <c r="I839" s="4"/>
      <c r="J839" s="4"/>
      <c r="K839" s="4"/>
      <c r="L839" s="4"/>
      <c r="M839" s="4"/>
      <c r="N839" s="3"/>
      <c r="O839" s="1"/>
      <c r="P839" s="1"/>
      <c r="Q839" s="4"/>
      <c r="R839" s="5"/>
      <c r="S839" s="4"/>
      <c r="T839" s="1"/>
      <c r="U839" s="1"/>
      <c r="V839" s="1"/>
      <c r="W839" s="1"/>
      <c r="X839" s="1"/>
      <c r="Y839" s="6"/>
      <c r="Z839" s="4"/>
      <c r="AA839" s="4"/>
      <c r="AB839" s="4"/>
      <c r="AC839" s="1"/>
      <c r="AD839" s="1"/>
      <c r="AE839" s="1"/>
      <c r="AF839" s="1"/>
      <c r="AG839" s="1"/>
      <c r="AH839" s="4"/>
      <c r="AI839" s="1"/>
      <c r="AJ839" s="3"/>
      <c r="AK839" s="4"/>
      <c r="AL839" s="6"/>
      <c r="AM839" s="7"/>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row>
    <row r="840" spans="1:64" ht="16.5" customHeight="1">
      <c r="A840" s="1"/>
      <c r="B840" s="139"/>
      <c r="C840" s="1"/>
      <c r="D840" s="1"/>
      <c r="E840" s="1"/>
      <c r="F840" s="1"/>
      <c r="G840" s="1"/>
      <c r="H840" s="4"/>
      <c r="I840" s="4"/>
      <c r="J840" s="4"/>
      <c r="K840" s="4"/>
      <c r="L840" s="4"/>
      <c r="M840" s="4"/>
      <c r="N840" s="3"/>
      <c r="O840" s="1"/>
      <c r="P840" s="1"/>
      <c r="Q840" s="4"/>
      <c r="R840" s="5"/>
      <c r="S840" s="4"/>
      <c r="T840" s="1"/>
      <c r="U840" s="1"/>
      <c r="V840" s="1"/>
      <c r="W840" s="1"/>
      <c r="X840" s="1"/>
      <c r="Y840" s="6"/>
      <c r="Z840" s="4"/>
      <c r="AA840" s="4"/>
      <c r="AB840" s="4"/>
      <c r="AC840" s="1"/>
      <c r="AD840" s="1"/>
      <c r="AE840" s="1"/>
      <c r="AF840" s="1"/>
      <c r="AG840" s="1"/>
      <c r="AH840" s="4"/>
      <c r="AI840" s="1"/>
      <c r="AJ840" s="3"/>
      <c r="AK840" s="4"/>
      <c r="AL840" s="6"/>
      <c r="AM840" s="7"/>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row>
    <row r="841" spans="1:64" ht="16.5" customHeight="1">
      <c r="A841" s="1"/>
      <c r="B841" s="139"/>
      <c r="C841" s="1"/>
      <c r="D841" s="1"/>
      <c r="E841" s="1"/>
      <c r="F841" s="1"/>
      <c r="G841" s="1"/>
      <c r="H841" s="4"/>
      <c r="I841" s="4"/>
      <c r="J841" s="4"/>
      <c r="K841" s="4"/>
      <c r="L841" s="4"/>
      <c r="M841" s="4"/>
      <c r="N841" s="3"/>
      <c r="O841" s="1"/>
      <c r="P841" s="1"/>
      <c r="Q841" s="4"/>
      <c r="R841" s="5"/>
      <c r="S841" s="4"/>
      <c r="T841" s="1"/>
      <c r="U841" s="1"/>
      <c r="V841" s="1"/>
      <c r="W841" s="1"/>
      <c r="X841" s="1"/>
      <c r="Y841" s="6"/>
      <c r="Z841" s="4"/>
      <c r="AA841" s="4"/>
      <c r="AB841" s="4"/>
      <c r="AC841" s="1"/>
      <c r="AD841" s="1"/>
      <c r="AE841" s="1"/>
      <c r="AF841" s="1"/>
      <c r="AG841" s="1"/>
      <c r="AH841" s="4"/>
      <c r="AI841" s="1"/>
      <c r="AJ841" s="3"/>
      <c r="AK841" s="4"/>
      <c r="AL841" s="6"/>
      <c r="AM841" s="7"/>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row>
    <row r="842" spans="1:64" ht="16.5" customHeight="1">
      <c r="A842" s="1"/>
      <c r="B842" s="139"/>
      <c r="C842" s="1"/>
      <c r="D842" s="1"/>
      <c r="E842" s="1"/>
      <c r="F842" s="1"/>
      <c r="G842" s="1"/>
      <c r="H842" s="4"/>
      <c r="I842" s="4"/>
      <c r="J842" s="4"/>
      <c r="K842" s="4"/>
      <c r="L842" s="4"/>
      <c r="M842" s="4"/>
      <c r="N842" s="3"/>
      <c r="O842" s="1"/>
      <c r="P842" s="1"/>
      <c r="Q842" s="4"/>
      <c r="R842" s="5"/>
      <c r="S842" s="4"/>
      <c r="T842" s="1"/>
      <c r="U842" s="1"/>
      <c r="V842" s="1"/>
      <c r="W842" s="1"/>
      <c r="X842" s="1"/>
      <c r="Y842" s="6"/>
      <c r="Z842" s="4"/>
      <c r="AA842" s="4"/>
      <c r="AB842" s="4"/>
      <c r="AC842" s="1"/>
      <c r="AD842" s="1"/>
      <c r="AE842" s="1"/>
      <c r="AF842" s="1"/>
      <c r="AG842" s="1"/>
      <c r="AH842" s="4"/>
      <c r="AI842" s="1"/>
      <c r="AJ842" s="3"/>
      <c r="AK842" s="4"/>
      <c r="AL842" s="6"/>
      <c r="AM842" s="7"/>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row>
    <row r="843" spans="1:64" ht="16.5" customHeight="1">
      <c r="A843" s="1"/>
      <c r="B843" s="139"/>
      <c r="C843" s="1"/>
      <c r="D843" s="1"/>
      <c r="E843" s="1"/>
      <c r="F843" s="1"/>
      <c r="G843" s="1"/>
      <c r="H843" s="4"/>
      <c r="I843" s="4"/>
      <c r="J843" s="4"/>
      <c r="K843" s="4"/>
      <c r="L843" s="4"/>
      <c r="M843" s="4"/>
      <c r="N843" s="3"/>
      <c r="O843" s="1"/>
      <c r="P843" s="1"/>
      <c r="Q843" s="4"/>
      <c r="R843" s="5"/>
      <c r="S843" s="4"/>
      <c r="T843" s="1"/>
      <c r="U843" s="1"/>
      <c r="V843" s="1"/>
      <c r="W843" s="1"/>
      <c r="X843" s="1"/>
      <c r="Y843" s="6"/>
      <c r="Z843" s="4"/>
      <c r="AA843" s="4"/>
      <c r="AB843" s="4"/>
      <c r="AC843" s="1"/>
      <c r="AD843" s="1"/>
      <c r="AE843" s="1"/>
      <c r="AF843" s="1"/>
      <c r="AG843" s="1"/>
      <c r="AH843" s="4"/>
      <c r="AI843" s="1"/>
      <c r="AJ843" s="3"/>
      <c r="AK843" s="4"/>
      <c r="AL843" s="6"/>
      <c r="AM843" s="7"/>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row>
    <row r="844" spans="1:64" ht="16.5" customHeight="1">
      <c r="A844" s="1"/>
      <c r="B844" s="139"/>
      <c r="C844" s="1"/>
      <c r="D844" s="1"/>
      <c r="E844" s="1"/>
      <c r="F844" s="1"/>
      <c r="G844" s="1"/>
      <c r="H844" s="4"/>
      <c r="I844" s="4"/>
      <c r="J844" s="4"/>
      <c r="K844" s="4"/>
      <c r="L844" s="4"/>
      <c r="M844" s="4"/>
      <c r="N844" s="3"/>
      <c r="O844" s="1"/>
      <c r="P844" s="1"/>
      <c r="Q844" s="4"/>
      <c r="R844" s="5"/>
      <c r="S844" s="4"/>
      <c r="T844" s="1"/>
      <c r="U844" s="1"/>
      <c r="V844" s="1"/>
      <c r="W844" s="1"/>
      <c r="X844" s="1"/>
      <c r="Y844" s="6"/>
      <c r="Z844" s="4"/>
      <c r="AA844" s="4"/>
      <c r="AB844" s="4"/>
      <c r="AC844" s="1"/>
      <c r="AD844" s="1"/>
      <c r="AE844" s="1"/>
      <c r="AF844" s="1"/>
      <c r="AG844" s="1"/>
      <c r="AH844" s="4"/>
      <c r="AI844" s="1"/>
      <c r="AJ844" s="3"/>
      <c r="AK844" s="4"/>
      <c r="AL844" s="6"/>
      <c r="AM844" s="7"/>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row>
    <row r="845" spans="1:64" ht="16.5" customHeight="1">
      <c r="A845" s="1"/>
      <c r="B845" s="139"/>
      <c r="C845" s="1"/>
      <c r="D845" s="1"/>
      <c r="E845" s="1"/>
      <c r="F845" s="1"/>
      <c r="G845" s="1"/>
      <c r="H845" s="4"/>
      <c r="I845" s="4"/>
      <c r="J845" s="4"/>
      <c r="K845" s="4"/>
      <c r="L845" s="4"/>
      <c r="M845" s="4"/>
      <c r="N845" s="3"/>
      <c r="O845" s="1"/>
      <c r="P845" s="1"/>
      <c r="Q845" s="4"/>
      <c r="R845" s="5"/>
      <c r="S845" s="4"/>
      <c r="T845" s="1"/>
      <c r="U845" s="1"/>
      <c r="V845" s="1"/>
      <c r="W845" s="1"/>
      <c r="X845" s="1"/>
      <c r="Y845" s="6"/>
      <c r="Z845" s="4"/>
      <c r="AA845" s="4"/>
      <c r="AB845" s="4"/>
      <c r="AC845" s="1"/>
      <c r="AD845" s="1"/>
      <c r="AE845" s="1"/>
      <c r="AF845" s="1"/>
      <c r="AG845" s="1"/>
      <c r="AH845" s="4"/>
      <c r="AI845" s="1"/>
      <c r="AJ845" s="3"/>
      <c r="AK845" s="4"/>
      <c r="AL845" s="6"/>
      <c r="AM845" s="7"/>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row>
    <row r="846" spans="1:64" ht="16.5" customHeight="1">
      <c r="A846" s="1"/>
      <c r="B846" s="139"/>
      <c r="C846" s="1"/>
      <c r="D846" s="1"/>
      <c r="E846" s="1"/>
      <c r="F846" s="1"/>
      <c r="G846" s="1"/>
      <c r="H846" s="4"/>
      <c r="I846" s="4"/>
      <c r="J846" s="4"/>
      <c r="K846" s="4"/>
      <c r="L846" s="4"/>
      <c r="M846" s="4"/>
      <c r="N846" s="3"/>
      <c r="O846" s="1"/>
      <c r="P846" s="1"/>
      <c r="Q846" s="4"/>
      <c r="R846" s="5"/>
      <c r="S846" s="4"/>
      <c r="T846" s="1"/>
      <c r="U846" s="1"/>
      <c r="V846" s="1"/>
      <c r="W846" s="1"/>
      <c r="X846" s="1"/>
      <c r="Y846" s="6"/>
      <c r="Z846" s="4"/>
      <c r="AA846" s="4"/>
      <c r="AB846" s="4"/>
      <c r="AC846" s="1"/>
      <c r="AD846" s="1"/>
      <c r="AE846" s="1"/>
      <c r="AF846" s="1"/>
      <c r="AG846" s="1"/>
      <c r="AH846" s="4"/>
      <c r="AI846" s="1"/>
      <c r="AJ846" s="3"/>
      <c r="AK846" s="4"/>
      <c r="AL846" s="6"/>
      <c r="AM846" s="7"/>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row>
    <row r="847" spans="1:64" ht="16.5" customHeight="1">
      <c r="A847" s="1"/>
      <c r="B847" s="139"/>
      <c r="C847" s="1"/>
      <c r="D847" s="1"/>
      <c r="E847" s="1"/>
      <c r="F847" s="1"/>
      <c r="G847" s="1"/>
      <c r="H847" s="4"/>
      <c r="I847" s="4"/>
      <c r="J847" s="4"/>
      <c r="K847" s="4"/>
      <c r="L847" s="4"/>
      <c r="M847" s="4"/>
      <c r="N847" s="3"/>
      <c r="O847" s="1"/>
      <c r="P847" s="1"/>
      <c r="Q847" s="4"/>
      <c r="R847" s="5"/>
      <c r="S847" s="4"/>
      <c r="T847" s="1"/>
      <c r="U847" s="1"/>
      <c r="V847" s="1"/>
      <c r="W847" s="1"/>
      <c r="X847" s="1"/>
      <c r="Y847" s="6"/>
      <c r="Z847" s="4"/>
      <c r="AA847" s="4"/>
      <c r="AB847" s="4"/>
      <c r="AC847" s="1"/>
      <c r="AD847" s="1"/>
      <c r="AE847" s="1"/>
      <c r="AF847" s="1"/>
      <c r="AG847" s="1"/>
      <c r="AH847" s="4"/>
      <c r="AI847" s="1"/>
      <c r="AJ847" s="3"/>
      <c r="AK847" s="4"/>
      <c r="AL847" s="6"/>
      <c r="AM847" s="7"/>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row>
    <row r="848" spans="1:64" ht="16.5" customHeight="1">
      <c r="A848" s="1"/>
      <c r="B848" s="139"/>
      <c r="C848" s="1"/>
      <c r="D848" s="1"/>
      <c r="E848" s="1"/>
      <c r="F848" s="1"/>
      <c r="G848" s="1"/>
      <c r="H848" s="4"/>
      <c r="I848" s="4"/>
      <c r="J848" s="4"/>
      <c r="K848" s="4"/>
      <c r="L848" s="4"/>
      <c r="M848" s="4"/>
      <c r="N848" s="3"/>
      <c r="O848" s="1"/>
      <c r="P848" s="1"/>
      <c r="Q848" s="4"/>
      <c r="R848" s="5"/>
      <c r="S848" s="4"/>
      <c r="T848" s="1"/>
      <c r="U848" s="1"/>
      <c r="V848" s="1"/>
      <c r="W848" s="1"/>
      <c r="X848" s="1"/>
      <c r="Y848" s="6"/>
      <c r="Z848" s="4"/>
      <c r="AA848" s="4"/>
      <c r="AB848" s="4"/>
      <c r="AC848" s="1"/>
      <c r="AD848" s="1"/>
      <c r="AE848" s="1"/>
      <c r="AF848" s="1"/>
      <c r="AG848" s="1"/>
      <c r="AH848" s="4"/>
      <c r="AI848" s="1"/>
      <c r="AJ848" s="3"/>
      <c r="AK848" s="4"/>
      <c r="AL848" s="6"/>
      <c r="AM848" s="7"/>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row>
    <row r="849" spans="1:64" ht="16.5" customHeight="1">
      <c r="A849" s="1"/>
      <c r="B849" s="139"/>
      <c r="C849" s="1"/>
      <c r="D849" s="1"/>
      <c r="E849" s="1"/>
      <c r="F849" s="1"/>
      <c r="G849" s="1"/>
      <c r="H849" s="4"/>
      <c r="I849" s="4"/>
      <c r="J849" s="4"/>
      <c r="K849" s="4"/>
      <c r="L849" s="4"/>
      <c r="M849" s="4"/>
      <c r="N849" s="3"/>
      <c r="O849" s="1"/>
      <c r="P849" s="1"/>
      <c r="Q849" s="4"/>
      <c r="R849" s="5"/>
      <c r="S849" s="4"/>
      <c r="T849" s="1"/>
      <c r="U849" s="1"/>
      <c r="V849" s="1"/>
      <c r="W849" s="1"/>
      <c r="X849" s="1"/>
      <c r="Y849" s="6"/>
      <c r="Z849" s="4"/>
      <c r="AA849" s="4"/>
      <c r="AB849" s="4"/>
      <c r="AC849" s="1"/>
      <c r="AD849" s="1"/>
      <c r="AE849" s="1"/>
      <c r="AF849" s="1"/>
      <c r="AG849" s="1"/>
      <c r="AH849" s="4"/>
      <c r="AI849" s="1"/>
      <c r="AJ849" s="3"/>
      <c r="AK849" s="4"/>
      <c r="AL849" s="6"/>
      <c r="AM849" s="7"/>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row>
    <row r="850" spans="1:64" ht="16.5" customHeight="1">
      <c r="A850" s="1"/>
      <c r="B850" s="139"/>
      <c r="C850" s="1"/>
      <c r="D850" s="1"/>
      <c r="E850" s="1"/>
      <c r="F850" s="1"/>
      <c r="G850" s="1"/>
      <c r="H850" s="4"/>
      <c r="I850" s="4"/>
      <c r="J850" s="4"/>
      <c r="K850" s="4"/>
      <c r="L850" s="4"/>
      <c r="M850" s="4"/>
      <c r="N850" s="3"/>
      <c r="O850" s="1"/>
      <c r="P850" s="1"/>
      <c r="Q850" s="4"/>
      <c r="R850" s="5"/>
      <c r="S850" s="4"/>
      <c r="T850" s="1"/>
      <c r="U850" s="1"/>
      <c r="V850" s="1"/>
      <c r="W850" s="1"/>
      <c r="X850" s="1"/>
      <c r="Y850" s="6"/>
      <c r="Z850" s="4"/>
      <c r="AA850" s="4"/>
      <c r="AB850" s="4"/>
      <c r="AC850" s="1"/>
      <c r="AD850" s="1"/>
      <c r="AE850" s="1"/>
      <c r="AF850" s="1"/>
      <c r="AG850" s="1"/>
      <c r="AH850" s="4"/>
      <c r="AI850" s="1"/>
      <c r="AJ850" s="3"/>
      <c r="AK850" s="4"/>
      <c r="AL850" s="6"/>
      <c r="AM850" s="7"/>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row>
    <row r="851" spans="1:64" ht="16.5" customHeight="1">
      <c r="A851" s="1"/>
      <c r="B851" s="139"/>
      <c r="C851" s="1"/>
      <c r="D851" s="1"/>
      <c r="E851" s="1"/>
      <c r="F851" s="1"/>
      <c r="G851" s="1"/>
      <c r="H851" s="4"/>
      <c r="I851" s="4"/>
      <c r="J851" s="4"/>
      <c r="K851" s="4"/>
      <c r="L851" s="4"/>
      <c r="M851" s="4"/>
      <c r="N851" s="3"/>
      <c r="O851" s="1"/>
      <c r="P851" s="1"/>
      <c r="Q851" s="4"/>
      <c r="R851" s="5"/>
      <c r="S851" s="4"/>
      <c r="T851" s="1"/>
      <c r="U851" s="1"/>
      <c r="V851" s="1"/>
      <c r="W851" s="1"/>
      <c r="X851" s="1"/>
      <c r="Y851" s="6"/>
      <c r="Z851" s="4"/>
      <c r="AA851" s="4"/>
      <c r="AB851" s="4"/>
      <c r="AC851" s="1"/>
      <c r="AD851" s="1"/>
      <c r="AE851" s="1"/>
      <c r="AF851" s="1"/>
      <c r="AG851" s="1"/>
      <c r="AH851" s="4"/>
      <c r="AI851" s="1"/>
      <c r="AJ851" s="3"/>
      <c r="AK851" s="4"/>
      <c r="AL851" s="6"/>
      <c r="AM851" s="7"/>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row>
    <row r="852" spans="1:64" ht="16.5" customHeight="1">
      <c r="A852" s="1"/>
      <c r="B852" s="139"/>
      <c r="C852" s="1"/>
      <c r="D852" s="1"/>
      <c r="E852" s="1"/>
      <c r="F852" s="1"/>
      <c r="G852" s="1"/>
      <c r="H852" s="4"/>
      <c r="I852" s="4"/>
      <c r="J852" s="4"/>
      <c r="K852" s="4"/>
      <c r="L852" s="4"/>
      <c r="M852" s="4"/>
      <c r="N852" s="3"/>
      <c r="O852" s="1"/>
      <c r="P852" s="1"/>
      <c r="Q852" s="4"/>
      <c r="R852" s="5"/>
      <c r="S852" s="4"/>
      <c r="T852" s="1"/>
      <c r="U852" s="1"/>
      <c r="V852" s="1"/>
      <c r="W852" s="1"/>
      <c r="X852" s="1"/>
      <c r="Y852" s="6"/>
      <c r="Z852" s="4"/>
      <c r="AA852" s="4"/>
      <c r="AB852" s="4"/>
      <c r="AC852" s="1"/>
      <c r="AD852" s="1"/>
      <c r="AE852" s="1"/>
      <c r="AF852" s="1"/>
      <c r="AG852" s="1"/>
      <c r="AH852" s="4"/>
      <c r="AI852" s="1"/>
      <c r="AJ852" s="3"/>
      <c r="AK852" s="4"/>
      <c r="AL852" s="6"/>
      <c r="AM852" s="7"/>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row>
    <row r="853" spans="1:64" ht="16.5" customHeight="1">
      <c r="A853" s="1"/>
      <c r="B853" s="139"/>
      <c r="C853" s="1"/>
      <c r="D853" s="1"/>
      <c r="E853" s="1"/>
      <c r="F853" s="1"/>
      <c r="G853" s="1"/>
      <c r="H853" s="4"/>
      <c r="I853" s="4"/>
      <c r="J853" s="4"/>
      <c r="K853" s="4"/>
      <c r="L853" s="4"/>
      <c r="M853" s="4"/>
      <c r="N853" s="3"/>
      <c r="O853" s="1"/>
      <c r="P853" s="1"/>
      <c r="Q853" s="4"/>
      <c r="R853" s="5"/>
      <c r="S853" s="4"/>
      <c r="T853" s="1"/>
      <c r="U853" s="1"/>
      <c r="V853" s="1"/>
      <c r="W853" s="1"/>
      <c r="X853" s="1"/>
      <c r="Y853" s="6"/>
      <c r="Z853" s="4"/>
      <c r="AA853" s="4"/>
      <c r="AB853" s="4"/>
      <c r="AC853" s="1"/>
      <c r="AD853" s="1"/>
      <c r="AE853" s="1"/>
      <c r="AF853" s="1"/>
      <c r="AG853" s="1"/>
      <c r="AH853" s="4"/>
      <c r="AI853" s="1"/>
      <c r="AJ853" s="3"/>
      <c r="AK853" s="4"/>
      <c r="AL853" s="6"/>
      <c r="AM853" s="7"/>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row>
    <row r="854" spans="1:64" ht="16.5" customHeight="1">
      <c r="A854" s="1"/>
      <c r="B854" s="139"/>
      <c r="C854" s="1"/>
      <c r="D854" s="1"/>
      <c r="E854" s="1"/>
      <c r="F854" s="1"/>
      <c r="G854" s="1"/>
      <c r="H854" s="4"/>
      <c r="I854" s="4"/>
      <c r="J854" s="4"/>
      <c r="K854" s="4"/>
      <c r="L854" s="4"/>
      <c r="M854" s="4"/>
      <c r="N854" s="3"/>
      <c r="O854" s="1"/>
      <c r="P854" s="1"/>
      <c r="Q854" s="4"/>
      <c r="R854" s="5"/>
      <c r="S854" s="4"/>
      <c r="T854" s="1"/>
      <c r="U854" s="1"/>
      <c r="V854" s="1"/>
      <c r="W854" s="1"/>
      <c r="X854" s="1"/>
      <c r="Y854" s="6"/>
      <c r="Z854" s="4"/>
      <c r="AA854" s="4"/>
      <c r="AB854" s="4"/>
      <c r="AC854" s="1"/>
      <c r="AD854" s="1"/>
      <c r="AE854" s="1"/>
      <c r="AF854" s="1"/>
      <c r="AG854" s="1"/>
      <c r="AH854" s="4"/>
      <c r="AI854" s="1"/>
      <c r="AJ854" s="3"/>
      <c r="AK854" s="4"/>
      <c r="AL854" s="6"/>
      <c r="AM854" s="7"/>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row>
    <row r="855" spans="1:64" ht="16.5" customHeight="1">
      <c r="A855" s="1"/>
      <c r="B855" s="139"/>
      <c r="C855" s="1"/>
      <c r="D855" s="1"/>
      <c r="E855" s="1"/>
      <c r="F855" s="1"/>
      <c r="G855" s="1"/>
      <c r="H855" s="4"/>
      <c r="I855" s="4"/>
      <c r="J855" s="4"/>
      <c r="K855" s="4"/>
      <c r="L855" s="4"/>
      <c r="M855" s="4"/>
      <c r="N855" s="3"/>
      <c r="O855" s="1"/>
      <c r="P855" s="1"/>
      <c r="Q855" s="4"/>
      <c r="R855" s="5"/>
      <c r="S855" s="4"/>
      <c r="T855" s="1"/>
      <c r="U855" s="1"/>
      <c r="V855" s="1"/>
      <c r="W855" s="1"/>
      <c r="X855" s="1"/>
      <c r="Y855" s="6"/>
      <c r="Z855" s="4"/>
      <c r="AA855" s="4"/>
      <c r="AB855" s="4"/>
      <c r="AC855" s="1"/>
      <c r="AD855" s="1"/>
      <c r="AE855" s="1"/>
      <c r="AF855" s="1"/>
      <c r="AG855" s="1"/>
      <c r="AH855" s="4"/>
      <c r="AI855" s="1"/>
      <c r="AJ855" s="3"/>
      <c r="AK855" s="4"/>
      <c r="AL855" s="6"/>
      <c r="AM855" s="7"/>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row>
    <row r="856" spans="1:64" ht="16.5" customHeight="1">
      <c r="A856" s="1"/>
      <c r="B856" s="139"/>
      <c r="C856" s="1"/>
      <c r="D856" s="1"/>
      <c r="E856" s="1"/>
      <c r="F856" s="1"/>
      <c r="G856" s="1"/>
      <c r="H856" s="4"/>
      <c r="I856" s="4"/>
      <c r="J856" s="4"/>
      <c r="K856" s="4"/>
      <c r="L856" s="4"/>
      <c r="M856" s="4"/>
      <c r="N856" s="3"/>
      <c r="O856" s="1"/>
      <c r="P856" s="1"/>
      <c r="Q856" s="4"/>
      <c r="R856" s="5"/>
      <c r="S856" s="4"/>
      <c r="T856" s="1"/>
      <c r="U856" s="1"/>
      <c r="V856" s="1"/>
      <c r="W856" s="1"/>
      <c r="X856" s="1"/>
      <c r="Y856" s="6"/>
      <c r="Z856" s="4"/>
      <c r="AA856" s="4"/>
      <c r="AB856" s="4"/>
      <c r="AC856" s="1"/>
      <c r="AD856" s="1"/>
      <c r="AE856" s="1"/>
      <c r="AF856" s="1"/>
      <c r="AG856" s="1"/>
      <c r="AH856" s="4"/>
      <c r="AI856" s="1"/>
      <c r="AJ856" s="3"/>
      <c r="AK856" s="4"/>
      <c r="AL856" s="6"/>
      <c r="AM856" s="7"/>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row>
    <row r="857" spans="1:64" ht="16.5" customHeight="1">
      <c r="A857" s="1"/>
      <c r="B857" s="139"/>
      <c r="C857" s="1"/>
      <c r="D857" s="1"/>
      <c r="E857" s="1"/>
      <c r="F857" s="1"/>
      <c r="G857" s="1"/>
      <c r="H857" s="4"/>
      <c r="I857" s="4"/>
      <c r="J857" s="4"/>
      <c r="K857" s="4"/>
      <c r="L857" s="4"/>
      <c r="M857" s="4"/>
      <c r="N857" s="3"/>
      <c r="O857" s="1"/>
      <c r="P857" s="1"/>
      <c r="Q857" s="4"/>
      <c r="R857" s="5"/>
      <c r="S857" s="4"/>
      <c r="T857" s="1"/>
      <c r="U857" s="1"/>
      <c r="V857" s="1"/>
      <c r="W857" s="1"/>
      <c r="X857" s="1"/>
      <c r="Y857" s="6"/>
      <c r="Z857" s="4"/>
      <c r="AA857" s="4"/>
      <c r="AB857" s="4"/>
      <c r="AC857" s="1"/>
      <c r="AD857" s="1"/>
      <c r="AE857" s="1"/>
      <c r="AF857" s="1"/>
      <c r="AG857" s="1"/>
      <c r="AH857" s="4"/>
      <c r="AI857" s="1"/>
      <c r="AJ857" s="3"/>
      <c r="AK857" s="4"/>
      <c r="AL857" s="6"/>
      <c r="AM857" s="7"/>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row>
    <row r="858" spans="1:64" ht="16.5" customHeight="1">
      <c r="A858" s="1"/>
      <c r="B858" s="139"/>
      <c r="C858" s="1"/>
      <c r="D858" s="1"/>
      <c r="E858" s="1"/>
      <c r="F858" s="1"/>
      <c r="G858" s="1"/>
      <c r="H858" s="4"/>
      <c r="I858" s="4"/>
      <c r="J858" s="4"/>
      <c r="K858" s="4"/>
      <c r="L858" s="4"/>
      <c r="M858" s="4"/>
      <c r="N858" s="3"/>
      <c r="O858" s="1"/>
      <c r="P858" s="1"/>
      <c r="Q858" s="4"/>
      <c r="R858" s="5"/>
      <c r="S858" s="4"/>
      <c r="T858" s="1"/>
      <c r="U858" s="1"/>
      <c r="V858" s="1"/>
      <c r="W858" s="1"/>
      <c r="X858" s="1"/>
      <c r="Y858" s="6"/>
      <c r="Z858" s="4"/>
      <c r="AA858" s="4"/>
      <c r="AB858" s="4"/>
      <c r="AC858" s="1"/>
      <c r="AD858" s="1"/>
      <c r="AE858" s="1"/>
      <c r="AF858" s="1"/>
      <c r="AG858" s="1"/>
      <c r="AH858" s="4"/>
      <c r="AI858" s="1"/>
      <c r="AJ858" s="3"/>
      <c r="AK858" s="4"/>
      <c r="AL858" s="6"/>
      <c r="AM858" s="7"/>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row>
    <row r="859" spans="1:64" ht="16.5" customHeight="1">
      <c r="A859" s="1"/>
      <c r="B859" s="139"/>
      <c r="C859" s="1"/>
      <c r="D859" s="1"/>
      <c r="E859" s="1"/>
      <c r="F859" s="1"/>
      <c r="G859" s="1"/>
      <c r="H859" s="4"/>
      <c r="I859" s="4"/>
      <c r="J859" s="4"/>
      <c r="K859" s="4"/>
      <c r="L859" s="4"/>
      <c r="M859" s="4"/>
      <c r="N859" s="3"/>
      <c r="O859" s="1"/>
      <c r="P859" s="1"/>
      <c r="Q859" s="4"/>
      <c r="R859" s="5"/>
      <c r="S859" s="4"/>
      <c r="T859" s="1"/>
      <c r="U859" s="1"/>
      <c r="V859" s="1"/>
      <c r="W859" s="1"/>
      <c r="X859" s="1"/>
      <c r="Y859" s="6"/>
      <c r="Z859" s="4"/>
      <c r="AA859" s="4"/>
      <c r="AB859" s="4"/>
      <c r="AC859" s="1"/>
      <c r="AD859" s="1"/>
      <c r="AE859" s="1"/>
      <c r="AF859" s="1"/>
      <c r="AG859" s="1"/>
      <c r="AH859" s="4"/>
      <c r="AI859" s="1"/>
      <c r="AJ859" s="3"/>
      <c r="AK859" s="4"/>
      <c r="AL859" s="6"/>
      <c r="AM859" s="7"/>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row>
    <row r="860" spans="1:64" ht="16.5" customHeight="1">
      <c r="A860" s="1"/>
      <c r="B860" s="139"/>
      <c r="C860" s="1"/>
      <c r="D860" s="1"/>
      <c r="E860" s="1"/>
      <c r="F860" s="1"/>
      <c r="G860" s="1"/>
      <c r="H860" s="4"/>
      <c r="I860" s="4"/>
      <c r="J860" s="4"/>
      <c r="K860" s="4"/>
      <c r="L860" s="4"/>
      <c r="M860" s="4"/>
      <c r="N860" s="3"/>
      <c r="O860" s="1"/>
      <c r="P860" s="1"/>
      <c r="Q860" s="4"/>
      <c r="R860" s="5"/>
      <c r="S860" s="4"/>
      <c r="T860" s="1"/>
      <c r="U860" s="1"/>
      <c r="V860" s="1"/>
      <c r="W860" s="1"/>
      <c r="X860" s="1"/>
      <c r="Y860" s="6"/>
      <c r="Z860" s="4"/>
      <c r="AA860" s="4"/>
      <c r="AB860" s="4"/>
      <c r="AC860" s="1"/>
      <c r="AD860" s="1"/>
      <c r="AE860" s="1"/>
      <c r="AF860" s="1"/>
      <c r="AG860" s="1"/>
      <c r="AH860" s="4"/>
      <c r="AI860" s="1"/>
      <c r="AJ860" s="3"/>
      <c r="AK860" s="4"/>
      <c r="AL860" s="6"/>
      <c r="AM860" s="7"/>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row>
    <row r="861" spans="1:64" ht="16.5" customHeight="1">
      <c r="A861" s="1"/>
      <c r="B861" s="139"/>
      <c r="C861" s="1"/>
      <c r="D861" s="1"/>
      <c r="E861" s="1"/>
      <c r="F861" s="1"/>
      <c r="G861" s="1"/>
      <c r="H861" s="4"/>
      <c r="I861" s="4"/>
      <c r="J861" s="4"/>
      <c r="K861" s="4"/>
      <c r="L861" s="4"/>
      <c r="M861" s="4"/>
      <c r="N861" s="3"/>
      <c r="O861" s="1"/>
      <c r="P861" s="1"/>
      <c r="Q861" s="4"/>
      <c r="R861" s="5"/>
      <c r="S861" s="4"/>
      <c r="T861" s="1"/>
      <c r="U861" s="1"/>
      <c r="V861" s="1"/>
      <c r="W861" s="1"/>
      <c r="X861" s="1"/>
      <c r="Y861" s="6"/>
      <c r="Z861" s="4"/>
      <c r="AA861" s="4"/>
      <c r="AB861" s="4"/>
      <c r="AC861" s="1"/>
      <c r="AD861" s="1"/>
      <c r="AE861" s="1"/>
      <c r="AF861" s="1"/>
      <c r="AG861" s="1"/>
      <c r="AH861" s="4"/>
      <c r="AI861" s="1"/>
      <c r="AJ861" s="3"/>
      <c r="AK861" s="4"/>
      <c r="AL861" s="6"/>
      <c r="AM861" s="7"/>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row>
    <row r="862" spans="1:64" ht="16.5" customHeight="1">
      <c r="A862" s="1"/>
      <c r="B862" s="139"/>
      <c r="C862" s="1"/>
      <c r="D862" s="1"/>
      <c r="E862" s="1"/>
      <c r="F862" s="1"/>
      <c r="G862" s="1"/>
      <c r="H862" s="4"/>
      <c r="I862" s="4"/>
      <c r="J862" s="4"/>
      <c r="K862" s="4"/>
      <c r="L862" s="4"/>
      <c r="M862" s="4"/>
      <c r="N862" s="3"/>
      <c r="O862" s="1"/>
      <c r="P862" s="1"/>
      <c r="Q862" s="4"/>
      <c r="R862" s="5"/>
      <c r="S862" s="4"/>
      <c r="T862" s="1"/>
      <c r="U862" s="1"/>
      <c r="V862" s="1"/>
      <c r="W862" s="1"/>
      <c r="X862" s="1"/>
      <c r="Y862" s="6"/>
      <c r="Z862" s="4"/>
      <c r="AA862" s="4"/>
      <c r="AB862" s="4"/>
      <c r="AC862" s="1"/>
      <c r="AD862" s="1"/>
      <c r="AE862" s="1"/>
      <c r="AF862" s="1"/>
      <c r="AG862" s="1"/>
      <c r="AH862" s="4"/>
      <c r="AI862" s="1"/>
      <c r="AJ862" s="3"/>
      <c r="AK862" s="4"/>
      <c r="AL862" s="6"/>
      <c r="AM862" s="7"/>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row>
    <row r="863" spans="1:64" ht="16.5" customHeight="1">
      <c r="A863" s="1"/>
      <c r="B863" s="139"/>
      <c r="C863" s="1"/>
      <c r="D863" s="1"/>
      <c r="E863" s="1"/>
      <c r="F863" s="1"/>
      <c r="G863" s="1"/>
      <c r="H863" s="4"/>
      <c r="I863" s="4"/>
      <c r="J863" s="4"/>
      <c r="K863" s="4"/>
      <c r="L863" s="4"/>
      <c r="M863" s="4"/>
      <c r="N863" s="3"/>
      <c r="O863" s="1"/>
      <c r="P863" s="1"/>
      <c r="Q863" s="4"/>
      <c r="R863" s="5"/>
      <c r="S863" s="4"/>
      <c r="T863" s="1"/>
      <c r="U863" s="1"/>
      <c r="V863" s="1"/>
      <c r="W863" s="1"/>
      <c r="X863" s="1"/>
      <c r="Y863" s="6"/>
      <c r="Z863" s="4"/>
      <c r="AA863" s="4"/>
      <c r="AB863" s="4"/>
      <c r="AC863" s="1"/>
      <c r="AD863" s="1"/>
      <c r="AE863" s="1"/>
      <c r="AF863" s="1"/>
      <c r="AG863" s="1"/>
      <c r="AH863" s="4"/>
      <c r="AI863" s="1"/>
      <c r="AJ863" s="3"/>
      <c r="AK863" s="4"/>
      <c r="AL863" s="6"/>
      <c r="AM863" s="7"/>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row>
    <row r="864" spans="1:64" ht="16.5" customHeight="1">
      <c r="A864" s="1"/>
      <c r="B864" s="139"/>
      <c r="C864" s="1"/>
      <c r="D864" s="1"/>
      <c r="E864" s="1"/>
      <c r="F864" s="1"/>
      <c r="G864" s="1"/>
      <c r="H864" s="4"/>
      <c r="I864" s="4"/>
      <c r="J864" s="4"/>
      <c r="K864" s="4"/>
      <c r="L864" s="4"/>
      <c r="M864" s="4"/>
      <c r="N864" s="3"/>
      <c r="O864" s="1"/>
      <c r="P864" s="1"/>
      <c r="Q864" s="4"/>
      <c r="R864" s="5"/>
      <c r="S864" s="4"/>
      <c r="T864" s="1"/>
      <c r="U864" s="1"/>
      <c r="V864" s="1"/>
      <c r="W864" s="1"/>
      <c r="X864" s="1"/>
      <c r="Y864" s="6"/>
      <c r="Z864" s="4"/>
      <c r="AA864" s="4"/>
      <c r="AB864" s="4"/>
      <c r="AC864" s="1"/>
      <c r="AD864" s="1"/>
      <c r="AE864" s="1"/>
      <c r="AF864" s="1"/>
      <c r="AG864" s="1"/>
      <c r="AH864" s="4"/>
      <c r="AI864" s="1"/>
      <c r="AJ864" s="3"/>
      <c r="AK864" s="4"/>
      <c r="AL864" s="6"/>
      <c r="AM864" s="7"/>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row>
    <row r="865" spans="1:64" ht="16.5" customHeight="1">
      <c r="A865" s="1"/>
      <c r="B865" s="139"/>
      <c r="C865" s="1"/>
      <c r="D865" s="1"/>
      <c r="E865" s="1"/>
      <c r="F865" s="1"/>
      <c r="G865" s="1"/>
      <c r="H865" s="4"/>
      <c r="I865" s="4"/>
      <c r="J865" s="4"/>
      <c r="K865" s="4"/>
      <c r="L865" s="4"/>
      <c r="M865" s="4"/>
      <c r="N865" s="3"/>
      <c r="O865" s="1"/>
      <c r="P865" s="1"/>
      <c r="Q865" s="4"/>
      <c r="R865" s="5"/>
      <c r="S865" s="4"/>
      <c r="T865" s="1"/>
      <c r="U865" s="1"/>
      <c r="V865" s="1"/>
      <c r="W865" s="1"/>
      <c r="X865" s="1"/>
      <c r="Y865" s="6"/>
      <c r="Z865" s="4"/>
      <c r="AA865" s="4"/>
      <c r="AB865" s="4"/>
      <c r="AC865" s="1"/>
      <c r="AD865" s="1"/>
      <c r="AE865" s="1"/>
      <c r="AF865" s="1"/>
      <c r="AG865" s="1"/>
      <c r="AH865" s="4"/>
      <c r="AI865" s="1"/>
      <c r="AJ865" s="3"/>
      <c r="AK865" s="4"/>
      <c r="AL865" s="6"/>
      <c r="AM865" s="7"/>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row>
    <row r="866" spans="1:64" ht="16.5" customHeight="1">
      <c r="A866" s="1"/>
      <c r="B866" s="139"/>
      <c r="C866" s="1"/>
      <c r="D866" s="1"/>
      <c r="E866" s="1"/>
      <c r="F866" s="1"/>
      <c r="G866" s="1"/>
      <c r="H866" s="4"/>
      <c r="I866" s="4"/>
      <c r="J866" s="4"/>
      <c r="K866" s="4"/>
      <c r="L866" s="4"/>
      <c r="M866" s="4"/>
      <c r="N866" s="3"/>
      <c r="O866" s="1"/>
      <c r="P866" s="1"/>
      <c r="Q866" s="4"/>
      <c r="R866" s="5"/>
      <c r="S866" s="4"/>
      <c r="T866" s="1"/>
      <c r="U866" s="1"/>
      <c r="V866" s="1"/>
      <c r="W866" s="1"/>
      <c r="X866" s="1"/>
      <c r="Y866" s="6"/>
      <c r="Z866" s="4"/>
      <c r="AA866" s="4"/>
      <c r="AB866" s="4"/>
      <c r="AC866" s="1"/>
      <c r="AD866" s="1"/>
      <c r="AE866" s="1"/>
      <c r="AF866" s="1"/>
      <c r="AG866" s="1"/>
      <c r="AH866" s="4"/>
      <c r="AI866" s="1"/>
      <c r="AJ866" s="3"/>
      <c r="AK866" s="4"/>
      <c r="AL866" s="6"/>
      <c r="AM866" s="7"/>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row>
    <row r="867" spans="1:64" ht="16.5" customHeight="1">
      <c r="A867" s="1"/>
      <c r="B867" s="139"/>
      <c r="C867" s="1"/>
      <c r="D867" s="1"/>
      <c r="E867" s="1"/>
      <c r="F867" s="1"/>
      <c r="G867" s="1"/>
      <c r="H867" s="4"/>
      <c r="I867" s="4"/>
      <c r="J867" s="4"/>
      <c r="K867" s="4"/>
      <c r="L867" s="4"/>
      <c r="M867" s="4"/>
      <c r="N867" s="3"/>
      <c r="O867" s="1"/>
      <c r="P867" s="1"/>
      <c r="Q867" s="4"/>
      <c r="R867" s="5"/>
      <c r="S867" s="4"/>
      <c r="T867" s="1"/>
      <c r="U867" s="1"/>
      <c r="V867" s="1"/>
      <c r="W867" s="1"/>
      <c r="X867" s="1"/>
      <c r="Y867" s="6"/>
      <c r="Z867" s="4"/>
      <c r="AA867" s="4"/>
      <c r="AB867" s="4"/>
      <c r="AC867" s="1"/>
      <c r="AD867" s="1"/>
      <c r="AE867" s="1"/>
      <c r="AF867" s="1"/>
      <c r="AG867" s="1"/>
      <c r="AH867" s="4"/>
      <c r="AI867" s="1"/>
      <c r="AJ867" s="3"/>
      <c r="AK867" s="4"/>
      <c r="AL867" s="6"/>
      <c r="AM867" s="7"/>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row>
    <row r="868" spans="1:64" ht="16.5" customHeight="1">
      <c r="A868" s="1"/>
      <c r="B868" s="139"/>
      <c r="C868" s="1"/>
      <c r="D868" s="1"/>
      <c r="E868" s="1"/>
      <c r="F868" s="1"/>
      <c r="G868" s="1"/>
      <c r="H868" s="4"/>
      <c r="I868" s="4"/>
      <c r="J868" s="4"/>
      <c r="K868" s="4"/>
      <c r="L868" s="4"/>
      <c r="M868" s="4"/>
      <c r="N868" s="3"/>
      <c r="O868" s="1"/>
      <c r="P868" s="1"/>
      <c r="Q868" s="4"/>
      <c r="R868" s="5"/>
      <c r="S868" s="4"/>
      <c r="T868" s="1"/>
      <c r="U868" s="1"/>
      <c r="V868" s="1"/>
      <c r="W868" s="1"/>
      <c r="X868" s="1"/>
      <c r="Y868" s="6"/>
      <c r="Z868" s="4"/>
      <c r="AA868" s="4"/>
      <c r="AB868" s="4"/>
      <c r="AC868" s="1"/>
      <c r="AD868" s="1"/>
      <c r="AE868" s="1"/>
      <c r="AF868" s="1"/>
      <c r="AG868" s="1"/>
      <c r="AH868" s="4"/>
      <c r="AI868" s="1"/>
      <c r="AJ868" s="3"/>
      <c r="AK868" s="4"/>
      <c r="AL868" s="6"/>
      <c r="AM868" s="7"/>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row>
    <row r="869" spans="1:64" ht="16.5" customHeight="1">
      <c r="A869" s="1"/>
      <c r="B869" s="139"/>
      <c r="C869" s="1"/>
      <c r="D869" s="1"/>
      <c r="E869" s="1"/>
      <c r="F869" s="1"/>
      <c r="G869" s="1"/>
      <c r="H869" s="4"/>
      <c r="I869" s="4"/>
      <c r="J869" s="4"/>
      <c r="K869" s="4"/>
      <c r="L869" s="4"/>
      <c r="M869" s="4"/>
      <c r="N869" s="3"/>
      <c r="O869" s="1"/>
      <c r="P869" s="1"/>
      <c r="Q869" s="4"/>
      <c r="R869" s="5"/>
      <c r="S869" s="4"/>
      <c r="T869" s="1"/>
      <c r="U869" s="1"/>
      <c r="V869" s="1"/>
      <c r="W869" s="1"/>
      <c r="X869" s="1"/>
      <c r="Y869" s="6"/>
      <c r="Z869" s="4"/>
      <c r="AA869" s="4"/>
      <c r="AB869" s="4"/>
      <c r="AC869" s="1"/>
      <c r="AD869" s="1"/>
      <c r="AE869" s="1"/>
      <c r="AF869" s="1"/>
      <c r="AG869" s="1"/>
      <c r="AH869" s="4"/>
      <c r="AI869" s="1"/>
      <c r="AJ869" s="3"/>
      <c r="AK869" s="4"/>
      <c r="AL869" s="6"/>
      <c r="AM869" s="7"/>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row>
    <row r="870" spans="1:64" ht="16.5" customHeight="1">
      <c r="A870" s="1"/>
      <c r="B870" s="139"/>
      <c r="C870" s="1"/>
      <c r="D870" s="1"/>
      <c r="E870" s="1"/>
      <c r="F870" s="1"/>
      <c r="G870" s="1"/>
      <c r="H870" s="4"/>
      <c r="I870" s="4"/>
      <c r="J870" s="4"/>
      <c r="K870" s="4"/>
      <c r="L870" s="4"/>
      <c r="M870" s="4"/>
      <c r="N870" s="3"/>
      <c r="O870" s="1"/>
      <c r="P870" s="1"/>
      <c r="Q870" s="4"/>
      <c r="R870" s="5"/>
      <c r="S870" s="4"/>
      <c r="T870" s="1"/>
      <c r="U870" s="1"/>
      <c r="V870" s="1"/>
      <c r="W870" s="1"/>
      <c r="X870" s="1"/>
      <c r="Y870" s="6"/>
      <c r="Z870" s="4"/>
      <c r="AA870" s="4"/>
      <c r="AB870" s="4"/>
      <c r="AC870" s="1"/>
      <c r="AD870" s="1"/>
      <c r="AE870" s="1"/>
      <c r="AF870" s="1"/>
      <c r="AG870" s="1"/>
      <c r="AH870" s="4"/>
      <c r="AI870" s="1"/>
      <c r="AJ870" s="3"/>
      <c r="AK870" s="4"/>
      <c r="AL870" s="6"/>
      <c r="AM870" s="7"/>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row>
    <row r="871" spans="1:64" ht="16.5" customHeight="1">
      <c r="A871" s="1"/>
      <c r="B871" s="139"/>
      <c r="C871" s="1"/>
      <c r="D871" s="1"/>
      <c r="E871" s="1"/>
      <c r="F871" s="1"/>
      <c r="G871" s="1"/>
      <c r="H871" s="4"/>
      <c r="I871" s="4"/>
      <c r="J871" s="4"/>
      <c r="K871" s="4"/>
      <c r="L871" s="4"/>
      <c r="M871" s="4"/>
      <c r="N871" s="3"/>
      <c r="O871" s="1"/>
      <c r="P871" s="1"/>
      <c r="Q871" s="4"/>
      <c r="R871" s="5"/>
      <c r="S871" s="4"/>
      <c r="T871" s="1"/>
      <c r="U871" s="1"/>
      <c r="V871" s="1"/>
      <c r="W871" s="1"/>
      <c r="X871" s="1"/>
      <c r="Y871" s="6"/>
      <c r="Z871" s="4"/>
      <c r="AA871" s="4"/>
      <c r="AB871" s="4"/>
      <c r="AC871" s="1"/>
      <c r="AD871" s="1"/>
      <c r="AE871" s="1"/>
      <c r="AF871" s="1"/>
      <c r="AG871" s="1"/>
      <c r="AH871" s="4"/>
      <c r="AI871" s="1"/>
      <c r="AJ871" s="3"/>
      <c r="AK871" s="4"/>
      <c r="AL871" s="6"/>
      <c r="AM871" s="7"/>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row>
    <row r="872" spans="1:64" ht="16.5" customHeight="1">
      <c r="A872" s="1"/>
      <c r="B872" s="139"/>
      <c r="C872" s="1"/>
      <c r="D872" s="1"/>
      <c r="E872" s="1"/>
      <c r="F872" s="1"/>
      <c r="G872" s="1"/>
      <c r="H872" s="4"/>
      <c r="I872" s="4"/>
      <c r="J872" s="4"/>
      <c r="K872" s="4"/>
      <c r="L872" s="4"/>
      <c r="M872" s="4"/>
      <c r="N872" s="3"/>
      <c r="O872" s="1"/>
      <c r="P872" s="1"/>
      <c r="Q872" s="4"/>
      <c r="R872" s="5"/>
      <c r="S872" s="4"/>
      <c r="T872" s="1"/>
      <c r="U872" s="1"/>
      <c r="V872" s="1"/>
      <c r="W872" s="1"/>
      <c r="X872" s="1"/>
      <c r="Y872" s="6"/>
      <c r="Z872" s="4"/>
      <c r="AA872" s="4"/>
      <c r="AB872" s="4"/>
      <c r="AC872" s="1"/>
      <c r="AD872" s="1"/>
      <c r="AE872" s="1"/>
      <c r="AF872" s="1"/>
      <c r="AG872" s="1"/>
      <c r="AH872" s="4"/>
      <c r="AI872" s="1"/>
      <c r="AJ872" s="3"/>
      <c r="AK872" s="4"/>
      <c r="AL872" s="6"/>
      <c r="AM872" s="7"/>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row>
    <row r="873" spans="1:64" ht="16.5" customHeight="1">
      <c r="A873" s="1"/>
      <c r="B873" s="139"/>
      <c r="C873" s="1"/>
      <c r="D873" s="1"/>
      <c r="E873" s="1"/>
      <c r="F873" s="1"/>
      <c r="G873" s="1"/>
      <c r="H873" s="4"/>
      <c r="I873" s="4"/>
      <c r="J873" s="4"/>
      <c r="K873" s="4"/>
      <c r="L873" s="4"/>
      <c r="M873" s="4"/>
      <c r="N873" s="3"/>
      <c r="O873" s="1"/>
      <c r="P873" s="1"/>
      <c r="Q873" s="4"/>
      <c r="R873" s="5"/>
      <c r="S873" s="4"/>
      <c r="T873" s="1"/>
      <c r="U873" s="1"/>
      <c r="V873" s="1"/>
      <c r="W873" s="1"/>
      <c r="X873" s="1"/>
      <c r="Y873" s="6"/>
      <c r="Z873" s="4"/>
      <c r="AA873" s="4"/>
      <c r="AB873" s="4"/>
      <c r="AC873" s="1"/>
      <c r="AD873" s="1"/>
      <c r="AE873" s="1"/>
      <c r="AF873" s="1"/>
      <c r="AG873" s="1"/>
      <c r="AH873" s="4"/>
      <c r="AI873" s="1"/>
      <c r="AJ873" s="3"/>
      <c r="AK873" s="4"/>
      <c r="AL873" s="6"/>
      <c r="AM873" s="7"/>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row>
    <row r="874" spans="1:64" ht="16.5" customHeight="1">
      <c r="A874" s="1"/>
      <c r="B874" s="139"/>
      <c r="C874" s="1"/>
      <c r="D874" s="1"/>
      <c r="E874" s="1"/>
      <c r="F874" s="1"/>
      <c r="G874" s="1"/>
      <c r="H874" s="4"/>
      <c r="I874" s="4"/>
      <c r="J874" s="4"/>
      <c r="K874" s="4"/>
      <c r="L874" s="4"/>
      <c r="M874" s="4"/>
      <c r="N874" s="3"/>
      <c r="O874" s="1"/>
      <c r="P874" s="1"/>
      <c r="Q874" s="4"/>
      <c r="R874" s="5"/>
      <c r="S874" s="4"/>
      <c r="T874" s="1"/>
      <c r="U874" s="1"/>
      <c r="V874" s="1"/>
      <c r="W874" s="1"/>
      <c r="X874" s="1"/>
      <c r="Y874" s="6"/>
      <c r="Z874" s="4"/>
      <c r="AA874" s="4"/>
      <c r="AB874" s="4"/>
      <c r="AC874" s="1"/>
      <c r="AD874" s="1"/>
      <c r="AE874" s="1"/>
      <c r="AF874" s="1"/>
      <c r="AG874" s="1"/>
      <c r="AH874" s="4"/>
      <c r="AI874" s="1"/>
      <c r="AJ874" s="3"/>
      <c r="AK874" s="4"/>
      <c r="AL874" s="6"/>
      <c r="AM874" s="7"/>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row>
    <row r="875" spans="1:64" ht="16.5" customHeight="1">
      <c r="A875" s="1"/>
      <c r="B875" s="139"/>
      <c r="C875" s="1"/>
      <c r="D875" s="1"/>
      <c r="E875" s="1"/>
      <c r="F875" s="1"/>
      <c r="G875" s="1"/>
      <c r="H875" s="4"/>
      <c r="I875" s="4"/>
      <c r="J875" s="4"/>
      <c r="K875" s="4"/>
      <c r="L875" s="4"/>
      <c r="M875" s="4"/>
      <c r="N875" s="3"/>
      <c r="O875" s="1"/>
      <c r="P875" s="1"/>
      <c r="Q875" s="4"/>
      <c r="R875" s="5"/>
      <c r="S875" s="4"/>
      <c r="T875" s="1"/>
      <c r="U875" s="1"/>
      <c r="V875" s="1"/>
      <c r="W875" s="1"/>
      <c r="X875" s="1"/>
      <c r="Y875" s="6"/>
      <c r="Z875" s="4"/>
      <c r="AA875" s="4"/>
      <c r="AB875" s="4"/>
      <c r="AC875" s="1"/>
      <c r="AD875" s="1"/>
      <c r="AE875" s="1"/>
      <c r="AF875" s="1"/>
      <c r="AG875" s="1"/>
      <c r="AH875" s="4"/>
      <c r="AI875" s="1"/>
      <c r="AJ875" s="3"/>
      <c r="AK875" s="4"/>
      <c r="AL875" s="6"/>
      <c r="AM875" s="7"/>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row>
    <row r="876" spans="1:64" ht="16.5" customHeight="1">
      <c r="A876" s="1"/>
      <c r="B876" s="139"/>
      <c r="C876" s="1"/>
      <c r="D876" s="1"/>
      <c r="E876" s="1"/>
      <c r="F876" s="1"/>
      <c r="G876" s="1"/>
      <c r="H876" s="4"/>
      <c r="I876" s="4"/>
      <c r="J876" s="4"/>
      <c r="K876" s="4"/>
      <c r="L876" s="4"/>
      <c r="M876" s="4"/>
      <c r="N876" s="3"/>
      <c r="O876" s="1"/>
      <c r="P876" s="1"/>
      <c r="Q876" s="4"/>
      <c r="R876" s="5"/>
      <c r="S876" s="4"/>
      <c r="T876" s="1"/>
      <c r="U876" s="1"/>
      <c r="V876" s="1"/>
      <c r="W876" s="1"/>
      <c r="X876" s="1"/>
      <c r="Y876" s="6"/>
      <c r="Z876" s="4"/>
      <c r="AA876" s="4"/>
      <c r="AB876" s="4"/>
      <c r="AC876" s="1"/>
      <c r="AD876" s="1"/>
      <c r="AE876" s="1"/>
      <c r="AF876" s="1"/>
      <c r="AG876" s="1"/>
      <c r="AH876" s="4"/>
      <c r="AI876" s="1"/>
      <c r="AJ876" s="3"/>
      <c r="AK876" s="4"/>
      <c r="AL876" s="6"/>
      <c r="AM876" s="7"/>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row>
    <row r="877" spans="1:64" ht="16.5" customHeight="1">
      <c r="A877" s="1"/>
      <c r="B877" s="139"/>
      <c r="C877" s="1"/>
      <c r="D877" s="1"/>
      <c r="E877" s="1"/>
      <c r="F877" s="1"/>
      <c r="G877" s="1"/>
      <c r="H877" s="4"/>
      <c r="I877" s="4"/>
      <c r="J877" s="4"/>
      <c r="K877" s="4"/>
      <c r="L877" s="4"/>
      <c r="M877" s="4"/>
      <c r="N877" s="3"/>
      <c r="O877" s="1"/>
      <c r="P877" s="1"/>
      <c r="Q877" s="4"/>
      <c r="R877" s="5"/>
      <c r="S877" s="4"/>
      <c r="T877" s="1"/>
      <c r="U877" s="1"/>
      <c r="V877" s="1"/>
      <c r="W877" s="1"/>
      <c r="X877" s="1"/>
      <c r="Y877" s="6"/>
      <c r="Z877" s="4"/>
      <c r="AA877" s="4"/>
      <c r="AB877" s="4"/>
      <c r="AC877" s="1"/>
      <c r="AD877" s="1"/>
      <c r="AE877" s="1"/>
      <c r="AF877" s="1"/>
      <c r="AG877" s="1"/>
      <c r="AH877" s="4"/>
      <c r="AI877" s="1"/>
      <c r="AJ877" s="3"/>
      <c r="AK877" s="4"/>
      <c r="AL877" s="6"/>
      <c r="AM877" s="7"/>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row>
    <row r="878" spans="1:64" ht="16.5" customHeight="1">
      <c r="A878" s="1"/>
      <c r="B878" s="139"/>
      <c r="C878" s="1"/>
      <c r="D878" s="1"/>
      <c r="E878" s="1"/>
      <c r="F878" s="1"/>
      <c r="G878" s="1"/>
      <c r="H878" s="4"/>
      <c r="I878" s="4"/>
      <c r="J878" s="4"/>
      <c r="K878" s="4"/>
      <c r="L878" s="4"/>
      <c r="M878" s="4"/>
      <c r="N878" s="3"/>
      <c r="O878" s="1"/>
      <c r="P878" s="1"/>
      <c r="Q878" s="4"/>
      <c r="R878" s="5"/>
      <c r="S878" s="4"/>
      <c r="T878" s="1"/>
      <c r="U878" s="1"/>
      <c r="V878" s="1"/>
      <c r="W878" s="1"/>
      <c r="X878" s="1"/>
      <c r="Y878" s="6"/>
      <c r="Z878" s="4"/>
      <c r="AA878" s="4"/>
      <c r="AB878" s="4"/>
      <c r="AC878" s="1"/>
      <c r="AD878" s="1"/>
      <c r="AE878" s="1"/>
      <c r="AF878" s="1"/>
      <c r="AG878" s="1"/>
      <c r="AH878" s="4"/>
      <c r="AI878" s="1"/>
      <c r="AJ878" s="3"/>
      <c r="AK878" s="4"/>
      <c r="AL878" s="6"/>
      <c r="AM878" s="7"/>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row>
    <row r="879" spans="1:64" ht="16.5" customHeight="1">
      <c r="A879" s="1"/>
      <c r="B879" s="139"/>
      <c r="C879" s="1"/>
      <c r="D879" s="1"/>
      <c r="E879" s="1"/>
      <c r="F879" s="1"/>
      <c r="G879" s="1"/>
      <c r="H879" s="4"/>
      <c r="I879" s="4"/>
      <c r="J879" s="4"/>
      <c r="K879" s="4"/>
      <c r="L879" s="4"/>
      <c r="M879" s="4"/>
      <c r="N879" s="3"/>
      <c r="O879" s="1"/>
      <c r="P879" s="1"/>
      <c r="Q879" s="4"/>
      <c r="R879" s="5"/>
      <c r="S879" s="4"/>
      <c r="T879" s="1"/>
      <c r="U879" s="1"/>
      <c r="V879" s="1"/>
      <c r="W879" s="1"/>
      <c r="X879" s="1"/>
      <c r="Y879" s="6"/>
      <c r="Z879" s="4"/>
      <c r="AA879" s="4"/>
      <c r="AB879" s="4"/>
      <c r="AC879" s="1"/>
      <c r="AD879" s="1"/>
      <c r="AE879" s="1"/>
      <c r="AF879" s="1"/>
      <c r="AG879" s="1"/>
      <c r="AH879" s="4"/>
      <c r="AI879" s="1"/>
      <c r="AJ879" s="3"/>
      <c r="AK879" s="4"/>
      <c r="AL879" s="6"/>
      <c r="AM879" s="7"/>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row>
    <row r="880" spans="1:64" ht="16.5" customHeight="1">
      <c r="A880" s="1"/>
      <c r="B880" s="139"/>
      <c r="C880" s="1"/>
      <c r="D880" s="1"/>
      <c r="E880" s="1"/>
      <c r="F880" s="1"/>
      <c r="G880" s="1"/>
      <c r="H880" s="4"/>
      <c r="I880" s="4"/>
      <c r="J880" s="4"/>
      <c r="K880" s="4"/>
      <c r="L880" s="4"/>
      <c r="M880" s="4"/>
      <c r="N880" s="3"/>
      <c r="O880" s="1"/>
      <c r="P880" s="1"/>
      <c r="Q880" s="4"/>
      <c r="R880" s="5"/>
      <c r="S880" s="4"/>
      <c r="T880" s="1"/>
      <c r="U880" s="1"/>
      <c r="V880" s="1"/>
      <c r="W880" s="1"/>
      <c r="X880" s="1"/>
      <c r="Y880" s="6"/>
      <c r="Z880" s="4"/>
      <c r="AA880" s="4"/>
      <c r="AB880" s="4"/>
      <c r="AC880" s="1"/>
      <c r="AD880" s="1"/>
      <c r="AE880" s="1"/>
      <c r="AF880" s="1"/>
      <c r="AG880" s="1"/>
      <c r="AH880" s="4"/>
      <c r="AI880" s="1"/>
      <c r="AJ880" s="3"/>
      <c r="AK880" s="4"/>
      <c r="AL880" s="6"/>
      <c r="AM880" s="7"/>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row>
    <row r="881" spans="1:64" ht="16.5" customHeight="1">
      <c r="A881" s="1"/>
      <c r="B881" s="139"/>
      <c r="C881" s="1"/>
      <c r="D881" s="1"/>
      <c r="E881" s="1"/>
      <c r="F881" s="1"/>
      <c r="G881" s="1"/>
      <c r="H881" s="4"/>
      <c r="I881" s="4"/>
      <c r="J881" s="4"/>
      <c r="K881" s="4"/>
      <c r="L881" s="4"/>
      <c r="M881" s="4"/>
      <c r="N881" s="3"/>
      <c r="O881" s="1"/>
      <c r="P881" s="1"/>
      <c r="Q881" s="4"/>
      <c r="R881" s="5"/>
      <c r="S881" s="4"/>
      <c r="T881" s="1"/>
      <c r="U881" s="1"/>
      <c r="V881" s="1"/>
      <c r="W881" s="1"/>
      <c r="X881" s="1"/>
      <c r="Y881" s="6"/>
      <c r="Z881" s="4"/>
      <c r="AA881" s="4"/>
      <c r="AB881" s="4"/>
      <c r="AC881" s="1"/>
      <c r="AD881" s="1"/>
      <c r="AE881" s="1"/>
      <c r="AF881" s="1"/>
      <c r="AG881" s="1"/>
      <c r="AH881" s="4"/>
      <c r="AI881" s="1"/>
      <c r="AJ881" s="3"/>
      <c r="AK881" s="4"/>
      <c r="AL881" s="6"/>
      <c r="AM881" s="7"/>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row>
    <row r="882" spans="1:64" ht="16.5" customHeight="1">
      <c r="A882" s="1"/>
      <c r="B882" s="139"/>
      <c r="C882" s="1"/>
      <c r="D882" s="1"/>
      <c r="E882" s="1"/>
      <c r="F882" s="1"/>
      <c r="G882" s="1"/>
      <c r="H882" s="4"/>
      <c r="I882" s="4"/>
      <c r="J882" s="4"/>
      <c r="K882" s="4"/>
      <c r="L882" s="4"/>
      <c r="M882" s="4"/>
      <c r="N882" s="3"/>
      <c r="O882" s="1"/>
      <c r="P882" s="1"/>
      <c r="Q882" s="4"/>
      <c r="R882" s="5"/>
      <c r="S882" s="4"/>
      <c r="T882" s="1"/>
      <c r="U882" s="1"/>
      <c r="V882" s="1"/>
      <c r="W882" s="1"/>
      <c r="X882" s="1"/>
      <c r="Y882" s="6"/>
      <c r="Z882" s="4"/>
      <c r="AA882" s="4"/>
      <c r="AB882" s="4"/>
      <c r="AC882" s="1"/>
      <c r="AD882" s="1"/>
      <c r="AE882" s="1"/>
      <c r="AF882" s="1"/>
      <c r="AG882" s="1"/>
      <c r="AH882" s="4"/>
      <c r="AI882" s="1"/>
      <c r="AJ882" s="3"/>
      <c r="AK882" s="4"/>
      <c r="AL882" s="6"/>
      <c r="AM882" s="7"/>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row>
    <row r="883" spans="1:64" ht="16.5" customHeight="1">
      <c r="A883" s="1"/>
      <c r="B883" s="139"/>
      <c r="C883" s="1"/>
      <c r="D883" s="1"/>
      <c r="E883" s="1"/>
      <c r="F883" s="1"/>
      <c r="G883" s="1"/>
      <c r="H883" s="4"/>
      <c r="I883" s="4"/>
      <c r="J883" s="4"/>
      <c r="K883" s="4"/>
      <c r="L883" s="4"/>
      <c r="M883" s="4"/>
      <c r="N883" s="3"/>
      <c r="O883" s="1"/>
      <c r="P883" s="1"/>
      <c r="Q883" s="4"/>
      <c r="R883" s="5"/>
      <c r="S883" s="4"/>
      <c r="T883" s="1"/>
      <c r="U883" s="1"/>
      <c r="V883" s="1"/>
      <c r="W883" s="1"/>
      <c r="X883" s="1"/>
      <c r="Y883" s="6"/>
      <c r="Z883" s="4"/>
      <c r="AA883" s="4"/>
      <c r="AB883" s="4"/>
      <c r="AC883" s="1"/>
      <c r="AD883" s="1"/>
      <c r="AE883" s="1"/>
      <c r="AF883" s="1"/>
      <c r="AG883" s="1"/>
      <c r="AH883" s="4"/>
      <c r="AI883" s="1"/>
      <c r="AJ883" s="3"/>
      <c r="AK883" s="4"/>
      <c r="AL883" s="6"/>
      <c r="AM883" s="7"/>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row>
    <row r="884" spans="1:64" ht="16.5" customHeight="1">
      <c r="A884" s="1"/>
      <c r="B884" s="139"/>
      <c r="C884" s="1"/>
      <c r="D884" s="1"/>
      <c r="E884" s="1"/>
      <c r="F884" s="1"/>
      <c r="G884" s="1"/>
      <c r="H884" s="4"/>
      <c r="I884" s="4"/>
      <c r="J884" s="4"/>
      <c r="K884" s="4"/>
      <c r="L884" s="4"/>
      <c r="M884" s="4"/>
      <c r="N884" s="3"/>
      <c r="O884" s="1"/>
      <c r="P884" s="1"/>
      <c r="Q884" s="4"/>
      <c r="R884" s="5"/>
      <c r="S884" s="4"/>
      <c r="T884" s="1"/>
      <c r="U884" s="1"/>
      <c r="V884" s="1"/>
      <c r="W884" s="1"/>
      <c r="X884" s="1"/>
      <c r="Y884" s="6"/>
      <c r="Z884" s="4"/>
      <c r="AA884" s="4"/>
      <c r="AB884" s="4"/>
      <c r="AC884" s="1"/>
      <c r="AD884" s="1"/>
      <c r="AE884" s="1"/>
      <c r="AF884" s="1"/>
      <c r="AG884" s="1"/>
      <c r="AH884" s="4"/>
      <c r="AI884" s="1"/>
      <c r="AJ884" s="3"/>
      <c r="AK884" s="4"/>
      <c r="AL884" s="6"/>
      <c r="AM884" s="7"/>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row>
    <row r="885" spans="1:64" ht="16.5" customHeight="1">
      <c r="A885" s="1"/>
      <c r="B885" s="139"/>
      <c r="C885" s="1"/>
      <c r="D885" s="1"/>
      <c r="E885" s="1"/>
      <c r="F885" s="1"/>
      <c r="G885" s="1"/>
      <c r="H885" s="4"/>
      <c r="I885" s="4"/>
      <c r="J885" s="4"/>
      <c r="K885" s="4"/>
      <c r="L885" s="4"/>
      <c r="M885" s="4"/>
      <c r="N885" s="3"/>
      <c r="O885" s="1"/>
      <c r="P885" s="1"/>
      <c r="Q885" s="4"/>
      <c r="R885" s="5"/>
      <c r="S885" s="4"/>
      <c r="T885" s="1"/>
      <c r="U885" s="1"/>
      <c r="V885" s="1"/>
      <c r="W885" s="1"/>
      <c r="X885" s="1"/>
      <c r="Y885" s="6"/>
      <c r="Z885" s="4"/>
      <c r="AA885" s="4"/>
      <c r="AB885" s="4"/>
      <c r="AC885" s="1"/>
      <c r="AD885" s="1"/>
      <c r="AE885" s="1"/>
      <c r="AF885" s="1"/>
      <c r="AG885" s="1"/>
      <c r="AH885" s="4"/>
      <c r="AI885" s="1"/>
      <c r="AJ885" s="3"/>
      <c r="AK885" s="4"/>
      <c r="AL885" s="6"/>
      <c r="AM885" s="7"/>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row>
    <row r="886" spans="1:64" ht="16.5" customHeight="1">
      <c r="A886" s="1"/>
      <c r="B886" s="139"/>
      <c r="C886" s="1"/>
      <c r="D886" s="1"/>
      <c r="E886" s="1"/>
      <c r="F886" s="1"/>
      <c r="G886" s="1"/>
      <c r="H886" s="4"/>
      <c r="I886" s="4"/>
      <c r="J886" s="4"/>
      <c r="K886" s="4"/>
      <c r="L886" s="4"/>
      <c r="M886" s="4"/>
      <c r="N886" s="3"/>
      <c r="O886" s="1"/>
      <c r="P886" s="1"/>
      <c r="Q886" s="4"/>
      <c r="R886" s="5"/>
      <c r="S886" s="4"/>
      <c r="T886" s="1"/>
      <c r="U886" s="1"/>
      <c r="V886" s="1"/>
      <c r="W886" s="1"/>
      <c r="X886" s="1"/>
      <c r="Y886" s="6"/>
      <c r="Z886" s="4"/>
      <c r="AA886" s="4"/>
      <c r="AB886" s="4"/>
      <c r="AC886" s="1"/>
      <c r="AD886" s="1"/>
      <c r="AE886" s="1"/>
      <c r="AF886" s="1"/>
      <c r="AG886" s="1"/>
      <c r="AH886" s="4"/>
      <c r="AI886" s="1"/>
      <c r="AJ886" s="3"/>
      <c r="AK886" s="4"/>
      <c r="AL886" s="6"/>
      <c r="AM886" s="7"/>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row>
    <row r="887" spans="1:64" ht="16.5" customHeight="1">
      <c r="A887" s="1"/>
      <c r="B887" s="139"/>
      <c r="C887" s="1"/>
      <c r="D887" s="1"/>
      <c r="E887" s="1"/>
      <c r="F887" s="1"/>
      <c r="G887" s="1"/>
      <c r="H887" s="4"/>
      <c r="I887" s="4"/>
      <c r="J887" s="4"/>
      <c r="K887" s="4"/>
      <c r="L887" s="4"/>
      <c r="M887" s="4"/>
      <c r="N887" s="3"/>
      <c r="O887" s="1"/>
      <c r="P887" s="1"/>
      <c r="Q887" s="4"/>
      <c r="R887" s="5"/>
      <c r="S887" s="4"/>
      <c r="T887" s="1"/>
      <c r="U887" s="1"/>
      <c r="V887" s="1"/>
      <c r="W887" s="1"/>
      <c r="X887" s="1"/>
      <c r="Y887" s="6"/>
      <c r="Z887" s="4"/>
      <c r="AA887" s="4"/>
      <c r="AB887" s="4"/>
      <c r="AC887" s="1"/>
      <c r="AD887" s="1"/>
      <c r="AE887" s="1"/>
      <c r="AF887" s="1"/>
      <c r="AG887" s="1"/>
      <c r="AH887" s="4"/>
      <c r="AI887" s="1"/>
      <c r="AJ887" s="3"/>
      <c r="AK887" s="4"/>
      <c r="AL887" s="6"/>
      <c r="AM887" s="7"/>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row>
    <row r="888" spans="1:64" ht="16.5" customHeight="1">
      <c r="A888" s="1"/>
      <c r="B888" s="139"/>
      <c r="C888" s="1"/>
      <c r="D888" s="1"/>
      <c r="E888" s="1"/>
      <c r="F888" s="1"/>
      <c r="G888" s="1"/>
      <c r="H888" s="4"/>
      <c r="I888" s="4"/>
      <c r="J888" s="4"/>
      <c r="K888" s="4"/>
      <c r="L888" s="4"/>
      <c r="M888" s="4"/>
      <c r="N888" s="3"/>
      <c r="O888" s="1"/>
      <c r="P888" s="1"/>
      <c r="Q888" s="4"/>
      <c r="R888" s="5"/>
      <c r="S888" s="4"/>
      <c r="T888" s="1"/>
      <c r="U888" s="1"/>
      <c r="V888" s="1"/>
      <c r="W888" s="1"/>
      <c r="X888" s="1"/>
      <c r="Y888" s="6"/>
      <c r="Z888" s="4"/>
      <c r="AA888" s="4"/>
      <c r="AB888" s="4"/>
      <c r="AC888" s="1"/>
      <c r="AD888" s="1"/>
      <c r="AE888" s="1"/>
      <c r="AF888" s="1"/>
      <c r="AG888" s="1"/>
      <c r="AH888" s="4"/>
      <c r="AI888" s="1"/>
      <c r="AJ888" s="3"/>
      <c r="AK888" s="4"/>
      <c r="AL888" s="6"/>
      <c r="AM888" s="7"/>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row>
    <row r="889" spans="1:64" ht="16.5" customHeight="1">
      <c r="A889" s="1"/>
      <c r="B889" s="139"/>
      <c r="C889" s="1"/>
      <c r="D889" s="1"/>
      <c r="E889" s="1"/>
      <c r="F889" s="1"/>
      <c r="G889" s="1"/>
      <c r="H889" s="4"/>
      <c r="I889" s="4"/>
      <c r="J889" s="4"/>
      <c r="K889" s="4"/>
      <c r="L889" s="4"/>
      <c r="M889" s="4"/>
      <c r="N889" s="3"/>
      <c r="O889" s="1"/>
      <c r="P889" s="1"/>
      <c r="Q889" s="4"/>
      <c r="R889" s="5"/>
      <c r="S889" s="4"/>
      <c r="T889" s="1"/>
      <c r="U889" s="1"/>
      <c r="V889" s="1"/>
      <c r="W889" s="1"/>
      <c r="X889" s="1"/>
      <c r="Y889" s="6"/>
      <c r="Z889" s="4"/>
      <c r="AA889" s="4"/>
      <c r="AB889" s="4"/>
      <c r="AC889" s="1"/>
      <c r="AD889" s="1"/>
      <c r="AE889" s="1"/>
      <c r="AF889" s="1"/>
      <c r="AG889" s="1"/>
      <c r="AH889" s="4"/>
      <c r="AI889" s="1"/>
      <c r="AJ889" s="3"/>
      <c r="AK889" s="4"/>
      <c r="AL889" s="6"/>
      <c r="AM889" s="7"/>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row>
    <row r="890" spans="1:64" ht="16.5" customHeight="1">
      <c r="A890" s="1"/>
      <c r="B890" s="139"/>
      <c r="C890" s="1"/>
      <c r="D890" s="1"/>
      <c r="E890" s="1"/>
      <c r="F890" s="1"/>
      <c r="G890" s="1"/>
      <c r="H890" s="4"/>
      <c r="I890" s="4"/>
      <c r="J890" s="4"/>
      <c r="K890" s="4"/>
      <c r="L890" s="4"/>
      <c r="M890" s="4"/>
      <c r="N890" s="3"/>
      <c r="O890" s="1"/>
      <c r="P890" s="1"/>
      <c r="Q890" s="4"/>
      <c r="R890" s="5"/>
      <c r="S890" s="4"/>
      <c r="T890" s="1"/>
      <c r="U890" s="1"/>
      <c r="V890" s="1"/>
      <c r="W890" s="1"/>
      <c r="X890" s="1"/>
      <c r="Y890" s="6"/>
      <c r="Z890" s="4"/>
      <c r="AA890" s="4"/>
      <c r="AB890" s="4"/>
      <c r="AC890" s="1"/>
      <c r="AD890" s="1"/>
      <c r="AE890" s="1"/>
      <c r="AF890" s="1"/>
      <c r="AG890" s="1"/>
      <c r="AH890" s="4"/>
      <c r="AI890" s="1"/>
      <c r="AJ890" s="3"/>
      <c r="AK890" s="4"/>
      <c r="AL890" s="6"/>
      <c r="AM890" s="7"/>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row>
    <row r="891" spans="1:64" ht="16.5" customHeight="1">
      <c r="A891" s="1"/>
      <c r="B891" s="139"/>
      <c r="C891" s="1"/>
      <c r="D891" s="1"/>
      <c r="E891" s="1"/>
      <c r="F891" s="1"/>
      <c r="G891" s="1"/>
      <c r="H891" s="4"/>
      <c r="I891" s="4"/>
      <c r="J891" s="4"/>
      <c r="K891" s="4"/>
      <c r="L891" s="4"/>
      <c r="M891" s="4"/>
      <c r="N891" s="3"/>
      <c r="O891" s="1"/>
      <c r="P891" s="1"/>
      <c r="Q891" s="4"/>
      <c r="R891" s="5"/>
      <c r="S891" s="4"/>
      <c r="T891" s="1"/>
      <c r="U891" s="1"/>
      <c r="V891" s="1"/>
      <c r="W891" s="1"/>
      <c r="X891" s="1"/>
      <c r="Y891" s="6"/>
      <c r="Z891" s="4"/>
      <c r="AA891" s="4"/>
      <c r="AB891" s="4"/>
      <c r="AC891" s="1"/>
      <c r="AD891" s="1"/>
      <c r="AE891" s="1"/>
      <c r="AF891" s="1"/>
      <c r="AG891" s="1"/>
      <c r="AH891" s="4"/>
      <c r="AI891" s="1"/>
      <c r="AJ891" s="3"/>
      <c r="AK891" s="4"/>
      <c r="AL891" s="6"/>
      <c r="AM891" s="7"/>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row>
    <row r="892" spans="1:64" ht="16.5" customHeight="1">
      <c r="A892" s="1"/>
      <c r="B892" s="139"/>
      <c r="C892" s="1"/>
      <c r="D892" s="1"/>
      <c r="E892" s="1"/>
      <c r="F892" s="1"/>
      <c r="G892" s="1"/>
      <c r="H892" s="4"/>
      <c r="I892" s="4"/>
      <c r="J892" s="4"/>
      <c r="K892" s="4"/>
      <c r="L892" s="4"/>
      <c r="M892" s="4"/>
      <c r="N892" s="3"/>
      <c r="O892" s="1"/>
      <c r="P892" s="1"/>
      <c r="Q892" s="4"/>
      <c r="R892" s="5"/>
      <c r="S892" s="4"/>
      <c r="T892" s="1"/>
      <c r="U892" s="1"/>
      <c r="V892" s="1"/>
      <c r="W892" s="1"/>
      <c r="X892" s="1"/>
      <c r="Y892" s="6"/>
      <c r="Z892" s="4"/>
      <c r="AA892" s="4"/>
      <c r="AB892" s="4"/>
      <c r="AC892" s="1"/>
      <c r="AD892" s="1"/>
      <c r="AE892" s="1"/>
      <c r="AF892" s="1"/>
      <c r="AG892" s="1"/>
      <c r="AH892" s="4"/>
      <c r="AI892" s="1"/>
      <c r="AJ892" s="3"/>
      <c r="AK892" s="4"/>
      <c r="AL892" s="6"/>
      <c r="AM892" s="7"/>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row>
    <row r="893" spans="1:64" ht="16.5" customHeight="1">
      <c r="A893" s="1"/>
      <c r="B893" s="139"/>
      <c r="C893" s="1"/>
      <c r="D893" s="1"/>
      <c r="E893" s="1"/>
      <c r="F893" s="1"/>
      <c r="G893" s="1"/>
      <c r="H893" s="4"/>
      <c r="I893" s="4"/>
      <c r="J893" s="4"/>
      <c r="K893" s="4"/>
      <c r="L893" s="4"/>
      <c r="M893" s="4"/>
      <c r="N893" s="3"/>
      <c r="O893" s="1"/>
      <c r="P893" s="1"/>
      <c r="Q893" s="4"/>
      <c r="R893" s="5"/>
      <c r="S893" s="4"/>
      <c r="T893" s="1"/>
      <c r="U893" s="1"/>
      <c r="V893" s="1"/>
      <c r="W893" s="1"/>
      <c r="X893" s="1"/>
      <c r="Y893" s="6"/>
      <c r="Z893" s="4"/>
      <c r="AA893" s="4"/>
      <c r="AB893" s="4"/>
      <c r="AC893" s="1"/>
      <c r="AD893" s="1"/>
      <c r="AE893" s="1"/>
      <c r="AF893" s="1"/>
      <c r="AG893" s="1"/>
      <c r="AH893" s="4"/>
      <c r="AI893" s="1"/>
      <c r="AJ893" s="3"/>
      <c r="AK893" s="4"/>
      <c r="AL893" s="6"/>
      <c r="AM893" s="7"/>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row>
    <row r="894" spans="1:64" ht="16.5" customHeight="1">
      <c r="A894" s="1"/>
      <c r="B894" s="139"/>
      <c r="C894" s="1"/>
      <c r="D894" s="1"/>
      <c r="E894" s="1"/>
      <c r="F894" s="1"/>
      <c r="G894" s="1"/>
      <c r="H894" s="4"/>
      <c r="I894" s="4"/>
      <c r="J894" s="4"/>
      <c r="K894" s="4"/>
      <c r="L894" s="4"/>
      <c r="M894" s="4"/>
      <c r="N894" s="3"/>
      <c r="O894" s="1"/>
      <c r="P894" s="1"/>
      <c r="Q894" s="4"/>
      <c r="R894" s="5"/>
      <c r="S894" s="4"/>
      <c r="T894" s="1"/>
      <c r="U894" s="1"/>
      <c r="V894" s="1"/>
      <c r="W894" s="1"/>
      <c r="X894" s="1"/>
      <c r="Y894" s="6"/>
      <c r="Z894" s="4"/>
      <c r="AA894" s="4"/>
      <c r="AB894" s="4"/>
      <c r="AC894" s="1"/>
      <c r="AD894" s="1"/>
      <c r="AE894" s="1"/>
      <c r="AF894" s="1"/>
      <c r="AG894" s="1"/>
      <c r="AH894" s="4"/>
      <c r="AI894" s="1"/>
      <c r="AJ894" s="3"/>
      <c r="AK894" s="4"/>
      <c r="AL894" s="6"/>
      <c r="AM894" s="7"/>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row>
    <row r="895" spans="1:64" ht="16.5" customHeight="1">
      <c r="A895" s="1"/>
      <c r="B895" s="139"/>
      <c r="C895" s="1"/>
      <c r="D895" s="1"/>
      <c r="E895" s="1"/>
      <c r="F895" s="1"/>
      <c r="G895" s="1"/>
      <c r="H895" s="4"/>
      <c r="I895" s="4"/>
      <c r="J895" s="4"/>
      <c r="K895" s="4"/>
      <c r="L895" s="4"/>
      <c r="M895" s="4"/>
      <c r="N895" s="3"/>
      <c r="O895" s="1"/>
      <c r="P895" s="1"/>
      <c r="Q895" s="4"/>
      <c r="R895" s="5"/>
      <c r="S895" s="4"/>
      <c r="T895" s="1"/>
      <c r="U895" s="1"/>
      <c r="V895" s="1"/>
      <c r="W895" s="1"/>
      <c r="X895" s="1"/>
      <c r="Y895" s="6"/>
      <c r="Z895" s="4"/>
      <c r="AA895" s="4"/>
      <c r="AB895" s="4"/>
      <c r="AC895" s="1"/>
      <c r="AD895" s="1"/>
      <c r="AE895" s="1"/>
      <c r="AF895" s="1"/>
      <c r="AG895" s="1"/>
      <c r="AH895" s="4"/>
      <c r="AI895" s="1"/>
      <c r="AJ895" s="3"/>
      <c r="AK895" s="4"/>
      <c r="AL895" s="6"/>
      <c r="AM895" s="7"/>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row>
    <row r="896" spans="1:64" ht="16.5" customHeight="1">
      <c r="A896" s="1"/>
      <c r="B896" s="139"/>
      <c r="C896" s="1"/>
      <c r="D896" s="1"/>
      <c r="E896" s="1"/>
      <c r="F896" s="1"/>
      <c r="G896" s="1"/>
      <c r="H896" s="4"/>
      <c r="I896" s="4"/>
      <c r="J896" s="4"/>
      <c r="K896" s="4"/>
      <c r="L896" s="4"/>
      <c r="M896" s="4"/>
      <c r="N896" s="3"/>
      <c r="O896" s="1"/>
      <c r="P896" s="1"/>
      <c r="Q896" s="4"/>
      <c r="R896" s="5"/>
      <c r="S896" s="4"/>
      <c r="T896" s="1"/>
      <c r="U896" s="1"/>
      <c r="V896" s="1"/>
      <c r="W896" s="1"/>
      <c r="X896" s="1"/>
      <c r="Y896" s="6"/>
      <c r="Z896" s="4"/>
      <c r="AA896" s="4"/>
      <c r="AB896" s="4"/>
      <c r="AC896" s="1"/>
      <c r="AD896" s="1"/>
      <c r="AE896" s="1"/>
      <c r="AF896" s="1"/>
      <c r="AG896" s="1"/>
      <c r="AH896" s="4"/>
      <c r="AI896" s="1"/>
      <c r="AJ896" s="3"/>
      <c r="AK896" s="4"/>
      <c r="AL896" s="6"/>
      <c r="AM896" s="7"/>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row>
    <row r="897" spans="1:64" ht="16.5" customHeight="1">
      <c r="A897" s="1"/>
      <c r="B897" s="139"/>
      <c r="C897" s="1"/>
      <c r="D897" s="1"/>
      <c r="E897" s="1"/>
      <c r="F897" s="1"/>
      <c r="G897" s="1"/>
      <c r="H897" s="4"/>
      <c r="I897" s="4"/>
      <c r="J897" s="4"/>
      <c r="K897" s="4"/>
      <c r="L897" s="4"/>
      <c r="M897" s="4"/>
      <c r="N897" s="3"/>
      <c r="O897" s="1"/>
      <c r="P897" s="1"/>
      <c r="Q897" s="4"/>
      <c r="R897" s="5"/>
      <c r="S897" s="4"/>
      <c r="T897" s="1"/>
      <c r="U897" s="1"/>
      <c r="V897" s="1"/>
      <c r="W897" s="1"/>
      <c r="X897" s="1"/>
      <c r="Y897" s="6"/>
      <c r="Z897" s="4"/>
      <c r="AA897" s="4"/>
      <c r="AB897" s="4"/>
      <c r="AC897" s="1"/>
      <c r="AD897" s="1"/>
      <c r="AE897" s="1"/>
      <c r="AF897" s="1"/>
      <c r="AG897" s="1"/>
      <c r="AH897" s="4"/>
      <c r="AI897" s="1"/>
      <c r="AJ897" s="3"/>
      <c r="AK897" s="4"/>
      <c r="AL897" s="6"/>
      <c r="AM897" s="7"/>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row>
    <row r="898" spans="1:64" ht="16.5" customHeight="1">
      <c r="A898" s="1"/>
      <c r="B898" s="139"/>
      <c r="C898" s="1"/>
      <c r="D898" s="1"/>
      <c r="E898" s="1"/>
      <c r="F898" s="1"/>
      <c r="G898" s="1"/>
      <c r="H898" s="4"/>
      <c r="I898" s="4"/>
      <c r="J898" s="4"/>
      <c r="K898" s="4"/>
      <c r="L898" s="4"/>
      <c r="M898" s="4"/>
      <c r="N898" s="3"/>
      <c r="O898" s="1"/>
      <c r="P898" s="1"/>
      <c r="Q898" s="4"/>
      <c r="R898" s="5"/>
      <c r="S898" s="4"/>
      <c r="T898" s="1"/>
      <c r="U898" s="1"/>
      <c r="V898" s="1"/>
      <c r="W898" s="1"/>
      <c r="X898" s="1"/>
      <c r="Y898" s="6"/>
      <c r="Z898" s="4"/>
      <c r="AA898" s="4"/>
      <c r="AB898" s="4"/>
      <c r="AC898" s="1"/>
      <c r="AD898" s="1"/>
      <c r="AE898" s="1"/>
      <c r="AF898" s="1"/>
      <c r="AG898" s="1"/>
      <c r="AH898" s="4"/>
      <c r="AI898" s="1"/>
      <c r="AJ898" s="3"/>
      <c r="AK898" s="4"/>
      <c r="AL898" s="6"/>
      <c r="AM898" s="7"/>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row>
    <row r="899" spans="1:64" ht="16.5" customHeight="1">
      <c r="A899" s="1"/>
      <c r="B899" s="139"/>
      <c r="C899" s="1"/>
      <c r="D899" s="1"/>
      <c r="E899" s="1"/>
      <c r="F899" s="1"/>
      <c r="G899" s="1"/>
      <c r="H899" s="4"/>
      <c r="I899" s="4"/>
      <c r="J899" s="4"/>
      <c r="K899" s="4"/>
      <c r="L899" s="4"/>
      <c r="M899" s="4"/>
      <c r="N899" s="3"/>
      <c r="O899" s="1"/>
      <c r="P899" s="1"/>
      <c r="Q899" s="4"/>
      <c r="R899" s="5"/>
      <c r="S899" s="4"/>
      <c r="T899" s="1"/>
      <c r="U899" s="1"/>
      <c r="V899" s="1"/>
      <c r="W899" s="1"/>
      <c r="X899" s="1"/>
      <c r="Y899" s="6"/>
      <c r="Z899" s="4"/>
      <c r="AA899" s="4"/>
      <c r="AB899" s="4"/>
      <c r="AC899" s="1"/>
      <c r="AD899" s="1"/>
      <c r="AE899" s="1"/>
      <c r="AF899" s="1"/>
      <c r="AG899" s="1"/>
      <c r="AH899" s="4"/>
      <c r="AI899" s="1"/>
      <c r="AJ899" s="3"/>
      <c r="AK899" s="4"/>
      <c r="AL899" s="6"/>
      <c r="AM899" s="7"/>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row>
    <row r="900" spans="1:64" ht="16.5" customHeight="1">
      <c r="A900" s="1"/>
      <c r="B900" s="139"/>
      <c r="C900" s="1"/>
      <c r="D900" s="1"/>
      <c r="E900" s="1"/>
      <c r="F900" s="1"/>
      <c r="G900" s="1"/>
      <c r="H900" s="4"/>
      <c r="I900" s="4"/>
      <c r="J900" s="4"/>
      <c r="K900" s="4"/>
      <c r="L900" s="4"/>
      <c r="M900" s="4"/>
      <c r="N900" s="3"/>
      <c r="O900" s="1"/>
      <c r="P900" s="1"/>
      <c r="Q900" s="4"/>
      <c r="R900" s="5"/>
      <c r="S900" s="4"/>
      <c r="T900" s="1"/>
      <c r="U900" s="1"/>
      <c r="V900" s="1"/>
      <c r="W900" s="1"/>
      <c r="X900" s="1"/>
      <c r="Y900" s="6"/>
      <c r="Z900" s="4"/>
      <c r="AA900" s="4"/>
      <c r="AB900" s="4"/>
      <c r="AC900" s="1"/>
      <c r="AD900" s="1"/>
      <c r="AE900" s="1"/>
      <c r="AF900" s="1"/>
      <c r="AG900" s="1"/>
      <c r="AH900" s="4"/>
      <c r="AI900" s="1"/>
      <c r="AJ900" s="3"/>
      <c r="AK900" s="4"/>
      <c r="AL900" s="6"/>
      <c r="AM900" s="7"/>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row>
    <row r="901" spans="1:64" ht="16.5" customHeight="1">
      <c r="A901" s="1"/>
      <c r="B901" s="139"/>
      <c r="C901" s="1"/>
      <c r="D901" s="1"/>
      <c r="E901" s="1"/>
      <c r="F901" s="1"/>
      <c r="G901" s="1"/>
      <c r="H901" s="4"/>
      <c r="I901" s="4"/>
      <c r="J901" s="4"/>
      <c r="K901" s="4"/>
      <c r="L901" s="4"/>
      <c r="M901" s="4"/>
      <c r="N901" s="3"/>
      <c r="O901" s="1"/>
      <c r="P901" s="1"/>
      <c r="Q901" s="4"/>
      <c r="R901" s="5"/>
      <c r="S901" s="4"/>
      <c r="T901" s="1"/>
      <c r="U901" s="1"/>
      <c r="V901" s="1"/>
      <c r="W901" s="1"/>
      <c r="X901" s="1"/>
      <c r="Y901" s="6"/>
      <c r="Z901" s="4"/>
      <c r="AA901" s="4"/>
      <c r="AB901" s="4"/>
      <c r="AC901" s="1"/>
      <c r="AD901" s="1"/>
      <c r="AE901" s="1"/>
      <c r="AF901" s="1"/>
      <c r="AG901" s="1"/>
      <c r="AH901" s="4"/>
      <c r="AI901" s="1"/>
      <c r="AJ901" s="3"/>
      <c r="AK901" s="4"/>
      <c r="AL901" s="6"/>
      <c r="AM901" s="7"/>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row>
    <row r="902" spans="1:64" ht="16.5" customHeight="1">
      <c r="A902" s="1"/>
      <c r="B902" s="139"/>
      <c r="C902" s="1"/>
      <c r="D902" s="1"/>
      <c r="E902" s="1"/>
      <c r="F902" s="1"/>
      <c r="G902" s="1"/>
      <c r="H902" s="4"/>
      <c r="I902" s="4"/>
      <c r="J902" s="4"/>
      <c r="K902" s="4"/>
      <c r="L902" s="4"/>
      <c r="M902" s="4"/>
      <c r="N902" s="3"/>
      <c r="O902" s="1"/>
      <c r="P902" s="1"/>
      <c r="Q902" s="4"/>
      <c r="R902" s="5"/>
      <c r="S902" s="4"/>
      <c r="T902" s="1"/>
      <c r="U902" s="1"/>
      <c r="V902" s="1"/>
      <c r="W902" s="1"/>
      <c r="X902" s="1"/>
      <c r="Y902" s="6"/>
      <c r="Z902" s="4"/>
      <c r="AA902" s="4"/>
      <c r="AB902" s="4"/>
      <c r="AC902" s="1"/>
      <c r="AD902" s="1"/>
      <c r="AE902" s="1"/>
      <c r="AF902" s="1"/>
      <c r="AG902" s="1"/>
      <c r="AH902" s="4"/>
      <c r="AI902" s="1"/>
      <c r="AJ902" s="3"/>
      <c r="AK902" s="4"/>
      <c r="AL902" s="6"/>
      <c r="AM902" s="7"/>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row>
    <row r="903" spans="1:64" ht="16.5" customHeight="1">
      <c r="A903" s="1"/>
      <c r="B903" s="139"/>
      <c r="C903" s="1"/>
      <c r="D903" s="1"/>
      <c r="E903" s="1"/>
      <c r="F903" s="1"/>
      <c r="G903" s="1"/>
      <c r="H903" s="4"/>
      <c r="I903" s="4"/>
      <c r="J903" s="4"/>
      <c r="K903" s="4"/>
      <c r="L903" s="4"/>
      <c r="M903" s="4"/>
      <c r="N903" s="3"/>
      <c r="O903" s="1"/>
      <c r="P903" s="1"/>
      <c r="Q903" s="4"/>
      <c r="R903" s="5"/>
      <c r="S903" s="4"/>
      <c r="T903" s="1"/>
      <c r="U903" s="1"/>
      <c r="V903" s="1"/>
      <c r="W903" s="1"/>
      <c r="X903" s="1"/>
      <c r="Y903" s="6"/>
      <c r="Z903" s="4"/>
      <c r="AA903" s="4"/>
      <c r="AB903" s="4"/>
      <c r="AC903" s="1"/>
      <c r="AD903" s="1"/>
      <c r="AE903" s="1"/>
      <c r="AF903" s="1"/>
      <c r="AG903" s="1"/>
      <c r="AH903" s="4"/>
      <c r="AI903" s="1"/>
      <c r="AJ903" s="3"/>
      <c r="AK903" s="4"/>
      <c r="AL903" s="6"/>
      <c r="AM903" s="7"/>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row>
    <row r="904" spans="1:64" ht="16.5" customHeight="1">
      <c r="A904" s="1"/>
      <c r="B904" s="139"/>
      <c r="C904" s="1"/>
      <c r="D904" s="1"/>
      <c r="E904" s="1"/>
      <c r="F904" s="1"/>
      <c r="G904" s="1"/>
      <c r="H904" s="4"/>
      <c r="I904" s="4"/>
      <c r="J904" s="4"/>
      <c r="K904" s="4"/>
      <c r="L904" s="4"/>
      <c r="M904" s="4"/>
      <c r="N904" s="3"/>
      <c r="O904" s="1"/>
      <c r="P904" s="1"/>
      <c r="Q904" s="4"/>
      <c r="R904" s="5"/>
      <c r="S904" s="4"/>
      <c r="T904" s="1"/>
      <c r="U904" s="1"/>
      <c r="V904" s="1"/>
      <c r="W904" s="1"/>
      <c r="X904" s="1"/>
      <c r="Y904" s="6"/>
      <c r="Z904" s="4"/>
      <c r="AA904" s="4"/>
      <c r="AB904" s="4"/>
      <c r="AC904" s="1"/>
      <c r="AD904" s="1"/>
      <c r="AE904" s="1"/>
      <c r="AF904" s="1"/>
      <c r="AG904" s="1"/>
      <c r="AH904" s="4"/>
      <c r="AI904" s="1"/>
      <c r="AJ904" s="3"/>
      <c r="AK904" s="4"/>
      <c r="AL904" s="6"/>
      <c r="AM904" s="7"/>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row>
    <row r="905" spans="1:64" ht="16.5" customHeight="1">
      <c r="A905" s="1"/>
      <c r="B905" s="139"/>
      <c r="C905" s="1"/>
      <c r="D905" s="1"/>
      <c r="E905" s="1"/>
      <c r="F905" s="1"/>
      <c r="G905" s="1"/>
      <c r="H905" s="4"/>
      <c r="I905" s="4"/>
      <c r="J905" s="4"/>
      <c r="K905" s="4"/>
      <c r="L905" s="4"/>
      <c r="M905" s="4"/>
      <c r="N905" s="3"/>
      <c r="O905" s="1"/>
      <c r="P905" s="1"/>
      <c r="Q905" s="4"/>
      <c r="R905" s="5"/>
      <c r="S905" s="4"/>
      <c r="T905" s="1"/>
      <c r="U905" s="1"/>
      <c r="V905" s="1"/>
      <c r="W905" s="1"/>
      <c r="X905" s="1"/>
      <c r="Y905" s="6"/>
      <c r="Z905" s="4"/>
      <c r="AA905" s="4"/>
      <c r="AB905" s="4"/>
      <c r="AC905" s="1"/>
      <c r="AD905" s="1"/>
      <c r="AE905" s="1"/>
      <c r="AF905" s="1"/>
      <c r="AG905" s="1"/>
      <c r="AH905" s="4"/>
      <c r="AI905" s="1"/>
      <c r="AJ905" s="3"/>
      <c r="AK905" s="4"/>
      <c r="AL905" s="6"/>
      <c r="AM905" s="7"/>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row>
    <row r="906" spans="1:64" ht="16.5" customHeight="1">
      <c r="A906" s="1"/>
      <c r="B906" s="139"/>
      <c r="C906" s="1"/>
      <c r="D906" s="1"/>
      <c r="E906" s="1"/>
      <c r="F906" s="1"/>
      <c r="G906" s="1"/>
      <c r="H906" s="4"/>
      <c r="I906" s="4"/>
      <c r="J906" s="4"/>
      <c r="K906" s="4"/>
      <c r="L906" s="4"/>
      <c r="M906" s="4"/>
      <c r="N906" s="3"/>
      <c r="O906" s="1"/>
      <c r="P906" s="1"/>
      <c r="Q906" s="4"/>
      <c r="R906" s="5"/>
      <c r="S906" s="4"/>
      <c r="T906" s="1"/>
      <c r="U906" s="1"/>
      <c r="V906" s="1"/>
      <c r="W906" s="1"/>
      <c r="X906" s="1"/>
      <c r="Y906" s="6"/>
      <c r="Z906" s="4"/>
      <c r="AA906" s="4"/>
      <c r="AB906" s="4"/>
      <c r="AC906" s="1"/>
      <c r="AD906" s="1"/>
      <c r="AE906" s="1"/>
      <c r="AF906" s="1"/>
      <c r="AG906" s="1"/>
      <c r="AH906" s="4"/>
      <c r="AI906" s="1"/>
      <c r="AJ906" s="3"/>
      <c r="AK906" s="4"/>
      <c r="AL906" s="6"/>
      <c r="AM906" s="7"/>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row>
    <row r="907" spans="1:64" ht="16.5" customHeight="1">
      <c r="A907" s="1"/>
      <c r="B907" s="139"/>
      <c r="C907" s="1"/>
      <c r="D907" s="1"/>
      <c r="E907" s="1"/>
      <c r="F907" s="1"/>
      <c r="G907" s="1"/>
      <c r="H907" s="4"/>
      <c r="I907" s="4"/>
      <c r="J907" s="4"/>
      <c r="K907" s="4"/>
      <c r="L907" s="4"/>
      <c r="M907" s="4"/>
      <c r="N907" s="3"/>
      <c r="O907" s="1"/>
      <c r="P907" s="1"/>
      <c r="Q907" s="4"/>
      <c r="R907" s="5"/>
      <c r="S907" s="4"/>
      <c r="T907" s="1"/>
      <c r="U907" s="1"/>
      <c r="V907" s="1"/>
      <c r="W907" s="1"/>
      <c r="X907" s="1"/>
      <c r="Y907" s="6"/>
      <c r="Z907" s="4"/>
      <c r="AA907" s="4"/>
      <c r="AB907" s="4"/>
      <c r="AC907" s="1"/>
      <c r="AD907" s="1"/>
      <c r="AE907" s="1"/>
      <c r="AF907" s="1"/>
      <c r="AG907" s="1"/>
      <c r="AH907" s="4"/>
      <c r="AI907" s="1"/>
      <c r="AJ907" s="3"/>
      <c r="AK907" s="4"/>
      <c r="AL907" s="6"/>
      <c r="AM907" s="7"/>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row>
    <row r="908" spans="1:64" ht="16.5" customHeight="1">
      <c r="A908" s="1"/>
      <c r="B908" s="139"/>
      <c r="C908" s="1"/>
      <c r="D908" s="1"/>
      <c r="E908" s="1"/>
      <c r="F908" s="1"/>
      <c r="G908" s="1"/>
      <c r="H908" s="4"/>
      <c r="I908" s="4"/>
      <c r="J908" s="4"/>
      <c r="K908" s="4"/>
      <c r="L908" s="4"/>
      <c r="M908" s="4"/>
      <c r="N908" s="3"/>
      <c r="O908" s="1"/>
      <c r="P908" s="1"/>
      <c r="Q908" s="4"/>
      <c r="R908" s="5"/>
      <c r="S908" s="4"/>
      <c r="T908" s="1"/>
      <c r="U908" s="1"/>
      <c r="V908" s="1"/>
      <c r="W908" s="1"/>
      <c r="X908" s="1"/>
      <c r="Y908" s="6"/>
      <c r="Z908" s="4"/>
      <c r="AA908" s="4"/>
      <c r="AB908" s="4"/>
      <c r="AC908" s="1"/>
      <c r="AD908" s="1"/>
      <c r="AE908" s="1"/>
      <c r="AF908" s="1"/>
      <c r="AG908" s="1"/>
      <c r="AH908" s="4"/>
      <c r="AI908" s="1"/>
      <c r="AJ908" s="3"/>
      <c r="AK908" s="4"/>
      <c r="AL908" s="6"/>
      <c r="AM908" s="7"/>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row>
    <row r="909" spans="1:64" ht="16.5" customHeight="1">
      <c r="A909" s="1"/>
      <c r="B909" s="139"/>
      <c r="C909" s="1"/>
      <c r="D909" s="1"/>
      <c r="E909" s="1"/>
      <c r="F909" s="1"/>
      <c r="G909" s="1"/>
      <c r="H909" s="4"/>
      <c r="I909" s="4"/>
      <c r="J909" s="4"/>
      <c r="K909" s="4"/>
      <c r="L909" s="4"/>
      <c r="M909" s="4"/>
      <c r="N909" s="3"/>
      <c r="O909" s="1"/>
      <c r="P909" s="1"/>
      <c r="Q909" s="4"/>
      <c r="R909" s="5"/>
      <c r="S909" s="4"/>
      <c r="T909" s="1"/>
      <c r="U909" s="1"/>
      <c r="V909" s="1"/>
      <c r="W909" s="1"/>
      <c r="X909" s="1"/>
      <c r="Y909" s="6"/>
      <c r="Z909" s="4"/>
      <c r="AA909" s="4"/>
      <c r="AB909" s="4"/>
      <c r="AC909" s="1"/>
      <c r="AD909" s="1"/>
      <c r="AE909" s="1"/>
      <c r="AF909" s="1"/>
      <c r="AG909" s="1"/>
      <c r="AH909" s="4"/>
      <c r="AI909" s="1"/>
      <c r="AJ909" s="3"/>
      <c r="AK909" s="4"/>
      <c r="AL909" s="6"/>
      <c r="AM909" s="7"/>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row>
    <row r="910" spans="1:64" ht="16.5" customHeight="1">
      <c r="A910" s="1"/>
      <c r="B910" s="139"/>
      <c r="C910" s="1"/>
      <c r="D910" s="1"/>
      <c r="E910" s="1"/>
      <c r="F910" s="1"/>
      <c r="G910" s="1"/>
      <c r="H910" s="4"/>
      <c r="I910" s="4"/>
      <c r="J910" s="4"/>
      <c r="K910" s="4"/>
      <c r="L910" s="4"/>
      <c r="M910" s="4"/>
      <c r="N910" s="3"/>
      <c r="O910" s="1"/>
      <c r="P910" s="1"/>
      <c r="Q910" s="4"/>
      <c r="R910" s="5"/>
      <c r="S910" s="4"/>
      <c r="T910" s="1"/>
      <c r="U910" s="1"/>
      <c r="V910" s="1"/>
      <c r="W910" s="1"/>
      <c r="X910" s="1"/>
      <c r="Y910" s="6"/>
      <c r="Z910" s="4"/>
      <c r="AA910" s="4"/>
      <c r="AB910" s="4"/>
      <c r="AC910" s="1"/>
      <c r="AD910" s="1"/>
      <c r="AE910" s="1"/>
      <c r="AF910" s="1"/>
      <c r="AG910" s="1"/>
      <c r="AH910" s="4"/>
      <c r="AI910" s="1"/>
      <c r="AJ910" s="3"/>
      <c r="AK910" s="4"/>
      <c r="AL910" s="6"/>
      <c r="AM910" s="7"/>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row>
    <row r="911" spans="1:64" ht="16.5" customHeight="1">
      <c r="A911" s="1"/>
      <c r="B911" s="139"/>
      <c r="C911" s="1"/>
      <c r="D911" s="1"/>
      <c r="E911" s="1"/>
      <c r="F911" s="1"/>
      <c r="G911" s="1"/>
      <c r="H911" s="4"/>
      <c r="I911" s="4"/>
      <c r="J911" s="4"/>
      <c r="K911" s="4"/>
      <c r="L911" s="4"/>
      <c r="M911" s="4"/>
      <c r="N911" s="3"/>
      <c r="O911" s="1"/>
      <c r="P911" s="1"/>
      <c r="Q911" s="4"/>
      <c r="R911" s="5"/>
      <c r="S911" s="4"/>
      <c r="T911" s="1"/>
      <c r="U911" s="1"/>
      <c r="V911" s="1"/>
      <c r="W911" s="1"/>
      <c r="X911" s="1"/>
      <c r="Y911" s="6"/>
      <c r="Z911" s="4"/>
      <c r="AA911" s="4"/>
      <c r="AB911" s="4"/>
      <c r="AC911" s="1"/>
      <c r="AD911" s="1"/>
      <c r="AE911" s="1"/>
      <c r="AF911" s="1"/>
      <c r="AG911" s="1"/>
      <c r="AH911" s="4"/>
      <c r="AI911" s="1"/>
      <c r="AJ911" s="3"/>
      <c r="AK911" s="4"/>
      <c r="AL911" s="6"/>
      <c r="AM911" s="7"/>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row>
    <row r="912" spans="1:64" ht="16.5" customHeight="1">
      <c r="A912" s="1"/>
      <c r="B912" s="139"/>
      <c r="C912" s="1"/>
      <c r="D912" s="1"/>
      <c r="E912" s="1"/>
      <c r="F912" s="1"/>
      <c r="G912" s="1"/>
      <c r="H912" s="4"/>
      <c r="I912" s="4"/>
      <c r="J912" s="4"/>
      <c r="K912" s="4"/>
      <c r="L912" s="4"/>
      <c r="M912" s="4"/>
      <c r="N912" s="3"/>
      <c r="O912" s="1"/>
      <c r="P912" s="1"/>
      <c r="Q912" s="4"/>
      <c r="R912" s="5"/>
      <c r="S912" s="4"/>
      <c r="T912" s="1"/>
      <c r="U912" s="1"/>
      <c r="V912" s="1"/>
      <c r="W912" s="1"/>
      <c r="X912" s="1"/>
      <c r="Y912" s="6"/>
      <c r="Z912" s="4"/>
      <c r="AA912" s="4"/>
      <c r="AB912" s="4"/>
      <c r="AC912" s="1"/>
      <c r="AD912" s="1"/>
      <c r="AE912" s="1"/>
      <c r="AF912" s="1"/>
      <c r="AG912" s="1"/>
      <c r="AH912" s="4"/>
      <c r="AI912" s="1"/>
      <c r="AJ912" s="3"/>
      <c r="AK912" s="4"/>
      <c r="AL912" s="6"/>
      <c r="AM912" s="7"/>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row>
    <row r="913" spans="1:64" ht="16.5" customHeight="1">
      <c r="A913" s="1"/>
      <c r="B913" s="139"/>
      <c r="C913" s="1"/>
      <c r="D913" s="1"/>
      <c r="E913" s="1"/>
      <c r="F913" s="1"/>
      <c r="G913" s="1"/>
      <c r="H913" s="4"/>
      <c r="I913" s="4"/>
      <c r="J913" s="4"/>
      <c r="K913" s="4"/>
      <c r="L913" s="4"/>
      <c r="M913" s="4"/>
      <c r="N913" s="3"/>
      <c r="O913" s="1"/>
      <c r="P913" s="1"/>
      <c r="Q913" s="4"/>
      <c r="R913" s="5"/>
      <c r="S913" s="4"/>
      <c r="T913" s="1"/>
      <c r="U913" s="1"/>
      <c r="V913" s="1"/>
      <c r="W913" s="1"/>
      <c r="X913" s="1"/>
      <c r="Y913" s="6"/>
      <c r="Z913" s="4"/>
      <c r="AA913" s="4"/>
      <c r="AB913" s="4"/>
      <c r="AC913" s="1"/>
      <c r="AD913" s="1"/>
      <c r="AE913" s="1"/>
      <c r="AF913" s="1"/>
      <c r="AG913" s="1"/>
      <c r="AH913" s="4"/>
      <c r="AI913" s="1"/>
      <c r="AJ913" s="3"/>
      <c r="AK913" s="4"/>
      <c r="AL913" s="6"/>
      <c r="AM913" s="7"/>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row>
    <row r="914" spans="1:64" ht="16.5" customHeight="1">
      <c r="A914" s="1"/>
      <c r="B914" s="139"/>
      <c r="C914" s="1"/>
      <c r="D914" s="1"/>
      <c r="E914" s="1"/>
      <c r="F914" s="1"/>
      <c r="G914" s="1"/>
      <c r="H914" s="4"/>
      <c r="I914" s="4"/>
      <c r="J914" s="4"/>
      <c r="K914" s="4"/>
      <c r="L914" s="4"/>
      <c r="M914" s="4"/>
      <c r="N914" s="3"/>
      <c r="O914" s="1"/>
      <c r="P914" s="1"/>
      <c r="Q914" s="4"/>
      <c r="R914" s="5"/>
      <c r="S914" s="4"/>
      <c r="T914" s="1"/>
      <c r="U914" s="1"/>
      <c r="V914" s="1"/>
      <c r="W914" s="1"/>
      <c r="X914" s="1"/>
      <c r="Y914" s="6"/>
      <c r="Z914" s="4"/>
      <c r="AA914" s="4"/>
      <c r="AB914" s="4"/>
      <c r="AC914" s="1"/>
      <c r="AD914" s="1"/>
      <c r="AE914" s="1"/>
      <c r="AF914" s="1"/>
      <c r="AG914" s="1"/>
      <c r="AH914" s="4"/>
      <c r="AI914" s="1"/>
      <c r="AJ914" s="3"/>
      <c r="AK914" s="4"/>
      <c r="AL914" s="6"/>
      <c r="AM914" s="7"/>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row>
    <row r="915" spans="1:64" ht="16.5" customHeight="1">
      <c r="A915" s="1"/>
      <c r="B915" s="139"/>
      <c r="C915" s="1"/>
      <c r="D915" s="1"/>
      <c r="E915" s="1"/>
      <c r="F915" s="1"/>
      <c r="G915" s="1"/>
      <c r="H915" s="4"/>
      <c r="I915" s="4"/>
      <c r="J915" s="4"/>
      <c r="K915" s="4"/>
      <c r="L915" s="4"/>
      <c r="M915" s="4"/>
      <c r="N915" s="3"/>
      <c r="O915" s="1"/>
      <c r="P915" s="1"/>
      <c r="Q915" s="4"/>
      <c r="R915" s="5"/>
      <c r="S915" s="4"/>
      <c r="T915" s="1"/>
      <c r="U915" s="1"/>
      <c r="V915" s="1"/>
      <c r="W915" s="1"/>
      <c r="X915" s="1"/>
      <c r="Y915" s="6"/>
      <c r="Z915" s="4"/>
      <c r="AA915" s="4"/>
      <c r="AB915" s="4"/>
      <c r="AC915" s="1"/>
      <c r="AD915" s="1"/>
      <c r="AE915" s="1"/>
      <c r="AF915" s="1"/>
      <c r="AG915" s="1"/>
      <c r="AH915" s="4"/>
      <c r="AI915" s="1"/>
      <c r="AJ915" s="3"/>
      <c r="AK915" s="4"/>
      <c r="AL915" s="6"/>
      <c r="AM915" s="7"/>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row>
    <row r="916" spans="1:64" ht="16.5" customHeight="1">
      <c r="A916" s="1"/>
      <c r="B916" s="139"/>
      <c r="C916" s="1"/>
      <c r="D916" s="1"/>
      <c r="E916" s="1"/>
      <c r="F916" s="1"/>
      <c r="G916" s="1"/>
      <c r="H916" s="4"/>
      <c r="I916" s="4"/>
      <c r="J916" s="4"/>
      <c r="K916" s="4"/>
      <c r="L916" s="4"/>
      <c r="M916" s="4"/>
      <c r="N916" s="3"/>
      <c r="O916" s="1"/>
      <c r="P916" s="1"/>
      <c r="Q916" s="4"/>
      <c r="R916" s="5"/>
      <c r="S916" s="4"/>
      <c r="T916" s="1"/>
      <c r="U916" s="1"/>
      <c r="V916" s="1"/>
      <c r="W916" s="1"/>
      <c r="X916" s="1"/>
      <c r="Y916" s="6"/>
      <c r="Z916" s="4"/>
      <c r="AA916" s="4"/>
      <c r="AB916" s="4"/>
      <c r="AC916" s="1"/>
      <c r="AD916" s="1"/>
      <c r="AE916" s="1"/>
      <c r="AF916" s="1"/>
      <c r="AG916" s="1"/>
      <c r="AH916" s="4"/>
      <c r="AI916" s="1"/>
      <c r="AJ916" s="3"/>
      <c r="AK916" s="4"/>
      <c r="AL916" s="6"/>
      <c r="AM916" s="7"/>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row>
    <row r="917" spans="1:64" ht="16.5" customHeight="1">
      <c r="A917" s="1"/>
      <c r="B917" s="139"/>
      <c r="C917" s="1"/>
      <c r="D917" s="1"/>
      <c r="E917" s="1"/>
      <c r="F917" s="1"/>
      <c r="G917" s="1"/>
      <c r="H917" s="4"/>
      <c r="I917" s="4"/>
      <c r="J917" s="4"/>
      <c r="K917" s="4"/>
      <c r="L917" s="4"/>
      <c r="M917" s="4"/>
      <c r="N917" s="3"/>
      <c r="O917" s="1"/>
      <c r="P917" s="1"/>
      <c r="Q917" s="4"/>
      <c r="R917" s="5"/>
      <c r="S917" s="4"/>
      <c r="T917" s="1"/>
      <c r="U917" s="1"/>
      <c r="V917" s="1"/>
      <c r="W917" s="1"/>
      <c r="X917" s="1"/>
      <c r="Y917" s="6"/>
      <c r="Z917" s="4"/>
      <c r="AA917" s="4"/>
      <c r="AB917" s="4"/>
      <c r="AC917" s="1"/>
      <c r="AD917" s="1"/>
      <c r="AE917" s="1"/>
      <c r="AF917" s="1"/>
      <c r="AG917" s="1"/>
      <c r="AH917" s="4"/>
      <c r="AI917" s="1"/>
      <c r="AJ917" s="3"/>
      <c r="AK917" s="4"/>
      <c r="AL917" s="6"/>
      <c r="AM917" s="7"/>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row>
    <row r="918" spans="1:64" ht="16.5" customHeight="1">
      <c r="A918" s="1"/>
      <c r="B918" s="139"/>
      <c r="C918" s="1"/>
      <c r="D918" s="1"/>
      <c r="E918" s="1"/>
      <c r="F918" s="1"/>
      <c r="G918" s="1"/>
      <c r="H918" s="4"/>
      <c r="I918" s="4"/>
      <c r="J918" s="4"/>
      <c r="K918" s="4"/>
      <c r="L918" s="4"/>
      <c r="M918" s="4"/>
      <c r="N918" s="3"/>
      <c r="O918" s="1"/>
      <c r="P918" s="1"/>
      <c r="Q918" s="4"/>
      <c r="R918" s="5"/>
      <c r="S918" s="4"/>
      <c r="T918" s="1"/>
      <c r="U918" s="1"/>
      <c r="V918" s="1"/>
      <c r="W918" s="1"/>
      <c r="X918" s="1"/>
      <c r="Y918" s="6"/>
      <c r="Z918" s="4"/>
      <c r="AA918" s="4"/>
      <c r="AB918" s="4"/>
      <c r="AC918" s="1"/>
      <c r="AD918" s="1"/>
      <c r="AE918" s="1"/>
      <c r="AF918" s="1"/>
      <c r="AG918" s="1"/>
      <c r="AH918" s="4"/>
      <c r="AI918" s="1"/>
      <c r="AJ918" s="3"/>
      <c r="AK918" s="4"/>
      <c r="AL918" s="6"/>
      <c r="AM918" s="7"/>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row>
    <row r="919" spans="1:64" ht="16.5" customHeight="1">
      <c r="A919" s="1"/>
      <c r="B919" s="139"/>
      <c r="C919" s="1"/>
      <c r="D919" s="1"/>
      <c r="E919" s="1"/>
      <c r="F919" s="1"/>
      <c r="G919" s="1"/>
      <c r="H919" s="4"/>
      <c r="I919" s="4"/>
      <c r="J919" s="4"/>
      <c r="K919" s="4"/>
      <c r="L919" s="4"/>
      <c r="M919" s="4"/>
      <c r="N919" s="3"/>
      <c r="O919" s="1"/>
      <c r="P919" s="1"/>
      <c r="Q919" s="4"/>
      <c r="R919" s="5"/>
      <c r="S919" s="4"/>
      <c r="T919" s="1"/>
      <c r="U919" s="1"/>
      <c r="V919" s="1"/>
      <c r="W919" s="1"/>
      <c r="X919" s="1"/>
      <c r="Y919" s="6"/>
      <c r="Z919" s="4"/>
      <c r="AA919" s="4"/>
      <c r="AB919" s="4"/>
      <c r="AC919" s="1"/>
      <c r="AD919" s="1"/>
      <c r="AE919" s="1"/>
      <c r="AF919" s="1"/>
      <c r="AG919" s="1"/>
      <c r="AH919" s="4"/>
      <c r="AI919" s="1"/>
      <c r="AJ919" s="3"/>
      <c r="AK919" s="4"/>
      <c r="AL919" s="6"/>
      <c r="AM919" s="7"/>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row>
    <row r="920" spans="1:64" ht="16.5" customHeight="1">
      <c r="A920" s="1"/>
      <c r="B920" s="139"/>
      <c r="C920" s="1"/>
      <c r="D920" s="1"/>
      <c r="E920" s="1"/>
      <c r="F920" s="1"/>
      <c r="G920" s="1"/>
      <c r="H920" s="4"/>
      <c r="I920" s="4"/>
      <c r="J920" s="4"/>
      <c r="K920" s="4"/>
      <c r="L920" s="4"/>
      <c r="M920" s="4"/>
      <c r="N920" s="3"/>
      <c r="O920" s="1"/>
      <c r="P920" s="1"/>
      <c r="Q920" s="4"/>
      <c r="R920" s="5"/>
      <c r="S920" s="4"/>
      <c r="T920" s="1"/>
      <c r="U920" s="1"/>
      <c r="V920" s="1"/>
      <c r="W920" s="1"/>
      <c r="X920" s="1"/>
      <c r="Y920" s="6"/>
      <c r="Z920" s="4"/>
      <c r="AA920" s="4"/>
      <c r="AB920" s="4"/>
      <c r="AC920" s="1"/>
      <c r="AD920" s="1"/>
      <c r="AE920" s="1"/>
      <c r="AF920" s="1"/>
      <c r="AG920" s="1"/>
      <c r="AH920" s="4"/>
      <c r="AI920" s="1"/>
      <c r="AJ920" s="3"/>
      <c r="AK920" s="4"/>
      <c r="AL920" s="6"/>
      <c r="AM920" s="7"/>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row>
    <row r="921" spans="1:64" ht="16.5" customHeight="1">
      <c r="A921" s="1"/>
      <c r="B921" s="139"/>
      <c r="C921" s="1"/>
      <c r="D921" s="1"/>
      <c r="E921" s="1"/>
      <c r="F921" s="1"/>
      <c r="G921" s="1"/>
      <c r="H921" s="4"/>
      <c r="I921" s="4"/>
      <c r="J921" s="4"/>
      <c r="K921" s="4"/>
      <c r="L921" s="4"/>
      <c r="M921" s="4"/>
      <c r="N921" s="3"/>
      <c r="O921" s="1"/>
      <c r="P921" s="1"/>
      <c r="Q921" s="4"/>
      <c r="R921" s="5"/>
      <c r="S921" s="4"/>
      <c r="T921" s="1"/>
      <c r="U921" s="1"/>
      <c r="V921" s="1"/>
      <c r="W921" s="1"/>
      <c r="X921" s="1"/>
      <c r="Y921" s="6"/>
      <c r="Z921" s="4"/>
      <c r="AA921" s="4"/>
      <c r="AB921" s="4"/>
      <c r="AC921" s="1"/>
      <c r="AD921" s="1"/>
      <c r="AE921" s="1"/>
      <c r="AF921" s="1"/>
      <c r="AG921" s="1"/>
      <c r="AH921" s="4"/>
      <c r="AI921" s="1"/>
      <c r="AJ921" s="3"/>
      <c r="AK921" s="4"/>
      <c r="AL921" s="6"/>
      <c r="AM921" s="7"/>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row>
    <row r="922" spans="1:64" ht="16.5" customHeight="1">
      <c r="A922" s="1"/>
      <c r="B922" s="139"/>
      <c r="C922" s="1"/>
      <c r="D922" s="1"/>
      <c r="E922" s="1"/>
      <c r="F922" s="1"/>
      <c r="G922" s="1"/>
      <c r="H922" s="4"/>
      <c r="I922" s="4"/>
      <c r="J922" s="4"/>
      <c r="K922" s="4"/>
      <c r="L922" s="4"/>
      <c r="M922" s="4"/>
      <c r="N922" s="3"/>
      <c r="O922" s="1"/>
      <c r="P922" s="1"/>
      <c r="Q922" s="4"/>
      <c r="R922" s="5"/>
      <c r="S922" s="4"/>
      <c r="T922" s="1"/>
      <c r="U922" s="1"/>
      <c r="V922" s="1"/>
      <c r="W922" s="1"/>
      <c r="X922" s="1"/>
      <c r="Y922" s="6"/>
      <c r="Z922" s="4"/>
      <c r="AA922" s="4"/>
      <c r="AB922" s="4"/>
      <c r="AC922" s="1"/>
      <c r="AD922" s="1"/>
      <c r="AE922" s="1"/>
      <c r="AF922" s="1"/>
      <c r="AG922" s="1"/>
      <c r="AH922" s="4"/>
      <c r="AI922" s="1"/>
      <c r="AJ922" s="3"/>
      <c r="AK922" s="4"/>
      <c r="AL922" s="6"/>
      <c r="AM922" s="7"/>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row>
    <row r="923" spans="1:64" ht="16.5" customHeight="1">
      <c r="A923" s="1"/>
      <c r="B923" s="139"/>
      <c r="C923" s="1"/>
      <c r="D923" s="1"/>
      <c r="E923" s="1"/>
      <c r="F923" s="1"/>
      <c r="G923" s="1"/>
      <c r="H923" s="4"/>
      <c r="I923" s="4"/>
      <c r="J923" s="4"/>
      <c r="K923" s="4"/>
      <c r="L923" s="4"/>
      <c r="M923" s="4"/>
      <c r="N923" s="3"/>
      <c r="O923" s="1"/>
      <c r="P923" s="1"/>
      <c r="Q923" s="4"/>
      <c r="R923" s="5"/>
      <c r="S923" s="4"/>
      <c r="T923" s="1"/>
      <c r="U923" s="1"/>
      <c r="V923" s="1"/>
      <c r="W923" s="1"/>
      <c r="X923" s="1"/>
      <c r="Y923" s="6"/>
      <c r="Z923" s="4"/>
      <c r="AA923" s="4"/>
      <c r="AB923" s="4"/>
      <c r="AC923" s="1"/>
      <c r="AD923" s="1"/>
      <c r="AE923" s="1"/>
      <c r="AF923" s="1"/>
      <c r="AG923" s="1"/>
      <c r="AH923" s="4"/>
      <c r="AI923" s="1"/>
      <c r="AJ923" s="3"/>
      <c r="AK923" s="4"/>
      <c r="AL923" s="6"/>
      <c r="AM923" s="7"/>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row>
    <row r="924" spans="1:64" ht="16.5" customHeight="1">
      <c r="A924" s="1"/>
      <c r="B924" s="139"/>
      <c r="C924" s="1"/>
      <c r="D924" s="1"/>
      <c r="E924" s="1"/>
      <c r="F924" s="1"/>
      <c r="G924" s="1"/>
      <c r="H924" s="4"/>
      <c r="I924" s="4"/>
      <c r="J924" s="4"/>
      <c r="K924" s="4"/>
      <c r="L924" s="4"/>
      <c r="M924" s="4"/>
      <c r="N924" s="3"/>
      <c r="O924" s="1"/>
      <c r="P924" s="1"/>
      <c r="Q924" s="4"/>
      <c r="R924" s="5"/>
      <c r="S924" s="4"/>
      <c r="T924" s="1"/>
      <c r="U924" s="1"/>
      <c r="V924" s="1"/>
      <c r="W924" s="1"/>
      <c r="X924" s="1"/>
      <c r="Y924" s="6"/>
      <c r="Z924" s="4"/>
      <c r="AA924" s="4"/>
      <c r="AB924" s="4"/>
      <c r="AC924" s="1"/>
      <c r="AD924" s="1"/>
      <c r="AE924" s="1"/>
      <c r="AF924" s="1"/>
      <c r="AG924" s="1"/>
      <c r="AH924" s="4"/>
      <c r="AI924" s="1"/>
      <c r="AJ924" s="3"/>
      <c r="AK924" s="4"/>
      <c r="AL924" s="6"/>
      <c r="AM924" s="7"/>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row>
    <row r="925" spans="1:64" ht="16.5" customHeight="1">
      <c r="A925" s="1"/>
      <c r="B925" s="139"/>
      <c r="C925" s="1"/>
      <c r="D925" s="1"/>
      <c r="E925" s="1"/>
      <c r="F925" s="1"/>
      <c r="G925" s="1"/>
      <c r="H925" s="4"/>
      <c r="I925" s="4"/>
      <c r="J925" s="4"/>
      <c r="K925" s="4"/>
      <c r="L925" s="4"/>
      <c r="M925" s="4"/>
      <c r="N925" s="3"/>
      <c r="O925" s="1"/>
      <c r="P925" s="1"/>
      <c r="Q925" s="4"/>
      <c r="R925" s="5"/>
      <c r="S925" s="4"/>
      <c r="T925" s="1"/>
      <c r="U925" s="1"/>
      <c r="V925" s="1"/>
      <c r="W925" s="1"/>
      <c r="X925" s="1"/>
      <c r="Y925" s="6"/>
      <c r="Z925" s="4"/>
      <c r="AA925" s="4"/>
      <c r="AB925" s="4"/>
      <c r="AC925" s="1"/>
      <c r="AD925" s="1"/>
      <c r="AE925" s="1"/>
      <c r="AF925" s="1"/>
      <c r="AG925" s="1"/>
      <c r="AH925" s="4"/>
      <c r="AI925" s="1"/>
      <c r="AJ925" s="3"/>
      <c r="AK925" s="4"/>
      <c r="AL925" s="6"/>
      <c r="AM925" s="7"/>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row>
    <row r="926" spans="1:64" ht="16.5" customHeight="1">
      <c r="A926" s="1"/>
      <c r="B926" s="139"/>
      <c r="C926" s="1"/>
      <c r="D926" s="1"/>
      <c r="E926" s="1"/>
      <c r="F926" s="1"/>
      <c r="G926" s="1"/>
      <c r="H926" s="4"/>
      <c r="I926" s="4"/>
      <c r="J926" s="4"/>
      <c r="K926" s="4"/>
      <c r="L926" s="4"/>
      <c r="M926" s="4"/>
      <c r="N926" s="3"/>
      <c r="O926" s="1"/>
      <c r="P926" s="1"/>
      <c r="Q926" s="4"/>
      <c r="R926" s="5"/>
      <c r="S926" s="4"/>
      <c r="T926" s="1"/>
      <c r="U926" s="1"/>
      <c r="V926" s="1"/>
      <c r="W926" s="1"/>
      <c r="X926" s="1"/>
      <c r="Y926" s="6"/>
      <c r="Z926" s="4"/>
      <c r="AA926" s="4"/>
      <c r="AB926" s="4"/>
      <c r="AC926" s="1"/>
      <c r="AD926" s="1"/>
      <c r="AE926" s="1"/>
      <c r="AF926" s="1"/>
      <c r="AG926" s="1"/>
      <c r="AH926" s="4"/>
      <c r="AI926" s="1"/>
      <c r="AJ926" s="3"/>
      <c r="AK926" s="4"/>
      <c r="AL926" s="6"/>
      <c r="AM926" s="7"/>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row>
    <row r="927" spans="1:64" ht="16.5" customHeight="1">
      <c r="A927" s="1"/>
      <c r="B927" s="139"/>
      <c r="C927" s="1"/>
      <c r="D927" s="1"/>
      <c r="E927" s="1"/>
      <c r="F927" s="1"/>
      <c r="G927" s="1"/>
      <c r="H927" s="4"/>
      <c r="I927" s="4"/>
      <c r="J927" s="4"/>
      <c r="K927" s="4"/>
      <c r="L927" s="4"/>
      <c r="M927" s="4"/>
      <c r="N927" s="3"/>
      <c r="O927" s="1"/>
      <c r="P927" s="1"/>
      <c r="Q927" s="4"/>
      <c r="R927" s="5"/>
      <c r="S927" s="4"/>
      <c r="T927" s="1"/>
      <c r="U927" s="1"/>
      <c r="V927" s="1"/>
      <c r="W927" s="1"/>
      <c r="X927" s="1"/>
      <c r="Y927" s="6"/>
      <c r="Z927" s="4"/>
      <c r="AA927" s="4"/>
      <c r="AB927" s="4"/>
      <c r="AC927" s="1"/>
      <c r="AD927" s="1"/>
      <c r="AE927" s="1"/>
      <c r="AF927" s="1"/>
      <c r="AG927" s="1"/>
      <c r="AH927" s="4"/>
      <c r="AI927" s="1"/>
      <c r="AJ927" s="3"/>
      <c r="AK927" s="4"/>
      <c r="AL927" s="6"/>
      <c r="AM927" s="7"/>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row>
    <row r="928" spans="1:64" ht="16.5" customHeight="1">
      <c r="A928" s="1"/>
      <c r="B928" s="139"/>
      <c r="C928" s="1"/>
      <c r="D928" s="1"/>
      <c r="E928" s="1"/>
      <c r="F928" s="1"/>
      <c r="G928" s="1"/>
      <c r="H928" s="4"/>
      <c r="I928" s="4"/>
      <c r="J928" s="4"/>
      <c r="K928" s="4"/>
      <c r="L928" s="4"/>
      <c r="M928" s="4"/>
      <c r="N928" s="3"/>
      <c r="O928" s="1"/>
      <c r="P928" s="1"/>
      <c r="Q928" s="4"/>
      <c r="R928" s="5"/>
      <c r="S928" s="4"/>
      <c r="T928" s="1"/>
      <c r="U928" s="1"/>
      <c r="V928" s="1"/>
      <c r="W928" s="1"/>
      <c r="X928" s="1"/>
      <c r="Y928" s="6"/>
      <c r="Z928" s="4"/>
      <c r="AA928" s="4"/>
      <c r="AB928" s="4"/>
      <c r="AC928" s="1"/>
      <c r="AD928" s="1"/>
      <c r="AE928" s="1"/>
      <c r="AF928" s="1"/>
      <c r="AG928" s="1"/>
      <c r="AH928" s="4"/>
      <c r="AI928" s="1"/>
      <c r="AJ928" s="3"/>
      <c r="AK928" s="4"/>
      <c r="AL928" s="6"/>
      <c r="AM928" s="7"/>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row>
    <row r="929" spans="1:64" ht="16.5" customHeight="1">
      <c r="A929" s="1"/>
      <c r="B929" s="139"/>
      <c r="C929" s="1"/>
      <c r="D929" s="1"/>
      <c r="E929" s="1"/>
      <c r="F929" s="1"/>
      <c r="G929" s="1"/>
      <c r="H929" s="4"/>
      <c r="I929" s="4"/>
      <c r="J929" s="4"/>
      <c r="K929" s="4"/>
      <c r="L929" s="4"/>
      <c r="M929" s="4"/>
      <c r="N929" s="3"/>
      <c r="O929" s="1"/>
      <c r="P929" s="1"/>
      <c r="Q929" s="4"/>
      <c r="R929" s="5"/>
      <c r="S929" s="4"/>
      <c r="T929" s="1"/>
      <c r="U929" s="1"/>
      <c r="V929" s="1"/>
      <c r="W929" s="1"/>
      <c r="X929" s="1"/>
      <c r="Y929" s="6"/>
      <c r="Z929" s="4"/>
      <c r="AA929" s="4"/>
      <c r="AB929" s="4"/>
      <c r="AC929" s="1"/>
      <c r="AD929" s="1"/>
      <c r="AE929" s="1"/>
      <c r="AF929" s="1"/>
      <c r="AG929" s="1"/>
      <c r="AH929" s="4"/>
      <c r="AI929" s="1"/>
      <c r="AJ929" s="3"/>
      <c r="AK929" s="4"/>
      <c r="AL929" s="6"/>
      <c r="AM929" s="7"/>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row>
    <row r="930" spans="1:64" ht="16.5" customHeight="1">
      <c r="A930" s="1"/>
      <c r="B930" s="139"/>
      <c r="C930" s="1"/>
      <c r="D930" s="1"/>
      <c r="E930" s="1"/>
      <c r="F930" s="1"/>
      <c r="G930" s="1"/>
      <c r="H930" s="4"/>
      <c r="I930" s="4"/>
      <c r="J930" s="4"/>
      <c r="K930" s="4"/>
      <c r="L930" s="4"/>
      <c r="M930" s="4"/>
      <c r="N930" s="3"/>
      <c r="O930" s="1"/>
      <c r="P930" s="1"/>
      <c r="Q930" s="4"/>
      <c r="R930" s="5"/>
      <c r="S930" s="4"/>
      <c r="T930" s="1"/>
      <c r="U930" s="1"/>
      <c r="V930" s="1"/>
      <c r="W930" s="1"/>
      <c r="X930" s="1"/>
      <c r="Y930" s="6"/>
      <c r="Z930" s="4"/>
      <c r="AA930" s="4"/>
      <c r="AB930" s="4"/>
      <c r="AC930" s="1"/>
      <c r="AD930" s="1"/>
      <c r="AE930" s="1"/>
      <c r="AF930" s="1"/>
      <c r="AG930" s="1"/>
      <c r="AH930" s="4"/>
      <c r="AI930" s="1"/>
      <c r="AJ930" s="3"/>
      <c r="AK930" s="4"/>
      <c r="AL930" s="6"/>
      <c r="AM930" s="7"/>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row>
    <row r="931" spans="1:64" ht="16.5" customHeight="1">
      <c r="A931" s="1"/>
      <c r="B931" s="139"/>
      <c r="C931" s="1"/>
      <c r="D931" s="1"/>
      <c r="E931" s="1"/>
      <c r="F931" s="1"/>
      <c r="G931" s="1"/>
      <c r="H931" s="4"/>
      <c r="I931" s="4"/>
      <c r="J931" s="4"/>
      <c r="K931" s="4"/>
      <c r="L931" s="4"/>
      <c r="M931" s="4"/>
      <c r="N931" s="3"/>
      <c r="O931" s="1"/>
      <c r="P931" s="1"/>
      <c r="Q931" s="4"/>
      <c r="R931" s="5"/>
      <c r="S931" s="4"/>
      <c r="T931" s="1"/>
      <c r="U931" s="1"/>
      <c r="V931" s="1"/>
      <c r="W931" s="1"/>
      <c r="X931" s="1"/>
      <c r="Y931" s="6"/>
      <c r="Z931" s="4"/>
      <c r="AA931" s="4"/>
      <c r="AB931" s="4"/>
      <c r="AC931" s="1"/>
      <c r="AD931" s="1"/>
      <c r="AE931" s="1"/>
      <c r="AF931" s="1"/>
      <c r="AG931" s="1"/>
      <c r="AH931" s="4"/>
      <c r="AI931" s="1"/>
      <c r="AJ931" s="3"/>
      <c r="AK931" s="4"/>
      <c r="AL931" s="6"/>
      <c r="AM931" s="7"/>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row>
    <row r="932" spans="1:64" ht="16.5" customHeight="1">
      <c r="A932" s="1"/>
      <c r="B932" s="139"/>
      <c r="C932" s="1"/>
      <c r="D932" s="1"/>
      <c r="E932" s="1"/>
      <c r="F932" s="1"/>
      <c r="G932" s="1"/>
      <c r="H932" s="4"/>
      <c r="I932" s="4"/>
      <c r="J932" s="4"/>
      <c r="K932" s="4"/>
      <c r="L932" s="4"/>
      <c r="M932" s="4"/>
      <c r="N932" s="3"/>
      <c r="O932" s="1"/>
      <c r="P932" s="1"/>
      <c r="Q932" s="4"/>
      <c r="R932" s="5"/>
      <c r="S932" s="4"/>
      <c r="T932" s="1"/>
      <c r="U932" s="1"/>
      <c r="V932" s="1"/>
      <c r="W932" s="1"/>
      <c r="X932" s="1"/>
      <c r="Y932" s="6"/>
      <c r="Z932" s="4"/>
      <c r="AA932" s="4"/>
      <c r="AB932" s="4"/>
      <c r="AC932" s="1"/>
      <c r="AD932" s="1"/>
      <c r="AE932" s="1"/>
      <c r="AF932" s="1"/>
      <c r="AG932" s="1"/>
      <c r="AH932" s="4"/>
      <c r="AI932" s="1"/>
      <c r="AJ932" s="3"/>
      <c r="AK932" s="4"/>
      <c r="AL932" s="6"/>
      <c r="AM932" s="7"/>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row>
    <row r="933" spans="1:64" ht="16.5" customHeight="1">
      <c r="A933" s="1"/>
      <c r="B933" s="139"/>
      <c r="C933" s="1"/>
      <c r="D933" s="1"/>
      <c r="E933" s="1"/>
      <c r="F933" s="1"/>
      <c r="G933" s="1"/>
      <c r="H933" s="4"/>
      <c r="I933" s="4"/>
      <c r="J933" s="4"/>
      <c r="K933" s="4"/>
      <c r="L933" s="4"/>
      <c r="M933" s="4"/>
      <c r="N933" s="3"/>
      <c r="O933" s="1"/>
      <c r="P933" s="1"/>
      <c r="Q933" s="4"/>
      <c r="R933" s="5"/>
      <c r="S933" s="4"/>
      <c r="T933" s="1"/>
      <c r="U933" s="1"/>
      <c r="V933" s="1"/>
      <c r="W933" s="1"/>
      <c r="X933" s="1"/>
      <c r="Y933" s="6"/>
      <c r="Z933" s="4"/>
      <c r="AA933" s="4"/>
      <c r="AB933" s="4"/>
      <c r="AC933" s="1"/>
      <c r="AD933" s="1"/>
      <c r="AE933" s="1"/>
      <c r="AF933" s="1"/>
      <c r="AG933" s="1"/>
      <c r="AH933" s="4"/>
      <c r="AI933" s="1"/>
      <c r="AJ933" s="3"/>
      <c r="AK933" s="4"/>
      <c r="AL933" s="6"/>
      <c r="AM933" s="7"/>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row>
    <row r="934" spans="1:64" ht="16.5" customHeight="1">
      <c r="A934" s="1"/>
      <c r="B934" s="139"/>
      <c r="C934" s="1"/>
      <c r="D934" s="1"/>
      <c r="E934" s="1"/>
      <c r="F934" s="1"/>
      <c r="G934" s="1"/>
      <c r="H934" s="4"/>
      <c r="I934" s="4"/>
      <c r="J934" s="4"/>
      <c r="K934" s="4"/>
      <c r="L934" s="4"/>
      <c r="M934" s="4"/>
      <c r="N934" s="3"/>
      <c r="O934" s="1"/>
      <c r="P934" s="1"/>
      <c r="Q934" s="4"/>
      <c r="R934" s="5"/>
      <c r="S934" s="4"/>
      <c r="T934" s="1"/>
      <c r="U934" s="1"/>
      <c r="V934" s="1"/>
      <c r="W934" s="1"/>
      <c r="X934" s="1"/>
      <c r="Y934" s="6"/>
      <c r="Z934" s="4"/>
      <c r="AA934" s="4"/>
      <c r="AB934" s="4"/>
      <c r="AC934" s="1"/>
      <c r="AD934" s="1"/>
      <c r="AE934" s="1"/>
      <c r="AF934" s="1"/>
      <c r="AG934" s="1"/>
      <c r="AH934" s="4"/>
      <c r="AI934" s="1"/>
      <c r="AJ934" s="3"/>
      <c r="AK934" s="4"/>
      <c r="AL934" s="6"/>
      <c r="AM934" s="7"/>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row>
    <row r="935" spans="1:64" ht="16.5" customHeight="1">
      <c r="A935" s="1"/>
      <c r="B935" s="139"/>
      <c r="C935" s="1"/>
      <c r="D935" s="1"/>
      <c r="E935" s="1"/>
      <c r="F935" s="1"/>
      <c r="G935" s="1"/>
      <c r="H935" s="4"/>
      <c r="I935" s="4"/>
      <c r="J935" s="4"/>
      <c r="K935" s="4"/>
      <c r="L935" s="4"/>
      <c r="M935" s="4"/>
      <c r="N935" s="3"/>
      <c r="O935" s="1"/>
      <c r="P935" s="1"/>
      <c r="Q935" s="4"/>
      <c r="R935" s="5"/>
      <c r="S935" s="4"/>
      <c r="T935" s="1"/>
      <c r="U935" s="1"/>
      <c r="V935" s="1"/>
      <c r="W935" s="1"/>
      <c r="X935" s="1"/>
      <c r="Y935" s="6"/>
      <c r="Z935" s="4"/>
      <c r="AA935" s="4"/>
      <c r="AB935" s="4"/>
      <c r="AC935" s="1"/>
      <c r="AD935" s="1"/>
      <c r="AE935" s="1"/>
      <c r="AF935" s="1"/>
      <c r="AG935" s="1"/>
      <c r="AH935" s="4"/>
      <c r="AI935" s="1"/>
      <c r="AJ935" s="3"/>
      <c r="AK935" s="4"/>
      <c r="AL935" s="6"/>
      <c r="AM935" s="7"/>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row>
    <row r="936" spans="1:64" ht="16.5" customHeight="1">
      <c r="A936" s="1"/>
      <c r="B936" s="139"/>
      <c r="C936" s="1"/>
      <c r="D936" s="1"/>
      <c r="E936" s="1"/>
      <c r="F936" s="1"/>
      <c r="G936" s="1"/>
      <c r="H936" s="4"/>
      <c r="I936" s="4"/>
      <c r="J936" s="4"/>
      <c r="K936" s="4"/>
      <c r="L936" s="4"/>
      <c r="M936" s="4"/>
      <c r="N936" s="3"/>
      <c r="O936" s="1"/>
      <c r="P936" s="1"/>
      <c r="Q936" s="4"/>
      <c r="R936" s="5"/>
      <c r="S936" s="4"/>
      <c r="T936" s="1"/>
      <c r="U936" s="1"/>
      <c r="V936" s="1"/>
      <c r="W936" s="1"/>
      <c r="X936" s="1"/>
      <c r="Y936" s="6"/>
      <c r="Z936" s="4"/>
      <c r="AA936" s="4"/>
      <c r="AB936" s="4"/>
      <c r="AC936" s="1"/>
      <c r="AD936" s="1"/>
      <c r="AE936" s="1"/>
      <c r="AF936" s="1"/>
      <c r="AG936" s="1"/>
      <c r="AH936" s="4"/>
      <c r="AI936" s="1"/>
      <c r="AJ936" s="3"/>
      <c r="AK936" s="4"/>
      <c r="AL936" s="6"/>
      <c r="AM936" s="7"/>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row>
    <row r="937" spans="1:64" ht="16.5" customHeight="1">
      <c r="A937" s="1"/>
      <c r="B937" s="139"/>
      <c r="C937" s="1"/>
      <c r="D937" s="1"/>
      <c r="E937" s="1"/>
      <c r="F937" s="1"/>
      <c r="G937" s="1"/>
      <c r="H937" s="4"/>
      <c r="I937" s="4"/>
      <c r="J937" s="4"/>
      <c r="K937" s="4"/>
      <c r="L937" s="4"/>
      <c r="M937" s="4"/>
      <c r="N937" s="3"/>
      <c r="O937" s="1"/>
      <c r="P937" s="1"/>
      <c r="Q937" s="4"/>
      <c r="R937" s="5"/>
      <c r="S937" s="4"/>
      <c r="T937" s="1"/>
      <c r="U937" s="1"/>
      <c r="V937" s="1"/>
      <c r="W937" s="1"/>
      <c r="X937" s="1"/>
      <c r="Y937" s="6"/>
      <c r="Z937" s="4"/>
      <c r="AA937" s="4"/>
      <c r="AB937" s="4"/>
      <c r="AC937" s="1"/>
      <c r="AD937" s="1"/>
      <c r="AE937" s="1"/>
      <c r="AF937" s="1"/>
      <c r="AG937" s="1"/>
      <c r="AH937" s="4"/>
      <c r="AI937" s="1"/>
      <c r="AJ937" s="3"/>
      <c r="AK937" s="4"/>
      <c r="AL937" s="6"/>
      <c r="AM937" s="7"/>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row>
    <row r="938" spans="1:64" ht="16.5" customHeight="1">
      <c r="A938" s="1"/>
      <c r="B938" s="139"/>
      <c r="C938" s="1"/>
      <c r="D938" s="1"/>
      <c r="E938" s="1"/>
      <c r="F938" s="1"/>
      <c r="G938" s="1"/>
      <c r="H938" s="4"/>
      <c r="I938" s="4"/>
      <c r="J938" s="4"/>
      <c r="K938" s="4"/>
      <c r="L938" s="4"/>
      <c r="M938" s="4"/>
      <c r="N938" s="3"/>
      <c r="O938" s="1"/>
      <c r="P938" s="1"/>
      <c r="Q938" s="4"/>
      <c r="R938" s="5"/>
      <c r="S938" s="4"/>
      <c r="T938" s="1"/>
      <c r="U938" s="1"/>
      <c r="V938" s="1"/>
      <c r="W938" s="1"/>
      <c r="X938" s="1"/>
      <c r="Y938" s="6"/>
      <c r="Z938" s="4"/>
      <c r="AA938" s="4"/>
      <c r="AB938" s="4"/>
      <c r="AC938" s="1"/>
      <c r="AD938" s="1"/>
      <c r="AE938" s="1"/>
      <c r="AF938" s="1"/>
      <c r="AG938" s="1"/>
      <c r="AH938" s="4"/>
      <c r="AI938" s="1"/>
      <c r="AJ938" s="3"/>
      <c r="AK938" s="4"/>
      <c r="AL938" s="6"/>
      <c r="AM938" s="7"/>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row>
    <row r="939" spans="1:64" ht="16.5" customHeight="1">
      <c r="A939" s="1"/>
      <c r="B939" s="139"/>
      <c r="C939" s="1"/>
      <c r="D939" s="1"/>
      <c r="E939" s="1"/>
      <c r="F939" s="1"/>
      <c r="G939" s="1"/>
      <c r="H939" s="4"/>
      <c r="I939" s="4"/>
      <c r="J939" s="4"/>
      <c r="K939" s="4"/>
      <c r="L939" s="4"/>
      <c r="M939" s="4"/>
      <c r="N939" s="3"/>
      <c r="O939" s="1"/>
      <c r="P939" s="1"/>
      <c r="Q939" s="4"/>
      <c r="R939" s="5"/>
      <c r="S939" s="4"/>
      <c r="T939" s="1"/>
      <c r="U939" s="1"/>
      <c r="V939" s="1"/>
      <c r="W939" s="1"/>
      <c r="X939" s="1"/>
      <c r="Y939" s="6"/>
      <c r="Z939" s="4"/>
      <c r="AA939" s="4"/>
      <c r="AB939" s="4"/>
      <c r="AC939" s="1"/>
      <c r="AD939" s="1"/>
      <c r="AE939" s="1"/>
      <c r="AF939" s="1"/>
      <c r="AG939" s="1"/>
      <c r="AH939" s="4"/>
      <c r="AI939" s="1"/>
      <c r="AJ939" s="3"/>
      <c r="AK939" s="4"/>
      <c r="AL939" s="6"/>
      <c r="AM939" s="7"/>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row>
    <row r="940" spans="1:64" ht="16.5" customHeight="1">
      <c r="A940" s="1"/>
      <c r="B940" s="139"/>
      <c r="C940" s="1"/>
      <c r="D940" s="1"/>
      <c r="E940" s="1"/>
      <c r="F940" s="1"/>
      <c r="G940" s="1"/>
      <c r="H940" s="4"/>
      <c r="I940" s="4"/>
      <c r="J940" s="4"/>
      <c r="K940" s="4"/>
      <c r="L940" s="4"/>
      <c r="M940" s="4"/>
      <c r="N940" s="3"/>
      <c r="O940" s="1"/>
      <c r="P940" s="1"/>
      <c r="Q940" s="4"/>
      <c r="R940" s="5"/>
      <c r="S940" s="4"/>
      <c r="T940" s="1"/>
      <c r="U940" s="1"/>
      <c r="V940" s="1"/>
      <c r="W940" s="1"/>
      <c r="X940" s="1"/>
      <c r="Y940" s="6"/>
      <c r="Z940" s="4"/>
      <c r="AA940" s="4"/>
      <c r="AB940" s="4"/>
      <c r="AC940" s="1"/>
      <c r="AD940" s="1"/>
      <c r="AE940" s="1"/>
      <c r="AF940" s="1"/>
      <c r="AG940" s="1"/>
      <c r="AH940" s="4"/>
      <c r="AI940" s="1"/>
      <c r="AJ940" s="3"/>
      <c r="AK940" s="4"/>
      <c r="AL940" s="6"/>
      <c r="AM940" s="7"/>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row>
    <row r="941" spans="1:64" ht="16.5" customHeight="1">
      <c r="A941" s="1"/>
      <c r="B941" s="139"/>
      <c r="C941" s="1"/>
      <c r="D941" s="1"/>
      <c r="E941" s="1"/>
      <c r="F941" s="1"/>
      <c r="G941" s="1"/>
      <c r="H941" s="4"/>
      <c r="I941" s="4"/>
      <c r="J941" s="4"/>
      <c r="K941" s="4"/>
      <c r="L941" s="4"/>
      <c r="M941" s="4"/>
      <c r="N941" s="3"/>
      <c r="O941" s="1"/>
      <c r="P941" s="1"/>
      <c r="Q941" s="4"/>
      <c r="R941" s="5"/>
      <c r="S941" s="4"/>
      <c r="T941" s="1"/>
      <c r="U941" s="1"/>
      <c r="V941" s="1"/>
      <c r="W941" s="1"/>
      <c r="X941" s="1"/>
      <c r="Y941" s="6"/>
      <c r="Z941" s="4"/>
      <c r="AA941" s="4"/>
      <c r="AB941" s="4"/>
      <c r="AC941" s="1"/>
      <c r="AD941" s="1"/>
      <c r="AE941" s="1"/>
      <c r="AF941" s="1"/>
      <c r="AG941" s="1"/>
      <c r="AH941" s="4"/>
      <c r="AI941" s="1"/>
      <c r="AJ941" s="3"/>
      <c r="AK941" s="4"/>
      <c r="AL941" s="6"/>
      <c r="AM941" s="7"/>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row>
    <row r="942" spans="1:64" ht="16.5" customHeight="1">
      <c r="A942" s="1"/>
      <c r="B942" s="139"/>
      <c r="C942" s="1"/>
      <c r="D942" s="1"/>
      <c r="E942" s="1"/>
      <c r="F942" s="1"/>
      <c r="G942" s="1"/>
      <c r="H942" s="4"/>
      <c r="I942" s="4"/>
      <c r="J942" s="4"/>
      <c r="K942" s="4"/>
      <c r="L942" s="4"/>
      <c r="M942" s="4"/>
      <c r="N942" s="3"/>
      <c r="O942" s="1"/>
      <c r="P942" s="1"/>
      <c r="Q942" s="4"/>
      <c r="R942" s="5"/>
      <c r="S942" s="4"/>
      <c r="T942" s="1"/>
      <c r="U942" s="1"/>
      <c r="V942" s="1"/>
      <c r="W942" s="1"/>
      <c r="X942" s="1"/>
      <c r="Y942" s="6"/>
      <c r="Z942" s="4"/>
      <c r="AA942" s="4"/>
      <c r="AB942" s="4"/>
      <c r="AC942" s="1"/>
      <c r="AD942" s="1"/>
      <c r="AE942" s="1"/>
      <c r="AF942" s="1"/>
      <c r="AG942" s="1"/>
      <c r="AH942" s="4"/>
      <c r="AI942" s="1"/>
      <c r="AJ942" s="3"/>
      <c r="AK942" s="4"/>
      <c r="AL942" s="6"/>
      <c r="AM942" s="7"/>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row>
    <row r="943" spans="1:64" ht="16.5" customHeight="1">
      <c r="A943" s="1"/>
      <c r="B943" s="139"/>
      <c r="C943" s="1"/>
      <c r="D943" s="1"/>
      <c r="E943" s="1"/>
      <c r="F943" s="1"/>
      <c r="G943" s="1"/>
      <c r="H943" s="4"/>
      <c r="I943" s="4"/>
      <c r="J943" s="4"/>
      <c r="K943" s="4"/>
      <c r="L943" s="4"/>
      <c r="M943" s="4"/>
      <c r="N943" s="3"/>
      <c r="O943" s="1"/>
      <c r="P943" s="1"/>
      <c r="Q943" s="4"/>
      <c r="R943" s="5"/>
      <c r="S943" s="4"/>
      <c r="T943" s="1"/>
      <c r="U943" s="1"/>
      <c r="V943" s="1"/>
      <c r="W943" s="1"/>
      <c r="X943" s="1"/>
      <c r="Y943" s="6"/>
      <c r="Z943" s="4"/>
      <c r="AA943" s="4"/>
      <c r="AB943" s="4"/>
      <c r="AC943" s="1"/>
      <c r="AD943" s="1"/>
      <c r="AE943" s="1"/>
      <c r="AF943" s="1"/>
      <c r="AG943" s="1"/>
      <c r="AH943" s="4"/>
      <c r="AI943" s="1"/>
      <c r="AJ943" s="3"/>
      <c r="AK943" s="4"/>
      <c r="AL943" s="6"/>
      <c r="AM943" s="7"/>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row>
    <row r="944" spans="1:64" ht="16.5" customHeight="1">
      <c r="A944" s="1"/>
      <c r="B944" s="139"/>
      <c r="C944" s="1"/>
      <c r="D944" s="1"/>
      <c r="E944" s="1"/>
      <c r="F944" s="1"/>
      <c r="G944" s="1"/>
      <c r="H944" s="4"/>
      <c r="I944" s="4"/>
      <c r="J944" s="4"/>
      <c r="K944" s="4"/>
      <c r="L944" s="4"/>
      <c r="M944" s="4"/>
      <c r="N944" s="3"/>
      <c r="O944" s="1"/>
      <c r="P944" s="1"/>
      <c r="Q944" s="4"/>
      <c r="R944" s="5"/>
      <c r="S944" s="4"/>
      <c r="T944" s="1"/>
      <c r="U944" s="1"/>
      <c r="V944" s="1"/>
      <c r="W944" s="1"/>
      <c r="X944" s="1"/>
      <c r="Y944" s="6"/>
      <c r="Z944" s="4"/>
      <c r="AA944" s="4"/>
      <c r="AB944" s="4"/>
      <c r="AC944" s="1"/>
      <c r="AD944" s="1"/>
      <c r="AE944" s="1"/>
      <c r="AF944" s="1"/>
      <c r="AG944" s="1"/>
      <c r="AH944" s="4"/>
      <c r="AI944" s="1"/>
      <c r="AJ944" s="3"/>
      <c r="AK944" s="4"/>
      <c r="AL944" s="6"/>
      <c r="AM944" s="7"/>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row>
    <row r="945" spans="1:64" ht="16.5" customHeight="1">
      <c r="A945" s="1"/>
      <c r="B945" s="139"/>
      <c r="C945" s="1"/>
      <c r="D945" s="1"/>
      <c r="E945" s="1"/>
      <c r="F945" s="1"/>
      <c r="G945" s="1"/>
      <c r="H945" s="4"/>
      <c r="I945" s="4"/>
      <c r="J945" s="4"/>
      <c r="K945" s="4"/>
      <c r="L945" s="4"/>
      <c r="M945" s="4"/>
      <c r="N945" s="3"/>
      <c r="O945" s="1"/>
      <c r="P945" s="1"/>
      <c r="Q945" s="4"/>
      <c r="R945" s="5"/>
      <c r="S945" s="4"/>
      <c r="T945" s="1"/>
      <c r="U945" s="1"/>
      <c r="V945" s="1"/>
      <c r="W945" s="1"/>
      <c r="X945" s="1"/>
      <c r="Y945" s="6"/>
      <c r="Z945" s="4"/>
      <c r="AA945" s="4"/>
      <c r="AB945" s="4"/>
      <c r="AC945" s="1"/>
      <c r="AD945" s="1"/>
      <c r="AE945" s="1"/>
      <c r="AF945" s="1"/>
      <c r="AG945" s="1"/>
      <c r="AH945" s="4"/>
      <c r="AI945" s="1"/>
      <c r="AJ945" s="3"/>
      <c r="AK945" s="4"/>
      <c r="AL945" s="6"/>
      <c r="AM945" s="7"/>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row>
    <row r="946" spans="1:64" ht="16.5" customHeight="1">
      <c r="A946" s="1"/>
      <c r="B946" s="139"/>
      <c r="C946" s="1"/>
      <c r="D946" s="1"/>
      <c r="E946" s="1"/>
      <c r="F946" s="1"/>
      <c r="G946" s="1"/>
      <c r="H946" s="4"/>
      <c r="I946" s="4"/>
      <c r="J946" s="4"/>
      <c r="K946" s="4"/>
      <c r="L946" s="4"/>
      <c r="M946" s="4"/>
      <c r="N946" s="3"/>
      <c r="O946" s="1"/>
      <c r="P946" s="1"/>
      <c r="Q946" s="4"/>
      <c r="R946" s="5"/>
      <c r="S946" s="4"/>
      <c r="T946" s="1"/>
      <c r="U946" s="1"/>
      <c r="V946" s="1"/>
      <c r="W946" s="1"/>
      <c r="X946" s="1"/>
      <c r="Y946" s="6"/>
      <c r="Z946" s="4"/>
      <c r="AA946" s="4"/>
      <c r="AB946" s="4"/>
      <c r="AC946" s="1"/>
      <c r="AD946" s="1"/>
      <c r="AE946" s="1"/>
      <c r="AF946" s="1"/>
      <c r="AG946" s="1"/>
      <c r="AH946" s="4"/>
      <c r="AI946" s="1"/>
      <c r="AJ946" s="3"/>
      <c r="AK946" s="4"/>
      <c r="AL946" s="6"/>
      <c r="AM946" s="7"/>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row>
    <row r="947" spans="1:64" ht="16.5" customHeight="1">
      <c r="A947" s="1"/>
      <c r="B947" s="139"/>
      <c r="C947" s="1"/>
      <c r="D947" s="1"/>
      <c r="E947" s="1"/>
      <c r="F947" s="1"/>
      <c r="G947" s="1"/>
      <c r="H947" s="4"/>
      <c r="I947" s="4"/>
      <c r="J947" s="4"/>
      <c r="K947" s="4"/>
      <c r="L947" s="4"/>
      <c r="M947" s="4"/>
      <c r="N947" s="3"/>
      <c r="O947" s="1"/>
      <c r="P947" s="1"/>
      <c r="Q947" s="4"/>
      <c r="R947" s="5"/>
      <c r="S947" s="4"/>
      <c r="T947" s="1"/>
      <c r="U947" s="1"/>
      <c r="V947" s="1"/>
      <c r="W947" s="1"/>
      <c r="X947" s="1"/>
      <c r="Y947" s="6"/>
      <c r="Z947" s="4"/>
      <c r="AA947" s="4"/>
      <c r="AB947" s="4"/>
      <c r="AC947" s="1"/>
      <c r="AD947" s="1"/>
      <c r="AE947" s="1"/>
      <c r="AF947" s="1"/>
      <c r="AG947" s="1"/>
      <c r="AH947" s="4"/>
      <c r="AI947" s="1"/>
      <c r="AJ947" s="3"/>
      <c r="AK947" s="4"/>
      <c r="AL947" s="6"/>
      <c r="AM947" s="7"/>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row>
    <row r="948" spans="1:64" ht="16.5" customHeight="1">
      <c r="A948" s="1"/>
      <c r="B948" s="139"/>
      <c r="C948" s="1"/>
      <c r="D948" s="1"/>
      <c r="E948" s="1"/>
      <c r="F948" s="1"/>
      <c r="G948" s="1"/>
      <c r="H948" s="4"/>
      <c r="I948" s="4"/>
      <c r="J948" s="4"/>
      <c r="K948" s="4"/>
      <c r="L948" s="4"/>
      <c r="M948" s="4"/>
      <c r="N948" s="3"/>
      <c r="O948" s="1"/>
      <c r="P948" s="1"/>
      <c r="Q948" s="4"/>
      <c r="R948" s="5"/>
      <c r="S948" s="4"/>
      <c r="T948" s="1"/>
      <c r="U948" s="1"/>
      <c r="V948" s="1"/>
      <c r="W948" s="1"/>
      <c r="X948" s="1"/>
      <c r="Y948" s="6"/>
      <c r="Z948" s="4"/>
      <c r="AA948" s="4"/>
      <c r="AB948" s="4"/>
      <c r="AC948" s="1"/>
      <c r="AD948" s="1"/>
      <c r="AE948" s="1"/>
      <c r="AF948" s="1"/>
      <c r="AG948" s="1"/>
      <c r="AH948" s="4"/>
      <c r="AI948" s="1"/>
      <c r="AJ948" s="3"/>
      <c r="AK948" s="4"/>
      <c r="AL948" s="6"/>
      <c r="AM948" s="7"/>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row>
    <row r="949" spans="1:64" ht="16.5" customHeight="1">
      <c r="A949" s="1"/>
      <c r="B949" s="139"/>
      <c r="C949" s="1"/>
      <c r="D949" s="1"/>
      <c r="E949" s="1"/>
      <c r="F949" s="1"/>
      <c r="G949" s="1"/>
      <c r="H949" s="4"/>
      <c r="I949" s="4"/>
      <c r="J949" s="4"/>
      <c r="K949" s="4"/>
      <c r="L949" s="4"/>
      <c r="M949" s="4"/>
      <c r="N949" s="3"/>
      <c r="O949" s="1"/>
      <c r="P949" s="1"/>
      <c r="Q949" s="4"/>
      <c r="R949" s="5"/>
      <c r="S949" s="4"/>
      <c r="T949" s="1"/>
      <c r="U949" s="1"/>
      <c r="V949" s="1"/>
      <c r="W949" s="1"/>
      <c r="X949" s="1"/>
      <c r="Y949" s="6"/>
      <c r="Z949" s="4"/>
      <c r="AA949" s="4"/>
      <c r="AB949" s="4"/>
      <c r="AC949" s="1"/>
      <c r="AD949" s="1"/>
      <c r="AE949" s="1"/>
      <c r="AF949" s="1"/>
      <c r="AG949" s="1"/>
      <c r="AH949" s="4"/>
      <c r="AI949" s="1"/>
      <c r="AJ949" s="3"/>
      <c r="AK949" s="4"/>
      <c r="AL949" s="6"/>
      <c r="AM949" s="7"/>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row>
    <row r="950" spans="1:64" ht="16.5" customHeight="1">
      <c r="A950" s="1"/>
      <c r="B950" s="139"/>
      <c r="C950" s="1"/>
      <c r="D950" s="1"/>
      <c r="E950" s="1"/>
      <c r="F950" s="1"/>
      <c r="G950" s="1"/>
      <c r="H950" s="4"/>
      <c r="I950" s="4"/>
      <c r="J950" s="4"/>
      <c r="K950" s="4"/>
      <c r="L950" s="4"/>
      <c r="M950" s="4"/>
      <c r="N950" s="3"/>
      <c r="O950" s="1"/>
      <c r="P950" s="1"/>
      <c r="Q950" s="4"/>
      <c r="R950" s="5"/>
      <c r="S950" s="4"/>
      <c r="T950" s="1"/>
      <c r="U950" s="1"/>
      <c r="V950" s="1"/>
      <c r="W950" s="1"/>
      <c r="X950" s="1"/>
      <c r="Y950" s="6"/>
      <c r="Z950" s="4"/>
      <c r="AA950" s="4"/>
      <c r="AB950" s="4"/>
      <c r="AC950" s="1"/>
      <c r="AD950" s="1"/>
      <c r="AE950" s="1"/>
      <c r="AF950" s="1"/>
      <c r="AG950" s="1"/>
      <c r="AH950" s="4"/>
      <c r="AI950" s="1"/>
      <c r="AJ950" s="3"/>
      <c r="AK950" s="4"/>
      <c r="AL950" s="6"/>
      <c r="AM950" s="7"/>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row>
    <row r="951" spans="1:64" ht="16.5" customHeight="1">
      <c r="A951" s="1"/>
      <c r="B951" s="139"/>
      <c r="C951" s="1"/>
      <c r="D951" s="1"/>
      <c r="E951" s="1"/>
      <c r="F951" s="1"/>
      <c r="G951" s="1"/>
      <c r="H951" s="4"/>
      <c r="I951" s="4"/>
      <c r="J951" s="4"/>
      <c r="K951" s="4"/>
      <c r="L951" s="4"/>
      <c r="M951" s="4"/>
      <c r="N951" s="3"/>
      <c r="O951" s="1"/>
      <c r="P951" s="1"/>
      <c r="Q951" s="4"/>
      <c r="R951" s="5"/>
      <c r="S951" s="4"/>
      <c r="T951" s="1"/>
      <c r="U951" s="1"/>
      <c r="V951" s="1"/>
      <c r="W951" s="1"/>
      <c r="X951" s="1"/>
      <c r="Y951" s="6"/>
      <c r="Z951" s="4"/>
      <c r="AA951" s="4"/>
      <c r="AB951" s="4"/>
      <c r="AC951" s="1"/>
      <c r="AD951" s="1"/>
      <c r="AE951" s="1"/>
      <c r="AF951" s="1"/>
      <c r="AG951" s="1"/>
      <c r="AH951" s="4"/>
      <c r="AI951" s="1"/>
      <c r="AJ951" s="3"/>
      <c r="AK951" s="4"/>
      <c r="AL951" s="6"/>
      <c r="AM951" s="7"/>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row>
    <row r="952" spans="1:64" ht="16.5" customHeight="1">
      <c r="A952" s="1"/>
      <c r="B952" s="139"/>
      <c r="C952" s="1"/>
      <c r="D952" s="1"/>
      <c r="E952" s="1"/>
      <c r="F952" s="1"/>
      <c r="G952" s="1"/>
      <c r="H952" s="4"/>
      <c r="I952" s="4"/>
      <c r="J952" s="4"/>
      <c r="K952" s="4"/>
      <c r="L952" s="4"/>
      <c r="M952" s="4"/>
      <c r="N952" s="3"/>
      <c r="O952" s="1"/>
      <c r="P952" s="1"/>
      <c r="Q952" s="4"/>
      <c r="R952" s="5"/>
      <c r="S952" s="4"/>
      <c r="T952" s="1"/>
      <c r="U952" s="1"/>
      <c r="V952" s="1"/>
      <c r="W952" s="1"/>
      <c r="X952" s="1"/>
      <c r="Y952" s="6"/>
      <c r="Z952" s="4"/>
      <c r="AA952" s="4"/>
      <c r="AB952" s="4"/>
      <c r="AC952" s="1"/>
      <c r="AD952" s="1"/>
      <c r="AE952" s="1"/>
      <c r="AF952" s="1"/>
      <c r="AG952" s="1"/>
      <c r="AH952" s="4"/>
      <c r="AI952" s="1"/>
      <c r="AJ952" s="3"/>
      <c r="AK952" s="4"/>
      <c r="AL952" s="6"/>
      <c r="AM952" s="7"/>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row>
    <row r="953" spans="1:64" ht="16.5" customHeight="1">
      <c r="A953" s="1"/>
      <c r="B953" s="139"/>
      <c r="C953" s="1"/>
      <c r="D953" s="1"/>
      <c r="E953" s="1"/>
      <c r="F953" s="1"/>
      <c r="G953" s="1"/>
      <c r="H953" s="4"/>
      <c r="I953" s="4"/>
      <c r="J953" s="4"/>
      <c r="K953" s="4"/>
      <c r="L953" s="4"/>
      <c r="M953" s="4"/>
      <c r="N953" s="3"/>
      <c r="O953" s="1"/>
      <c r="P953" s="1"/>
      <c r="Q953" s="4"/>
      <c r="R953" s="5"/>
      <c r="S953" s="4"/>
      <c r="T953" s="1"/>
      <c r="U953" s="1"/>
      <c r="V953" s="1"/>
      <c r="W953" s="1"/>
      <c r="X953" s="1"/>
      <c r="Y953" s="6"/>
      <c r="Z953" s="4"/>
      <c r="AA953" s="4"/>
      <c r="AB953" s="4"/>
      <c r="AC953" s="1"/>
      <c r="AD953" s="1"/>
      <c r="AE953" s="1"/>
      <c r="AF953" s="1"/>
      <c r="AG953" s="1"/>
      <c r="AH953" s="4"/>
      <c r="AI953" s="1"/>
      <c r="AJ953" s="3"/>
      <c r="AK953" s="4"/>
      <c r="AL953" s="6"/>
      <c r="AM953" s="7"/>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row>
    <row r="954" spans="1:64" ht="16.5" customHeight="1">
      <c r="A954" s="1"/>
      <c r="B954" s="139"/>
      <c r="C954" s="1"/>
      <c r="D954" s="1"/>
      <c r="E954" s="1"/>
      <c r="F954" s="1"/>
      <c r="G954" s="1"/>
      <c r="H954" s="4"/>
      <c r="I954" s="4"/>
      <c r="J954" s="4"/>
      <c r="K954" s="4"/>
      <c r="L954" s="4"/>
      <c r="M954" s="4"/>
      <c r="N954" s="3"/>
      <c r="O954" s="1"/>
      <c r="P954" s="1"/>
      <c r="Q954" s="4"/>
      <c r="R954" s="5"/>
      <c r="S954" s="4"/>
      <c r="T954" s="1"/>
      <c r="U954" s="1"/>
      <c r="V954" s="1"/>
      <c r="W954" s="1"/>
      <c r="X954" s="1"/>
      <c r="Y954" s="6"/>
      <c r="Z954" s="4"/>
      <c r="AA954" s="4"/>
      <c r="AB954" s="4"/>
      <c r="AC954" s="1"/>
      <c r="AD954" s="1"/>
      <c r="AE954" s="1"/>
      <c r="AF954" s="1"/>
      <c r="AG954" s="1"/>
      <c r="AH954" s="4"/>
      <c r="AI954" s="1"/>
      <c r="AJ954" s="3"/>
      <c r="AK954" s="4"/>
      <c r="AL954" s="6"/>
      <c r="AM954" s="7"/>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row>
    <row r="955" spans="1:64" ht="16.5" customHeight="1">
      <c r="A955" s="1"/>
      <c r="B955" s="139"/>
      <c r="C955" s="1"/>
      <c r="D955" s="1"/>
      <c r="E955" s="1"/>
      <c r="F955" s="1"/>
      <c r="G955" s="1"/>
      <c r="H955" s="4"/>
      <c r="I955" s="4"/>
      <c r="J955" s="4"/>
      <c r="K955" s="4"/>
      <c r="L955" s="4"/>
      <c r="M955" s="4"/>
      <c r="N955" s="3"/>
      <c r="O955" s="1"/>
      <c r="P955" s="1"/>
      <c r="Q955" s="4"/>
      <c r="R955" s="5"/>
      <c r="S955" s="4"/>
      <c r="T955" s="1"/>
      <c r="U955" s="1"/>
      <c r="V955" s="1"/>
      <c r="W955" s="1"/>
      <c r="X955" s="1"/>
      <c r="Y955" s="6"/>
      <c r="Z955" s="4"/>
      <c r="AA955" s="4"/>
      <c r="AB955" s="4"/>
      <c r="AC955" s="1"/>
      <c r="AD955" s="1"/>
      <c r="AE955" s="1"/>
      <c r="AF955" s="1"/>
      <c r="AG955" s="1"/>
      <c r="AH955" s="4"/>
      <c r="AI955" s="1"/>
      <c r="AJ955" s="3"/>
      <c r="AK955" s="4"/>
      <c r="AL955" s="6"/>
      <c r="AM955" s="7"/>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row>
    <row r="956" spans="1:64" ht="16.5" customHeight="1">
      <c r="A956" s="1"/>
      <c r="B956" s="139"/>
      <c r="C956" s="1"/>
      <c r="D956" s="1"/>
      <c r="E956" s="1"/>
      <c r="F956" s="1"/>
      <c r="G956" s="1"/>
      <c r="H956" s="4"/>
      <c r="I956" s="4"/>
      <c r="J956" s="4"/>
      <c r="K956" s="4"/>
      <c r="L956" s="4"/>
      <c r="M956" s="4"/>
      <c r="N956" s="3"/>
      <c r="O956" s="1"/>
      <c r="P956" s="1"/>
      <c r="Q956" s="4"/>
      <c r="R956" s="5"/>
      <c r="S956" s="4"/>
      <c r="T956" s="1"/>
      <c r="U956" s="1"/>
      <c r="V956" s="1"/>
      <c r="W956" s="1"/>
      <c r="X956" s="1"/>
      <c r="Y956" s="6"/>
      <c r="Z956" s="4"/>
      <c r="AA956" s="4"/>
      <c r="AB956" s="4"/>
      <c r="AC956" s="1"/>
      <c r="AD956" s="1"/>
      <c r="AE956" s="1"/>
      <c r="AF956" s="1"/>
      <c r="AG956" s="1"/>
      <c r="AH956" s="4"/>
      <c r="AI956" s="1"/>
      <c r="AJ956" s="3"/>
      <c r="AK956" s="4"/>
      <c r="AL956" s="6"/>
      <c r="AM956" s="7"/>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row>
    <row r="957" spans="1:64" ht="16.5" customHeight="1">
      <c r="A957" s="1"/>
      <c r="B957" s="139"/>
      <c r="C957" s="1"/>
      <c r="D957" s="1"/>
      <c r="E957" s="1"/>
      <c r="F957" s="1"/>
      <c r="G957" s="1"/>
      <c r="H957" s="4"/>
      <c r="I957" s="4"/>
      <c r="J957" s="4"/>
      <c r="K957" s="4"/>
      <c r="L957" s="4"/>
      <c r="M957" s="4"/>
      <c r="N957" s="3"/>
      <c r="O957" s="1"/>
      <c r="P957" s="1"/>
      <c r="Q957" s="4"/>
      <c r="R957" s="5"/>
      <c r="S957" s="4"/>
      <c r="T957" s="1"/>
      <c r="U957" s="1"/>
      <c r="V957" s="1"/>
      <c r="W957" s="1"/>
      <c r="X957" s="1"/>
      <c r="Y957" s="6"/>
      <c r="Z957" s="4"/>
      <c r="AA957" s="4"/>
      <c r="AB957" s="4"/>
      <c r="AC957" s="1"/>
      <c r="AD957" s="1"/>
      <c r="AE957" s="1"/>
      <c r="AF957" s="1"/>
      <c r="AG957" s="1"/>
      <c r="AH957" s="4"/>
      <c r="AI957" s="1"/>
      <c r="AJ957" s="3"/>
      <c r="AK957" s="4"/>
      <c r="AL957" s="6"/>
      <c r="AM957" s="7"/>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row>
    <row r="958" spans="1:64" ht="16.5" customHeight="1">
      <c r="A958" s="1"/>
      <c r="B958" s="139"/>
      <c r="C958" s="1"/>
      <c r="D958" s="1"/>
      <c r="E958" s="1"/>
      <c r="F958" s="1"/>
      <c r="G958" s="1"/>
      <c r="H958" s="4"/>
      <c r="I958" s="4"/>
      <c r="J958" s="4"/>
      <c r="K958" s="4"/>
      <c r="L958" s="4"/>
      <c r="M958" s="4"/>
      <c r="N958" s="3"/>
      <c r="O958" s="1"/>
      <c r="P958" s="1"/>
      <c r="Q958" s="4"/>
      <c r="R958" s="5"/>
      <c r="S958" s="4"/>
      <c r="T958" s="1"/>
      <c r="U958" s="1"/>
      <c r="V958" s="1"/>
      <c r="W958" s="1"/>
      <c r="X958" s="1"/>
      <c r="Y958" s="6"/>
      <c r="Z958" s="4"/>
      <c r="AA958" s="4"/>
      <c r="AB958" s="4"/>
      <c r="AC958" s="1"/>
      <c r="AD958" s="1"/>
      <c r="AE958" s="1"/>
      <c r="AF958" s="1"/>
      <c r="AG958" s="1"/>
      <c r="AH958" s="4"/>
      <c r="AI958" s="1"/>
      <c r="AJ958" s="3"/>
      <c r="AK958" s="4"/>
      <c r="AL958" s="6"/>
      <c r="AM958" s="7"/>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row>
    <row r="959" spans="1:64" ht="16.5" customHeight="1">
      <c r="A959" s="1"/>
      <c r="B959" s="139"/>
      <c r="C959" s="1"/>
      <c r="D959" s="1"/>
      <c r="E959" s="1"/>
      <c r="F959" s="1"/>
      <c r="G959" s="1"/>
      <c r="H959" s="4"/>
      <c r="I959" s="4"/>
      <c r="J959" s="4"/>
      <c r="K959" s="4"/>
      <c r="L959" s="4"/>
      <c r="M959" s="4"/>
      <c r="N959" s="3"/>
      <c r="O959" s="1"/>
      <c r="P959" s="1"/>
      <c r="Q959" s="4"/>
      <c r="R959" s="5"/>
      <c r="S959" s="4"/>
      <c r="T959" s="1"/>
      <c r="U959" s="1"/>
      <c r="V959" s="1"/>
      <c r="W959" s="1"/>
      <c r="X959" s="1"/>
      <c r="Y959" s="6"/>
      <c r="Z959" s="4"/>
      <c r="AA959" s="4"/>
      <c r="AB959" s="4"/>
      <c r="AC959" s="1"/>
      <c r="AD959" s="1"/>
      <c r="AE959" s="1"/>
      <c r="AF959" s="1"/>
      <c r="AG959" s="1"/>
      <c r="AH959" s="4"/>
      <c r="AI959" s="1"/>
      <c r="AJ959" s="3"/>
      <c r="AK959" s="4"/>
      <c r="AL959" s="6"/>
      <c r="AM959" s="7"/>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row>
    <row r="960" spans="1:64" ht="16.5" customHeight="1">
      <c r="A960" s="1"/>
      <c r="B960" s="139"/>
      <c r="C960" s="1"/>
      <c r="D960" s="1"/>
      <c r="E960" s="1"/>
      <c r="F960" s="1"/>
      <c r="G960" s="1"/>
      <c r="H960" s="4"/>
      <c r="I960" s="4"/>
      <c r="J960" s="4"/>
      <c r="K960" s="4"/>
      <c r="L960" s="4"/>
      <c r="M960" s="4"/>
      <c r="N960" s="3"/>
      <c r="O960" s="1"/>
      <c r="P960" s="1"/>
      <c r="Q960" s="4"/>
      <c r="R960" s="5"/>
      <c r="S960" s="4"/>
      <c r="T960" s="1"/>
      <c r="U960" s="1"/>
      <c r="V960" s="1"/>
      <c r="W960" s="1"/>
      <c r="X960" s="1"/>
      <c r="Y960" s="6"/>
      <c r="Z960" s="4"/>
      <c r="AA960" s="4"/>
      <c r="AB960" s="4"/>
      <c r="AC960" s="1"/>
      <c r="AD960" s="1"/>
      <c r="AE960" s="1"/>
      <c r="AF960" s="1"/>
      <c r="AG960" s="1"/>
      <c r="AH960" s="4"/>
      <c r="AI960" s="1"/>
      <c r="AJ960" s="3"/>
      <c r="AK960" s="4"/>
      <c r="AL960" s="6"/>
      <c r="AM960" s="7"/>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row>
    <row r="961" spans="1:64" ht="16.5" customHeight="1">
      <c r="A961" s="1"/>
      <c r="B961" s="139"/>
      <c r="C961" s="1"/>
      <c r="D961" s="1"/>
      <c r="E961" s="1"/>
      <c r="F961" s="1"/>
      <c r="G961" s="1"/>
      <c r="H961" s="4"/>
      <c r="I961" s="4"/>
      <c r="J961" s="4"/>
      <c r="K961" s="4"/>
      <c r="L961" s="4"/>
      <c r="M961" s="4"/>
      <c r="N961" s="3"/>
      <c r="O961" s="1"/>
      <c r="P961" s="1"/>
      <c r="Q961" s="4"/>
      <c r="R961" s="5"/>
      <c r="S961" s="4"/>
      <c r="T961" s="1"/>
      <c r="U961" s="1"/>
      <c r="V961" s="1"/>
      <c r="W961" s="1"/>
      <c r="X961" s="1"/>
      <c r="Y961" s="6"/>
      <c r="Z961" s="4"/>
      <c r="AA961" s="4"/>
      <c r="AB961" s="4"/>
      <c r="AC961" s="1"/>
      <c r="AD961" s="1"/>
      <c r="AE961" s="1"/>
      <c r="AF961" s="1"/>
      <c r="AG961" s="1"/>
      <c r="AH961" s="4"/>
      <c r="AI961" s="1"/>
      <c r="AJ961" s="3"/>
      <c r="AK961" s="4"/>
      <c r="AL961" s="6"/>
      <c r="AM961" s="7"/>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row>
    <row r="962" spans="1:64" ht="16.5" customHeight="1">
      <c r="A962" s="1"/>
      <c r="B962" s="139"/>
      <c r="C962" s="1"/>
      <c r="D962" s="1"/>
      <c r="E962" s="1"/>
      <c r="F962" s="1"/>
      <c r="G962" s="1"/>
      <c r="H962" s="4"/>
      <c r="I962" s="4"/>
      <c r="J962" s="4"/>
      <c r="K962" s="4"/>
      <c r="L962" s="4"/>
      <c r="M962" s="4"/>
      <c r="N962" s="3"/>
      <c r="O962" s="1"/>
      <c r="P962" s="1"/>
      <c r="Q962" s="4"/>
      <c r="R962" s="5"/>
      <c r="S962" s="4"/>
      <c r="T962" s="1"/>
      <c r="U962" s="1"/>
      <c r="V962" s="1"/>
      <c r="W962" s="1"/>
      <c r="X962" s="1"/>
      <c r="Y962" s="6"/>
      <c r="Z962" s="4"/>
      <c r="AA962" s="4"/>
      <c r="AB962" s="4"/>
      <c r="AC962" s="1"/>
      <c r="AD962" s="1"/>
      <c r="AE962" s="1"/>
      <c r="AF962" s="1"/>
      <c r="AG962" s="1"/>
      <c r="AH962" s="4"/>
      <c r="AI962" s="1"/>
      <c r="AJ962" s="3"/>
      <c r="AK962" s="4"/>
      <c r="AL962" s="6"/>
      <c r="AM962" s="7"/>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row>
    <row r="963" spans="1:64" ht="16.5" customHeight="1">
      <c r="A963" s="1"/>
      <c r="B963" s="139"/>
      <c r="C963" s="1"/>
      <c r="D963" s="1"/>
      <c r="E963" s="1"/>
      <c r="F963" s="1"/>
      <c r="G963" s="1"/>
      <c r="H963" s="4"/>
      <c r="I963" s="4"/>
      <c r="J963" s="4"/>
      <c r="K963" s="4"/>
      <c r="L963" s="4"/>
      <c r="M963" s="4"/>
      <c r="N963" s="3"/>
      <c r="O963" s="1"/>
      <c r="P963" s="1"/>
      <c r="Q963" s="4"/>
      <c r="R963" s="5"/>
      <c r="S963" s="4"/>
      <c r="T963" s="1"/>
      <c r="U963" s="1"/>
      <c r="V963" s="1"/>
      <c r="W963" s="1"/>
      <c r="X963" s="1"/>
      <c r="Y963" s="6"/>
      <c r="Z963" s="4"/>
      <c r="AA963" s="4"/>
      <c r="AB963" s="4"/>
      <c r="AC963" s="1"/>
      <c r="AD963" s="1"/>
      <c r="AE963" s="1"/>
      <c r="AF963" s="1"/>
      <c r="AG963" s="1"/>
      <c r="AH963" s="4"/>
      <c r="AI963" s="1"/>
      <c r="AJ963" s="3"/>
      <c r="AK963" s="4"/>
      <c r="AL963" s="6"/>
      <c r="AM963" s="7"/>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row>
    <row r="964" spans="1:64" ht="16.5" customHeight="1">
      <c r="A964" s="1"/>
      <c r="B964" s="139"/>
      <c r="C964" s="1"/>
      <c r="D964" s="1"/>
      <c r="E964" s="1"/>
      <c r="F964" s="1"/>
      <c r="G964" s="1"/>
      <c r="H964" s="4"/>
      <c r="I964" s="4"/>
      <c r="J964" s="4"/>
      <c r="K964" s="4"/>
      <c r="L964" s="4"/>
      <c r="M964" s="4"/>
      <c r="N964" s="3"/>
      <c r="O964" s="1"/>
      <c r="P964" s="1"/>
      <c r="Q964" s="4"/>
      <c r="R964" s="5"/>
      <c r="S964" s="4"/>
      <c r="T964" s="1"/>
      <c r="U964" s="1"/>
      <c r="V964" s="1"/>
      <c r="W964" s="1"/>
      <c r="X964" s="1"/>
      <c r="Y964" s="6"/>
      <c r="Z964" s="4"/>
      <c r="AA964" s="4"/>
      <c r="AB964" s="4"/>
      <c r="AC964" s="1"/>
      <c r="AD964" s="1"/>
      <c r="AE964" s="1"/>
      <c r="AF964" s="1"/>
      <c r="AG964" s="1"/>
      <c r="AH964" s="4"/>
      <c r="AI964" s="1"/>
      <c r="AJ964" s="3"/>
      <c r="AK964" s="4"/>
      <c r="AL964" s="6"/>
      <c r="AM964" s="7"/>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row>
    <row r="965" spans="1:64" ht="16.5" customHeight="1">
      <c r="A965" s="1"/>
      <c r="B965" s="139"/>
      <c r="C965" s="1"/>
      <c r="D965" s="1"/>
      <c r="E965" s="1"/>
      <c r="F965" s="1"/>
      <c r="G965" s="1"/>
      <c r="H965" s="4"/>
      <c r="I965" s="4"/>
      <c r="J965" s="4"/>
      <c r="K965" s="4"/>
      <c r="L965" s="4"/>
      <c r="M965" s="4"/>
      <c r="N965" s="3"/>
      <c r="O965" s="1"/>
      <c r="P965" s="1"/>
      <c r="Q965" s="4"/>
      <c r="R965" s="5"/>
      <c r="S965" s="4"/>
      <c r="T965" s="1"/>
      <c r="U965" s="1"/>
      <c r="V965" s="1"/>
      <c r="W965" s="1"/>
      <c r="X965" s="1"/>
      <c r="Y965" s="6"/>
      <c r="Z965" s="4"/>
      <c r="AA965" s="4"/>
      <c r="AB965" s="4"/>
      <c r="AC965" s="1"/>
      <c r="AD965" s="1"/>
      <c r="AE965" s="1"/>
      <c r="AF965" s="1"/>
      <c r="AG965" s="1"/>
      <c r="AH965" s="4"/>
      <c r="AI965" s="1"/>
      <c r="AJ965" s="3"/>
      <c r="AK965" s="4"/>
      <c r="AL965" s="6"/>
      <c r="AM965" s="7"/>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row>
    <row r="966" spans="1:64" ht="16.5" customHeight="1">
      <c r="A966" s="1"/>
      <c r="B966" s="139"/>
      <c r="C966" s="1"/>
      <c r="D966" s="1"/>
      <c r="E966" s="1"/>
      <c r="F966" s="1"/>
      <c r="G966" s="1"/>
      <c r="H966" s="4"/>
      <c r="I966" s="4"/>
      <c r="J966" s="4"/>
      <c r="K966" s="4"/>
      <c r="L966" s="4"/>
      <c r="M966" s="4"/>
      <c r="N966" s="3"/>
      <c r="O966" s="1"/>
      <c r="P966" s="1"/>
      <c r="Q966" s="4"/>
      <c r="R966" s="5"/>
      <c r="S966" s="4"/>
      <c r="T966" s="1"/>
      <c r="U966" s="1"/>
      <c r="V966" s="1"/>
      <c r="W966" s="1"/>
      <c r="X966" s="1"/>
      <c r="Y966" s="6"/>
      <c r="Z966" s="4"/>
      <c r="AA966" s="4"/>
      <c r="AB966" s="4"/>
      <c r="AC966" s="1"/>
      <c r="AD966" s="1"/>
      <c r="AE966" s="1"/>
      <c r="AF966" s="1"/>
      <c r="AG966" s="1"/>
      <c r="AH966" s="4"/>
      <c r="AI966" s="1"/>
      <c r="AJ966" s="3"/>
      <c r="AK966" s="4"/>
      <c r="AL966" s="6"/>
      <c r="AM966" s="7"/>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row>
    <row r="967" spans="1:64" ht="16.5" customHeight="1">
      <c r="A967" s="1"/>
      <c r="B967" s="139"/>
      <c r="C967" s="1"/>
      <c r="D967" s="1"/>
      <c r="E967" s="1"/>
      <c r="F967" s="1"/>
      <c r="G967" s="1"/>
      <c r="H967" s="4"/>
      <c r="I967" s="4"/>
      <c r="J967" s="4"/>
      <c r="K967" s="4"/>
      <c r="L967" s="4"/>
      <c r="M967" s="4"/>
      <c r="N967" s="3"/>
      <c r="O967" s="1"/>
      <c r="P967" s="1"/>
      <c r="Q967" s="4"/>
      <c r="R967" s="5"/>
      <c r="S967" s="4"/>
      <c r="T967" s="1"/>
      <c r="U967" s="1"/>
      <c r="V967" s="1"/>
      <c r="W967" s="1"/>
      <c r="X967" s="1"/>
      <c r="Y967" s="6"/>
      <c r="Z967" s="4"/>
      <c r="AA967" s="4"/>
      <c r="AB967" s="4"/>
      <c r="AC967" s="1"/>
      <c r="AD967" s="1"/>
      <c r="AE967" s="1"/>
      <c r="AF967" s="1"/>
      <c r="AG967" s="1"/>
      <c r="AH967" s="4"/>
      <c r="AI967" s="1"/>
      <c r="AJ967" s="3"/>
      <c r="AK967" s="4"/>
      <c r="AL967" s="6"/>
      <c r="AM967" s="7"/>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row>
    <row r="968" spans="1:64" ht="16.5" customHeight="1">
      <c r="A968" s="1"/>
      <c r="B968" s="139"/>
      <c r="C968" s="1"/>
      <c r="D968" s="1"/>
      <c r="E968" s="1"/>
      <c r="F968" s="1"/>
      <c r="G968" s="1"/>
      <c r="H968" s="4"/>
      <c r="I968" s="4"/>
      <c r="J968" s="4"/>
      <c r="K968" s="4"/>
      <c r="L968" s="4"/>
      <c r="M968" s="4"/>
      <c r="N968" s="3"/>
      <c r="O968" s="1"/>
      <c r="P968" s="1"/>
      <c r="Q968" s="4"/>
      <c r="R968" s="5"/>
      <c r="S968" s="4"/>
      <c r="T968" s="1"/>
      <c r="U968" s="1"/>
      <c r="V968" s="1"/>
      <c r="W968" s="1"/>
      <c r="X968" s="1"/>
      <c r="Y968" s="6"/>
      <c r="Z968" s="4"/>
      <c r="AA968" s="4"/>
      <c r="AB968" s="4"/>
      <c r="AC968" s="1"/>
      <c r="AD968" s="1"/>
      <c r="AE968" s="1"/>
      <c r="AF968" s="1"/>
      <c r="AG968" s="1"/>
      <c r="AH968" s="4"/>
      <c r="AI968" s="1"/>
      <c r="AJ968" s="3"/>
      <c r="AK968" s="4"/>
      <c r="AL968" s="6"/>
      <c r="AM968" s="7"/>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row>
    <row r="969" spans="1:64" ht="16.5" customHeight="1">
      <c r="A969" s="1"/>
      <c r="B969" s="139"/>
      <c r="C969" s="1"/>
      <c r="D969" s="1"/>
      <c r="E969" s="1"/>
      <c r="F969" s="1"/>
      <c r="G969" s="1"/>
      <c r="H969" s="4"/>
      <c r="I969" s="4"/>
      <c r="J969" s="4"/>
      <c r="K969" s="4"/>
      <c r="L969" s="4"/>
      <c r="M969" s="4"/>
      <c r="N969" s="3"/>
      <c r="O969" s="1"/>
      <c r="P969" s="1"/>
      <c r="Q969" s="4"/>
      <c r="R969" s="5"/>
      <c r="S969" s="4"/>
      <c r="T969" s="1"/>
      <c r="U969" s="1"/>
      <c r="V969" s="1"/>
      <c r="W969" s="1"/>
      <c r="X969" s="1"/>
      <c r="Y969" s="6"/>
      <c r="Z969" s="4"/>
      <c r="AA969" s="4"/>
      <c r="AB969" s="4"/>
      <c r="AC969" s="1"/>
      <c r="AD969" s="1"/>
      <c r="AE969" s="1"/>
      <c r="AF969" s="1"/>
      <c r="AG969" s="1"/>
      <c r="AH969" s="4"/>
      <c r="AI969" s="1"/>
      <c r="AJ969" s="3"/>
      <c r="AK969" s="4"/>
      <c r="AL969" s="6"/>
      <c r="AM969" s="7"/>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row>
    <row r="970" spans="1:64" ht="16.5" customHeight="1">
      <c r="A970" s="1"/>
      <c r="B970" s="139"/>
      <c r="C970" s="1"/>
      <c r="D970" s="1"/>
      <c r="E970" s="1"/>
      <c r="F970" s="1"/>
      <c r="G970" s="1"/>
      <c r="H970" s="4"/>
      <c r="I970" s="4"/>
      <c r="J970" s="4"/>
      <c r="K970" s="4"/>
      <c r="L970" s="4"/>
      <c r="M970" s="4"/>
      <c r="N970" s="3"/>
      <c r="O970" s="1"/>
      <c r="P970" s="1"/>
      <c r="Q970" s="4"/>
      <c r="R970" s="5"/>
      <c r="S970" s="4"/>
      <c r="T970" s="1"/>
      <c r="U970" s="1"/>
      <c r="V970" s="1"/>
      <c r="W970" s="1"/>
      <c r="X970" s="1"/>
      <c r="Y970" s="6"/>
      <c r="Z970" s="4"/>
      <c r="AA970" s="4"/>
      <c r="AB970" s="4"/>
      <c r="AC970" s="1"/>
      <c r="AD970" s="1"/>
      <c r="AE970" s="1"/>
      <c r="AF970" s="1"/>
      <c r="AG970" s="1"/>
      <c r="AH970" s="4"/>
      <c r="AI970" s="1"/>
      <c r="AJ970" s="3"/>
      <c r="AK970" s="4"/>
      <c r="AL970" s="6"/>
      <c r="AM970" s="7"/>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row>
    <row r="971" spans="1:64" ht="16.5" customHeight="1">
      <c r="A971" s="1"/>
      <c r="B971" s="139"/>
      <c r="C971" s="1"/>
      <c r="D971" s="1"/>
      <c r="E971" s="1"/>
      <c r="F971" s="1"/>
      <c r="G971" s="1"/>
      <c r="H971" s="4"/>
      <c r="I971" s="4"/>
      <c r="J971" s="4"/>
      <c r="K971" s="4"/>
      <c r="L971" s="4"/>
      <c r="M971" s="4"/>
      <c r="N971" s="3"/>
      <c r="O971" s="1"/>
      <c r="P971" s="1"/>
      <c r="Q971" s="4"/>
      <c r="R971" s="5"/>
      <c r="S971" s="4"/>
      <c r="T971" s="1"/>
      <c r="U971" s="1"/>
      <c r="V971" s="1"/>
      <c r="W971" s="1"/>
      <c r="X971" s="1"/>
      <c r="Y971" s="6"/>
      <c r="Z971" s="4"/>
      <c r="AA971" s="4"/>
      <c r="AB971" s="4"/>
      <c r="AC971" s="1"/>
      <c r="AD971" s="1"/>
      <c r="AE971" s="1"/>
      <c r="AF971" s="1"/>
      <c r="AG971" s="1"/>
      <c r="AH971" s="4"/>
      <c r="AI971" s="1"/>
      <c r="AJ971" s="3"/>
      <c r="AK971" s="4"/>
      <c r="AL971" s="6"/>
      <c r="AM971" s="7"/>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row>
    <row r="972" spans="1:64" ht="16.5" customHeight="1">
      <c r="A972" s="1"/>
      <c r="B972" s="139"/>
      <c r="C972" s="1"/>
      <c r="D972" s="1"/>
      <c r="E972" s="1"/>
      <c r="F972" s="1"/>
      <c r="G972" s="1"/>
      <c r="H972" s="4"/>
      <c r="I972" s="4"/>
      <c r="J972" s="4"/>
      <c r="K972" s="4"/>
      <c r="L972" s="4"/>
      <c r="M972" s="4"/>
      <c r="N972" s="3"/>
      <c r="O972" s="1"/>
      <c r="P972" s="1"/>
      <c r="Q972" s="4"/>
      <c r="R972" s="5"/>
      <c r="S972" s="4"/>
      <c r="T972" s="1"/>
      <c r="U972" s="1"/>
      <c r="V972" s="1"/>
      <c r="W972" s="1"/>
      <c r="X972" s="1"/>
      <c r="Y972" s="6"/>
      <c r="Z972" s="4"/>
      <c r="AA972" s="4"/>
      <c r="AB972" s="4"/>
      <c r="AC972" s="1"/>
      <c r="AD972" s="1"/>
      <c r="AE972" s="1"/>
      <c r="AF972" s="1"/>
      <c r="AG972" s="1"/>
      <c r="AH972" s="4"/>
      <c r="AI972" s="1"/>
      <c r="AJ972" s="3"/>
      <c r="AK972" s="4"/>
      <c r="AL972" s="6"/>
      <c r="AM972" s="7"/>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row>
    <row r="973" spans="1:64" ht="16.5" customHeight="1">
      <c r="A973" s="1"/>
      <c r="B973" s="139"/>
      <c r="C973" s="1"/>
      <c r="D973" s="1"/>
      <c r="E973" s="1"/>
      <c r="F973" s="1"/>
      <c r="G973" s="1"/>
      <c r="H973" s="4"/>
      <c r="I973" s="4"/>
      <c r="J973" s="4"/>
      <c r="K973" s="4"/>
      <c r="L973" s="4"/>
      <c r="M973" s="4"/>
      <c r="N973" s="3"/>
      <c r="O973" s="1"/>
      <c r="P973" s="1"/>
      <c r="Q973" s="4"/>
      <c r="R973" s="5"/>
      <c r="S973" s="4"/>
      <c r="T973" s="1"/>
      <c r="U973" s="1"/>
      <c r="V973" s="1"/>
      <c r="W973" s="1"/>
      <c r="X973" s="1"/>
      <c r="Y973" s="6"/>
      <c r="Z973" s="4"/>
      <c r="AA973" s="4"/>
      <c r="AB973" s="4"/>
      <c r="AC973" s="1"/>
      <c r="AD973" s="1"/>
      <c r="AE973" s="1"/>
      <c r="AF973" s="1"/>
      <c r="AG973" s="1"/>
      <c r="AH973" s="4"/>
      <c r="AI973" s="1"/>
      <c r="AJ973" s="3"/>
      <c r="AK973" s="4"/>
      <c r="AL973" s="6"/>
      <c r="AM973" s="7"/>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row>
    <row r="974" spans="1:64" ht="16.5" customHeight="1">
      <c r="A974" s="1"/>
      <c r="B974" s="139"/>
      <c r="C974" s="1"/>
      <c r="D974" s="1"/>
      <c r="E974" s="1"/>
      <c r="F974" s="1"/>
      <c r="G974" s="1"/>
      <c r="H974" s="4"/>
      <c r="I974" s="4"/>
      <c r="J974" s="4"/>
      <c r="K974" s="4"/>
      <c r="L974" s="4"/>
      <c r="M974" s="4"/>
      <c r="N974" s="3"/>
      <c r="O974" s="1"/>
      <c r="P974" s="1"/>
      <c r="Q974" s="4"/>
      <c r="R974" s="5"/>
      <c r="S974" s="4"/>
      <c r="T974" s="1"/>
      <c r="U974" s="1"/>
      <c r="V974" s="1"/>
      <c r="W974" s="1"/>
      <c r="X974" s="1"/>
      <c r="Y974" s="6"/>
      <c r="Z974" s="4"/>
      <c r="AA974" s="4"/>
      <c r="AB974" s="4"/>
      <c r="AC974" s="1"/>
      <c r="AD974" s="1"/>
      <c r="AE974" s="1"/>
      <c r="AF974" s="1"/>
      <c r="AG974" s="1"/>
      <c r="AH974" s="4"/>
      <c r="AI974" s="1"/>
      <c r="AJ974" s="3"/>
      <c r="AK974" s="4"/>
      <c r="AL974" s="6"/>
      <c r="AM974" s="7"/>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row>
    <row r="975" spans="1:64" ht="16.5" customHeight="1">
      <c r="A975" s="1"/>
      <c r="B975" s="139"/>
      <c r="C975" s="1"/>
      <c r="D975" s="1"/>
      <c r="E975" s="1"/>
      <c r="F975" s="1"/>
      <c r="G975" s="1"/>
      <c r="H975" s="4"/>
      <c r="I975" s="4"/>
      <c r="J975" s="4"/>
      <c r="K975" s="4"/>
      <c r="L975" s="4"/>
      <c r="M975" s="4"/>
      <c r="N975" s="3"/>
      <c r="O975" s="1"/>
      <c r="P975" s="1"/>
      <c r="Q975" s="4"/>
      <c r="R975" s="5"/>
      <c r="S975" s="4"/>
      <c r="T975" s="1"/>
      <c r="U975" s="1"/>
      <c r="V975" s="1"/>
      <c r="W975" s="1"/>
      <c r="X975" s="1"/>
      <c r="Y975" s="6"/>
      <c r="Z975" s="4"/>
      <c r="AA975" s="4"/>
      <c r="AB975" s="4"/>
      <c r="AC975" s="1"/>
      <c r="AD975" s="1"/>
      <c r="AE975" s="1"/>
      <c r="AF975" s="1"/>
      <c r="AG975" s="1"/>
      <c r="AH975" s="4"/>
      <c r="AI975" s="1"/>
      <c r="AJ975" s="3"/>
      <c r="AK975" s="4"/>
      <c r="AL975" s="6"/>
      <c r="AM975" s="7"/>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row>
    <row r="976" spans="1:64" ht="16.5" customHeight="1">
      <c r="A976" s="1"/>
      <c r="B976" s="139"/>
      <c r="C976" s="1"/>
      <c r="D976" s="1"/>
      <c r="E976" s="1"/>
      <c r="F976" s="1"/>
      <c r="G976" s="1"/>
      <c r="H976" s="4"/>
      <c r="I976" s="4"/>
      <c r="J976" s="4"/>
      <c r="K976" s="4"/>
      <c r="L976" s="4"/>
      <c r="M976" s="4"/>
      <c r="N976" s="3"/>
      <c r="O976" s="1"/>
      <c r="P976" s="1"/>
      <c r="Q976" s="4"/>
      <c r="R976" s="5"/>
      <c r="S976" s="4"/>
      <c r="T976" s="1"/>
      <c r="U976" s="1"/>
      <c r="V976" s="1"/>
      <c r="W976" s="1"/>
      <c r="X976" s="1"/>
      <c r="Y976" s="6"/>
      <c r="Z976" s="4"/>
      <c r="AA976" s="4"/>
      <c r="AB976" s="4"/>
      <c r="AC976" s="1"/>
      <c r="AD976" s="1"/>
      <c r="AE976" s="1"/>
      <c r="AF976" s="1"/>
      <c r="AG976" s="1"/>
      <c r="AH976" s="4"/>
      <c r="AI976" s="1"/>
      <c r="AJ976" s="3"/>
      <c r="AK976" s="4"/>
      <c r="AL976" s="6"/>
      <c r="AM976" s="7"/>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row>
    <row r="977" spans="1:64" ht="16.5" customHeight="1">
      <c r="A977" s="1"/>
      <c r="B977" s="139"/>
      <c r="C977" s="1"/>
      <c r="D977" s="1"/>
      <c r="E977" s="1"/>
      <c r="F977" s="1"/>
      <c r="G977" s="1"/>
      <c r="H977" s="4"/>
      <c r="I977" s="4"/>
      <c r="J977" s="4"/>
      <c r="K977" s="4"/>
      <c r="L977" s="4"/>
      <c r="M977" s="4"/>
      <c r="N977" s="3"/>
      <c r="O977" s="1"/>
      <c r="P977" s="1"/>
      <c r="Q977" s="4"/>
      <c r="R977" s="5"/>
      <c r="S977" s="4"/>
      <c r="T977" s="1"/>
      <c r="U977" s="1"/>
      <c r="V977" s="1"/>
      <c r="W977" s="1"/>
      <c r="X977" s="1"/>
      <c r="Y977" s="6"/>
      <c r="Z977" s="4"/>
      <c r="AA977" s="4"/>
      <c r="AB977" s="4"/>
      <c r="AC977" s="1"/>
      <c r="AD977" s="1"/>
      <c r="AE977" s="1"/>
      <c r="AF977" s="1"/>
      <c r="AG977" s="1"/>
      <c r="AH977" s="4"/>
      <c r="AI977" s="1"/>
      <c r="AJ977" s="3"/>
      <c r="AK977" s="4"/>
      <c r="AL977" s="6"/>
      <c r="AM977" s="7"/>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row>
    <row r="978" spans="1:64" ht="16.5" customHeight="1">
      <c r="A978" s="1"/>
      <c r="B978" s="139"/>
      <c r="C978" s="1"/>
      <c r="D978" s="1"/>
      <c r="E978" s="1"/>
      <c r="F978" s="1"/>
      <c r="G978" s="1"/>
      <c r="H978" s="4"/>
      <c r="I978" s="4"/>
      <c r="J978" s="4"/>
      <c r="K978" s="4"/>
      <c r="L978" s="4"/>
      <c r="M978" s="4"/>
      <c r="N978" s="3"/>
      <c r="O978" s="1"/>
      <c r="P978" s="1"/>
      <c r="Q978" s="4"/>
      <c r="R978" s="5"/>
      <c r="S978" s="4"/>
      <c r="T978" s="1"/>
      <c r="U978" s="1"/>
      <c r="V978" s="1"/>
      <c r="W978" s="1"/>
      <c r="X978" s="1"/>
      <c r="Y978" s="6"/>
      <c r="Z978" s="4"/>
      <c r="AA978" s="4"/>
      <c r="AB978" s="4"/>
      <c r="AC978" s="1"/>
      <c r="AD978" s="1"/>
      <c r="AE978" s="1"/>
      <c r="AF978" s="1"/>
      <c r="AG978" s="1"/>
      <c r="AH978" s="4"/>
      <c r="AI978" s="1"/>
      <c r="AJ978" s="3"/>
      <c r="AK978" s="4"/>
      <c r="AL978" s="6"/>
      <c r="AM978" s="7"/>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row>
    <row r="979" spans="1:64" ht="16.5" customHeight="1">
      <c r="A979" s="1"/>
      <c r="B979" s="139"/>
      <c r="C979" s="1"/>
      <c r="D979" s="1"/>
      <c r="E979" s="1"/>
      <c r="F979" s="1"/>
      <c r="G979" s="1"/>
      <c r="H979" s="4"/>
      <c r="I979" s="4"/>
      <c r="J979" s="4"/>
      <c r="K979" s="4"/>
      <c r="L979" s="4"/>
      <c r="M979" s="4"/>
      <c r="N979" s="3"/>
      <c r="O979" s="1"/>
      <c r="P979" s="1"/>
      <c r="Q979" s="4"/>
      <c r="R979" s="5"/>
      <c r="S979" s="4"/>
      <c r="T979" s="1"/>
      <c r="U979" s="1"/>
      <c r="V979" s="1"/>
      <c r="W979" s="1"/>
      <c r="X979" s="1"/>
      <c r="Y979" s="6"/>
      <c r="Z979" s="4"/>
      <c r="AA979" s="4"/>
      <c r="AB979" s="4"/>
      <c r="AC979" s="1"/>
      <c r="AD979" s="1"/>
      <c r="AE979" s="1"/>
      <c r="AF979" s="1"/>
      <c r="AG979" s="1"/>
      <c r="AH979" s="4"/>
      <c r="AI979" s="1"/>
      <c r="AJ979" s="3"/>
      <c r="AK979" s="4"/>
      <c r="AL979" s="6"/>
      <c r="AM979" s="7"/>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row>
    <row r="980" spans="1:64" ht="16.5" customHeight="1">
      <c r="A980" s="1"/>
      <c r="B980" s="139"/>
      <c r="C980" s="1"/>
      <c r="D980" s="1"/>
      <c r="E980" s="1"/>
      <c r="F980" s="1"/>
      <c r="G980" s="1"/>
      <c r="H980" s="4"/>
      <c r="I980" s="4"/>
      <c r="J980" s="4"/>
      <c r="K980" s="4"/>
      <c r="L980" s="4"/>
      <c r="M980" s="4"/>
      <c r="N980" s="3"/>
      <c r="O980" s="1"/>
      <c r="P980" s="1"/>
      <c r="Q980" s="4"/>
      <c r="R980" s="5"/>
      <c r="S980" s="4"/>
      <c r="T980" s="1"/>
      <c r="U980" s="1"/>
      <c r="V980" s="1"/>
      <c r="W980" s="1"/>
      <c r="X980" s="1"/>
      <c r="Y980" s="6"/>
      <c r="Z980" s="4"/>
      <c r="AA980" s="4"/>
      <c r="AB980" s="4"/>
      <c r="AC980" s="1"/>
      <c r="AD980" s="1"/>
      <c r="AE980" s="1"/>
      <c r="AF980" s="1"/>
      <c r="AG980" s="1"/>
      <c r="AH980" s="4"/>
      <c r="AI980" s="1"/>
      <c r="AJ980" s="3"/>
      <c r="AK980" s="4"/>
      <c r="AL980" s="6"/>
      <c r="AM980" s="7"/>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row>
    <row r="981" spans="1:64" ht="16.5" customHeight="1">
      <c r="A981" s="1"/>
      <c r="B981" s="139"/>
      <c r="C981" s="1"/>
      <c r="D981" s="1"/>
      <c r="E981" s="1"/>
      <c r="F981" s="1"/>
      <c r="G981" s="1"/>
      <c r="H981" s="4"/>
      <c r="I981" s="4"/>
      <c r="J981" s="4"/>
      <c r="K981" s="4"/>
      <c r="L981" s="4"/>
      <c r="M981" s="4"/>
      <c r="N981" s="3"/>
      <c r="O981" s="1"/>
      <c r="P981" s="1"/>
      <c r="Q981" s="4"/>
      <c r="R981" s="5"/>
      <c r="S981" s="4"/>
      <c r="T981" s="1"/>
      <c r="U981" s="1"/>
      <c r="V981" s="1"/>
      <c r="W981" s="1"/>
      <c r="X981" s="1"/>
      <c r="Y981" s="6"/>
      <c r="Z981" s="4"/>
      <c r="AA981" s="4"/>
      <c r="AB981" s="4"/>
      <c r="AC981" s="1"/>
      <c r="AD981" s="1"/>
      <c r="AE981" s="1"/>
      <c r="AF981" s="1"/>
      <c r="AG981" s="1"/>
      <c r="AH981" s="4"/>
      <c r="AI981" s="1"/>
      <c r="AJ981" s="3"/>
      <c r="AK981" s="4"/>
      <c r="AL981" s="6"/>
      <c r="AM981" s="7"/>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row>
    <row r="982" spans="1:64" ht="16.5" customHeight="1">
      <c r="A982" s="1"/>
      <c r="B982" s="139"/>
      <c r="C982" s="1"/>
      <c r="D982" s="1"/>
      <c r="E982" s="1"/>
      <c r="F982" s="1"/>
      <c r="G982" s="1"/>
      <c r="H982" s="4"/>
      <c r="I982" s="4"/>
      <c r="J982" s="4"/>
      <c r="K982" s="4"/>
      <c r="L982" s="4"/>
      <c r="M982" s="4"/>
      <c r="N982" s="3"/>
      <c r="O982" s="1"/>
      <c r="P982" s="1"/>
      <c r="Q982" s="4"/>
      <c r="R982" s="5"/>
      <c r="S982" s="4"/>
      <c r="T982" s="1"/>
      <c r="U982" s="1"/>
      <c r="V982" s="1"/>
      <c r="W982" s="1"/>
      <c r="X982" s="1"/>
      <c r="Y982" s="6"/>
      <c r="Z982" s="4"/>
      <c r="AA982" s="4"/>
      <c r="AB982" s="4"/>
      <c r="AC982" s="1"/>
      <c r="AD982" s="1"/>
      <c r="AE982" s="1"/>
      <c r="AF982" s="1"/>
      <c r="AG982" s="1"/>
      <c r="AH982" s="4"/>
      <c r="AI982" s="1"/>
      <c r="AJ982" s="3"/>
      <c r="AK982" s="4"/>
      <c r="AL982" s="6"/>
      <c r="AM982" s="7"/>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row>
    <row r="983" spans="1:64" ht="16.5" customHeight="1">
      <c r="A983" s="1"/>
      <c r="B983" s="139"/>
      <c r="C983" s="1"/>
      <c r="D983" s="1"/>
      <c r="E983" s="1"/>
      <c r="F983" s="1"/>
      <c r="G983" s="1"/>
      <c r="H983" s="4"/>
      <c r="I983" s="4"/>
      <c r="J983" s="4"/>
      <c r="K983" s="4"/>
      <c r="L983" s="4"/>
      <c r="M983" s="4"/>
      <c r="N983" s="3"/>
      <c r="O983" s="1"/>
      <c r="P983" s="1"/>
      <c r="Q983" s="4"/>
      <c r="R983" s="5"/>
      <c r="S983" s="4"/>
      <c r="T983" s="1"/>
      <c r="U983" s="1"/>
      <c r="V983" s="1"/>
      <c r="W983" s="1"/>
      <c r="X983" s="1"/>
      <c r="Y983" s="6"/>
      <c r="Z983" s="4"/>
      <c r="AA983" s="4"/>
      <c r="AB983" s="4"/>
      <c r="AC983" s="1"/>
      <c r="AD983" s="1"/>
      <c r="AE983" s="1"/>
      <c r="AF983" s="1"/>
      <c r="AG983" s="1"/>
      <c r="AH983" s="4"/>
      <c r="AI983" s="1"/>
      <c r="AJ983" s="3"/>
      <c r="AK983" s="4"/>
      <c r="AL983" s="6"/>
      <c r="AM983" s="7"/>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row>
    <row r="984" spans="1:64" ht="16.5" customHeight="1">
      <c r="A984" s="1"/>
      <c r="B984" s="139"/>
      <c r="C984" s="1"/>
      <c r="D984" s="1"/>
      <c r="E984" s="1"/>
      <c r="F984" s="1"/>
      <c r="G984" s="1"/>
      <c r="H984" s="4"/>
      <c r="I984" s="4"/>
      <c r="J984" s="4"/>
      <c r="K984" s="4"/>
      <c r="L984" s="4"/>
      <c r="M984" s="4"/>
      <c r="N984" s="3"/>
      <c r="O984" s="1"/>
      <c r="P984" s="1"/>
      <c r="Q984" s="4"/>
      <c r="R984" s="5"/>
      <c r="S984" s="4"/>
      <c r="T984" s="1"/>
      <c r="U984" s="1"/>
      <c r="V984" s="1"/>
      <c r="W984" s="1"/>
      <c r="X984" s="1"/>
      <c r="Y984" s="6"/>
      <c r="Z984" s="4"/>
      <c r="AA984" s="4"/>
      <c r="AB984" s="4"/>
      <c r="AC984" s="1"/>
      <c r="AD984" s="1"/>
      <c r="AE984" s="1"/>
      <c r="AF984" s="1"/>
      <c r="AG984" s="1"/>
      <c r="AH984" s="4"/>
      <c r="AI984" s="1"/>
      <c r="AJ984" s="3"/>
      <c r="AK984" s="4"/>
      <c r="AL984" s="6"/>
      <c r="AM984" s="7"/>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row>
    <row r="985" spans="1:64" ht="16.5" customHeight="1">
      <c r="A985" s="1"/>
      <c r="B985" s="139"/>
      <c r="C985" s="1"/>
      <c r="D985" s="1"/>
      <c r="E985" s="1"/>
      <c r="F985" s="1"/>
      <c r="G985" s="1"/>
      <c r="H985" s="4"/>
      <c r="I985" s="4"/>
      <c r="J985" s="4"/>
      <c r="K985" s="4"/>
      <c r="L985" s="4"/>
      <c r="M985" s="4"/>
      <c r="N985" s="3"/>
      <c r="O985" s="1"/>
      <c r="P985" s="1"/>
      <c r="Q985" s="4"/>
      <c r="R985" s="5"/>
      <c r="S985" s="4"/>
      <c r="T985" s="1"/>
      <c r="U985" s="1"/>
      <c r="V985" s="1"/>
      <c r="W985" s="1"/>
      <c r="X985" s="1"/>
      <c r="Y985" s="6"/>
      <c r="Z985" s="4"/>
      <c r="AA985" s="4"/>
      <c r="AB985" s="4"/>
      <c r="AC985" s="1"/>
      <c r="AD985" s="1"/>
      <c r="AE985" s="1"/>
      <c r="AF985" s="1"/>
      <c r="AG985" s="1"/>
      <c r="AH985" s="4"/>
      <c r="AI985" s="1"/>
      <c r="AJ985" s="3"/>
      <c r="AK985" s="4"/>
      <c r="AL985" s="6"/>
      <c r="AM985" s="7"/>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row>
    <row r="986" spans="1:64" ht="16.5" customHeight="1">
      <c r="A986" s="1"/>
      <c r="B986" s="139"/>
      <c r="C986" s="1"/>
      <c r="D986" s="1"/>
      <c r="E986" s="1"/>
      <c r="F986" s="1"/>
      <c r="G986" s="1"/>
      <c r="H986" s="4"/>
      <c r="I986" s="4"/>
      <c r="J986" s="4"/>
      <c r="K986" s="4"/>
      <c r="L986" s="4"/>
      <c r="M986" s="4"/>
      <c r="N986" s="3"/>
      <c r="O986" s="1"/>
      <c r="P986" s="1"/>
      <c r="Q986" s="4"/>
      <c r="R986" s="5"/>
      <c r="S986" s="4"/>
      <c r="T986" s="1"/>
      <c r="U986" s="1"/>
      <c r="V986" s="1"/>
      <c r="W986" s="1"/>
      <c r="X986" s="1"/>
      <c r="Y986" s="6"/>
      <c r="Z986" s="4"/>
      <c r="AA986" s="4"/>
      <c r="AB986" s="4"/>
      <c r="AC986" s="1"/>
      <c r="AD986" s="1"/>
      <c r="AE986" s="1"/>
      <c r="AF986" s="1"/>
      <c r="AG986" s="1"/>
      <c r="AH986" s="4"/>
      <c r="AI986" s="1"/>
      <c r="AJ986" s="3"/>
      <c r="AK986" s="4"/>
      <c r="AL986" s="6"/>
      <c r="AM986" s="7"/>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row>
    <row r="987" spans="1:64" ht="16.5" customHeight="1">
      <c r="A987" s="1"/>
      <c r="B987" s="139"/>
      <c r="C987" s="1"/>
      <c r="D987" s="1"/>
      <c r="E987" s="1"/>
      <c r="F987" s="1"/>
      <c r="G987" s="1"/>
      <c r="H987" s="4"/>
      <c r="I987" s="4"/>
      <c r="J987" s="4"/>
      <c r="K987" s="4"/>
      <c r="L987" s="4"/>
      <c r="M987" s="4"/>
      <c r="N987" s="3"/>
      <c r="O987" s="1"/>
      <c r="P987" s="1"/>
      <c r="Q987" s="4"/>
      <c r="R987" s="5"/>
      <c r="S987" s="4"/>
      <c r="T987" s="1"/>
      <c r="U987" s="1"/>
      <c r="V987" s="1"/>
      <c r="W987" s="1"/>
      <c r="X987" s="1"/>
      <c r="Y987" s="6"/>
      <c r="Z987" s="4"/>
      <c r="AA987" s="4"/>
      <c r="AB987" s="4"/>
      <c r="AC987" s="1"/>
      <c r="AD987" s="1"/>
      <c r="AE987" s="1"/>
      <c r="AF987" s="1"/>
      <c r="AG987" s="1"/>
      <c r="AH987" s="4"/>
      <c r="AI987" s="1"/>
      <c r="AJ987" s="3"/>
      <c r="AK987" s="4"/>
      <c r="AL987" s="6"/>
      <c r="AM987" s="7"/>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row>
    <row r="988" spans="1:64" ht="16.5" customHeight="1">
      <c r="A988" s="1"/>
      <c r="B988" s="139"/>
      <c r="C988" s="1"/>
      <c r="D988" s="1"/>
      <c r="E988" s="1"/>
      <c r="F988" s="1"/>
      <c r="G988" s="1"/>
      <c r="H988" s="4"/>
      <c r="I988" s="4"/>
      <c r="J988" s="4"/>
      <c r="K988" s="4"/>
      <c r="L988" s="4"/>
      <c r="M988" s="4"/>
      <c r="N988" s="3"/>
      <c r="O988" s="1"/>
      <c r="P988" s="1"/>
      <c r="Q988" s="4"/>
      <c r="R988" s="5"/>
      <c r="S988" s="4"/>
      <c r="T988" s="1"/>
      <c r="U988" s="1"/>
      <c r="V988" s="1"/>
      <c r="W988" s="1"/>
      <c r="X988" s="1"/>
      <c r="Y988" s="6"/>
      <c r="Z988" s="4"/>
      <c r="AA988" s="4"/>
      <c r="AB988" s="4"/>
      <c r="AC988" s="1"/>
      <c r="AD988" s="1"/>
      <c r="AE988" s="1"/>
      <c r="AF988" s="1"/>
      <c r="AG988" s="1"/>
      <c r="AH988" s="4"/>
      <c r="AI988" s="1"/>
      <c r="AJ988" s="3"/>
      <c r="AK988" s="4"/>
      <c r="AL988" s="6"/>
      <c r="AM988" s="7"/>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row>
    <row r="989" spans="1:64" ht="16.5" customHeight="1">
      <c r="A989" s="1"/>
      <c r="B989" s="139"/>
      <c r="C989" s="1"/>
      <c r="D989" s="1"/>
      <c r="E989" s="1"/>
      <c r="F989" s="1"/>
      <c r="G989" s="1"/>
      <c r="H989" s="4"/>
      <c r="I989" s="4"/>
      <c r="J989" s="4"/>
      <c r="K989" s="4"/>
      <c r="L989" s="4"/>
      <c r="M989" s="4"/>
      <c r="N989" s="3"/>
      <c r="O989" s="1"/>
      <c r="P989" s="1"/>
      <c r="Q989" s="4"/>
      <c r="R989" s="5"/>
      <c r="S989" s="4"/>
      <c r="T989" s="1"/>
      <c r="U989" s="1"/>
      <c r="V989" s="1"/>
      <c r="W989" s="1"/>
      <c r="X989" s="1"/>
      <c r="Y989" s="6"/>
      <c r="Z989" s="4"/>
      <c r="AA989" s="4"/>
      <c r="AB989" s="4"/>
      <c r="AC989" s="1"/>
      <c r="AD989" s="1"/>
      <c r="AE989" s="1"/>
      <c r="AF989" s="1"/>
      <c r="AG989" s="1"/>
      <c r="AH989" s="4"/>
      <c r="AI989" s="1"/>
      <c r="AJ989" s="3"/>
      <c r="AK989" s="4"/>
      <c r="AL989" s="6"/>
      <c r="AM989" s="7"/>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row>
    <row r="990" spans="1:64" ht="16.5" customHeight="1">
      <c r="A990" s="1"/>
      <c r="B990" s="139"/>
      <c r="C990" s="1"/>
      <c r="D990" s="1"/>
      <c r="E990" s="1"/>
      <c r="F990" s="1"/>
      <c r="G990" s="1"/>
      <c r="H990" s="4"/>
      <c r="I990" s="4"/>
      <c r="J990" s="4"/>
      <c r="K990" s="4"/>
      <c r="L990" s="4"/>
      <c r="M990" s="4"/>
      <c r="N990" s="3"/>
      <c r="O990" s="1"/>
      <c r="P990" s="1"/>
      <c r="Q990" s="4"/>
      <c r="R990" s="5"/>
      <c r="S990" s="4"/>
      <c r="T990" s="1"/>
      <c r="U990" s="1"/>
      <c r="V990" s="1"/>
      <c r="W990" s="1"/>
      <c r="X990" s="1"/>
      <c r="Y990" s="6"/>
      <c r="Z990" s="4"/>
      <c r="AA990" s="4"/>
      <c r="AB990" s="4"/>
      <c r="AC990" s="1"/>
      <c r="AD990" s="1"/>
      <c r="AE990" s="1"/>
      <c r="AF990" s="1"/>
      <c r="AG990" s="1"/>
      <c r="AH990" s="4"/>
      <c r="AI990" s="1"/>
      <c r="AJ990" s="3"/>
      <c r="AK990" s="4"/>
      <c r="AL990" s="6"/>
      <c r="AM990" s="7"/>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row>
    <row r="991" spans="1:64" ht="16.5" customHeight="1">
      <c r="A991" s="1"/>
      <c r="B991" s="139"/>
      <c r="C991" s="1"/>
      <c r="D991" s="1"/>
      <c r="E991" s="1"/>
      <c r="F991" s="1"/>
      <c r="G991" s="1"/>
      <c r="H991" s="4"/>
      <c r="I991" s="4"/>
      <c r="J991" s="4"/>
      <c r="K991" s="4"/>
      <c r="L991" s="4"/>
      <c r="M991" s="4"/>
      <c r="N991" s="3"/>
      <c r="O991" s="1"/>
      <c r="P991" s="1"/>
      <c r="Q991" s="4"/>
      <c r="R991" s="5"/>
      <c r="S991" s="4"/>
      <c r="T991" s="1"/>
      <c r="U991" s="1"/>
      <c r="V991" s="1"/>
      <c r="W991" s="1"/>
      <c r="X991" s="1"/>
      <c r="Y991" s="6"/>
      <c r="Z991" s="4"/>
      <c r="AA991" s="4"/>
      <c r="AB991" s="4"/>
      <c r="AC991" s="1"/>
      <c r="AD991" s="1"/>
      <c r="AE991" s="1"/>
      <c r="AF991" s="1"/>
      <c r="AG991" s="1"/>
      <c r="AH991" s="4"/>
      <c r="AI991" s="1"/>
      <c r="AJ991" s="3"/>
      <c r="AK991" s="4"/>
      <c r="AL991" s="6"/>
      <c r="AM991" s="7"/>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row>
    <row r="992" spans="1:64" ht="16.5" customHeight="1">
      <c r="A992" s="1"/>
      <c r="B992" s="139"/>
      <c r="C992" s="1"/>
      <c r="D992" s="1"/>
      <c r="E992" s="1"/>
      <c r="F992" s="1"/>
      <c r="G992" s="1"/>
      <c r="H992" s="4"/>
      <c r="I992" s="4"/>
      <c r="J992" s="4"/>
      <c r="K992" s="4"/>
      <c r="L992" s="4"/>
      <c r="M992" s="4"/>
      <c r="N992" s="3"/>
      <c r="O992" s="1"/>
      <c r="P992" s="1"/>
      <c r="Q992" s="4"/>
      <c r="R992" s="5"/>
      <c r="S992" s="4"/>
      <c r="T992" s="1"/>
      <c r="U992" s="1"/>
      <c r="V992" s="1"/>
      <c r="W992" s="1"/>
      <c r="X992" s="1"/>
      <c r="Y992" s="6"/>
      <c r="Z992" s="4"/>
      <c r="AA992" s="4"/>
      <c r="AB992" s="4"/>
      <c r="AC992" s="1"/>
      <c r="AD992" s="1"/>
      <c r="AE992" s="1"/>
      <c r="AF992" s="1"/>
      <c r="AG992" s="1"/>
      <c r="AH992" s="4"/>
      <c r="AI992" s="1"/>
      <c r="AJ992" s="3"/>
      <c r="AK992" s="4"/>
      <c r="AL992" s="6"/>
      <c r="AM992" s="7"/>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row>
    <row r="993" spans="1:64" ht="16.5" customHeight="1">
      <c r="A993" s="1"/>
      <c r="B993" s="139"/>
      <c r="C993" s="1"/>
      <c r="D993" s="1"/>
      <c r="E993" s="1"/>
      <c r="F993" s="1"/>
      <c r="G993" s="1"/>
      <c r="H993" s="4"/>
      <c r="I993" s="4"/>
      <c r="J993" s="4"/>
      <c r="K993" s="4"/>
      <c r="L993" s="4"/>
      <c r="M993" s="4"/>
      <c r="N993" s="3"/>
      <c r="O993" s="1"/>
      <c r="P993" s="1"/>
      <c r="Q993" s="4"/>
      <c r="R993" s="5"/>
      <c r="S993" s="4"/>
      <c r="T993" s="1"/>
      <c r="U993" s="1"/>
      <c r="V993" s="1"/>
      <c r="W993" s="1"/>
      <c r="X993" s="1"/>
      <c r="Y993" s="6"/>
      <c r="Z993" s="4"/>
      <c r="AA993" s="4"/>
      <c r="AB993" s="4"/>
      <c r="AC993" s="1"/>
      <c r="AD993" s="1"/>
      <c r="AE993" s="1"/>
      <c r="AF993" s="1"/>
      <c r="AG993" s="1"/>
      <c r="AH993" s="4"/>
      <c r="AI993" s="1"/>
      <c r="AJ993" s="3"/>
      <c r="AK993" s="4"/>
      <c r="AL993" s="6"/>
      <c r="AM993" s="7"/>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row>
    <row r="994" spans="1:64" ht="16.5" customHeight="1">
      <c r="A994" s="1"/>
      <c r="B994" s="139"/>
      <c r="C994" s="1"/>
      <c r="D994" s="1"/>
      <c r="E994" s="1"/>
      <c r="F994" s="1"/>
      <c r="G994" s="1"/>
      <c r="H994" s="4"/>
      <c r="I994" s="4"/>
      <c r="J994" s="4"/>
      <c r="K994" s="4"/>
      <c r="L994" s="4"/>
      <c r="M994" s="4"/>
      <c r="N994" s="3"/>
      <c r="O994" s="1"/>
      <c r="P994" s="1"/>
      <c r="Q994" s="4"/>
      <c r="R994" s="5"/>
      <c r="S994" s="4"/>
      <c r="T994" s="1"/>
      <c r="U994" s="1"/>
      <c r="V994" s="1"/>
      <c r="W994" s="1"/>
      <c r="X994" s="1"/>
      <c r="Y994" s="6"/>
      <c r="Z994" s="4"/>
      <c r="AA994" s="4"/>
      <c r="AB994" s="4"/>
      <c r="AC994" s="1"/>
      <c r="AD994" s="1"/>
      <c r="AE994" s="1"/>
      <c r="AF994" s="1"/>
      <c r="AG994" s="1"/>
      <c r="AH994" s="4"/>
      <c r="AI994" s="1"/>
      <c r="AJ994" s="3"/>
      <c r="AK994" s="4"/>
      <c r="AL994" s="6"/>
      <c r="AM994" s="7"/>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row>
    <row r="995" spans="1:64" ht="16.5" customHeight="1">
      <c r="A995" s="1"/>
      <c r="B995" s="139"/>
      <c r="C995" s="1"/>
      <c r="D995" s="1"/>
      <c r="E995" s="1"/>
      <c r="F995" s="1"/>
      <c r="G995" s="1"/>
      <c r="H995" s="4"/>
      <c r="I995" s="4"/>
      <c r="J995" s="4"/>
      <c r="K995" s="4"/>
      <c r="L995" s="4"/>
      <c r="M995" s="4"/>
      <c r="N995" s="3"/>
      <c r="O995" s="1"/>
      <c r="P995" s="1"/>
      <c r="Q995" s="4"/>
      <c r="R995" s="5"/>
      <c r="S995" s="4"/>
      <c r="T995" s="1"/>
      <c r="U995" s="1"/>
      <c r="V995" s="1"/>
      <c r="W995" s="1"/>
      <c r="X995" s="1"/>
      <c r="Y995" s="6"/>
      <c r="Z995" s="4"/>
      <c r="AA995" s="4"/>
      <c r="AB995" s="4"/>
      <c r="AC995" s="1"/>
      <c r="AD995" s="1"/>
      <c r="AE995" s="1"/>
      <c r="AF995" s="1"/>
      <c r="AG995" s="1"/>
      <c r="AH995" s="4"/>
      <c r="AI995" s="1"/>
      <c r="AJ995" s="3"/>
      <c r="AK995" s="4"/>
      <c r="AL995" s="6"/>
      <c r="AM995" s="7"/>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row>
    <row r="996" spans="1:64" ht="16.5" customHeight="1">
      <c r="A996" s="1"/>
      <c r="B996" s="139"/>
      <c r="C996" s="1"/>
      <c r="D996" s="1"/>
      <c r="E996" s="1"/>
      <c r="F996" s="1"/>
      <c r="G996" s="1"/>
      <c r="H996" s="4"/>
      <c r="I996" s="4"/>
      <c r="J996" s="4"/>
      <c r="K996" s="4"/>
      <c r="L996" s="4"/>
      <c r="M996" s="4"/>
      <c r="N996" s="3"/>
      <c r="O996" s="1"/>
      <c r="P996" s="1"/>
      <c r="Q996" s="4"/>
      <c r="R996" s="5"/>
      <c r="S996" s="4"/>
      <c r="T996" s="1"/>
      <c r="U996" s="1"/>
      <c r="V996" s="1"/>
      <c r="W996" s="1"/>
      <c r="X996" s="1"/>
      <c r="Y996" s="6"/>
      <c r="Z996" s="4"/>
      <c r="AA996" s="4"/>
      <c r="AB996" s="4"/>
      <c r="AC996" s="1"/>
      <c r="AD996" s="1"/>
      <c r="AE996" s="1"/>
      <c r="AF996" s="1"/>
      <c r="AG996" s="1"/>
      <c r="AH996" s="4"/>
      <c r="AI996" s="1"/>
      <c r="AJ996" s="3"/>
      <c r="AK996" s="4"/>
      <c r="AL996" s="6"/>
      <c r="AM996" s="7"/>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row>
    <row r="997" spans="1:64" ht="16.5" customHeight="1">
      <c r="A997" s="1"/>
      <c r="B997" s="139"/>
      <c r="C997" s="1"/>
      <c r="D997" s="1"/>
      <c r="E997" s="1"/>
      <c r="F997" s="1"/>
      <c r="G997" s="1"/>
      <c r="H997" s="4"/>
      <c r="I997" s="4"/>
      <c r="J997" s="4"/>
      <c r="K997" s="4"/>
      <c r="L997" s="4"/>
      <c r="M997" s="4"/>
      <c r="N997" s="3"/>
      <c r="O997" s="1"/>
      <c r="P997" s="1"/>
      <c r="Q997" s="4"/>
      <c r="R997" s="5"/>
      <c r="S997" s="4"/>
      <c r="T997" s="1"/>
      <c r="U997" s="1"/>
      <c r="V997" s="1"/>
      <c r="W997" s="1"/>
      <c r="X997" s="1"/>
      <c r="Y997" s="6"/>
      <c r="Z997" s="4"/>
      <c r="AA997" s="4"/>
      <c r="AB997" s="4"/>
      <c r="AC997" s="1"/>
      <c r="AD997" s="1"/>
      <c r="AE997" s="1"/>
      <c r="AF997" s="1"/>
      <c r="AG997" s="1"/>
      <c r="AH997" s="4"/>
      <c r="AI997" s="1"/>
      <c r="AJ997" s="3"/>
      <c r="AK997" s="4"/>
      <c r="AL997" s="6"/>
      <c r="AM997" s="7"/>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row>
    <row r="998" spans="1:64" ht="16.5" customHeight="1">
      <c r="A998" s="1"/>
      <c r="B998" s="139"/>
      <c r="C998" s="1"/>
      <c r="D998" s="1"/>
      <c r="E998" s="1"/>
      <c r="F998" s="1"/>
      <c r="G998" s="1"/>
      <c r="H998" s="4"/>
      <c r="I998" s="4"/>
      <c r="J998" s="4"/>
      <c r="K998" s="4"/>
      <c r="L998" s="4"/>
      <c r="M998" s="4"/>
      <c r="N998" s="3"/>
      <c r="O998" s="1"/>
      <c r="P998" s="1"/>
      <c r="Q998" s="4"/>
      <c r="R998" s="5"/>
      <c r="S998" s="4"/>
      <c r="T998" s="1"/>
      <c r="U998" s="1"/>
      <c r="V998" s="1"/>
      <c r="W998" s="1"/>
      <c r="X998" s="1"/>
      <c r="Y998" s="6"/>
      <c r="Z998" s="4"/>
      <c r="AA998" s="4"/>
      <c r="AB998" s="4"/>
      <c r="AC998" s="1"/>
      <c r="AD998" s="1"/>
      <c r="AE998" s="1"/>
      <c r="AF998" s="1"/>
      <c r="AG998" s="1"/>
      <c r="AH998" s="4"/>
      <c r="AI998" s="1"/>
      <c r="AJ998" s="3"/>
      <c r="AK998" s="4"/>
      <c r="AL998" s="6"/>
      <c r="AM998" s="7"/>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row>
    <row r="999" spans="1:64" ht="16.5" customHeight="1">
      <c r="A999" s="1"/>
      <c r="B999" s="139"/>
      <c r="C999" s="1"/>
      <c r="D999" s="1"/>
      <c r="E999" s="1"/>
      <c r="F999" s="1"/>
      <c r="G999" s="1"/>
      <c r="H999" s="4"/>
      <c r="I999" s="4"/>
      <c r="J999" s="4"/>
      <c r="K999" s="4"/>
      <c r="L999" s="4"/>
      <c r="M999" s="4"/>
      <c r="N999" s="3"/>
      <c r="O999" s="1"/>
      <c r="P999" s="1"/>
      <c r="Q999" s="4"/>
      <c r="R999" s="5"/>
      <c r="S999" s="4"/>
      <c r="T999" s="1"/>
      <c r="U999" s="1"/>
      <c r="V999" s="1"/>
      <c r="W999" s="1"/>
      <c r="X999" s="1"/>
      <c r="Y999" s="6"/>
      <c r="Z999" s="4"/>
      <c r="AA999" s="4"/>
      <c r="AB999" s="4"/>
      <c r="AC999" s="1"/>
      <c r="AD999" s="1"/>
      <c r="AE999" s="1"/>
      <c r="AF999" s="1"/>
      <c r="AG999" s="1"/>
      <c r="AH999" s="4"/>
      <c r="AI999" s="1"/>
      <c r="AJ999" s="3"/>
      <c r="AK999" s="4"/>
      <c r="AL999" s="6"/>
      <c r="AM999" s="7"/>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row>
    <row r="1000" spans="1:64" ht="16.5" customHeight="1">
      <c r="A1000" s="1"/>
      <c r="B1000" s="139"/>
      <c r="C1000" s="1"/>
      <c r="D1000" s="1"/>
      <c r="E1000" s="1"/>
      <c r="F1000" s="1"/>
      <c r="G1000" s="1"/>
      <c r="H1000" s="4"/>
      <c r="I1000" s="4"/>
      <c r="J1000" s="4"/>
      <c r="K1000" s="4"/>
      <c r="L1000" s="4"/>
      <c r="M1000" s="4"/>
      <c r="N1000" s="3"/>
      <c r="O1000" s="1"/>
      <c r="P1000" s="1"/>
      <c r="Q1000" s="4"/>
      <c r="R1000" s="5"/>
      <c r="S1000" s="4"/>
      <c r="T1000" s="1"/>
      <c r="U1000" s="1"/>
      <c r="V1000" s="1"/>
      <c r="W1000" s="1"/>
      <c r="X1000" s="1"/>
      <c r="Y1000" s="6"/>
      <c r="Z1000" s="4"/>
      <c r="AA1000" s="4"/>
      <c r="AB1000" s="4"/>
      <c r="AC1000" s="1"/>
      <c r="AD1000" s="1"/>
      <c r="AE1000" s="1"/>
      <c r="AF1000" s="1"/>
      <c r="AG1000" s="1"/>
      <c r="AH1000" s="4"/>
      <c r="AI1000" s="1"/>
      <c r="AJ1000" s="3"/>
      <c r="AK1000" s="4"/>
      <c r="AL1000" s="6"/>
      <c r="AM1000" s="7"/>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row>
    <row r="1001" spans="1:64" ht="16.5" customHeight="1">
      <c r="A1001" s="1"/>
      <c r="B1001" s="139"/>
      <c r="C1001" s="1"/>
      <c r="D1001" s="1"/>
      <c r="E1001" s="1"/>
      <c r="F1001" s="1"/>
      <c r="G1001" s="1"/>
      <c r="H1001" s="4"/>
      <c r="I1001" s="4"/>
      <c r="J1001" s="4"/>
      <c r="K1001" s="4"/>
      <c r="L1001" s="4"/>
      <c r="M1001" s="4"/>
      <c r="N1001" s="3"/>
      <c r="O1001" s="1"/>
      <c r="P1001" s="1"/>
      <c r="Q1001" s="4"/>
      <c r="R1001" s="5"/>
      <c r="S1001" s="4"/>
      <c r="T1001" s="1"/>
      <c r="U1001" s="1"/>
      <c r="V1001" s="1"/>
      <c r="W1001" s="1"/>
      <c r="X1001" s="1"/>
      <c r="Y1001" s="6"/>
      <c r="Z1001" s="4"/>
      <c r="AA1001" s="4"/>
      <c r="AB1001" s="4"/>
      <c r="AC1001" s="1"/>
      <c r="AD1001" s="1"/>
      <c r="AE1001" s="1"/>
      <c r="AF1001" s="1"/>
      <c r="AG1001" s="1"/>
      <c r="AH1001" s="4"/>
      <c r="AI1001" s="1"/>
      <c r="AJ1001" s="3"/>
      <c r="AK1001" s="4"/>
      <c r="AL1001" s="6"/>
      <c r="AM1001" s="7"/>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row>
    <row r="1002" spans="1:64" ht="16.5" customHeight="1">
      <c r="A1002" s="1"/>
      <c r="B1002" s="139"/>
      <c r="C1002" s="1"/>
      <c r="D1002" s="1"/>
      <c r="E1002" s="1"/>
      <c r="F1002" s="1"/>
      <c r="G1002" s="1"/>
      <c r="H1002" s="4"/>
      <c r="I1002" s="4"/>
      <c r="J1002" s="4"/>
      <c r="K1002" s="4"/>
      <c r="L1002" s="4"/>
      <c r="M1002" s="4"/>
      <c r="N1002" s="3"/>
      <c r="O1002" s="1"/>
      <c r="P1002" s="1"/>
      <c r="Q1002" s="4"/>
      <c r="R1002" s="5"/>
      <c r="S1002" s="4"/>
      <c r="T1002" s="1"/>
      <c r="U1002" s="1"/>
      <c r="V1002" s="1"/>
      <c r="W1002" s="1"/>
      <c r="X1002" s="1"/>
      <c r="Y1002" s="6"/>
      <c r="Z1002" s="4"/>
      <c r="AA1002" s="4"/>
      <c r="AB1002" s="4"/>
      <c r="AC1002" s="1"/>
      <c r="AD1002" s="1"/>
      <c r="AE1002" s="1"/>
      <c r="AF1002" s="1"/>
      <c r="AG1002" s="1"/>
      <c r="AH1002" s="4"/>
      <c r="AI1002" s="1"/>
      <c r="AJ1002" s="3"/>
      <c r="AK1002" s="4"/>
      <c r="AL1002" s="6"/>
      <c r="AM1002" s="7"/>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row>
    <row r="1003" spans="1:64" ht="16.5" customHeight="1">
      <c r="A1003" s="1"/>
      <c r="B1003" s="139"/>
      <c r="C1003" s="1"/>
      <c r="D1003" s="1"/>
      <c r="E1003" s="1"/>
      <c r="F1003" s="1"/>
      <c r="G1003" s="1"/>
      <c r="H1003" s="4"/>
      <c r="I1003" s="4"/>
      <c r="J1003" s="4"/>
      <c r="K1003" s="4"/>
      <c r="L1003" s="4"/>
      <c r="M1003" s="4"/>
      <c r="N1003" s="3"/>
      <c r="O1003" s="1"/>
      <c r="P1003" s="1"/>
      <c r="Q1003" s="4"/>
      <c r="R1003" s="5"/>
      <c r="S1003" s="4"/>
      <c r="T1003" s="1"/>
      <c r="U1003" s="1"/>
      <c r="V1003" s="1"/>
      <c r="W1003" s="1"/>
      <c r="X1003" s="1"/>
      <c r="Y1003" s="6"/>
      <c r="Z1003" s="4"/>
      <c r="AA1003" s="4"/>
      <c r="AB1003" s="4"/>
      <c r="AC1003" s="1"/>
      <c r="AD1003" s="1"/>
      <c r="AE1003" s="1"/>
      <c r="AF1003" s="1"/>
      <c r="AG1003" s="1"/>
      <c r="AH1003" s="4"/>
      <c r="AI1003" s="1"/>
      <c r="AJ1003" s="3"/>
      <c r="AK1003" s="4"/>
      <c r="AL1003" s="6"/>
      <c r="AM1003" s="7"/>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row>
    <row r="1004" spans="1:64" ht="16.5" customHeight="1">
      <c r="A1004" s="1"/>
      <c r="B1004" s="139"/>
      <c r="C1004" s="1"/>
      <c r="D1004" s="1"/>
      <c r="E1004" s="1"/>
      <c r="F1004" s="1"/>
      <c r="G1004" s="1"/>
      <c r="H1004" s="4"/>
      <c r="I1004" s="4"/>
      <c r="J1004" s="4"/>
      <c r="K1004" s="4"/>
      <c r="L1004" s="4"/>
      <c r="M1004" s="4"/>
      <c r="N1004" s="3"/>
      <c r="O1004" s="1"/>
      <c r="P1004" s="1"/>
      <c r="Q1004" s="4"/>
      <c r="R1004" s="5"/>
      <c r="S1004" s="4"/>
      <c r="T1004" s="1"/>
      <c r="U1004" s="1"/>
      <c r="V1004" s="1"/>
      <c r="W1004" s="1"/>
      <c r="X1004" s="1"/>
      <c r="Y1004" s="6"/>
      <c r="Z1004" s="4"/>
      <c r="AA1004" s="4"/>
      <c r="AB1004" s="4"/>
      <c r="AC1004" s="1"/>
      <c r="AD1004" s="1"/>
      <c r="AE1004" s="1"/>
      <c r="AF1004" s="1"/>
      <c r="AG1004" s="1"/>
      <c r="AH1004" s="4"/>
      <c r="AI1004" s="1"/>
      <c r="AJ1004" s="3"/>
      <c r="AK1004" s="4"/>
      <c r="AL1004" s="6"/>
      <c r="AM1004" s="7"/>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row>
    <row r="1005" spans="1:64" ht="16.5" customHeight="1">
      <c r="A1005" s="1"/>
      <c r="B1005" s="139"/>
      <c r="C1005" s="1"/>
      <c r="D1005" s="1"/>
      <c r="E1005" s="1"/>
      <c r="F1005" s="1"/>
      <c r="G1005" s="1"/>
      <c r="H1005" s="4"/>
      <c r="I1005" s="4"/>
      <c r="J1005" s="4"/>
      <c r="K1005" s="4"/>
      <c r="L1005" s="4"/>
      <c r="M1005" s="4"/>
      <c r="N1005" s="3"/>
      <c r="O1005" s="1"/>
      <c r="P1005" s="1"/>
      <c r="Q1005" s="4"/>
      <c r="R1005" s="5"/>
      <c r="S1005" s="4"/>
      <c r="T1005" s="1"/>
      <c r="U1005" s="1"/>
      <c r="V1005" s="1"/>
      <c r="W1005" s="1"/>
      <c r="X1005" s="1"/>
      <c r="Y1005" s="6"/>
      <c r="Z1005" s="4"/>
      <c r="AA1005" s="4"/>
      <c r="AB1005" s="4"/>
      <c r="AC1005" s="1"/>
      <c r="AD1005" s="1"/>
      <c r="AE1005" s="1"/>
      <c r="AF1005" s="1"/>
      <c r="AG1005" s="1"/>
      <c r="AH1005" s="4"/>
      <c r="AI1005" s="1"/>
      <c r="AJ1005" s="3"/>
      <c r="AK1005" s="4"/>
      <c r="AL1005" s="6"/>
      <c r="AM1005" s="7"/>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row>
    <row r="1006" spans="1:64" ht="16.5" customHeight="1">
      <c r="A1006" s="1"/>
      <c r="B1006" s="139"/>
      <c r="C1006" s="1"/>
      <c r="D1006" s="1"/>
      <c r="E1006" s="1"/>
      <c r="F1006" s="1"/>
      <c r="G1006" s="1"/>
      <c r="H1006" s="4"/>
      <c r="I1006" s="4"/>
      <c r="J1006" s="4"/>
      <c r="K1006" s="4"/>
      <c r="L1006" s="4"/>
      <c r="M1006" s="4"/>
      <c r="N1006" s="3"/>
      <c r="O1006" s="1"/>
      <c r="P1006" s="1"/>
      <c r="Q1006" s="4"/>
      <c r="R1006" s="5"/>
      <c r="S1006" s="4"/>
      <c r="T1006" s="1"/>
      <c r="U1006" s="1"/>
      <c r="V1006" s="1"/>
      <c r="W1006" s="1"/>
      <c r="X1006" s="1"/>
      <c r="Y1006" s="6"/>
      <c r="Z1006" s="4"/>
      <c r="AA1006" s="4"/>
      <c r="AB1006" s="4"/>
      <c r="AC1006" s="1"/>
      <c r="AD1006" s="1"/>
      <c r="AE1006" s="1"/>
      <c r="AF1006" s="1"/>
      <c r="AG1006" s="1"/>
      <c r="AH1006" s="4"/>
      <c r="AI1006" s="1"/>
      <c r="AJ1006" s="3"/>
      <c r="AK1006" s="4"/>
      <c r="AL1006" s="6"/>
      <c r="AM1006" s="7"/>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row>
    <row r="1007" spans="1:64" ht="16.5" customHeight="1">
      <c r="A1007" s="1"/>
      <c r="B1007" s="139"/>
      <c r="C1007" s="1"/>
      <c r="D1007" s="1"/>
      <c r="E1007" s="1"/>
      <c r="F1007" s="1"/>
      <c r="G1007" s="1"/>
      <c r="H1007" s="4"/>
      <c r="I1007" s="4"/>
      <c r="J1007" s="4"/>
      <c r="K1007" s="4"/>
      <c r="L1007" s="4"/>
      <c r="M1007" s="4"/>
      <c r="N1007" s="3"/>
      <c r="O1007" s="1"/>
      <c r="P1007" s="1"/>
      <c r="Q1007" s="4"/>
      <c r="R1007" s="5"/>
      <c r="S1007" s="4"/>
      <c r="T1007" s="1"/>
      <c r="U1007" s="1"/>
      <c r="V1007" s="1"/>
      <c r="W1007" s="1"/>
      <c r="X1007" s="1"/>
      <c r="Y1007" s="6"/>
      <c r="Z1007" s="4"/>
      <c r="AA1007" s="4"/>
      <c r="AB1007" s="4"/>
      <c r="AC1007" s="1"/>
      <c r="AD1007" s="1"/>
      <c r="AE1007" s="1"/>
      <c r="AF1007" s="1"/>
      <c r="AG1007" s="1"/>
      <c r="AH1007" s="4"/>
      <c r="AI1007" s="1"/>
      <c r="AJ1007" s="3"/>
      <c r="AK1007" s="4"/>
      <c r="AL1007" s="6"/>
      <c r="AM1007" s="7"/>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row>
    <row r="1008" spans="1:64" ht="16.5" customHeight="1">
      <c r="A1008" s="1"/>
      <c r="B1008" s="139"/>
      <c r="C1008" s="1"/>
      <c r="D1008" s="1"/>
      <c r="E1008" s="1"/>
      <c r="F1008" s="1"/>
      <c r="G1008" s="1"/>
      <c r="H1008" s="4"/>
      <c r="I1008" s="4"/>
      <c r="J1008" s="4"/>
      <c r="K1008" s="4"/>
      <c r="L1008" s="4"/>
      <c r="M1008" s="4"/>
      <c r="N1008" s="3"/>
      <c r="O1008" s="1"/>
      <c r="P1008" s="1"/>
      <c r="Q1008" s="4"/>
      <c r="R1008" s="5"/>
      <c r="S1008" s="4"/>
      <c r="T1008" s="1"/>
      <c r="U1008" s="1"/>
      <c r="V1008" s="1"/>
      <c r="W1008" s="1"/>
      <c r="X1008" s="1"/>
      <c r="Y1008" s="6"/>
      <c r="Z1008" s="4"/>
      <c r="AA1008" s="4"/>
      <c r="AB1008" s="4"/>
      <c r="AC1008" s="1"/>
      <c r="AD1008" s="1"/>
      <c r="AE1008" s="1"/>
      <c r="AF1008" s="1"/>
      <c r="AG1008" s="1"/>
      <c r="AH1008" s="4"/>
      <c r="AI1008" s="1"/>
      <c r="AJ1008" s="3"/>
      <c r="AK1008" s="4"/>
      <c r="AL1008" s="6"/>
      <c r="AM1008" s="7"/>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row>
    <row r="1009" spans="1:64" ht="16.5" customHeight="1">
      <c r="A1009" s="1"/>
      <c r="B1009" s="139"/>
      <c r="C1009" s="1"/>
      <c r="D1009" s="1"/>
      <c r="E1009" s="1"/>
      <c r="F1009" s="1"/>
      <c r="G1009" s="1"/>
      <c r="H1009" s="4"/>
      <c r="I1009" s="4"/>
      <c r="J1009" s="4"/>
      <c r="K1009" s="4"/>
      <c r="L1009" s="4"/>
      <c r="M1009" s="4"/>
      <c r="N1009" s="3"/>
      <c r="O1009" s="1"/>
      <c r="P1009" s="1"/>
      <c r="Q1009" s="4"/>
      <c r="R1009" s="5"/>
      <c r="S1009" s="4"/>
      <c r="T1009" s="1"/>
      <c r="U1009" s="1"/>
      <c r="V1009" s="1"/>
      <c r="W1009" s="1"/>
      <c r="X1009" s="1"/>
      <c r="Y1009" s="6"/>
      <c r="Z1009" s="4"/>
      <c r="AA1009" s="4"/>
      <c r="AB1009" s="4"/>
      <c r="AC1009" s="1"/>
      <c r="AD1009" s="1"/>
      <c r="AE1009" s="1"/>
      <c r="AF1009" s="1"/>
      <c r="AG1009" s="1"/>
      <c r="AH1009" s="4"/>
      <c r="AI1009" s="1"/>
      <c r="AJ1009" s="3"/>
      <c r="AK1009" s="4"/>
      <c r="AL1009" s="6"/>
      <c r="AM1009" s="7"/>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row>
    <row r="1010" spans="1:64" ht="16.5" customHeight="1">
      <c r="A1010" s="1"/>
      <c r="B1010" s="139"/>
      <c r="C1010" s="1"/>
      <c r="D1010" s="1"/>
      <c r="E1010" s="1"/>
      <c r="F1010" s="1"/>
      <c r="G1010" s="1"/>
      <c r="H1010" s="4"/>
      <c r="I1010" s="4"/>
      <c r="J1010" s="4"/>
      <c r="K1010" s="4"/>
      <c r="L1010" s="4"/>
      <c r="M1010" s="4"/>
      <c r="N1010" s="3"/>
      <c r="O1010" s="1"/>
      <c r="P1010" s="1"/>
      <c r="Q1010" s="4"/>
      <c r="R1010" s="5"/>
      <c r="S1010" s="4"/>
      <c r="T1010" s="1"/>
      <c r="U1010" s="1"/>
      <c r="V1010" s="1"/>
      <c r="W1010" s="1"/>
      <c r="X1010" s="1"/>
      <c r="Y1010" s="6"/>
      <c r="Z1010" s="4"/>
      <c r="AA1010" s="4"/>
      <c r="AB1010" s="4"/>
      <c r="AC1010" s="1"/>
      <c r="AD1010" s="1"/>
      <c r="AE1010" s="1"/>
      <c r="AF1010" s="1"/>
      <c r="AG1010" s="1"/>
      <c r="AH1010" s="4"/>
      <c r="AI1010" s="1"/>
      <c r="AJ1010" s="3"/>
      <c r="AK1010" s="4"/>
      <c r="AL1010" s="6"/>
      <c r="AM1010" s="7"/>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row>
    <row r="1011" spans="1:64" ht="16.5" customHeight="1">
      <c r="A1011" s="1"/>
      <c r="B1011" s="139"/>
      <c r="C1011" s="1"/>
      <c r="D1011" s="1"/>
      <c r="E1011" s="1"/>
      <c r="F1011" s="1"/>
      <c r="G1011" s="1"/>
      <c r="H1011" s="4"/>
      <c r="I1011" s="4"/>
      <c r="J1011" s="4"/>
      <c r="K1011" s="4"/>
      <c r="L1011" s="4"/>
      <c r="M1011" s="4"/>
      <c r="N1011" s="3"/>
      <c r="O1011" s="1"/>
      <c r="P1011" s="1"/>
      <c r="Q1011" s="4"/>
      <c r="R1011" s="5"/>
      <c r="S1011" s="4"/>
      <c r="T1011" s="1"/>
      <c r="U1011" s="1"/>
      <c r="V1011" s="1"/>
      <c r="W1011" s="1"/>
      <c r="X1011" s="1"/>
      <c r="Y1011" s="6"/>
      <c r="Z1011" s="4"/>
      <c r="AA1011" s="4"/>
      <c r="AB1011" s="4"/>
      <c r="AC1011" s="1"/>
      <c r="AD1011" s="1"/>
      <c r="AE1011" s="1"/>
      <c r="AF1011" s="1"/>
      <c r="AG1011" s="1"/>
      <c r="AH1011" s="4"/>
      <c r="AI1011" s="1"/>
      <c r="AJ1011" s="3"/>
      <c r="AK1011" s="4"/>
      <c r="AL1011" s="6"/>
      <c r="AM1011" s="7"/>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row>
    <row r="1012" spans="1:64" ht="16.5" customHeight="1">
      <c r="A1012" s="1"/>
      <c r="B1012" s="139"/>
      <c r="C1012" s="1"/>
      <c r="D1012" s="1"/>
      <c r="E1012" s="1"/>
      <c r="F1012" s="1"/>
      <c r="G1012" s="1"/>
      <c r="H1012" s="4"/>
      <c r="I1012" s="4"/>
      <c r="J1012" s="4"/>
      <c r="K1012" s="4"/>
      <c r="L1012" s="4"/>
      <c r="M1012" s="4"/>
      <c r="N1012" s="3"/>
      <c r="O1012" s="1"/>
      <c r="P1012" s="1"/>
      <c r="Q1012" s="4"/>
      <c r="R1012" s="5"/>
      <c r="S1012" s="4"/>
      <c r="T1012" s="1"/>
      <c r="U1012" s="1"/>
      <c r="V1012" s="1"/>
      <c r="W1012" s="1"/>
      <c r="X1012" s="1"/>
      <c r="Y1012" s="6"/>
      <c r="Z1012" s="4"/>
      <c r="AA1012" s="4"/>
      <c r="AB1012" s="4"/>
      <c r="AC1012" s="1"/>
      <c r="AD1012" s="1"/>
      <c r="AE1012" s="1"/>
      <c r="AF1012" s="1"/>
      <c r="AG1012" s="1"/>
      <c r="AH1012" s="4"/>
      <c r="AI1012" s="1"/>
      <c r="AJ1012" s="3"/>
      <c r="AK1012" s="4"/>
      <c r="AL1012" s="6"/>
      <c r="AM1012" s="7"/>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row>
    <row r="1013" spans="1:64" ht="16.5" customHeight="1">
      <c r="A1013" s="1"/>
      <c r="B1013" s="139"/>
      <c r="C1013" s="1"/>
      <c r="D1013" s="1"/>
      <c r="E1013" s="1"/>
      <c r="F1013" s="1"/>
      <c r="G1013" s="1"/>
      <c r="H1013" s="4"/>
      <c r="I1013" s="4"/>
      <c r="J1013" s="4"/>
      <c r="K1013" s="4"/>
      <c r="L1013" s="4"/>
      <c r="M1013" s="4"/>
      <c r="N1013" s="3"/>
      <c r="O1013" s="1"/>
      <c r="P1013" s="1"/>
      <c r="Q1013" s="4"/>
      <c r="R1013" s="5"/>
      <c r="S1013" s="4"/>
      <c r="T1013" s="1"/>
      <c r="U1013" s="1"/>
      <c r="V1013" s="1"/>
      <c r="W1013" s="1"/>
      <c r="X1013" s="1"/>
      <c r="Y1013" s="6"/>
      <c r="Z1013" s="4"/>
      <c r="AA1013" s="4"/>
      <c r="AB1013" s="4"/>
      <c r="AC1013" s="1"/>
      <c r="AD1013" s="1"/>
      <c r="AE1013" s="1"/>
      <c r="AF1013" s="1"/>
      <c r="AG1013" s="1"/>
      <c r="AH1013" s="4"/>
      <c r="AI1013" s="1"/>
      <c r="AJ1013" s="3"/>
      <c r="AK1013" s="4"/>
      <c r="AL1013" s="6"/>
      <c r="AM1013" s="7"/>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row>
    <row r="1014" spans="1:64" ht="16.5" customHeight="1">
      <c r="A1014" s="1"/>
      <c r="B1014" s="139"/>
      <c r="C1014" s="1"/>
      <c r="D1014" s="1"/>
      <c r="E1014" s="1"/>
      <c r="F1014" s="1"/>
      <c r="G1014" s="1"/>
      <c r="H1014" s="4"/>
      <c r="I1014" s="4"/>
      <c r="J1014" s="4"/>
      <c r="K1014" s="4"/>
      <c r="L1014" s="4"/>
      <c r="M1014" s="4"/>
      <c r="N1014" s="3"/>
      <c r="O1014" s="1"/>
      <c r="P1014" s="1"/>
      <c r="Q1014" s="4"/>
      <c r="R1014" s="5"/>
      <c r="S1014" s="4"/>
      <c r="T1014" s="1"/>
      <c r="U1014" s="1"/>
      <c r="V1014" s="1"/>
      <c r="W1014" s="1"/>
      <c r="X1014" s="1"/>
      <c r="Y1014" s="6"/>
      <c r="Z1014" s="4"/>
      <c r="AA1014" s="4"/>
      <c r="AB1014" s="4"/>
      <c r="AC1014" s="1"/>
      <c r="AD1014" s="1"/>
      <c r="AE1014" s="1"/>
      <c r="AF1014" s="1"/>
      <c r="AG1014" s="1"/>
      <c r="AH1014" s="4"/>
      <c r="AI1014" s="1"/>
      <c r="AJ1014" s="3"/>
      <c r="AK1014" s="4"/>
      <c r="AL1014" s="6"/>
      <c r="AM1014" s="7"/>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row>
    <row r="1015" spans="1:64" ht="16.5" customHeight="1">
      <c r="A1015" s="1"/>
      <c r="B1015" s="139"/>
      <c r="C1015" s="1"/>
      <c r="D1015" s="1"/>
      <c r="E1015" s="1"/>
      <c r="F1015" s="1"/>
      <c r="G1015" s="1"/>
      <c r="H1015" s="4"/>
      <c r="I1015" s="4"/>
      <c r="J1015" s="4"/>
      <c r="K1015" s="4"/>
      <c r="L1015" s="4"/>
      <c r="M1015" s="4"/>
      <c r="N1015" s="3"/>
      <c r="O1015" s="1"/>
      <c r="P1015" s="1"/>
      <c r="Q1015" s="4"/>
      <c r="R1015" s="5"/>
      <c r="S1015" s="4"/>
      <c r="T1015" s="1"/>
      <c r="U1015" s="1"/>
      <c r="V1015" s="1"/>
      <c r="W1015" s="1"/>
      <c r="X1015" s="1"/>
      <c r="Y1015" s="6"/>
      <c r="Z1015" s="4"/>
      <c r="AA1015" s="4"/>
      <c r="AB1015" s="4"/>
      <c r="AC1015" s="1"/>
      <c r="AD1015" s="1"/>
      <c r="AE1015" s="1"/>
      <c r="AF1015" s="1"/>
      <c r="AG1015" s="1"/>
      <c r="AH1015" s="4"/>
      <c r="AI1015" s="1"/>
      <c r="AJ1015" s="3"/>
      <c r="AK1015" s="4"/>
      <c r="AL1015" s="6"/>
      <c r="AM1015" s="7"/>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row>
    <row r="1016" spans="1:64" ht="16.5" customHeight="1">
      <c r="A1016" s="1"/>
      <c r="B1016" s="139"/>
      <c r="C1016" s="1"/>
      <c r="D1016" s="1"/>
      <c r="E1016" s="1"/>
      <c r="F1016" s="1"/>
      <c r="G1016" s="1"/>
      <c r="H1016" s="4"/>
      <c r="I1016" s="4"/>
      <c r="J1016" s="4"/>
      <c r="K1016" s="4"/>
      <c r="L1016" s="4"/>
      <c r="M1016" s="4"/>
      <c r="N1016" s="3"/>
      <c r="O1016" s="1"/>
      <c r="P1016" s="1"/>
      <c r="Q1016" s="4"/>
      <c r="R1016" s="5"/>
      <c r="S1016" s="4"/>
      <c r="T1016" s="1"/>
      <c r="U1016" s="1"/>
      <c r="V1016" s="1"/>
      <c r="W1016" s="1"/>
      <c r="X1016" s="1"/>
      <c r="Y1016" s="6"/>
      <c r="Z1016" s="4"/>
      <c r="AA1016" s="4"/>
      <c r="AB1016" s="4"/>
      <c r="AC1016" s="1"/>
      <c r="AD1016" s="1"/>
      <c r="AE1016" s="1"/>
      <c r="AF1016" s="1"/>
      <c r="AG1016" s="1"/>
      <c r="AH1016" s="4"/>
      <c r="AI1016" s="1"/>
      <c r="AJ1016" s="3"/>
      <c r="AK1016" s="4"/>
      <c r="AL1016" s="6"/>
      <c r="AM1016" s="7"/>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row>
    <row r="1017" spans="1:64" ht="16.5" customHeight="1">
      <c r="A1017" s="1"/>
      <c r="B1017" s="139"/>
      <c r="C1017" s="1"/>
      <c r="D1017" s="1"/>
      <c r="E1017" s="1"/>
      <c r="F1017" s="1"/>
      <c r="G1017" s="1"/>
      <c r="H1017" s="4"/>
      <c r="I1017" s="4"/>
      <c r="J1017" s="4"/>
      <c r="K1017" s="4"/>
      <c r="L1017" s="4"/>
      <c r="M1017" s="4"/>
      <c r="N1017" s="3"/>
      <c r="O1017" s="1"/>
      <c r="P1017" s="1"/>
      <c r="Q1017" s="4"/>
      <c r="R1017" s="5"/>
      <c r="S1017" s="4"/>
      <c r="T1017" s="1"/>
      <c r="U1017" s="1"/>
      <c r="V1017" s="1"/>
      <c r="W1017" s="1"/>
      <c r="X1017" s="1"/>
      <c r="Y1017" s="6"/>
      <c r="Z1017" s="4"/>
      <c r="AA1017" s="4"/>
      <c r="AB1017" s="4"/>
      <c r="AC1017" s="1"/>
      <c r="AD1017" s="1"/>
      <c r="AE1017" s="1"/>
      <c r="AF1017" s="1"/>
      <c r="AG1017" s="1"/>
      <c r="AH1017" s="4"/>
      <c r="AI1017" s="1"/>
      <c r="AJ1017" s="3"/>
      <c r="AK1017" s="4"/>
      <c r="AL1017" s="6"/>
      <c r="AM1017" s="7"/>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row>
    <row r="1018" spans="1:64" ht="16.5" customHeight="1">
      <c r="A1018" s="1"/>
      <c r="B1018" s="139"/>
      <c r="C1018" s="1"/>
      <c r="D1018" s="1"/>
      <c r="E1018" s="1"/>
      <c r="F1018" s="1"/>
      <c r="G1018" s="1"/>
      <c r="H1018" s="4"/>
      <c r="I1018" s="4"/>
      <c r="J1018" s="4"/>
      <c r="K1018" s="4"/>
      <c r="L1018" s="4"/>
      <c r="M1018" s="4"/>
      <c r="N1018" s="3"/>
      <c r="O1018" s="1"/>
      <c r="P1018" s="1"/>
      <c r="Q1018" s="4"/>
      <c r="R1018" s="5"/>
      <c r="S1018" s="4"/>
      <c r="T1018" s="1"/>
      <c r="U1018" s="1"/>
      <c r="V1018" s="1"/>
      <c r="W1018" s="1"/>
      <c r="X1018" s="1"/>
      <c r="Y1018" s="6"/>
      <c r="Z1018" s="4"/>
      <c r="AA1018" s="4"/>
      <c r="AB1018" s="4"/>
      <c r="AC1018" s="1"/>
      <c r="AD1018" s="1"/>
      <c r="AE1018" s="1"/>
      <c r="AF1018" s="1"/>
      <c r="AG1018" s="1"/>
      <c r="AH1018" s="4"/>
      <c r="AI1018" s="1"/>
      <c r="AJ1018" s="3"/>
      <c r="AK1018" s="4"/>
      <c r="AL1018" s="6"/>
      <c r="AM1018" s="7"/>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row>
    <row r="1019" spans="1:64" ht="16.5" customHeight="1">
      <c r="A1019" s="1"/>
      <c r="B1019" s="139"/>
      <c r="C1019" s="1"/>
      <c r="D1019" s="1"/>
      <c r="E1019" s="1"/>
      <c r="F1019" s="1"/>
      <c r="G1019" s="1"/>
      <c r="H1019" s="4"/>
      <c r="I1019" s="4"/>
      <c r="J1019" s="4"/>
      <c r="K1019" s="4"/>
      <c r="L1019" s="4"/>
      <c r="M1019" s="4"/>
      <c r="N1019" s="3"/>
      <c r="O1019" s="1"/>
      <c r="P1019" s="1"/>
      <c r="Q1019" s="4"/>
      <c r="R1019" s="5"/>
      <c r="S1019" s="4"/>
      <c r="T1019" s="1"/>
      <c r="U1019" s="1"/>
      <c r="V1019" s="1"/>
      <c r="W1019" s="1"/>
      <c r="X1019" s="1"/>
      <c r="Y1019" s="6"/>
      <c r="Z1019" s="4"/>
      <c r="AA1019" s="4"/>
      <c r="AB1019" s="4"/>
      <c r="AC1019" s="1"/>
      <c r="AD1019" s="1"/>
      <c r="AE1019" s="1"/>
      <c r="AF1019" s="1"/>
      <c r="AG1019" s="1"/>
      <c r="AH1019" s="4"/>
      <c r="AI1019" s="1"/>
      <c r="AJ1019" s="3"/>
      <c r="AK1019" s="4"/>
      <c r="AL1019" s="6"/>
      <c r="AM1019" s="7"/>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row>
    <row r="1020" spans="1:64" ht="16.5" customHeight="1">
      <c r="A1020" s="1"/>
      <c r="B1020" s="139"/>
      <c r="C1020" s="1"/>
      <c r="D1020" s="1"/>
      <c r="E1020" s="1"/>
      <c r="F1020" s="1"/>
      <c r="G1020" s="1"/>
      <c r="H1020" s="4"/>
      <c r="I1020" s="4"/>
      <c r="J1020" s="4"/>
      <c r="K1020" s="4"/>
      <c r="L1020" s="4"/>
      <c r="M1020" s="4"/>
      <c r="N1020" s="3"/>
      <c r="O1020" s="1"/>
      <c r="P1020" s="1"/>
      <c r="Q1020" s="4"/>
      <c r="R1020" s="5"/>
      <c r="S1020" s="4"/>
      <c r="T1020" s="1"/>
      <c r="U1020" s="1"/>
      <c r="V1020" s="1"/>
      <c r="W1020" s="1"/>
      <c r="X1020" s="1"/>
      <c r="Y1020" s="6"/>
      <c r="Z1020" s="4"/>
      <c r="AA1020" s="4"/>
      <c r="AB1020" s="4"/>
      <c r="AC1020" s="1"/>
      <c r="AD1020" s="1"/>
      <c r="AE1020" s="1"/>
      <c r="AF1020" s="1"/>
      <c r="AG1020" s="1"/>
      <c r="AH1020" s="4"/>
      <c r="AI1020" s="1"/>
      <c r="AJ1020" s="3"/>
      <c r="AK1020" s="4"/>
      <c r="AL1020" s="6"/>
      <c r="AM1020" s="7"/>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row>
    <row r="1021" spans="1:64" ht="16.5" customHeight="1">
      <c r="A1021" s="1"/>
      <c r="B1021" s="139"/>
      <c r="C1021" s="1"/>
      <c r="D1021" s="1"/>
      <c r="E1021" s="1"/>
      <c r="F1021" s="1"/>
      <c r="G1021" s="1"/>
      <c r="H1021" s="4"/>
      <c r="I1021" s="4"/>
      <c r="J1021" s="4"/>
      <c r="K1021" s="4"/>
      <c r="L1021" s="4"/>
      <c r="M1021" s="4"/>
      <c r="N1021" s="3"/>
      <c r="O1021" s="1"/>
      <c r="P1021" s="1"/>
      <c r="Q1021" s="4"/>
      <c r="R1021" s="5"/>
      <c r="S1021" s="4"/>
      <c r="T1021" s="1"/>
      <c r="U1021" s="1"/>
      <c r="V1021" s="1"/>
      <c r="W1021" s="1"/>
      <c r="X1021" s="1"/>
      <c r="Y1021" s="6"/>
      <c r="Z1021" s="4"/>
      <c r="AA1021" s="4"/>
      <c r="AB1021" s="4"/>
      <c r="AC1021" s="1"/>
      <c r="AD1021" s="1"/>
      <c r="AE1021" s="1"/>
      <c r="AF1021" s="1"/>
      <c r="AG1021" s="1"/>
      <c r="AH1021" s="4"/>
      <c r="AI1021" s="1"/>
      <c r="AJ1021" s="3"/>
      <c r="AK1021" s="4"/>
      <c r="AL1021" s="6"/>
      <c r="AM1021" s="7"/>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row>
    <row r="1022" spans="1:64" ht="16.5" customHeight="1">
      <c r="A1022" s="1"/>
      <c r="B1022" s="139"/>
      <c r="C1022" s="1"/>
      <c r="D1022" s="1"/>
      <c r="E1022" s="1"/>
      <c r="F1022" s="1"/>
      <c r="G1022" s="1"/>
      <c r="H1022" s="4"/>
      <c r="I1022" s="4"/>
      <c r="J1022" s="4"/>
      <c r="K1022" s="4"/>
      <c r="L1022" s="4"/>
      <c r="M1022" s="4"/>
      <c r="N1022" s="3"/>
      <c r="O1022" s="1"/>
      <c r="P1022" s="1"/>
      <c r="Q1022" s="4"/>
      <c r="R1022" s="5"/>
      <c r="S1022" s="4"/>
      <c r="T1022" s="1"/>
      <c r="U1022" s="1"/>
      <c r="V1022" s="1"/>
      <c r="W1022" s="1"/>
      <c r="X1022" s="1"/>
      <c r="Y1022" s="6"/>
      <c r="Z1022" s="4"/>
      <c r="AA1022" s="4"/>
      <c r="AB1022" s="4"/>
      <c r="AC1022" s="1"/>
      <c r="AD1022" s="1"/>
      <c r="AE1022" s="1"/>
      <c r="AF1022" s="1"/>
      <c r="AG1022" s="1"/>
      <c r="AH1022" s="4"/>
      <c r="AI1022" s="1"/>
      <c r="AJ1022" s="3"/>
      <c r="AK1022" s="4"/>
      <c r="AL1022" s="6"/>
      <c r="AM1022" s="7"/>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row>
    <row r="1023" spans="1:64" ht="16.5" customHeight="1">
      <c r="A1023" s="1"/>
      <c r="B1023" s="139"/>
      <c r="C1023" s="1"/>
      <c r="D1023" s="1"/>
      <c r="E1023" s="1"/>
      <c r="F1023" s="1"/>
      <c r="G1023" s="1"/>
      <c r="H1023" s="4"/>
      <c r="I1023" s="4"/>
      <c r="J1023" s="4"/>
      <c r="K1023" s="4"/>
      <c r="L1023" s="4"/>
      <c r="M1023" s="4"/>
      <c r="N1023" s="3"/>
      <c r="O1023" s="1"/>
      <c r="P1023" s="1"/>
      <c r="Q1023" s="4"/>
      <c r="R1023" s="5"/>
      <c r="S1023" s="4"/>
      <c r="T1023" s="1"/>
      <c r="U1023" s="1"/>
      <c r="V1023" s="1"/>
      <c r="W1023" s="1"/>
      <c r="X1023" s="1"/>
      <c r="Y1023" s="6"/>
      <c r="Z1023" s="4"/>
      <c r="AA1023" s="4"/>
      <c r="AB1023" s="4"/>
      <c r="AC1023" s="1"/>
      <c r="AD1023" s="1"/>
      <c r="AE1023" s="1"/>
      <c r="AF1023" s="1"/>
      <c r="AG1023" s="1"/>
      <c r="AH1023" s="4"/>
      <c r="AI1023" s="1"/>
      <c r="AJ1023" s="3"/>
      <c r="AK1023" s="4"/>
      <c r="AL1023" s="6"/>
      <c r="AM1023" s="7"/>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row>
    <row r="1024" spans="1:64" ht="16.5" customHeight="1">
      <c r="A1024" s="1"/>
      <c r="B1024" s="139"/>
      <c r="C1024" s="1"/>
      <c r="D1024" s="1"/>
      <c r="E1024" s="1"/>
      <c r="F1024" s="1"/>
      <c r="G1024" s="1"/>
      <c r="H1024" s="4"/>
      <c r="I1024" s="4"/>
      <c r="J1024" s="4"/>
      <c r="K1024" s="4"/>
      <c r="L1024" s="4"/>
      <c r="M1024" s="4"/>
      <c r="N1024" s="3"/>
      <c r="O1024" s="1"/>
      <c r="P1024" s="1"/>
      <c r="Q1024" s="4"/>
      <c r="R1024" s="5"/>
      <c r="S1024" s="4"/>
      <c r="T1024" s="1"/>
      <c r="U1024" s="1"/>
      <c r="V1024" s="1"/>
      <c r="W1024" s="1"/>
      <c r="X1024" s="1"/>
      <c r="Y1024" s="6"/>
      <c r="Z1024" s="4"/>
      <c r="AA1024" s="4"/>
      <c r="AB1024" s="4"/>
      <c r="AC1024" s="1"/>
      <c r="AD1024" s="1"/>
      <c r="AE1024" s="1"/>
      <c r="AF1024" s="1"/>
      <c r="AG1024" s="1"/>
      <c r="AH1024" s="4"/>
      <c r="AI1024" s="1"/>
      <c r="AJ1024" s="3"/>
      <c r="AK1024" s="4"/>
      <c r="AL1024" s="6"/>
      <c r="AM1024" s="7"/>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row>
    <row r="1025" spans="1:64" ht="16.5" customHeight="1">
      <c r="A1025" s="1"/>
      <c r="B1025" s="139"/>
      <c r="C1025" s="1"/>
      <c r="D1025" s="1"/>
      <c r="E1025" s="1"/>
      <c r="F1025" s="1"/>
      <c r="G1025" s="1"/>
      <c r="H1025" s="4"/>
      <c r="I1025" s="4"/>
      <c r="J1025" s="4"/>
      <c r="K1025" s="4"/>
      <c r="L1025" s="4"/>
      <c r="M1025" s="4"/>
      <c r="N1025" s="3"/>
      <c r="O1025" s="1"/>
      <c r="P1025" s="1"/>
      <c r="Q1025" s="4"/>
      <c r="R1025" s="5"/>
      <c r="S1025" s="4"/>
      <c r="T1025" s="1"/>
      <c r="U1025" s="1"/>
      <c r="V1025" s="1"/>
      <c r="W1025" s="1"/>
      <c r="X1025" s="1"/>
      <c r="Y1025" s="6"/>
      <c r="Z1025" s="4"/>
      <c r="AA1025" s="4"/>
      <c r="AB1025" s="4"/>
      <c r="AC1025" s="1"/>
      <c r="AD1025" s="1"/>
      <c r="AE1025" s="1"/>
      <c r="AF1025" s="1"/>
      <c r="AG1025" s="1"/>
      <c r="AH1025" s="4"/>
      <c r="AI1025" s="1"/>
      <c r="AJ1025" s="3"/>
      <c r="AK1025" s="4"/>
      <c r="AL1025" s="6"/>
      <c r="AM1025" s="7"/>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row>
    <row r="1026" spans="1:64" ht="16.5" customHeight="1">
      <c r="A1026" s="1"/>
      <c r="B1026" s="139"/>
      <c r="C1026" s="1"/>
      <c r="D1026" s="1"/>
      <c r="E1026" s="1"/>
      <c r="F1026" s="1"/>
      <c r="G1026" s="1"/>
      <c r="H1026" s="4"/>
      <c r="I1026" s="4"/>
      <c r="J1026" s="4"/>
      <c r="K1026" s="4"/>
      <c r="L1026" s="4"/>
      <c r="M1026" s="4"/>
      <c r="N1026" s="3"/>
      <c r="O1026" s="1"/>
      <c r="P1026" s="1"/>
      <c r="Q1026" s="4"/>
      <c r="R1026" s="5"/>
      <c r="S1026" s="4"/>
      <c r="T1026" s="1"/>
      <c r="U1026" s="1"/>
      <c r="V1026" s="1"/>
      <c r="W1026" s="1"/>
      <c r="X1026" s="1"/>
      <c r="Y1026" s="6"/>
      <c r="Z1026" s="4"/>
      <c r="AA1026" s="4"/>
      <c r="AB1026" s="4"/>
      <c r="AC1026" s="1"/>
      <c r="AD1026" s="1"/>
      <c r="AE1026" s="1"/>
      <c r="AF1026" s="1"/>
      <c r="AG1026" s="1"/>
      <c r="AH1026" s="4"/>
      <c r="AI1026" s="1"/>
      <c r="AJ1026" s="3"/>
      <c r="AK1026" s="4"/>
      <c r="AL1026" s="6"/>
      <c r="AM1026" s="7"/>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row>
    <row r="1027" spans="1:64" ht="16.5" customHeight="1">
      <c r="A1027" s="1"/>
      <c r="B1027" s="139"/>
      <c r="C1027" s="1"/>
      <c r="D1027" s="1"/>
      <c r="E1027" s="1"/>
      <c r="F1027" s="1"/>
      <c r="G1027" s="1"/>
      <c r="H1027" s="4"/>
      <c r="I1027" s="4"/>
      <c r="J1027" s="4"/>
      <c r="K1027" s="4"/>
      <c r="L1027" s="4"/>
      <c r="M1027" s="4"/>
      <c r="N1027" s="3"/>
      <c r="O1027" s="1"/>
      <c r="P1027" s="1"/>
      <c r="Q1027" s="4"/>
      <c r="R1027" s="5"/>
      <c r="S1027" s="4"/>
      <c r="T1027" s="1"/>
      <c r="U1027" s="1"/>
      <c r="V1027" s="1"/>
      <c r="W1027" s="1"/>
      <c r="X1027" s="1"/>
      <c r="Y1027" s="6"/>
      <c r="Z1027" s="4"/>
      <c r="AA1027" s="4"/>
      <c r="AB1027" s="4"/>
      <c r="AC1027" s="1"/>
      <c r="AD1027" s="1"/>
      <c r="AE1027" s="1"/>
      <c r="AF1027" s="1"/>
      <c r="AG1027" s="1"/>
      <c r="AH1027" s="4"/>
      <c r="AI1027" s="1"/>
      <c r="AJ1027" s="3"/>
      <c r="AK1027" s="4"/>
      <c r="AL1027" s="6"/>
      <c r="AM1027" s="7"/>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row>
    <row r="1028" spans="1:64" ht="16.5" customHeight="1">
      <c r="A1028" s="1"/>
      <c r="B1028" s="139"/>
      <c r="C1028" s="1"/>
      <c r="D1028" s="1"/>
      <c r="E1028" s="1"/>
      <c r="F1028" s="1"/>
      <c r="G1028" s="1"/>
      <c r="H1028" s="4"/>
      <c r="I1028" s="4"/>
      <c r="J1028" s="4"/>
      <c r="K1028" s="4"/>
      <c r="L1028" s="4"/>
      <c r="M1028" s="4"/>
      <c r="N1028" s="3"/>
      <c r="O1028" s="1"/>
      <c r="P1028" s="1"/>
      <c r="Q1028" s="4"/>
      <c r="R1028" s="5"/>
      <c r="S1028" s="4"/>
      <c r="T1028" s="1"/>
      <c r="U1028" s="1"/>
      <c r="V1028" s="1"/>
      <c r="W1028" s="1"/>
      <c r="X1028" s="1"/>
      <c r="Y1028" s="6"/>
      <c r="Z1028" s="4"/>
      <c r="AA1028" s="4"/>
      <c r="AB1028" s="4"/>
      <c r="AC1028" s="1"/>
      <c r="AD1028" s="1"/>
      <c r="AE1028" s="1"/>
      <c r="AF1028" s="1"/>
      <c r="AG1028" s="1"/>
      <c r="AH1028" s="4"/>
      <c r="AI1028" s="1"/>
      <c r="AJ1028" s="3"/>
      <c r="AK1028" s="4"/>
      <c r="AL1028" s="6"/>
      <c r="AM1028" s="7"/>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row>
    <row r="1029" spans="1:64" ht="16.5" customHeight="1">
      <c r="A1029" s="1"/>
      <c r="B1029" s="139"/>
      <c r="C1029" s="1"/>
      <c r="D1029" s="1"/>
      <c r="E1029" s="1"/>
      <c r="F1029" s="1"/>
      <c r="G1029" s="1"/>
      <c r="H1029" s="4"/>
      <c r="I1029" s="4"/>
      <c r="J1029" s="4"/>
      <c r="K1029" s="4"/>
      <c r="L1029" s="4"/>
      <c r="M1029" s="4"/>
      <c r="N1029" s="3"/>
      <c r="O1029" s="1"/>
      <c r="P1029" s="1"/>
      <c r="Q1029" s="4"/>
      <c r="R1029" s="5"/>
      <c r="S1029" s="4"/>
      <c r="T1029" s="1"/>
      <c r="U1029" s="1"/>
      <c r="V1029" s="1"/>
      <c r="W1029" s="1"/>
      <c r="X1029" s="1"/>
      <c r="Y1029" s="6"/>
      <c r="Z1029" s="4"/>
      <c r="AA1029" s="4"/>
      <c r="AB1029" s="4"/>
      <c r="AC1029" s="1"/>
      <c r="AD1029" s="1"/>
      <c r="AE1029" s="1"/>
      <c r="AF1029" s="1"/>
      <c r="AG1029" s="1"/>
      <c r="AH1029" s="4"/>
      <c r="AI1029" s="1"/>
      <c r="AJ1029" s="3"/>
      <c r="AK1029" s="4"/>
      <c r="AL1029" s="6"/>
      <c r="AM1029" s="7"/>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row>
    <row r="1030" spans="1:64" ht="16.5" customHeight="1">
      <c r="A1030" s="1"/>
      <c r="B1030" s="139"/>
      <c r="C1030" s="1"/>
      <c r="D1030" s="1"/>
      <c r="E1030" s="1"/>
      <c r="F1030" s="1"/>
      <c r="G1030" s="1"/>
      <c r="H1030" s="4"/>
      <c r="I1030" s="4"/>
      <c r="J1030" s="4"/>
      <c r="K1030" s="4"/>
      <c r="L1030" s="4"/>
      <c r="M1030" s="4"/>
      <c r="N1030" s="3"/>
      <c r="O1030" s="1"/>
      <c r="P1030" s="1"/>
      <c r="Q1030" s="4"/>
      <c r="R1030" s="5"/>
      <c r="S1030" s="4"/>
      <c r="T1030" s="1"/>
      <c r="U1030" s="1"/>
      <c r="V1030" s="1"/>
      <c r="W1030" s="1"/>
      <c r="X1030" s="1"/>
      <c r="Y1030" s="6"/>
      <c r="Z1030" s="4"/>
      <c r="AA1030" s="4"/>
      <c r="AB1030" s="4"/>
      <c r="AC1030" s="1"/>
      <c r="AD1030" s="1"/>
      <c r="AE1030" s="1"/>
      <c r="AF1030" s="1"/>
      <c r="AG1030" s="1"/>
      <c r="AH1030" s="4"/>
      <c r="AI1030" s="1"/>
      <c r="AJ1030" s="3"/>
      <c r="AK1030" s="4"/>
      <c r="AL1030" s="6"/>
      <c r="AM1030" s="7"/>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row>
    <row r="1031" spans="1:64" ht="16.5" customHeight="1">
      <c r="A1031" s="1"/>
      <c r="B1031" s="139"/>
      <c r="C1031" s="1"/>
      <c r="D1031" s="1"/>
      <c r="E1031" s="1"/>
      <c r="F1031" s="1"/>
      <c r="G1031" s="1"/>
      <c r="H1031" s="4"/>
      <c r="I1031" s="4"/>
      <c r="J1031" s="4"/>
      <c r="K1031" s="4"/>
      <c r="L1031" s="4"/>
      <c r="M1031" s="4"/>
      <c r="N1031" s="3"/>
      <c r="O1031" s="1"/>
      <c r="P1031" s="1"/>
      <c r="Q1031" s="4"/>
      <c r="R1031" s="5"/>
      <c r="S1031" s="4"/>
      <c r="T1031" s="1"/>
      <c r="U1031" s="1"/>
      <c r="V1031" s="1"/>
      <c r="W1031" s="1"/>
      <c r="X1031" s="1"/>
      <c r="Y1031" s="6"/>
      <c r="Z1031" s="4"/>
      <c r="AA1031" s="4"/>
      <c r="AB1031" s="4"/>
      <c r="AC1031" s="1"/>
      <c r="AD1031" s="1"/>
      <c r="AE1031" s="1"/>
      <c r="AF1031" s="1"/>
      <c r="AG1031" s="1"/>
      <c r="AH1031" s="4"/>
      <c r="AI1031" s="1"/>
      <c r="AJ1031" s="3"/>
      <c r="AK1031" s="4"/>
      <c r="AL1031" s="6"/>
      <c r="AM1031" s="7"/>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row>
    <row r="1032" spans="1:64" ht="16.5" customHeight="1">
      <c r="A1032" s="1"/>
      <c r="B1032" s="139"/>
      <c r="C1032" s="1"/>
      <c r="D1032" s="1"/>
      <c r="E1032" s="1"/>
      <c r="F1032" s="1"/>
      <c r="G1032" s="1"/>
      <c r="H1032" s="4"/>
      <c r="I1032" s="4"/>
      <c r="J1032" s="4"/>
      <c r="K1032" s="4"/>
      <c r="L1032" s="4"/>
      <c r="M1032" s="4"/>
      <c r="N1032" s="3"/>
      <c r="O1032" s="1"/>
      <c r="P1032" s="1"/>
      <c r="Q1032" s="4"/>
      <c r="R1032" s="5"/>
      <c r="S1032" s="4"/>
      <c r="T1032" s="1"/>
      <c r="U1032" s="1"/>
      <c r="V1032" s="1"/>
      <c r="W1032" s="1"/>
      <c r="X1032" s="1"/>
      <c r="Y1032" s="6"/>
      <c r="Z1032" s="4"/>
      <c r="AA1032" s="4"/>
      <c r="AB1032" s="4"/>
      <c r="AC1032" s="1"/>
      <c r="AD1032" s="1"/>
      <c r="AE1032" s="1"/>
      <c r="AF1032" s="1"/>
      <c r="AG1032" s="1"/>
      <c r="AH1032" s="4"/>
      <c r="AI1032" s="1"/>
      <c r="AJ1032" s="3"/>
      <c r="AK1032" s="4"/>
      <c r="AL1032" s="6"/>
      <c r="AM1032" s="7"/>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row>
    <row r="1033" spans="1:64" ht="16.5" customHeight="1">
      <c r="A1033" s="1"/>
      <c r="B1033" s="139"/>
      <c r="C1033" s="1"/>
      <c r="D1033" s="1"/>
      <c r="E1033" s="1"/>
      <c r="F1033" s="1"/>
      <c r="G1033" s="1"/>
      <c r="H1033" s="4"/>
      <c r="I1033" s="4"/>
      <c r="J1033" s="4"/>
      <c r="K1033" s="4"/>
      <c r="L1033" s="4"/>
      <c r="M1033" s="4"/>
      <c r="N1033" s="3"/>
      <c r="O1033" s="1"/>
      <c r="P1033" s="1"/>
      <c r="Q1033" s="4"/>
      <c r="R1033" s="5"/>
      <c r="S1033" s="4"/>
      <c r="T1033" s="1"/>
      <c r="U1033" s="1"/>
      <c r="V1033" s="1"/>
      <c r="W1033" s="1"/>
      <c r="X1033" s="1"/>
      <c r="Y1033" s="6"/>
      <c r="Z1033" s="4"/>
      <c r="AA1033" s="4"/>
      <c r="AB1033" s="4"/>
      <c r="AC1033" s="1"/>
      <c r="AD1033" s="1"/>
      <c r="AE1033" s="1"/>
      <c r="AF1033" s="1"/>
      <c r="AG1033" s="1"/>
      <c r="AH1033" s="4"/>
      <c r="AI1033" s="1"/>
      <c r="AJ1033" s="3"/>
      <c r="AK1033" s="4"/>
      <c r="AL1033" s="6"/>
      <c r="AM1033" s="7"/>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row>
    <row r="1034" spans="1:64" ht="16.5" customHeight="1">
      <c r="A1034" s="1"/>
      <c r="B1034" s="139"/>
      <c r="C1034" s="1"/>
      <c r="D1034" s="1"/>
      <c r="E1034" s="1"/>
      <c r="F1034" s="1"/>
      <c r="G1034" s="1"/>
      <c r="H1034" s="4"/>
      <c r="I1034" s="4"/>
      <c r="J1034" s="4"/>
      <c r="K1034" s="4"/>
      <c r="L1034" s="4"/>
      <c r="M1034" s="4"/>
      <c r="N1034" s="3"/>
      <c r="O1034" s="1"/>
      <c r="P1034" s="1"/>
      <c r="Q1034" s="4"/>
      <c r="R1034" s="5"/>
      <c r="S1034" s="4"/>
      <c r="T1034" s="1"/>
      <c r="U1034" s="1"/>
      <c r="V1034" s="1"/>
      <c r="W1034" s="1"/>
      <c r="X1034" s="1"/>
      <c r="Y1034" s="6"/>
      <c r="Z1034" s="4"/>
      <c r="AA1034" s="4"/>
      <c r="AB1034" s="4"/>
      <c r="AC1034" s="1"/>
      <c r="AD1034" s="1"/>
      <c r="AE1034" s="1"/>
      <c r="AF1034" s="1"/>
      <c r="AG1034" s="1"/>
      <c r="AH1034" s="4"/>
      <c r="AI1034" s="1"/>
      <c r="AJ1034" s="3"/>
      <c r="AK1034" s="4"/>
      <c r="AL1034" s="6"/>
      <c r="AM1034" s="7"/>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row>
    <row r="1035" spans="1:64" ht="16.5" customHeight="1">
      <c r="A1035" s="1"/>
      <c r="B1035" s="139"/>
      <c r="C1035" s="1"/>
      <c r="D1035" s="1"/>
      <c r="E1035" s="1"/>
      <c r="F1035" s="1"/>
      <c r="G1035" s="1"/>
      <c r="H1035" s="4"/>
      <c r="I1035" s="4"/>
      <c r="J1035" s="4"/>
      <c r="K1035" s="4"/>
      <c r="L1035" s="4"/>
      <c r="M1035" s="4"/>
      <c r="N1035" s="3"/>
      <c r="O1035" s="1"/>
      <c r="P1035" s="1"/>
      <c r="Q1035" s="4"/>
      <c r="R1035" s="5"/>
      <c r="S1035" s="4"/>
      <c r="T1035" s="1"/>
      <c r="U1035" s="1"/>
      <c r="V1035" s="1"/>
      <c r="W1035" s="1"/>
      <c r="X1035" s="1"/>
      <c r="Y1035" s="6"/>
      <c r="Z1035" s="4"/>
      <c r="AA1035" s="4"/>
      <c r="AB1035" s="4"/>
      <c r="AC1035" s="1"/>
      <c r="AD1035" s="1"/>
      <c r="AE1035" s="1"/>
      <c r="AF1035" s="1"/>
      <c r="AG1035" s="1"/>
      <c r="AH1035" s="4"/>
      <c r="AI1035" s="1"/>
      <c r="AJ1035" s="3"/>
      <c r="AK1035" s="4"/>
      <c r="AL1035" s="6"/>
      <c r="AM1035" s="7"/>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row>
    <row r="1036" spans="1:64" ht="16.5" customHeight="1">
      <c r="A1036" s="1"/>
      <c r="B1036" s="139"/>
      <c r="C1036" s="1"/>
      <c r="D1036" s="1"/>
      <c r="E1036" s="1"/>
      <c r="F1036" s="1"/>
      <c r="G1036" s="1"/>
      <c r="H1036" s="4"/>
      <c r="I1036" s="4"/>
      <c r="J1036" s="4"/>
      <c r="K1036" s="4"/>
      <c r="L1036" s="4"/>
      <c r="M1036" s="4"/>
      <c r="N1036" s="3"/>
      <c r="O1036" s="1"/>
      <c r="P1036" s="1"/>
      <c r="Q1036" s="4"/>
      <c r="R1036" s="5"/>
      <c r="S1036" s="4"/>
      <c r="T1036" s="1"/>
      <c r="U1036" s="1"/>
      <c r="V1036" s="1"/>
      <c r="W1036" s="1"/>
      <c r="X1036" s="1"/>
      <c r="Y1036" s="6"/>
      <c r="Z1036" s="4"/>
      <c r="AA1036" s="4"/>
      <c r="AB1036" s="4"/>
      <c r="AC1036" s="1"/>
      <c r="AD1036" s="1"/>
      <c r="AE1036" s="1"/>
      <c r="AF1036" s="1"/>
      <c r="AG1036" s="1"/>
      <c r="AH1036" s="4"/>
      <c r="AI1036" s="1"/>
      <c r="AJ1036" s="3"/>
      <c r="AK1036" s="4"/>
      <c r="AL1036" s="6"/>
      <c r="AM1036" s="7"/>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row>
    <row r="1037" spans="1:64" ht="16.5" customHeight="1">
      <c r="A1037" s="1"/>
      <c r="B1037" s="139"/>
      <c r="C1037" s="1"/>
      <c r="D1037" s="1"/>
      <c r="E1037" s="1"/>
      <c r="F1037" s="1"/>
      <c r="G1037" s="1"/>
      <c r="H1037" s="4"/>
      <c r="I1037" s="4"/>
      <c r="J1037" s="4"/>
      <c r="K1037" s="4"/>
      <c r="L1037" s="4"/>
      <c r="M1037" s="4"/>
      <c r="N1037" s="3"/>
      <c r="O1037" s="1"/>
      <c r="P1037" s="1"/>
      <c r="Q1037" s="4"/>
      <c r="R1037" s="5"/>
      <c r="S1037" s="4"/>
      <c r="T1037" s="1"/>
      <c r="U1037" s="1"/>
      <c r="V1037" s="1"/>
      <c r="W1037" s="1"/>
      <c r="X1037" s="1"/>
      <c r="Y1037" s="6"/>
      <c r="Z1037" s="4"/>
      <c r="AA1037" s="4"/>
      <c r="AB1037" s="4"/>
      <c r="AC1037" s="1"/>
      <c r="AD1037" s="1"/>
      <c r="AE1037" s="1"/>
      <c r="AF1037" s="1"/>
      <c r="AG1037" s="1"/>
      <c r="AH1037" s="4"/>
      <c r="AI1037" s="1"/>
      <c r="AJ1037" s="3"/>
      <c r="AK1037" s="4"/>
      <c r="AL1037" s="6"/>
      <c r="AM1037" s="7"/>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row>
    <row r="1038" spans="1:64" ht="16.5" customHeight="1">
      <c r="A1038" s="1"/>
      <c r="B1038" s="139"/>
      <c r="C1038" s="1"/>
      <c r="D1038" s="1"/>
      <c r="E1038" s="1"/>
      <c r="F1038" s="1"/>
      <c r="G1038" s="1"/>
      <c r="H1038" s="4"/>
      <c r="I1038" s="4"/>
      <c r="J1038" s="4"/>
      <c r="K1038" s="4"/>
      <c r="L1038" s="4"/>
      <c r="M1038" s="4"/>
      <c r="N1038" s="3"/>
      <c r="O1038" s="1"/>
      <c r="P1038" s="1"/>
      <c r="Q1038" s="4"/>
      <c r="R1038" s="5"/>
      <c r="S1038" s="4"/>
      <c r="T1038" s="1"/>
      <c r="U1038" s="1"/>
      <c r="V1038" s="1"/>
      <c r="W1038" s="1"/>
      <c r="X1038" s="1"/>
      <c r="Y1038" s="6"/>
      <c r="Z1038" s="4"/>
      <c r="AA1038" s="4"/>
      <c r="AB1038" s="4"/>
      <c r="AC1038" s="1"/>
      <c r="AD1038" s="1"/>
      <c r="AE1038" s="1"/>
      <c r="AF1038" s="1"/>
      <c r="AG1038" s="1"/>
      <c r="AH1038" s="4"/>
      <c r="AI1038" s="1"/>
      <c r="AJ1038" s="3"/>
      <c r="AK1038" s="4"/>
      <c r="AL1038" s="6"/>
      <c r="AM1038" s="7"/>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row>
    <row r="1039" spans="1:64" ht="16.5" customHeight="1">
      <c r="A1039" s="1"/>
      <c r="B1039" s="139"/>
      <c r="C1039" s="1"/>
      <c r="D1039" s="1"/>
      <c r="E1039" s="1"/>
      <c r="F1039" s="1"/>
      <c r="G1039" s="1"/>
      <c r="H1039" s="4"/>
      <c r="I1039" s="4"/>
      <c r="J1039" s="4"/>
      <c r="K1039" s="4"/>
      <c r="L1039" s="4"/>
      <c r="M1039" s="4"/>
      <c r="N1039" s="3"/>
      <c r="O1039" s="1"/>
      <c r="P1039" s="1"/>
      <c r="Q1039" s="4"/>
      <c r="R1039" s="5"/>
      <c r="S1039" s="4"/>
      <c r="T1039" s="1"/>
      <c r="U1039" s="1"/>
      <c r="V1039" s="1"/>
      <c r="W1039" s="1"/>
      <c r="X1039" s="1"/>
      <c r="Y1039" s="6"/>
      <c r="Z1039" s="4"/>
      <c r="AA1039" s="4"/>
      <c r="AB1039" s="4"/>
      <c r="AC1039" s="1"/>
      <c r="AD1039" s="1"/>
      <c r="AE1039" s="1"/>
      <c r="AF1039" s="1"/>
      <c r="AG1039" s="1"/>
      <c r="AH1039" s="4"/>
      <c r="AI1039" s="1"/>
      <c r="AJ1039" s="3"/>
      <c r="AK1039" s="4"/>
      <c r="AL1039" s="6"/>
      <c r="AM1039" s="7"/>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row>
    <row r="1040" spans="1:64" ht="16.5" customHeight="1">
      <c r="A1040" s="1"/>
      <c r="B1040" s="139"/>
      <c r="C1040" s="1"/>
      <c r="D1040" s="1"/>
      <c r="E1040" s="1"/>
      <c r="F1040" s="1"/>
      <c r="G1040" s="1"/>
      <c r="H1040" s="4"/>
      <c r="I1040" s="4"/>
      <c r="J1040" s="4"/>
      <c r="K1040" s="4"/>
      <c r="L1040" s="4"/>
      <c r="M1040" s="4"/>
      <c r="N1040" s="3"/>
      <c r="O1040" s="1"/>
      <c r="P1040" s="1"/>
      <c r="Q1040" s="4"/>
      <c r="R1040" s="5"/>
      <c r="S1040" s="4"/>
      <c r="T1040" s="1"/>
      <c r="U1040" s="1"/>
      <c r="V1040" s="1"/>
      <c r="W1040" s="1"/>
      <c r="X1040" s="1"/>
      <c r="Y1040" s="6"/>
      <c r="Z1040" s="4"/>
      <c r="AA1040" s="4"/>
      <c r="AB1040" s="4"/>
      <c r="AC1040" s="1"/>
      <c r="AD1040" s="1"/>
      <c r="AE1040" s="1"/>
      <c r="AF1040" s="1"/>
      <c r="AG1040" s="1"/>
      <c r="AH1040" s="4"/>
      <c r="AI1040" s="1"/>
      <c r="AJ1040" s="3"/>
      <c r="AK1040" s="4"/>
      <c r="AL1040" s="6"/>
      <c r="AM1040" s="7"/>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row>
    <row r="1041" spans="1:64" ht="16.5" customHeight="1">
      <c r="A1041" s="1"/>
      <c r="B1041" s="139"/>
      <c r="C1041" s="1"/>
      <c r="D1041" s="1"/>
      <c r="E1041" s="1"/>
      <c r="F1041" s="1"/>
      <c r="G1041" s="1"/>
      <c r="H1041" s="4"/>
      <c r="I1041" s="4"/>
      <c r="J1041" s="4"/>
      <c r="K1041" s="4"/>
      <c r="L1041" s="4"/>
      <c r="M1041" s="4"/>
      <c r="N1041" s="3"/>
      <c r="O1041" s="1"/>
      <c r="P1041" s="1"/>
      <c r="Q1041" s="4"/>
      <c r="R1041" s="5"/>
      <c r="S1041" s="4"/>
      <c r="T1041" s="1"/>
      <c r="U1041" s="1"/>
      <c r="V1041" s="1"/>
      <c r="W1041" s="1"/>
      <c r="X1041" s="1"/>
      <c r="Y1041" s="6"/>
      <c r="Z1041" s="4"/>
      <c r="AA1041" s="4"/>
      <c r="AB1041" s="4"/>
      <c r="AC1041" s="1"/>
      <c r="AD1041" s="1"/>
      <c r="AE1041" s="1"/>
      <c r="AF1041" s="1"/>
      <c r="AG1041" s="1"/>
      <c r="AH1041" s="4"/>
      <c r="AI1041" s="1"/>
      <c r="AJ1041" s="3"/>
      <c r="AK1041" s="4"/>
      <c r="AL1041" s="6"/>
      <c r="AM1041" s="7"/>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row>
    <row r="1042" spans="1:64" ht="16.5" customHeight="1">
      <c r="A1042" s="1"/>
      <c r="B1042" s="139"/>
      <c r="C1042" s="1"/>
      <c r="D1042" s="1"/>
      <c r="E1042" s="1"/>
      <c r="F1042" s="1"/>
      <c r="G1042" s="1"/>
      <c r="H1042" s="4"/>
      <c r="I1042" s="4"/>
      <c r="J1042" s="4"/>
      <c r="K1042" s="4"/>
      <c r="L1042" s="4"/>
      <c r="M1042" s="4"/>
      <c r="N1042" s="3"/>
      <c r="O1042" s="1"/>
      <c r="P1042" s="1"/>
      <c r="Q1042" s="4"/>
      <c r="R1042" s="5"/>
      <c r="S1042" s="4"/>
      <c r="T1042" s="1"/>
      <c r="U1042" s="1"/>
      <c r="V1042" s="1"/>
      <c r="W1042" s="1"/>
      <c r="X1042" s="1"/>
      <c r="Y1042" s="6"/>
      <c r="Z1042" s="4"/>
      <c r="AA1042" s="4"/>
      <c r="AB1042" s="4"/>
      <c r="AC1042" s="1"/>
      <c r="AD1042" s="1"/>
      <c r="AE1042" s="1"/>
      <c r="AF1042" s="1"/>
      <c r="AG1042" s="1"/>
      <c r="AH1042" s="4"/>
      <c r="AI1042" s="1"/>
      <c r="AJ1042" s="3"/>
      <c r="AK1042" s="4"/>
      <c r="AL1042" s="6"/>
      <c r="AM1042" s="7"/>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row>
    <row r="1043" spans="1:64" ht="16.5" customHeight="1">
      <c r="A1043" s="1"/>
      <c r="B1043" s="139"/>
      <c r="C1043" s="1"/>
      <c r="D1043" s="1"/>
      <c r="E1043" s="1"/>
      <c r="F1043" s="1"/>
      <c r="G1043" s="1"/>
      <c r="H1043" s="4"/>
      <c r="I1043" s="4"/>
      <c r="J1043" s="4"/>
      <c r="K1043" s="4"/>
      <c r="L1043" s="4"/>
      <c r="M1043" s="4"/>
      <c r="N1043" s="3"/>
      <c r="O1043" s="1"/>
      <c r="P1043" s="1"/>
      <c r="Q1043" s="4"/>
      <c r="R1043" s="5"/>
      <c r="S1043" s="4"/>
      <c r="T1043" s="1"/>
      <c r="U1043" s="1"/>
      <c r="V1043" s="1"/>
      <c r="W1043" s="1"/>
      <c r="X1043" s="1"/>
      <c r="Y1043" s="6"/>
      <c r="Z1043" s="4"/>
      <c r="AA1043" s="4"/>
      <c r="AB1043" s="4"/>
      <c r="AC1043" s="1"/>
      <c r="AD1043" s="1"/>
      <c r="AE1043" s="1"/>
      <c r="AF1043" s="1"/>
      <c r="AG1043" s="1"/>
      <c r="AH1043" s="4"/>
      <c r="AI1043" s="1"/>
      <c r="AJ1043" s="3"/>
      <c r="AK1043" s="4"/>
      <c r="AL1043" s="6"/>
      <c r="AM1043" s="7"/>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row>
    <row r="1044" spans="1:64" ht="16.5" customHeight="1">
      <c r="A1044" s="1"/>
      <c r="B1044" s="139"/>
      <c r="C1044" s="1"/>
      <c r="D1044" s="1"/>
      <c r="E1044" s="1"/>
      <c r="F1044" s="1"/>
      <c r="G1044" s="1"/>
      <c r="H1044" s="4"/>
      <c r="I1044" s="4"/>
      <c r="J1044" s="4"/>
      <c r="K1044" s="4"/>
      <c r="L1044" s="4"/>
      <c r="M1044" s="4"/>
      <c r="N1044" s="3"/>
      <c r="O1044" s="1"/>
      <c r="P1044" s="1"/>
      <c r="Q1044" s="4"/>
      <c r="R1044" s="5"/>
      <c r="S1044" s="4"/>
      <c r="T1044" s="1"/>
      <c r="U1044" s="1"/>
      <c r="V1044" s="1"/>
      <c r="W1044" s="1"/>
      <c r="X1044" s="1"/>
      <c r="Y1044" s="6"/>
      <c r="Z1044" s="4"/>
      <c r="AA1044" s="4"/>
      <c r="AB1044" s="4"/>
      <c r="AC1044" s="1"/>
      <c r="AD1044" s="1"/>
      <c r="AE1044" s="1"/>
      <c r="AF1044" s="1"/>
      <c r="AG1044" s="1"/>
      <c r="AH1044" s="4"/>
      <c r="AI1044" s="1"/>
      <c r="AJ1044" s="3"/>
      <c r="AK1044" s="4"/>
      <c r="AL1044" s="6"/>
      <c r="AM1044" s="7"/>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row>
    <row r="1045" spans="1:64" ht="16.5" customHeight="1">
      <c r="A1045" s="1"/>
      <c r="B1045" s="139"/>
      <c r="C1045" s="1"/>
      <c r="D1045" s="1"/>
      <c r="E1045" s="1"/>
      <c r="F1045" s="1"/>
      <c r="G1045" s="1"/>
      <c r="H1045" s="4"/>
      <c r="I1045" s="4"/>
      <c r="J1045" s="4"/>
      <c r="K1045" s="4"/>
      <c r="L1045" s="4"/>
      <c r="M1045" s="4"/>
      <c r="N1045" s="3"/>
      <c r="O1045" s="1"/>
      <c r="P1045" s="1"/>
      <c r="Q1045" s="4"/>
      <c r="R1045" s="5"/>
      <c r="S1045" s="4"/>
      <c r="T1045" s="1"/>
      <c r="U1045" s="1"/>
      <c r="V1045" s="1"/>
      <c r="W1045" s="1"/>
      <c r="X1045" s="1"/>
      <c r="Y1045" s="6"/>
      <c r="Z1045" s="4"/>
      <c r="AA1045" s="4"/>
      <c r="AB1045" s="4"/>
      <c r="AC1045" s="1"/>
      <c r="AD1045" s="1"/>
      <c r="AE1045" s="1"/>
      <c r="AF1045" s="1"/>
      <c r="AG1045" s="1"/>
      <c r="AH1045" s="4"/>
      <c r="AI1045" s="1"/>
      <c r="AJ1045" s="3"/>
      <c r="AK1045" s="4"/>
      <c r="AL1045" s="6"/>
      <c r="AM1045" s="7"/>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row>
    <row r="1046" spans="1:64" ht="16.5" customHeight="1">
      <c r="A1046" s="1"/>
      <c r="B1046" s="139"/>
      <c r="C1046" s="1"/>
      <c r="D1046" s="1"/>
      <c r="E1046" s="1"/>
      <c r="F1046" s="1"/>
      <c r="G1046" s="1"/>
      <c r="H1046" s="4"/>
      <c r="I1046" s="4"/>
      <c r="J1046" s="4"/>
      <c r="K1046" s="4"/>
      <c r="L1046" s="4"/>
      <c r="M1046" s="4"/>
      <c r="N1046" s="3"/>
      <c r="O1046" s="1"/>
      <c r="P1046" s="1"/>
      <c r="Q1046" s="4"/>
      <c r="R1046" s="5"/>
      <c r="S1046" s="4"/>
      <c r="T1046" s="1"/>
      <c r="U1046" s="1"/>
      <c r="V1046" s="1"/>
      <c r="W1046" s="1"/>
      <c r="X1046" s="1"/>
      <c r="Y1046" s="6"/>
      <c r="Z1046" s="4"/>
      <c r="AA1046" s="4"/>
      <c r="AB1046" s="4"/>
      <c r="AC1046" s="1"/>
      <c r="AD1046" s="1"/>
      <c r="AE1046" s="1"/>
      <c r="AF1046" s="1"/>
      <c r="AG1046" s="1"/>
      <c r="AH1046" s="4"/>
      <c r="AI1046" s="1"/>
      <c r="AJ1046" s="3"/>
      <c r="AK1046" s="4"/>
      <c r="AL1046" s="6"/>
      <c r="AM1046" s="7"/>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row>
    <row r="1047" spans="1:64" ht="16.5" customHeight="1">
      <c r="A1047" s="1"/>
      <c r="B1047" s="139"/>
      <c r="C1047" s="1"/>
      <c r="D1047" s="1"/>
      <c r="E1047" s="1"/>
      <c r="F1047" s="1"/>
      <c r="G1047" s="1"/>
      <c r="H1047" s="4"/>
      <c r="I1047" s="4"/>
      <c r="J1047" s="4"/>
      <c r="K1047" s="4"/>
      <c r="L1047" s="4"/>
      <c r="M1047" s="4"/>
      <c r="N1047" s="3"/>
      <c r="O1047" s="1"/>
      <c r="P1047" s="1"/>
      <c r="Q1047" s="4"/>
      <c r="R1047" s="5"/>
      <c r="S1047" s="4"/>
      <c r="T1047" s="1"/>
      <c r="U1047" s="1"/>
      <c r="V1047" s="1"/>
      <c r="W1047" s="1"/>
      <c r="X1047" s="1"/>
      <c r="Y1047" s="6"/>
      <c r="Z1047" s="4"/>
      <c r="AA1047" s="4"/>
      <c r="AB1047" s="4"/>
      <c r="AC1047" s="1"/>
      <c r="AD1047" s="1"/>
      <c r="AE1047" s="1"/>
      <c r="AF1047" s="1"/>
      <c r="AG1047" s="1"/>
      <c r="AH1047" s="4"/>
      <c r="AI1047" s="1"/>
      <c r="AJ1047" s="3"/>
      <c r="AK1047" s="4"/>
      <c r="AL1047" s="6"/>
      <c r="AM1047" s="7"/>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row>
    <row r="1048" spans="1:64" ht="16.5" customHeight="1">
      <c r="A1048" s="1"/>
      <c r="B1048" s="139"/>
      <c r="C1048" s="1"/>
      <c r="D1048" s="1"/>
      <c r="E1048" s="1"/>
      <c r="F1048" s="1"/>
      <c r="G1048" s="1"/>
      <c r="H1048" s="4"/>
      <c r="I1048" s="4"/>
      <c r="J1048" s="4"/>
      <c r="K1048" s="4"/>
      <c r="L1048" s="4"/>
      <c r="M1048" s="4"/>
      <c r="N1048" s="3"/>
      <c r="O1048" s="1"/>
      <c r="P1048" s="1"/>
      <c r="Q1048" s="4"/>
      <c r="R1048" s="5"/>
      <c r="S1048" s="4"/>
      <c r="T1048" s="1"/>
      <c r="U1048" s="1"/>
      <c r="V1048" s="1"/>
      <c r="W1048" s="1"/>
      <c r="X1048" s="1"/>
      <c r="Y1048" s="6"/>
      <c r="Z1048" s="4"/>
      <c r="AA1048" s="4"/>
      <c r="AB1048" s="4"/>
      <c r="AC1048" s="1"/>
      <c r="AD1048" s="1"/>
      <c r="AE1048" s="1"/>
      <c r="AF1048" s="1"/>
      <c r="AG1048" s="1"/>
      <c r="AH1048" s="4"/>
      <c r="AI1048" s="1"/>
      <c r="AJ1048" s="3"/>
      <c r="AK1048" s="4"/>
      <c r="AL1048" s="6"/>
      <c r="AM1048" s="7"/>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row>
    <row r="1049" spans="1:64" ht="16.5" customHeight="1">
      <c r="A1049" s="1"/>
      <c r="B1049" s="139"/>
      <c r="C1049" s="1"/>
      <c r="D1049" s="1"/>
      <c r="E1049" s="1"/>
      <c r="F1049" s="1"/>
      <c r="G1049" s="1"/>
      <c r="H1049" s="4"/>
      <c r="I1049" s="4"/>
      <c r="J1049" s="4"/>
      <c r="K1049" s="4"/>
      <c r="L1049" s="4"/>
      <c r="M1049" s="4"/>
      <c r="N1049" s="3"/>
      <c r="O1049" s="1"/>
      <c r="P1049" s="1"/>
      <c r="Q1049" s="4"/>
      <c r="R1049" s="5"/>
      <c r="S1049" s="4"/>
      <c r="T1049" s="1"/>
      <c r="U1049" s="1"/>
      <c r="V1049" s="1"/>
      <c r="W1049" s="1"/>
      <c r="X1049" s="1"/>
      <c r="Y1049" s="6"/>
      <c r="Z1049" s="4"/>
      <c r="AA1049" s="4"/>
      <c r="AB1049" s="4"/>
      <c r="AC1049" s="1"/>
      <c r="AD1049" s="1"/>
      <c r="AE1049" s="1"/>
      <c r="AF1049" s="1"/>
      <c r="AG1049" s="1"/>
      <c r="AH1049" s="4"/>
      <c r="AI1049" s="1"/>
      <c r="AJ1049" s="3"/>
      <c r="AK1049" s="4"/>
      <c r="AL1049" s="6"/>
      <c r="AM1049" s="7"/>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row>
    <row r="1050" spans="1:64" ht="16.5" customHeight="1">
      <c r="A1050" s="1"/>
      <c r="B1050" s="139"/>
      <c r="C1050" s="1"/>
      <c r="D1050" s="1"/>
      <c r="E1050" s="1"/>
      <c r="F1050" s="1"/>
      <c r="G1050" s="1"/>
      <c r="H1050" s="4"/>
      <c r="I1050" s="4"/>
      <c r="J1050" s="4"/>
      <c r="K1050" s="4"/>
      <c r="L1050" s="4"/>
      <c r="M1050" s="4"/>
      <c r="N1050" s="3"/>
      <c r="O1050" s="1"/>
      <c r="P1050" s="1"/>
      <c r="Q1050" s="4"/>
      <c r="R1050" s="5"/>
      <c r="S1050" s="4"/>
      <c r="T1050" s="1"/>
      <c r="U1050" s="1"/>
      <c r="V1050" s="1"/>
      <c r="W1050" s="1"/>
      <c r="X1050" s="1"/>
      <c r="Y1050" s="6"/>
      <c r="Z1050" s="4"/>
      <c r="AA1050" s="4"/>
      <c r="AB1050" s="4"/>
      <c r="AC1050" s="1"/>
      <c r="AD1050" s="1"/>
      <c r="AE1050" s="1"/>
      <c r="AF1050" s="1"/>
      <c r="AG1050" s="1"/>
      <c r="AH1050" s="4"/>
      <c r="AI1050" s="1"/>
      <c r="AJ1050" s="3"/>
      <c r="AK1050" s="4"/>
      <c r="AL1050" s="6"/>
      <c r="AM1050" s="7"/>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row>
    <row r="1051" spans="1:64" ht="16.5" customHeight="1">
      <c r="A1051" s="1"/>
      <c r="B1051" s="139"/>
      <c r="C1051" s="1"/>
      <c r="D1051" s="1"/>
      <c r="E1051" s="1"/>
      <c r="F1051" s="1"/>
      <c r="G1051" s="1"/>
      <c r="H1051" s="4"/>
      <c r="I1051" s="4"/>
      <c r="J1051" s="4"/>
      <c r="K1051" s="4"/>
      <c r="L1051" s="4"/>
      <c r="M1051" s="4"/>
      <c r="N1051" s="3"/>
      <c r="O1051" s="1"/>
      <c r="P1051" s="1"/>
      <c r="Q1051" s="4"/>
      <c r="R1051" s="5"/>
      <c r="S1051" s="4"/>
      <c r="T1051" s="1"/>
      <c r="U1051" s="1"/>
      <c r="V1051" s="1"/>
      <c r="W1051" s="1"/>
      <c r="X1051" s="1"/>
      <c r="Y1051" s="6"/>
      <c r="Z1051" s="4"/>
      <c r="AA1051" s="4"/>
      <c r="AB1051" s="4"/>
      <c r="AC1051" s="1"/>
      <c r="AD1051" s="1"/>
      <c r="AE1051" s="1"/>
      <c r="AF1051" s="1"/>
      <c r="AG1051" s="1"/>
      <c r="AH1051" s="4"/>
      <c r="AI1051" s="1"/>
      <c r="AJ1051" s="3"/>
      <c r="AK1051" s="4"/>
      <c r="AL1051" s="6"/>
      <c r="AM1051" s="7"/>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row>
    <row r="1052" spans="1:64" ht="16.5" customHeight="1">
      <c r="A1052" s="1"/>
      <c r="B1052" s="139"/>
      <c r="C1052" s="1"/>
      <c r="D1052" s="1"/>
      <c r="E1052" s="1"/>
      <c r="F1052" s="1"/>
      <c r="G1052" s="1"/>
      <c r="H1052" s="4"/>
      <c r="I1052" s="4"/>
      <c r="J1052" s="4"/>
      <c r="K1052" s="4"/>
      <c r="L1052" s="4"/>
      <c r="M1052" s="4"/>
      <c r="N1052" s="3"/>
      <c r="O1052" s="1"/>
      <c r="P1052" s="1"/>
      <c r="Q1052" s="4"/>
      <c r="R1052" s="5"/>
      <c r="S1052" s="4"/>
      <c r="T1052" s="1"/>
      <c r="U1052" s="1"/>
      <c r="V1052" s="1"/>
      <c r="W1052" s="1"/>
      <c r="X1052" s="1"/>
      <c r="Y1052" s="6"/>
      <c r="Z1052" s="4"/>
      <c r="AA1052" s="4"/>
      <c r="AB1052" s="4"/>
      <c r="AC1052" s="1"/>
      <c r="AD1052" s="1"/>
      <c r="AE1052" s="1"/>
      <c r="AF1052" s="1"/>
      <c r="AG1052" s="1"/>
      <c r="AH1052" s="4"/>
      <c r="AI1052" s="1"/>
      <c r="AJ1052" s="3"/>
      <c r="AK1052" s="4"/>
      <c r="AL1052" s="6"/>
      <c r="AM1052" s="7"/>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row>
    <row r="1053" spans="1:64" ht="16.5" customHeight="1">
      <c r="A1053" s="1"/>
      <c r="B1053" s="139"/>
      <c r="C1053" s="1"/>
      <c r="D1053" s="1"/>
      <c r="E1053" s="1"/>
      <c r="F1053" s="1"/>
      <c r="G1053" s="1"/>
      <c r="H1053" s="4"/>
      <c r="I1053" s="4"/>
      <c r="J1053" s="4"/>
      <c r="K1053" s="4"/>
      <c r="L1053" s="4"/>
      <c r="M1053" s="4"/>
      <c r="N1053" s="3"/>
      <c r="O1053" s="1"/>
      <c r="P1053" s="1"/>
      <c r="Q1053" s="4"/>
      <c r="R1053" s="5"/>
      <c r="S1053" s="4"/>
      <c r="T1053" s="1"/>
      <c r="U1053" s="1"/>
      <c r="V1053" s="1"/>
      <c r="W1053" s="1"/>
      <c r="X1053" s="1"/>
      <c r="Y1053" s="6"/>
      <c r="Z1053" s="4"/>
      <c r="AA1053" s="4"/>
      <c r="AB1053" s="4"/>
      <c r="AC1053" s="1"/>
      <c r="AD1053" s="1"/>
      <c r="AE1053" s="1"/>
      <c r="AF1053" s="1"/>
      <c r="AG1053" s="1"/>
      <c r="AH1053" s="4"/>
      <c r="AI1053" s="1"/>
      <c r="AJ1053" s="3"/>
      <c r="AK1053" s="4"/>
      <c r="AL1053" s="6"/>
      <c r="AM1053" s="7"/>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row>
    <row r="1054" spans="1:64" ht="16.5" customHeight="1">
      <c r="A1054" s="1"/>
      <c r="B1054" s="139"/>
      <c r="C1054" s="1"/>
      <c r="D1054" s="1"/>
      <c r="E1054" s="1"/>
      <c r="F1054" s="1"/>
      <c r="G1054" s="1"/>
      <c r="H1054" s="4"/>
      <c r="I1054" s="4"/>
      <c r="J1054" s="4"/>
      <c r="K1054" s="4"/>
      <c r="L1054" s="4"/>
      <c r="M1054" s="4"/>
      <c r="N1054" s="3"/>
      <c r="O1054" s="1"/>
      <c r="P1054" s="1"/>
      <c r="Q1054" s="4"/>
      <c r="R1054" s="5"/>
      <c r="S1054" s="4"/>
      <c r="T1054" s="1"/>
      <c r="U1054" s="1"/>
      <c r="V1054" s="1"/>
      <c r="W1054" s="1"/>
      <c r="X1054" s="1"/>
      <c r="Y1054" s="6"/>
      <c r="Z1054" s="4"/>
      <c r="AA1054" s="4"/>
      <c r="AB1054" s="4"/>
      <c r="AC1054" s="1"/>
      <c r="AD1054" s="1"/>
      <c r="AE1054" s="1"/>
      <c r="AF1054" s="1"/>
      <c r="AG1054" s="1"/>
      <c r="AH1054" s="4"/>
      <c r="AI1054" s="1"/>
      <c r="AJ1054" s="3"/>
      <c r="AK1054" s="4"/>
      <c r="AL1054" s="6"/>
      <c r="AM1054" s="7"/>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row>
    <row r="1055" spans="1:64" ht="16.5" customHeight="1">
      <c r="A1055" s="1"/>
      <c r="B1055" s="139"/>
      <c r="C1055" s="1"/>
      <c r="D1055" s="1"/>
      <c r="E1055" s="1"/>
      <c r="F1055" s="1"/>
      <c r="G1055" s="1"/>
      <c r="H1055" s="4"/>
      <c r="I1055" s="4"/>
      <c r="J1055" s="4"/>
      <c r="K1055" s="4"/>
      <c r="L1055" s="4"/>
      <c r="M1055" s="4"/>
      <c r="N1055" s="3"/>
      <c r="O1055" s="1"/>
      <c r="P1055" s="1"/>
      <c r="Q1055" s="4"/>
      <c r="R1055" s="5"/>
      <c r="S1055" s="4"/>
      <c r="T1055" s="1"/>
      <c r="U1055" s="1"/>
      <c r="V1055" s="1"/>
      <c r="W1055" s="1"/>
      <c r="X1055" s="1"/>
      <c r="Y1055" s="6"/>
      <c r="Z1055" s="4"/>
      <c r="AA1055" s="4"/>
      <c r="AB1055" s="4"/>
      <c r="AC1055" s="1"/>
      <c r="AD1055" s="1"/>
      <c r="AE1055" s="1"/>
      <c r="AF1055" s="1"/>
      <c r="AG1055" s="1"/>
      <c r="AH1055" s="4"/>
      <c r="AI1055" s="1"/>
      <c r="AJ1055" s="3"/>
      <c r="AK1055" s="4"/>
      <c r="AL1055" s="6"/>
      <c r="AM1055" s="7"/>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row>
    <row r="1056" spans="1:64" ht="16.5" customHeight="1">
      <c r="A1056" s="1"/>
      <c r="B1056" s="139"/>
      <c r="C1056" s="1"/>
      <c r="D1056" s="1"/>
      <c r="E1056" s="1"/>
      <c r="F1056" s="1"/>
      <c r="G1056" s="1"/>
      <c r="H1056" s="4"/>
      <c r="I1056" s="4"/>
      <c r="J1056" s="4"/>
      <c r="K1056" s="4"/>
      <c r="L1056" s="4"/>
      <c r="M1056" s="4"/>
      <c r="N1056" s="3"/>
      <c r="O1056" s="1"/>
      <c r="P1056" s="1"/>
      <c r="Q1056" s="4"/>
      <c r="R1056" s="5"/>
      <c r="S1056" s="4"/>
      <c r="T1056" s="1"/>
      <c r="U1056" s="1"/>
      <c r="V1056" s="1"/>
      <c r="W1056" s="1"/>
      <c r="X1056" s="1"/>
      <c r="Y1056" s="6"/>
      <c r="Z1056" s="4"/>
      <c r="AA1056" s="4"/>
      <c r="AB1056" s="4"/>
      <c r="AC1056" s="1"/>
      <c r="AD1056" s="1"/>
      <c r="AE1056" s="1"/>
      <c r="AF1056" s="1"/>
      <c r="AG1056" s="1"/>
      <c r="AH1056" s="4"/>
      <c r="AI1056" s="1"/>
      <c r="AJ1056" s="3"/>
      <c r="AK1056" s="4"/>
      <c r="AL1056" s="6"/>
      <c r="AM1056" s="7"/>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row>
    <row r="1057" spans="1:64" ht="16.5" customHeight="1">
      <c r="A1057" s="1"/>
      <c r="B1057" s="139"/>
      <c r="C1057" s="1"/>
      <c r="D1057" s="1"/>
      <c r="E1057" s="1"/>
      <c r="F1057" s="1"/>
      <c r="G1057" s="1"/>
      <c r="H1057" s="4"/>
      <c r="I1057" s="4"/>
      <c r="J1057" s="4"/>
      <c r="K1057" s="4"/>
      <c r="L1057" s="4"/>
      <c r="M1057" s="4"/>
      <c r="N1057" s="3"/>
      <c r="O1057" s="1"/>
      <c r="P1057" s="1"/>
      <c r="Q1057" s="4"/>
      <c r="R1057" s="5"/>
      <c r="S1057" s="4"/>
      <c r="T1057" s="1"/>
      <c r="U1057" s="1"/>
      <c r="V1057" s="1"/>
      <c r="W1057" s="1"/>
      <c r="X1057" s="1"/>
      <c r="Y1057" s="6"/>
      <c r="Z1057" s="4"/>
      <c r="AA1057" s="4"/>
      <c r="AB1057" s="4"/>
      <c r="AC1057" s="1"/>
      <c r="AD1057" s="1"/>
      <c r="AE1057" s="1"/>
      <c r="AF1057" s="1"/>
      <c r="AG1057" s="1"/>
      <c r="AH1057" s="4"/>
      <c r="AI1057" s="1"/>
      <c r="AJ1057" s="3"/>
      <c r="AK1057" s="4"/>
      <c r="AL1057" s="6"/>
      <c r="AM1057" s="7"/>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row>
    <row r="1058" spans="1:64" ht="16.5" customHeight="1">
      <c r="A1058" s="1"/>
      <c r="B1058" s="139"/>
      <c r="C1058" s="1"/>
      <c r="D1058" s="1"/>
      <c r="E1058" s="1"/>
      <c r="F1058" s="1"/>
      <c r="G1058" s="1"/>
      <c r="H1058" s="4"/>
      <c r="I1058" s="4"/>
      <c r="J1058" s="4"/>
      <c r="K1058" s="4"/>
      <c r="L1058" s="4"/>
      <c r="M1058" s="4"/>
      <c r="N1058" s="3"/>
      <c r="O1058" s="1"/>
      <c r="P1058" s="1"/>
      <c r="Q1058" s="4"/>
      <c r="R1058" s="5"/>
      <c r="S1058" s="4"/>
      <c r="T1058" s="1"/>
      <c r="U1058" s="1"/>
      <c r="V1058" s="1"/>
      <c r="W1058" s="1"/>
      <c r="X1058" s="1"/>
      <c r="Y1058" s="6"/>
      <c r="Z1058" s="4"/>
      <c r="AA1058" s="4"/>
      <c r="AB1058" s="4"/>
      <c r="AC1058" s="1"/>
      <c r="AD1058" s="1"/>
      <c r="AE1058" s="1"/>
      <c r="AF1058" s="1"/>
      <c r="AG1058" s="1"/>
      <c r="AH1058" s="4"/>
      <c r="AI1058" s="1"/>
      <c r="AJ1058" s="3"/>
      <c r="AK1058" s="4"/>
      <c r="AL1058" s="6"/>
      <c r="AM1058" s="7"/>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row>
    <row r="1059" spans="1:64" ht="16.5" customHeight="1">
      <c r="A1059" s="1"/>
      <c r="B1059" s="139"/>
      <c r="C1059" s="1"/>
      <c r="D1059" s="1"/>
      <c r="E1059" s="1"/>
      <c r="F1059" s="1"/>
      <c r="G1059" s="1"/>
      <c r="H1059" s="4"/>
      <c r="I1059" s="4"/>
      <c r="J1059" s="4"/>
      <c r="K1059" s="4"/>
      <c r="L1059" s="4"/>
      <c r="M1059" s="4"/>
      <c r="N1059" s="3"/>
      <c r="O1059" s="1"/>
      <c r="P1059" s="1"/>
      <c r="Q1059" s="4"/>
      <c r="R1059" s="5"/>
      <c r="S1059" s="4"/>
      <c r="T1059" s="1"/>
      <c r="U1059" s="1"/>
      <c r="V1059" s="1"/>
      <c r="W1059" s="1"/>
      <c r="X1059" s="1"/>
      <c r="Y1059" s="6"/>
      <c r="Z1059" s="4"/>
      <c r="AA1059" s="4"/>
      <c r="AB1059" s="4"/>
      <c r="AC1059" s="1"/>
      <c r="AD1059" s="1"/>
      <c r="AE1059" s="1"/>
      <c r="AF1059" s="1"/>
      <c r="AG1059" s="1"/>
      <c r="AH1059" s="4"/>
      <c r="AI1059" s="1"/>
      <c r="AJ1059" s="3"/>
      <c r="AK1059" s="4"/>
      <c r="AL1059" s="6"/>
      <c r="AM1059" s="7"/>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row>
    <row r="1060" spans="1:64" ht="16.5" customHeight="1">
      <c r="A1060" s="1"/>
      <c r="B1060" s="139"/>
      <c r="C1060" s="1"/>
      <c r="D1060" s="1"/>
      <c r="E1060" s="1"/>
      <c r="F1060" s="1"/>
      <c r="G1060" s="1"/>
      <c r="H1060" s="4"/>
      <c r="I1060" s="4"/>
      <c r="J1060" s="4"/>
      <c r="K1060" s="4"/>
      <c r="L1060" s="4"/>
      <c r="M1060" s="4"/>
      <c r="N1060" s="3"/>
      <c r="O1060" s="1"/>
      <c r="P1060" s="1"/>
      <c r="Q1060" s="4"/>
      <c r="R1060" s="5"/>
      <c r="S1060" s="4"/>
      <c r="T1060" s="1"/>
      <c r="U1060" s="1"/>
      <c r="V1060" s="1"/>
      <c r="W1060" s="1"/>
      <c r="X1060" s="1"/>
      <c r="Y1060" s="6"/>
      <c r="Z1060" s="4"/>
      <c r="AA1060" s="4"/>
      <c r="AB1060" s="4"/>
      <c r="AC1060" s="1"/>
      <c r="AD1060" s="1"/>
      <c r="AE1060" s="1"/>
      <c r="AF1060" s="1"/>
      <c r="AG1060" s="1"/>
      <c r="AH1060" s="4"/>
      <c r="AI1060" s="1"/>
      <c r="AJ1060" s="3"/>
      <c r="AK1060" s="4"/>
      <c r="AL1060" s="6"/>
      <c r="AM1060" s="7"/>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row>
    <row r="1061" spans="1:64" ht="16.5" customHeight="1">
      <c r="A1061" s="1"/>
      <c r="B1061" s="139"/>
      <c r="C1061" s="1"/>
      <c r="D1061" s="1"/>
      <c r="E1061" s="1"/>
      <c r="F1061" s="1"/>
      <c r="G1061" s="1"/>
      <c r="H1061" s="4"/>
      <c r="I1061" s="4"/>
      <c r="J1061" s="4"/>
      <c r="K1061" s="4"/>
      <c r="L1061" s="4"/>
      <c r="M1061" s="4"/>
      <c r="N1061" s="3"/>
      <c r="O1061" s="1"/>
      <c r="P1061" s="1"/>
      <c r="Q1061" s="4"/>
      <c r="R1061" s="5"/>
      <c r="S1061" s="4"/>
      <c r="T1061" s="1"/>
      <c r="U1061" s="1"/>
      <c r="V1061" s="1"/>
      <c r="W1061" s="1"/>
      <c r="X1061" s="1"/>
      <c r="Y1061" s="6"/>
      <c r="Z1061" s="4"/>
      <c r="AA1061" s="4"/>
      <c r="AB1061" s="4"/>
      <c r="AC1061" s="1"/>
      <c r="AD1061" s="1"/>
      <c r="AE1061" s="1"/>
      <c r="AF1061" s="1"/>
      <c r="AG1061" s="1"/>
      <c r="AH1061" s="4"/>
      <c r="AI1061" s="1"/>
      <c r="AJ1061" s="3"/>
      <c r="AK1061" s="4"/>
      <c r="AL1061" s="6"/>
      <c r="AM1061" s="7"/>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row>
    <row r="1062" spans="1:64" ht="16.5" customHeight="1">
      <c r="A1062" s="1"/>
      <c r="B1062" s="139"/>
      <c r="C1062" s="1"/>
      <c r="D1062" s="1"/>
      <c r="E1062" s="1"/>
      <c r="F1062" s="1"/>
      <c r="G1062" s="1"/>
      <c r="H1062" s="4"/>
      <c r="I1062" s="4"/>
      <c r="J1062" s="4"/>
      <c r="K1062" s="4"/>
      <c r="L1062" s="4"/>
      <c r="M1062" s="4"/>
      <c r="N1062" s="3"/>
      <c r="O1062" s="1"/>
      <c r="P1062" s="1"/>
      <c r="Q1062" s="4"/>
      <c r="R1062" s="5"/>
      <c r="S1062" s="4"/>
      <c r="T1062" s="1"/>
      <c r="U1062" s="1"/>
      <c r="V1062" s="1"/>
      <c r="W1062" s="1"/>
      <c r="X1062" s="1"/>
      <c r="Y1062" s="6"/>
      <c r="Z1062" s="4"/>
      <c r="AA1062" s="4"/>
      <c r="AB1062" s="4"/>
      <c r="AC1062" s="1"/>
      <c r="AD1062" s="1"/>
      <c r="AE1062" s="1"/>
      <c r="AF1062" s="1"/>
      <c r="AG1062" s="1"/>
      <c r="AH1062" s="4"/>
      <c r="AI1062" s="1"/>
      <c r="AJ1062" s="3"/>
      <c r="AK1062" s="4"/>
      <c r="AL1062" s="6"/>
      <c r="AM1062" s="7"/>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row>
    <row r="1063" spans="1:64" ht="16.5" customHeight="1">
      <c r="A1063" s="1"/>
      <c r="B1063" s="139"/>
      <c r="C1063" s="1"/>
      <c r="D1063" s="1"/>
      <c r="E1063" s="1"/>
      <c r="F1063" s="1"/>
      <c r="G1063" s="1"/>
      <c r="H1063" s="4"/>
      <c r="I1063" s="4"/>
      <c r="J1063" s="4"/>
      <c r="K1063" s="4"/>
      <c r="L1063" s="4"/>
      <c r="M1063" s="4"/>
      <c r="N1063" s="3"/>
      <c r="O1063" s="1"/>
      <c r="P1063" s="1"/>
      <c r="Q1063" s="4"/>
      <c r="R1063" s="5"/>
      <c r="S1063" s="4"/>
      <c r="T1063" s="1"/>
      <c r="U1063" s="1"/>
      <c r="V1063" s="1"/>
      <c r="W1063" s="1"/>
      <c r="X1063" s="1"/>
      <c r="Y1063" s="6"/>
      <c r="Z1063" s="4"/>
      <c r="AA1063" s="4"/>
      <c r="AB1063" s="4"/>
      <c r="AC1063" s="1"/>
      <c r="AD1063" s="1"/>
      <c r="AE1063" s="1"/>
      <c r="AF1063" s="1"/>
      <c r="AG1063" s="1"/>
      <c r="AH1063" s="4"/>
      <c r="AI1063" s="1"/>
      <c r="AJ1063" s="3"/>
      <c r="AK1063" s="4"/>
      <c r="AL1063" s="6"/>
      <c r="AM1063" s="7"/>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row>
    <row r="1064" spans="1:64" ht="16.5" customHeight="1">
      <c r="A1064" s="1"/>
      <c r="B1064" s="139"/>
      <c r="C1064" s="1"/>
      <c r="D1064" s="1"/>
      <c r="E1064" s="1"/>
      <c r="F1064" s="1"/>
      <c r="G1064" s="1"/>
      <c r="H1064" s="4"/>
      <c r="I1064" s="4"/>
      <c r="J1064" s="4"/>
      <c r="K1064" s="4"/>
      <c r="L1064" s="4"/>
      <c r="M1064" s="4"/>
      <c r="N1064" s="3"/>
      <c r="O1064" s="1"/>
      <c r="P1064" s="1"/>
      <c r="Q1064" s="4"/>
      <c r="R1064" s="5"/>
      <c r="S1064" s="4"/>
      <c r="T1064" s="1"/>
      <c r="U1064" s="1"/>
      <c r="V1064" s="1"/>
      <c r="W1064" s="1"/>
      <c r="X1064" s="1"/>
      <c r="Y1064" s="6"/>
      <c r="Z1064" s="4"/>
      <c r="AA1064" s="4"/>
      <c r="AB1064" s="4"/>
      <c r="AC1064" s="1"/>
      <c r="AD1064" s="1"/>
      <c r="AE1064" s="1"/>
      <c r="AF1064" s="1"/>
      <c r="AG1064" s="1"/>
      <c r="AH1064" s="4"/>
      <c r="AI1064" s="1"/>
      <c r="AJ1064" s="3"/>
      <c r="AK1064" s="4"/>
      <c r="AL1064" s="6"/>
      <c r="AM1064" s="7"/>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row>
    <row r="1065" spans="1:64" ht="16.5" customHeight="1">
      <c r="A1065" s="1"/>
      <c r="B1065" s="139"/>
      <c r="C1065" s="1"/>
      <c r="D1065" s="1"/>
      <c r="E1065" s="1"/>
      <c r="F1065" s="1"/>
      <c r="G1065" s="1"/>
      <c r="H1065" s="4"/>
      <c r="I1065" s="4"/>
      <c r="J1065" s="4"/>
      <c r="K1065" s="4"/>
      <c r="L1065" s="4"/>
      <c r="M1065" s="4"/>
      <c r="N1065" s="3"/>
      <c r="O1065" s="1"/>
      <c r="P1065" s="1"/>
      <c r="Q1065" s="4"/>
      <c r="R1065" s="5"/>
      <c r="S1065" s="4"/>
      <c r="T1065" s="1"/>
      <c r="U1065" s="1"/>
      <c r="V1065" s="1"/>
      <c r="W1065" s="1"/>
      <c r="X1065" s="1"/>
      <c r="Y1065" s="6"/>
      <c r="Z1065" s="4"/>
      <c r="AA1065" s="4"/>
      <c r="AB1065" s="4"/>
      <c r="AC1065" s="1"/>
      <c r="AD1065" s="1"/>
      <c r="AE1065" s="1"/>
      <c r="AF1065" s="1"/>
      <c r="AG1065" s="1"/>
      <c r="AH1065" s="4"/>
      <c r="AI1065" s="1"/>
      <c r="AJ1065" s="3"/>
      <c r="AK1065" s="4"/>
      <c r="AL1065" s="6"/>
      <c r="AM1065" s="7"/>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row>
    <row r="1066" spans="1:64" ht="16.5" customHeight="1">
      <c r="A1066" s="1"/>
      <c r="B1066" s="139"/>
      <c r="C1066" s="1"/>
      <c r="D1066" s="1"/>
      <c r="E1066" s="1"/>
      <c r="F1066" s="1"/>
      <c r="G1066" s="1"/>
      <c r="H1066" s="4"/>
      <c r="I1066" s="4"/>
      <c r="J1066" s="4"/>
      <c r="K1066" s="4"/>
      <c r="L1066" s="4"/>
      <c r="M1066" s="4"/>
      <c r="N1066" s="3"/>
      <c r="O1066" s="1"/>
      <c r="P1066" s="1"/>
      <c r="Q1066" s="4"/>
      <c r="R1066" s="5"/>
      <c r="S1066" s="4"/>
      <c r="T1066" s="1"/>
      <c r="U1066" s="1"/>
      <c r="V1066" s="1"/>
      <c r="W1066" s="1"/>
      <c r="X1066" s="1"/>
      <c r="Y1066" s="6"/>
      <c r="Z1066" s="4"/>
      <c r="AA1066" s="4"/>
      <c r="AB1066" s="4"/>
      <c r="AC1066" s="1"/>
      <c r="AD1066" s="1"/>
      <c r="AE1066" s="1"/>
      <c r="AF1066" s="1"/>
      <c r="AG1066" s="1"/>
      <c r="AH1066" s="4"/>
      <c r="AI1066" s="1"/>
      <c r="AJ1066" s="3"/>
      <c r="AK1066" s="4"/>
      <c r="AL1066" s="6"/>
      <c r="AM1066" s="7"/>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row>
    <row r="1067" spans="1:64" ht="16.5" customHeight="1">
      <c r="A1067" s="1"/>
      <c r="B1067" s="139"/>
      <c r="C1067" s="1"/>
      <c r="D1067" s="1"/>
      <c r="E1067" s="1"/>
      <c r="F1067" s="1"/>
      <c r="G1067" s="1"/>
      <c r="H1067" s="4"/>
      <c r="I1067" s="4"/>
      <c r="J1067" s="4"/>
      <c r="K1067" s="4"/>
      <c r="L1067" s="4"/>
      <c r="M1067" s="4"/>
      <c r="N1067" s="3"/>
      <c r="O1067" s="1"/>
      <c r="P1067" s="1"/>
      <c r="Q1067" s="4"/>
      <c r="R1067" s="5"/>
      <c r="S1067" s="4"/>
      <c r="T1067" s="1"/>
      <c r="U1067" s="1"/>
      <c r="V1067" s="1"/>
      <c r="W1067" s="1"/>
      <c r="X1067" s="1"/>
      <c r="Y1067" s="6"/>
      <c r="Z1067" s="4"/>
      <c r="AA1067" s="4"/>
      <c r="AB1067" s="4"/>
      <c r="AC1067" s="1"/>
      <c r="AD1067" s="1"/>
      <c r="AE1067" s="1"/>
      <c r="AF1067" s="1"/>
      <c r="AG1067" s="1"/>
      <c r="AH1067" s="4"/>
      <c r="AI1067" s="1"/>
      <c r="AJ1067" s="3"/>
      <c r="AK1067" s="4"/>
      <c r="AL1067" s="6"/>
      <c r="AM1067" s="7"/>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row>
    <row r="1068" spans="1:64" ht="16.5" customHeight="1">
      <c r="A1068" s="1"/>
      <c r="B1068" s="139"/>
      <c r="C1068" s="1"/>
      <c r="D1068" s="1"/>
      <c r="E1068" s="1"/>
      <c r="F1068" s="1"/>
      <c r="G1068" s="1"/>
      <c r="H1068" s="4"/>
      <c r="I1068" s="4"/>
      <c r="J1068" s="4"/>
      <c r="K1068" s="4"/>
      <c r="L1068" s="4"/>
      <c r="M1068" s="4"/>
      <c r="N1068" s="3"/>
      <c r="O1068" s="1"/>
      <c r="P1068" s="1"/>
      <c r="Q1068" s="4"/>
      <c r="R1068" s="5"/>
      <c r="S1068" s="4"/>
      <c r="T1068" s="1"/>
      <c r="U1068" s="1"/>
      <c r="V1068" s="1"/>
      <c r="W1068" s="1"/>
      <c r="X1068" s="1"/>
      <c r="Y1068" s="6"/>
      <c r="Z1068" s="4"/>
      <c r="AA1068" s="4"/>
      <c r="AB1068" s="4"/>
      <c r="AC1068" s="1"/>
      <c r="AD1068" s="1"/>
      <c r="AE1068" s="1"/>
      <c r="AF1068" s="1"/>
      <c r="AG1068" s="1"/>
      <c r="AH1068" s="4"/>
      <c r="AI1068" s="1"/>
      <c r="AJ1068" s="3"/>
      <c r="AK1068" s="4"/>
      <c r="AL1068" s="6"/>
      <c r="AM1068" s="7"/>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row>
    <row r="1069" spans="1:64" ht="16.5" customHeight="1">
      <c r="A1069" s="1"/>
      <c r="B1069" s="139"/>
      <c r="C1069" s="1"/>
      <c r="D1069" s="1"/>
      <c r="E1069" s="1"/>
      <c r="F1069" s="1"/>
      <c r="G1069" s="1"/>
      <c r="H1069" s="4"/>
      <c r="I1069" s="4"/>
      <c r="J1069" s="4"/>
      <c r="K1069" s="4"/>
      <c r="L1069" s="4"/>
      <c r="M1069" s="4"/>
      <c r="N1069" s="3"/>
      <c r="O1069" s="1"/>
      <c r="P1069" s="1"/>
      <c r="Q1069" s="4"/>
      <c r="R1069" s="5"/>
      <c r="S1069" s="4"/>
      <c r="T1069" s="1"/>
      <c r="U1069" s="1"/>
      <c r="V1069" s="1"/>
      <c r="W1069" s="1"/>
      <c r="X1069" s="1"/>
      <c r="Y1069" s="6"/>
      <c r="Z1069" s="4"/>
      <c r="AA1069" s="4"/>
      <c r="AB1069" s="4"/>
      <c r="AC1069" s="1"/>
      <c r="AD1069" s="1"/>
      <c r="AE1069" s="1"/>
      <c r="AF1069" s="1"/>
      <c r="AG1069" s="1"/>
      <c r="AH1069" s="4"/>
      <c r="AI1069" s="1"/>
      <c r="AJ1069" s="3"/>
      <c r="AK1069" s="4"/>
      <c r="AL1069" s="6"/>
      <c r="AM1069" s="7"/>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row>
    <row r="1070" spans="1:64" ht="16.5" customHeight="1">
      <c r="A1070" s="1"/>
      <c r="B1070" s="139"/>
      <c r="C1070" s="1"/>
      <c r="D1070" s="1"/>
      <c r="E1070" s="1"/>
      <c r="F1070" s="1"/>
      <c r="G1070" s="1"/>
      <c r="H1070" s="4"/>
      <c r="I1070" s="4"/>
      <c r="J1070" s="4"/>
      <c r="K1070" s="4"/>
      <c r="L1070" s="4"/>
      <c r="M1070" s="4"/>
      <c r="N1070" s="3"/>
      <c r="O1070" s="1"/>
      <c r="P1070" s="1"/>
      <c r="Q1070" s="4"/>
      <c r="R1070" s="5"/>
      <c r="S1070" s="4"/>
      <c r="T1070" s="1"/>
      <c r="U1070" s="1"/>
      <c r="V1070" s="1"/>
      <c r="W1070" s="1"/>
      <c r="X1070" s="1"/>
      <c r="Y1070" s="6"/>
      <c r="Z1070" s="4"/>
      <c r="AA1070" s="4"/>
      <c r="AB1070" s="4"/>
      <c r="AC1070" s="1"/>
      <c r="AD1070" s="1"/>
      <c r="AE1070" s="1"/>
      <c r="AF1070" s="1"/>
      <c r="AG1070" s="1"/>
      <c r="AH1070" s="4"/>
      <c r="AI1070" s="1"/>
      <c r="AJ1070" s="3"/>
      <c r="AK1070" s="4"/>
      <c r="AL1070" s="6"/>
      <c r="AM1070" s="7"/>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row>
    <row r="1071" spans="1:64" ht="16.5" customHeight="1">
      <c r="A1071" s="1"/>
      <c r="B1071" s="139"/>
      <c r="C1071" s="1"/>
      <c r="D1071" s="1"/>
      <c r="E1071" s="1"/>
      <c r="F1071" s="1"/>
      <c r="G1071" s="1"/>
      <c r="H1071" s="4"/>
      <c r="I1071" s="4"/>
      <c r="J1071" s="4"/>
      <c r="K1071" s="4"/>
      <c r="L1071" s="4"/>
      <c r="M1071" s="4"/>
      <c r="N1071" s="3"/>
      <c r="O1071" s="1"/>
      <c r="P1071" s="1"/>
      <c r="Q1071" s="4"/>
      <c r="R1071" s="5"/>
      <c r="S1071" s="4"/>
      <c r="T1071" s="1"/>
      <c r="U1071" s="1"/>
      <c r="V1071" s="1"/>
      <c r="W1071" s="1"/>
      <c r="X1071" s="1"/>
      <c r="Y1071" s="6"/>
      <c r="Z1071" s="4"/>
      <c r="AA1071" s="4"/>
      <c r="AB1071" s="4"/>
      <c r="AC1071" s="1"/>
      <c r="AD1071" s="1"/>
      <c r="AE1071" s="1"/>
      <c r="AF1071" s="1"/>
      <c r="AG1071" s="1"/>
      <c r="AH1071" s="4"/>
      <c r="AI1071" s="1"/>
      <c r="AJ1071" s="3"/>
      <c r="AK1071" s="4"/>
      <c r="AL1071" s="6"/>
      <c r="AM1071" s="7"/>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row>
    <row r="1072" spans="1:64" ht="16.5" customHeight="1">
      <c r="A1072" s="1"/>
      <c r="B1072" s="139"/>
      <c r="C1072" s="1"/>
      <c r="D1072" s="1"/>
      <c r="E1072" s="1"/>
      <c r="F1072" s="1"/>
      <c r="G1072" s="1"/>
      <c r="H1072" s="4"/>
      <c r="I1072" s="4"/>
      <c r="J1072" s="4"/>
      <c r="K1072" s="4"/>
      <c r="L1072" s="4"/>
      <c r="M1072" s="4"/>
      <c r="N1072" s="3"/>
      <c r="O1072" s="1"/>
      <c r="P1072" s="1"/>
      <c r="Q1072" s="4"/>
      <c r="R1072" s="5"/>
      <c r="S1072" s="4"/>
      <c r="T1072" s="1"/>
      <c r="U1072" s="1"/>
      <c r="V1072" s="1"/>
      <c r="W1072" s="1"/>
      <c r="X1072" s="1"/>
      <c r="Y1072" s="6"/>
      <c r="Z1072" s="4"/>
      <c r="AA1072" s="4"/>
      <c r="AB1072" s="4"/>
      <c r="AC1072" s="1"/>
      <c r="AD1072" s="1"/>
      <c r="AE1072" s="1"/>
      <c r="AF1072" s="1"/>
      <c r="AG1072" s="1"/>
      <c r="AH1072" s="4"/>
      <c r="AI1072" s="1"/>
      <c r="AJ1072" s="3"/>
      <c r="AK1072" s="4"/>
      <c r="AL1072" s="6"/>
      <c r="AM1072" s="7"/>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row>
    <row r="1073" spans="1:64" ht="16.5" customHeight="1">
      <c r="A1073" s="1"/>
      <c r="B1073" s="139"/>
      <c r="C1073" s="1"/>
      <c r="D1073" s="1"/>
      <c r="E1073" s="1"/>
      <c r="F1073" s="1"/>
      <c r="G1073" s="1"/>
      <c r="H1073" s="4"/>
      <c r="I1073" s="4"/>
      <c r="J1073" s="4"/>
      <c r="K1073" s="4"/>
      <c r="L1073" s="4"/>
      <c r="M1073" s="4"/>
      <c r="N1073" s="3"/>
      <c r="O1073" s="1"/>
      <c r="P1073" s="1"/>
      <c r="Q1073" s="4"/>
      <c r="R1073" s="5"/>
      <c r="S1073" s="4"/>
      <c r="T1073" s="1"/>
      <c r="U1073" s="1"/>
      <c r="V1073" s="1"/>
      <c r="W1073" s="1"/>
      <c r="X1073" s="1"/>
      <c r="Y1073" s="6"/>
      <c r="Z1073" s="4"/>
      <c r="AA1073" s="4"/>
      <c r="AB1073" s="4"/>
      <c r="AC1073" s="1"/>
      <c r="AD1073" s="1"/>
      <c r="AE1073" s="1"/>
      <c r="AF1073" s="1"/>
      <c r="AG1073" s="1"/>
      <c r="AH1073" s="4"/>
      <c r="AI1073" s="1"/>
      <c r="AJ1073" s="3"/>
      <c r="AK1073" s="4"/>
      <c r="AL1073" s="6"/>
      <c r="AM1073" s="7"/>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row>
    <row r="1074" spans="1:64" ht="16.5" customHeight="1">
      <c r="A1074" s="1"/>
      <c r="B1074" s="139"/>
      <c r="C1074" s="1"/>
      <c r="D1074" s="1"/>
      <c r="E1074" s="1"/>
      <c r="F1074" s="1"/>
      <c r="G1074" s="1"/>
      <c r="H1074" s="4"/>
      <c r="I1074" s="4"/>
      <c r="J1074" s="4"/>
      <c r="K1074" s="4"/>
      <c r="L1074" s="4"/>
      <c r="M1074" s="4"/>
      <c r="N1074" s="3"/>
      <c r="O1074" s="1"/>
      <c r="P1074" s="1"/>
      <c r="Q1074" s="4"/>
      <c r="R1074" s="5"/>
      <c r="S1074" s="4"/>
      <c r="T1074" s="1"/>
      <c r="U1074" s="1"/>
      <c r="V1074" s="1"/>
      <c r="W1074" s="1"/>
      <c r="X1074" s="1"/>
      <c r="Y1074" s="6"/>
      <c r="Z1074" s="4"/>
      <c r="AA1074" s="4"/>
      <c r="AB1074" s="4"/>
      <c r="AC1074" s="1"/>
      <c r="AD1074" s="1"/>
      <c r="AE1074" s="1"/>
      <c r="AF1074" s="1"/>
      <c r="AG1074" s="1"/>
      <c r="AH1074" s="4"/>
      <c r="AI1074" s="1"/>
      <c r="AJ1074" s="3"/>
      <c r="AK1074" s="4"/>
      <c r="AL1074" s="6"/>
      <c r="AM1074" s="7"/>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row>
    <row r="1075" spans="1:64" ht="16.5" customHeight="1">
      <c r="A1075" s="1"/>
      <c r="B1075" s="139"/>
      <c r="C1075" s="1"/>
      <c r="D1075" s="1"/>
      <c r="E1075" s="1"/>
      <c r="F1075" s="1"/>
      <c r="G1075" s="1"/>
      <c r="H1075" s="4"/>
      <c r="I1075" s="4"/>
      <c r="J1075" s="4"/>
      <c r="K1075" s="4"/>
      <c r="L1075" s="4"/>
      <c r="M1075" s="4"/>
      <c r="N1075" s="3"/>
      <c r="O1075" s="1"/>
      <c r="P1075" s="1"/>
      <c r="Q1075" s="4"/>
      <c r="R1075" s="5"/>
      <c r="S1075" s="4"/>
      <c r="T1075" s="1"/>
      <c r="U1075" s="1"/>
      <c r="V1075" s="1"/>
      <c r="W1075" s="1"/>
      <c r="X1075" s="1"/>
      <c r="Y1075" s="6"/>
      <c r="Z1075" s="4"/>
      <c r="AA1075" s="4"/>
      <c r="AB1075" s="4"/>
      <c r="AC1075" s="1"/>
      <c r="AD1075" s="1"/>
      <c r="AE1075" s="1"/>
      <c r="AF1075" s="1"/>
      <c r="AG1075" s="1"/>
      <c r="AH1075" s="4"/>
      <c r="AI1075" s="1"/>
      <c r="AJ1075" s="3"/>
      <c r="AK1075" s="4"/>
      <c r="AL1075" s="6"/>
      <c r="AM1075" s="7"/>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row>
    <row r="1076" spans="1:64" ht="16.5" customHeight="1">
      <c r="A1076" s="1"/>
      <c r="B1076" s="139"/>
      <c r="C1076" s="1"/>
      <c r="D1076" s="1"/>
      <c r="E1076" s="1"/>
      <c r="F1076" s="1"/>
      <c r="G1076" s="1"/>
      <c r="H1076" s="4"/>
      <c r="I1076" s="4"/>
      <c r="J1076" s="4"/>
      <c r="K1076" s="4"/>
      <c r="L1076" s="4"/>
      <c r="M1076" s="4"/>
      <c r="N1076" s="3"/>
      <c r="O1076" s="1"/>
      <c r="P1076" s="1"/>
      <c r="Q1076" s="4"/>
      <c r="R1076" s="5"/>
      <c r="S1076" s="4"/>
      <c r="T1076" s="1"/>
      <c r="U1076" s="1"/>
      <c r="V1076" s="1"/>
      <c r="W1076" s="1"/>
      <c r="X1076" s="1"/>
      <c r="Y1076" s="6"/>
      <c r="Z1076" s="4"/>
      <c r="AA1076" s="4"/>
      <c r="AB1076" s="4"/>
      <c r="AC1076" s="1"/>
      <c r="AD1076" s="1"/>
      <c r="AE1076" s="1"/>
      <c r="AF1076" s="1"/>
      <c r="AG1076" s="1"/>
      <c r="AH1076" s="4"/>
      <c r="AI1076" s="1"/>
      <c r="AJ1076" s="3"/>
      <c r="AK1076" s="4"/>
      <c r="AL1076" s="6"/>
      <c r="AM1076" s="7"/>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row>
    <row r="1077" spans="1:64" ht="16.5" customHeight="1">
      <c r="A1077" s="1"/>
      <c r="B1077" s="139"/>
      <c r="C1077" s="1"/>
      <c r="D1077" s="1"/>
      <c r="E1077" s="1"/>
      <c r="F1077" s="1"/>
      <c r="G1077" s="1"/>
      <c r="H1077" s="4"/>
      <c r="I1077" s="4"/>
      <c r="J1077" s="4"/>
      <c r="K1077" s="4"/>
      <c r="L1077" s="4"/>
      <c r="M1077" s="4"/>
      <c r="N1077" s="3"/>
      <c r="O1077" s="1"/>
      <c r="P1077" s="1"/>
      <c r="Q1077" s="4"/>
      <c r="R1077" s="5"/>
      <c r="S1077" s="4"/>
      <c r="T1077" s="1"/>
      <c r="U1077" s="1"/>
      <c r="V1077" s="1"/>
      <c r="W1077" s="1"/>
      <c r="X1077" s="1"/>
      <c r="Y1077" s="6"/>
      <c r="Z1077" s="4"/>
      <c r="AA1077" s="4"/>
      <c r="AB1077" s="4"/>
      <c r="AC1077" s="1"/>
      <c r="AD1077" s="1"/>
      <c r="AE1077" s="1"/>
      <c r="AF1077" s="1"/>
      <c r="AG1077" s="1"/>
      <c r="AH1077" s="4"/>
      <c r="AI1077" s="1"/>
      <c r="AJ1077" s="3"/>
      <c r="AK1077" s="4"/>
      <c r="AL1077" s="6"/>
      <c r="AM1077" s="7"/>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row>
    <row r="1078" spans="1:64" ht="16.5" customHeight="1">
      <c r="A1078" s="1"/>
      <c r="B1078" s="139"/>
      <c r="C1078" s="1"/>
      <c r="D1078" s="1"/>
      <c r="E1078" s="1"/>
      <c r="F1078" s="1"/>
      <c r="G1078" s="1"/>
      <c r="H1078" s="4"/>
      <c r="I1078" s="4"/>
      <c r="J1078" s="4"/>
      <c r="K1078" s="4"/>
      <c r="L1078" s="4"/>
      <c r="M1078" s="4"/>
      <c r="N1078" s="3"/>
      <c r="O1078" s="1"/>
      <c r="P1078" s="1"/>
      <c r="Q1078" s="4"/>
      <c r="R1078" s="5"/>
      <c r="S1078" s="4"/>
      <c r="T1078" s="1"/>
      <c r="U1078" s="1"/>
      <c r="V1078" s="1"/>
      <c r="W1078" s="1"/>
      <c r="X1078" s="1"/>
      <c r="Y1078" s="6"/>
      <c r="Z1078" s="4"/>
      <c r="AA1078" s="4"/>
      <c r="AB1078" s="4"/>
      <c r="AC1078" s="1"/>
      <c r="AD1078" s="1"/>
      <c r="AE1078" s="1"/>
      <c r="AF1078" s="1"/>
      <c r="AG1078" s="1"/>
      <c r="AH1078" s="4"/>
      <c r="AI1078" s="1"/>
      <c r="AJ1078" s="3"/>
      <c r="AK1078" s="4"/>
      <c r="AL1078" s="6"/>
      <c r="AM1078" s="7"/>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row>
    <row r="1079" spans="1:64" ht="16.5" customHeight="1">
      <c r="A1079" s="1"/>
      <c r="B1079" s="139"/>
      <c r="C1079" s="1"/>
      <c r="D1079" s="1"/>
      <c r="E1079" s="1"/>
      <c r="F1079" s="1"/>
      <c r="G1079" s="1"/>
      <c r="H1079" s="4"/>
      <c r="I1079" s="4"/>
      <c r="J1079" s="4"/>
      <c r="K1079" s="4"/>
      <c r="L1079" s="4"/>
      <c r="M1079" s="4"/>
      <c r="N1079" s="3"/>
      <c r="O1079" s="1"/>
      <c r="P1079" s="1"/>
      <c r="Q1079" s="4"/>
      <c r="R1079" s="5"/>
      <c r="S1079" s="4"/>
      <c r="T1079" s="1"/>
      <c r="U1079" s="1"/>
      <c r="V1079" s="1"/>
      <c r="W1079" s="1"/>
      <c r="X1079" s="1"/>
      <c r="Y1079" s="6"/>
      <c r="Z1079" s="4"/>
      <c r="AA1079" s="4"/>
      <c r="AB1079" s="4"/>
      <c r="AC1079" s="1"/>
      <c r="AD1079" s="1"/>
      <c r="AE1079" s="1"/>
      <c r="AF1079" s="1"/>
      <c r="AG1079" s="1"/>
      <c r="AH1079" s="4"/>
      <c r="AI1079" s="1"/>
      <c r="AJ1079" s="3"/>
      <c r="AK1079" s="4"/>
      <c r="AL1079" s="6"/>
      <c r="AM1079" s="7"/>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row>
    <row r="1080" spans="1:64" ht="16.5" customHeight="1">
      <c r="A1080" s="1"/>
      <c r="B1080" s="139"/>
      <c r="C1080" s="1"/>
      <c r="D1080" s="1"/>
      <c r="E1080" s="1"/>
      <c r="F1080" s="1"/>
      <c r="G1080" s="1"/>
      <c r="H1080" s="4"/>
      <c r="I1080" s="4"/>
      <c r="J1080" s="4"/>
      <c r="K1080" s="4"/>
      <c r="L1080" s="4"/>
      <c r="M1080" s="4"/>
      <c r="N1080" s="3"/>
      <c r="O1080" s="1"/>
      <c r="P1080" s="1"/>
      <c r="Q1080" s="4"/>
      <c r="R1080" s="5"/>
      <c r="S1080" s="4"/>
      <c r="T1080" s="1"/>
      <c r="U1080" s="1"/>
      <c r="V1080" s="1"/>
      <c r="W1080" s="1"/>
      <c r="X1080" s="1"/>
      <c r="Y1080" s="6"/>
      <c r="Z1080" s="4"/>
      <c r="AA1080" s="4"/>
      <c r="AB1080" s="4"/>
      <c r="AC1080" s="1"/>
      <c r="AD1080" s="1"/>
      <c r="AE1080" s="1"/>
      <c r="AF1080" s="1"/>
      <c r="AG1080" s="1"/>
      <c r="AH1080" s="4"/>
      <c r="AI1080" s="1"/>
      <c r="AJ1080" s="3"/>
      <c r="AK1080" s="4"/>
      <c r="AL1080" s="6"/>
      <c r="AM1080" s="7"/>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row>
    <row r="1081" spans="1:64" ht="16.5" customHeight="1">
      <c r="A1081" s="1"/>
      <c r="B1081" s="139"/>
      <c r="C1081" s="1"/>
      <c r="D1081" s="1"/>
      <c r="E1081" s="1"/>
      <c r="F1081" s="1"/>
      <c r="G1081" s="1"/>
      <c r="H1081" s="4"/>
      <c r="I1081" s="4"/>
      <c r="J1081" s="4"/>
      <c r="K1081" s="4"/>
      <c r="L1081" s="4"/>
      <c r="M1081" s="4"/>
      <c r="N1081" s="3"/>
      <c r="O1081" s="1"/>
      <c r="P1081" s="1"/>
      <c r="Q1081" s="4"/>
      <c r="R1081" s="5"/>
      <c r="S1081" s="4"/>
      <c r="T1081" s="1"/>
      <c r="U1081" s="1"/>
      <c r="V1081" s="1"/>
      <c r="W1081" s="1"/>
      <c r="X1081" s="1"/>
      <c r="Y1081" s="6"/>
      <c r="Z1081" s="4"/>
      <c r="AA1081" s="4"/>
      <c r="AB1081" s="4"/>
      <c r="AC1081" s="1"/>
      <c r="AD1081" s="1"/>
      <c r="AE1081" s="1"/>
      <c r="AF1081" s="1"/>
      <c r="AG1081" s="1"/>
      <c r="AH1081" s="4"/>
      <c r="AI1081" s="1"/>
      <c r="AJ1081" s="3"/>
      <c r="AK1081" s="4"/>
      <c r="AL1081" s="6"/>
      <c r="AM1081" s="7"/>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row>
    <row r="1082" spans="1:64" ht="16.5" customHeight="1">
      <c r="A1082" s="1"/>
      <c r="B1082" s="139"/>
      <c r="C1082" s="1"/>
      <c r="D1082" s="1"/>
      <c r="E1082" s="1"/>
      <c r="F1082" s="1"/>
      <c r="G1082" s="1"/>
      <c r="H1082" s="4"/>
      <c r="I1082" s="4"/>
      <c r="J1082" s="4"/>
      <c r="K1082" s="4"/>
      <c r="L1082" s="4"/>
      <c r="M1082" s="4"/>
      <c r="N1082" s="3"/>
      <c r="O1082" s="1"/>
      <c r="P1082" s="1"/>
      <c r="Q1082" s="4"/>
      <c r="R1082" s="5"/>
      <c r="S1082" s="4"/>
      <c r="T1082" s="1"/>
      <c r="U1082" s="1"/>
      <c r="V1082" s="1"/>
      <c r="W1082" s="1"/>
      <c r="X1082" s="1"/>
      <c r="Y1082" s="6"/>
      <c r="Z1082" s="4"/>
      <c r="AA1082" s="4"/>
      <c r="AB1082" s="4"/>
      <c r="AC1082" s="1"/>
      <c r="AD1082" s="1"/>
      <c r="AE1082" s="1"/>
      <c r="AF1082" s="1"/>
      <c r="AG1082" s="1"/>
      <c r="AH1082" s="4"/>
      <c r="AI1082" s="1"/>
      <c r="AJ1082" s="3"/>
      <c r="AK1082" s="4"/>
      <c r="AL1082" s="6"/>
      <c r="AM1082" s="7"/>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row>
    <row r="1083" spans="1:64" ht="16.5" customHeight="1">
      <c r="A1083" s="1"/>
      <c r="B1083" s="139"/>
      <c r="C1083" s="1"/>
      <c r="D1083" s="1"/>
      <c r="E1083" s="1"/>
      <c r="F1083" s="1"/>
      <c r="G1083" s="1"/>
      <c r="H1083" s="4"/>
      <c r="I1083" s="4"/>
      <c r="J1083" s="4"/>
      <c r="K1083" s="4"/>
      <c r="L1083" s="4"/>
      <c r="M1083" s="4"/>
      <c r="N1083" s="3"/>
      <c r="O1083" s="1"/>
      <c r="P1083" s="1"/>
      <c r="Q1083" s="4"/>
      <c r="R1083" s="5"/>
      <c r="S1083" s="4"/>
      <c r="T1083" s="1"/>
      <c r="U1083" s="1"/>
      <c r="V1083" s="1"/>
      <c r="W1083" s="1"/>
      <c r="X1083" s="1"/>
      <c r="Y1083" s="6"/>
      <c r="Z1083" s="4"/>
      <c r="AA1083" s="4"/>
      <c r="AB1083" s="4"/>
      <c r="AC1083" s="1"/>
      <c r="AD1083" s="1"/>
      <c r="AE1083" s="1"/>
      <c r="AF1083" s="1"/>
      <c r="AG1083" s="1"/>
      <c r="AH1083" s="4"/>
      <c r="AI1083" s="1"/>
      <c r="AJ1083" s="3"/>
      <c r="AK1083" s="4"/>
      <c r="AL1083" s="6"/>
      <c r="AM1083" s="7"/>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row>
    <row r="1084" spans="1:64" ht="16.5" customHeight="1">
      <c r="A1084" s="1"/>
      <c r="B1084" s="139"/>
      <c r="C1084" s="1"/>
      <c r="D1084" s="1"/>
      <c r="E1084" s="1"/>
      <c r="F1084" s="1"/>
      <c r="G1084" s="1"/>
      <c r="H1084" s="4"/>
      <c r="I1084" s="4"/>
      <c r="J1084" s="4"/>
      <c r="K1084" s="4"/>
      <c r="L1084" s="4"/>
      <c r="M1084" s="4"/>
      <c r="N1084" s="3"/>
      <c r="O1084" s="1"/>
      <c r="P1084" s="1"/>
      <c r="Q1084" s="4"/>
      <c r="R1084" s="5"/>
      <c r="S1084" s="4"/>
      <c r="T1084" s="1"/>
      <c r="U1084" s="1"/>
      <c r="V1084" s="1"/>
      <c r="W1084" s="1"/>
      <c r="X1084" s="1"/>
      <c r="Y1084" s="6"/>
      <c r="Z1084" s="4"/>
      <c r="AA1084" s="4"/>
      <c r="AB1084" s="4"/>
      <c r="AC1084" s="1"/>
      <c r="AD1084" s="1"/>
      <c r="AE1084" s="1"/>
      <c r="AF1084" s="1"/>
      <c r="AG1084" s="1"/>
      <c r="AH1084" s="4"/>
      <c r="AI1084" s="1"/>
      <c r="AJ1084" s="3"/>
      <c r="AK1084" s="4"/>
      <c r="AL1084" s="6"/>
      <c r="AM1084" s="7"/>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row>
    <row r="1085" spans="1:64" ht="16.5" customHeight="1">
      <c r="A1085" s="1"/>
      <c r="B1085" s="139"/>
      <c r="C1085" s="1"/>
      <c r="D1085" s="1"/>
      <c r="E1085" s="1"/>
      <c r="F1085" s="1"/>
      <c r="G1085" s="1"/>
      <c r="H1085" s="4"/>
      <c r="I1085" s="4"/>
      <c r="J1085" s="4"/>
      <c r="K1085" s="4"/>
      <c r="L1085" s="4"/>
      <c r="M1085" s="4"/>
      <c r="N1085" s="3"/>
      <c r="O1085" s="1"/>
      <c r="P1085" s="1"/>
      <c r="Q1085" s="4"/>
      <c r="R1085" s="5"/>
      <c r="S1085" s="4"/>
      <c r="T1085" s="1"/>
      <c r="U1085" s="1"/>
      <c r="V1085" s="1"/>
      <c r="W1085" s="1"/>
      <c r="X1085" s="1"/>
      <c r="Y1085" s="6"/>
      <c r="Z1085" s="4"/>
      <c r="AA1085" s="4"/>
      <c r="AB1085" s="4"/>
      <c r="AC1085" s="1"/>
      <c r="AD1085" s="1"/>
      <c r="AE1085" s="1"/>
      <c r="AF1085" s="1"/>
      <c r="AG1085" s="1"/>
      <c r="AH1085" s="4"/>
      <c r="AI1085" s="1"/>
      <c r="AJ1085" s="3"/>
      <c r="AK1085" s="4"/>
      <c r="AL1085" s="6"/>
      <c r="AM1085" s="7"/>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row>
    <row r="1086" spans="1:64" ht="16.5" customHeight="1">
      <c r="A1086" s="1"/>
      <c r="B1086" s="139"/>
      <c r="C1086" s="1"/>
      <c r="D1086" s="1"/>
      <c r="E1086" s="1"/>
      <c r="F1086" s="1"/>
      <c r="G1086" s="1"/>
      <c r="H1086" s="4"/>
      <c r="I1086" s="4"/>
      <c r="J1086" s="4"/>
      <c r="K1086" s="4"/>
      <c r="L1086" s="4"/>
      <c r="M1086" s="4"/>
      <c r="N1086" s="3"/>
      <c r="O1086" s="1"/>
      <c r="P1086" s="1"/>
      <c r="Q1086" s="4"/>
      <c r="R1086" s="5"/>
      <c r="S1086" s="4"/>
      <c r="T1086" s="1"/>
      <c r="U1086" s="1"/>
      <c r="V1086" s="1"/>
      <c r="W1086" s="1"/>
      <c r="X1086" s="1"/>
      <c r="Y1086" s="6"/>
      <c r="Z1086" s="4"/>
      <c r="AA1086" s="4"/>
      <c r="AB1086" s="4"/>
      <c r="AC1086" s="1"/>
      <c r="AD1086" s="1"/>
      <c r="AE1086" s="1"/>
      <c r="AF1086" s="1"/>
      <c r="AG1086" s="1"/>
      <c r="AH1086" s="4"/>
      <c r="AI1086" s="1"/>
      <c r="AJ1086" s="3"/>
      <c r="AK1086" s="4"/>
      <c r="AL1086" s="6"/>
      <c r="AM1086" s="7"/>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row>
    <row r="1087" spans="1:64" ht="16.5" customHeight="1">
      <c r="A1087" s="1"/>
      <c r="B1087" s="139"/>
      <c r="C1087" s="1"/>
      <c r="D1087" s="1"/>
      <c r="E1087" s="1"/>
      <c r="F1087" s="1"/>
      <c r="G1087" s="1"/>
      <c r="H1087" s="4"/>
      <c r="I1087" s="4"/>
      <c r="J1087" s="4"/>
      <c r="K1087" s="4"/>
      <c r="L1087" s="4"/>
      <c r="M1087" s="4"/>
      <c r="N1087" s="3"/>
      <c r="O1087" s="1"/>
      <c r="P1087" s="1"/>
      <c r="Q1087" s="4"/>
      <c r="R1087" s="5"/>
      <c r="S1087" s="4"/>
      <c r="T1087" s="1"/>
      <c r="U1087" s="1"/>
      <c r="V1087" s="1"/>
      <c r="W1087" s="1"/>
      <c r="X1087" s="1"/>
      <c r="Y1087" s="6"/>
      <c r="Z1087" s="4"/>
      <c r="AA1087" s="4"/>
      <c r="AB1087" s="4"/>
      <c r="AC1087" s="1"/>
      <c r="AD1087" s="1"/>
      <c r="AE1087" s="1"/>
      <c r="AF1087" s="1"/>
      <c r="AG1087" s="1"/>
      <c r="AH1087" s="4"/>
      <c r="AI1087" s="1"/>
      <c r="AJ1087" s="3"/>
      <c r="AK1087" s="4"/>
      <c r="AL1087" s="6"/>
      <c r="AM1087" s="7"/>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row>
    <row r="1088" spans="1:64" ht="16.5" customHeight="1">
      <c r="A1088" s="1"/>
      <c r="B1088" s="139"/>
      <c r="C1088" s="1"/>
      <c r="D1088" s="1"/>
      <c r="E1088" s="1"/>
      <c r="F1088" s="1"/>
      <c r="G1088" s="1"/>
      <c r="H1088" s="4"/>
      <c r="I1088" s="4"/>
      <c r="J1088" s="4"/>
      <c r="K1088" s="4"/>
      <c r="L1088" s="4"/>
      <c r="M1088" s="4"/>
      <c r="N1088" s="3"/>
      <c r="O1088" s="1"/>
      <c r="P1088" s="1"/>
      <c r="Q1088" s="4"/>
      <c r="R1088" s="5"/>
      <c r="S1088" s="4"/>
      <c r="T1088" s="1"/>
      <c r="U1088" s="1"/>
      <c r="V1088" s="1"/>
      <c r="W1088" s="1"/>
      <c r="X1088" s="1"/>
      <c r="Y1088" s="6"/>
      <c r="Z1088" s="4"/>
      <c r="AA1088" s="4"/>
      <c r="AB1088" s="4"/>
      <c r="AC1088" s="1"/>
      <c r="AD1088" s="1"/>
      <c r="AE1088" s="1"/>
      <c r="AF1088" s="1"/>
      <c r="AG1088" s="1"/>
      <c r="AH1088" s="4"/>
      <c r="AI1088" s="1"/>
      <c r="AJ1088" s="3"/>
      <c r="AK1088" s="4"/>
      <c r="AL1088" s="6"/>
      <c r="AM1088" s="7"/>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row>
    <row r="1089" spans="1:64" ht="16.5" customHeight="1">
      <c r="A1089" s="1"/>
      <c r="B1089" s="139"/>
      <c r="C1089" s="1"/>
      <c r="D1089" s="1"/>
      <c r="E1089" s="1"/>
      <c r="F1089" s="1"/>
      <c r="G1089" s="1"/>
      <c r="H1089" s="4"/>
      <c r="I1089" s="4"/>
      <c r="J1089" s="4"/>
      <c r="K1089" s="4"/>
      <c r="L1089" s="4"/>
      <c r="M1089" s="4"/>
      <c r="N1089" s="3"/>
      <c r="O1089" s="1"/>
      <c r="P1089" s="1"/>
      <c r="Q1089" s="4"/>
      <c r="R1089" s="5"/>
      <c r="S1089" s="4"/>
      <c r="T1089" s="1"/>
      <c r="U1089" s="1"/>
      <c r="V1089" s="1"/>
      <c r="W1089" s="1"/>
      <c r="X1089" s="1"/>
      <c r="Y1089" s="6"/>
      <c r="Z1089" s="4"/>
      <c r="AA1089" s="4"/>
      <c r="AB1089" s="4"/>
      <c r="AC1089" s="1"/>
      <c r="AD1089" s="1"/>
      <c r="AE1089" s="1"/>
      <c r="AF1089" s="1"/>
      <c r="AG1089" s="1"/>
      <c r="AH1089" s="4"/>
      <c r="AI1089" s="1"/>
      <c r="AJ1089" s="3"/>
      <c r="AK1089" s="4"/>
      <c r="AL1089" s="6"/>
      <c r="AM1089" s="7"/>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row>
    <row r="1090" spans="1:64" ht="16.5" customHeight="1">
      <c r="A1090" s="1"/>
      <c r="B1090" s="139"/>
      <c r="C1090" s="1"/>
      <c r="D1090" s="1"/>
      <c r="E1090" s="1"/>
      <c r="F1090" s="1"/>
      <c r="G1090" s="1"/>
      <c r="H1090" s="4"/>
      <c r="I1090" s="4"/>
      <c r="J1090" s="4"/>
      <c r="K1090" s="4"/>
      <c r="L1090" s="4"/>
      <c r="M1090" s="4"/>
      <c r="N1090" s="3"/>
      <c r="O1090" s="1"/>
      <c r="P1090" s="1"/>
      <c r="Q1090" s="4"/>
      <c r="R1090" s="5"/>
      <c r="S1090" s="4"/>
      <c r="T1090" s="1"/>
      <c r="U1090" s="1"/>
      <c r="V1090" s="1"/>
      <c r="W1090" s="1"/>
      <c r="X1090" s="1"/>
      <c r="Y1090" s="6"/>
      <c r="Z1090" s="4"/>
      <c r="AA1090" s="4"/>
      <c r="AB1090" s="4"/>
      <c r="AC1090" s="1"/>
      <c r="AD1090" s="1"/>
      <c r="AE1090" s="1"/>
      <c r="AF1090" s="1"/>
      <c r="AG1090" s="1"/>
      <c r="AH1090" s="4"/>
      <c r="AI1090" s="1"/>
      <c r="AJ1090" s="3"/>
      <c r="AK1090" s="4"/>
      <c r="AL1090" s="6"/>
      <c r="AM1090" s="7"/>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row>
    <row r="1091" spans="1:64" ht="16.5" customHeight="1">
      <c r="A1091" s="1"/>
      <c r="B1091" s="139"/>
      <c r="C1091" s="1"/>
      <c r="D1091" s="1"/>
      <c r="E1091" s="1"/>
      <c r="F1091" s="1"/>
      <c r="G1091" s="1"/>
      <c r="H1091" s="4"/>
      <c r="I1091" s="4"/>
      <c r="J1091" s="4"/>
      <c r="K1091" s="4"/>
      <c r="L1091" s="4"/>
      <c r="M1091" s="4"/>
      <c r="N1091" s="3"/>
      <c r="O1091" s="1"/>
      <c r="P1091" s="1"/>
      <c r="Q1091" s="4"/>
      <c r="R1091" s="5"/>
      <c r="S1091" s="4"/>
      <c r="T1091" s="1"/>
      <c r="U1091" s="1"/>
      <c r="V1091" s="1"/>
      <c r="W1091" s="1"/>
      <c r="X1091" s="1"/>
      <c r="Y1091" s="6"/>
      <c r="Z1091" s="4"/>
      <c r="AA1091" s="4"/>
      <c r="AB1091" s="4"/>
      <c r="AC1091" s="1"/>
      <c r="AD1091" s="1"/>
      <c r="AE1091" s="1"/>
      <c r="AF1091" s="1"/>
      <c r="AG1091" s="1"/>
      <c r="AH1091" s="4"/>
      <c r="AI1091" s="1"/>
      <c r="AJ1091" s="3"/>
      <c r="AK1091" s="4"/>
      <c r="AL1091" s="6"/>
      <c r="AM1091" s="7"/>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row>
    <row r="1092" spans="1:64" ht="16.5" customHeight="1">
      <c r="A1092" s="1"/>
      <c r="B1092" s="139"/>
      <c r="C1092" s="1"/>
      <c r="D1092" s="1"/>
      <c r="E1092" s="1"/>
      <c r="F1092" s="1"/>
      <c r="G1092" s="1"/>
      <c r="H1092" s="4"/>
      <c r="I1092" s="4"/>
      <c r="J1092" s="4"/>
      <c r="K1092" s="4"/>
      <c r="L1092" s="4"/>
      <c r="M1092" s="4"/>
      <c r="N1092" s="3"/>
      <c r="O1092" s="1"/>
      <c r="P1092" s="1"/>
      <c r="Q1092" s="4"/>
      <c r="R1092" s="5"/>
      <c r="S1092" s="4"/>
      <c r="T1092" s="1"/>
      <c r="U1092" s="1"/>
      <c r="V1092" s="1"/>
      <c r="W1092" s="1"/>
      <c r="X1092" s="1"/>
      <c r="Y1092" s="6"/>
      <c r="Z1092" s="4"/>
      <c r="AA1092" s="4"/>
      <c r="AB1092" s="4"/>
      <c r="AC1092" s="1"/>
      <c r="AD1092" s="1"/>
      <c r="AE1092" s="1"/>
      <c r="AF1092" s="1"/>
      <c r="AG1092" s="1"/>
      <c r="AH1092" s="4"/>
      <c r="AI1092" s="1"/>
      <c r="AJ1092" s="3"/>
      <c r="AK1092" s="4"/>
      <c r="AL1092" s="6"/>
      <c r="AM1092" s="7"/>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row>
    <row r="1093" spans="1:64" ht="16.5" customHeight="1">
      <c r="A1093" s="1"/>
      <c r="B1093" s="139"/>
      <c r="C1093" s="1"/>
      <c r="D1093" s="1"/>
      <c r="E1093" s="1"/>
      <c r="F1093" s="1"/>
      <c r="G1093" s="1"/>
      <c r="H1093" s="4"/>
      <c r="I1093" s="4"/>
      <c r="J1093" s="4"/>
      <c r="K1093" s="4"/>
      <c r="L1093" s="4"/>
      <c r="M1093" s="4"/>
      <c r="N1093" s="3"/>
      <c r="O1093" s="1"/>
      <c r="P1093" s="1"/>
      <c r="Q1093" s="4"/>
      <c r="R1093" s="5"/>
      <c r="S1093" s="4"/>
      <c r="T1093" s="1"/>
      <c r="U1093" s="1"/>
      <c r="V1093" s="1"/>
      <c r="W1093" s="1"/>
      <c r="X1093" s="1"/>
      <c r="Y1093" s="6"/>
      <c r="Z1093" s="4"/>
      <c r="AA1093" s="4"/>
      <c r="AB1093" s="4"/>
      <c r="AC1093" s="1"/>
      <c r="AD1093" s="1"/>
      <c r="AE1093" s="1"/>
      <c r="AF1093" s="1"/>
      <c r="AG1093" s="1"/>
      <c r="AH1093" s="4"/>
      <c r="AI1093" s="1"/>
      <c r="AJ1093" s="3"/>
      <c r="AK1093" s="4"/>
      <c r="AL1093" s="6"/>
      <c r="AM1093" s="7"/>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row>
    <row r="1094" spans="1:64" ht="16.5" customHeight="1">
      <c r="A1094" s="1"/>
      <c r="B1094" s="139"/>
      <c r="C1094" s="1"/>
      <c r="D1094" s="1"/>
      <c r="E1094" s="1"/>
      <c r="F1094" s="1"/>
      <c r="G1094" s="1"/>
      <c r="H1094" s="4"/>
      <c r="I1094" s="4"/>
      <c r="J1094" s="4"/>
      <c r="K1094" s="4"/>
      <c r="L1094" s="4"/>
      <c r="M1094" s="4"/>
      <c r="N1094" s="3"/>
      <c r="O1094" s="1"/>
      <c r="P1094" s="1"/>
      <c r="Q1094" s="4"/>
      <c r="R1094" s="5"/>
      <c r="S1094" s="4"/>
      <c r="T1094" s="1"/>
      <c r="U1094" s="1"/>
      <c r="V1094" s="1"/>
      <c r="W1094" s="1"/>
      <c r="X1094" s="1"/>
      <c r="Y1094" s="6"/>
      <c r="Z1094" s="4"/>
      <c r="AA1094" s="4"/>
      <c r="AB1094" s="4"/>
      <c r="AC1094" s="1"/>
      <c r="AD1094" s="1"/>
      <c r="AE1094" s="1"/>
      <c r="AF1094" s="1"/>
      <c r="AG1094" s="1"/>
      <c r="AH1094" s="4"/>
      <c r="AI1094" s="1"/>
      <c r="AJ1094" s="3"/>
      <c r="AK1094" s="4"/>
      <c r="AL1094" s="6"/>
      <c r="AM1094" s="7"/>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row>
    <row r="1095" spans="1:64" ht="16.5" customHeight="1">
      <c r="A1095" s="1"/>
      <c r="B1095" s="139"/>
      <c r="C1095" s="1"/>
      <c r="D1095" s="1"/>
      <c r="E1095" s="1"/>
      <c r="F1095" s="1"/>
      <c r="G1095" s="1"/>
      <c r="H1095" s="4"/>
      <c r="I1095" s="4"/>
      <c r="J1095" s="4"/>
      <c r="K1095" s="4"/>
      <c r="L1095" s="4"/>
      <c r="M1095" s="4"/>
      <c r="N1095" s="3"/>
      <c r="O1095" s="1"/>
      <c r="P1095" s="1"/>
      <c r="Q1095" s="4"/>
      <c r="R1095" s="5"/>
      <c r="S1095" s="4"/>
      <c r="T1095" s="1"/>
      <c r="U1095" s="1"/>
      <c r="V1095" s="1"/>
      <c r="W1095" s="1"/>
      <c r="X1095" s="1"/>
      <c r="Y1095" s="6"/>
      <c r="Z1095" s="4"/>
      <c r="AA1095" s="4"/>
      <c r="AB1095" s="4"/>
      <c r="AC1095" s="1"/>
      <c r="AD1095" s="1"/>
      <c r="AE1095" s="1"/>
      <c r="AF1095" s="1"/>
      <c r="AG1095" s="1"/>
      <c r="AH1095" s="4"/>
      <c r="AI1095" s="1"/>
      <c r="AJ1095" s="3"/>
      <c r="AK1095" s="4"/>
      <c r="AL1095" s="6"/>
      <c r="AM1095" s="7"/>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row>
    <row r="1096" spans="1:64" ht="16.5" customHeight="1">
      <c r="A1096" s="1"/>
      <c r="B1096" s="139"/>
      <c r="C1096" s="1"/>
      <c r="D1096" s="1"/>
      <c r="E1096" s="1"/>
      <c r="F1096" s="1"/>
      <c r="G1096" s="1"/>
      <c r="H1096" s="4"/>
      <c r="I1096" s="4"/>
      <c r="J1096" s="4"/>
      <c r="K1096" s="4"/>
      <c r="L1096" s="4"/>
      <c r="M1096" s="4"/>
      <c r="N1096" s="3"/>
      <c r="O1096" s="1"/>
      <c r="P1096" s="1"/>
      <c r="Q1096" s="4"/>
      <c r="R1096" s="5"/>
      <c r="S1096" s="4"/>
      <c r="T1096" s="1"/>
      <c r="U1096" s="1"/>
      <c r="V1096" s="1"/>
      <c r="W1096" s="1"/>
      <c r="X1096" s="1"/>
      <c r="Y1096" s="6"/>
      <c r="Z1096" s="4"/>
      <c r="AA1096" s="4"/>
      <c r="AB1096" s="4"/>
      <c r="AC1096" s="1"/>
      <c r="AD1096" s="1"/>
      <c r="AE1096" s="1"/>
      <c r="AF1096" s="1"/>
      <c r="AG1096" s="1"/>
      <c r="AH1096" s="4"/>
      <c r="AI1096" s="1"/>
      <c r="AJ1096" s="3"/>
      <c r="AK1096" s="4"/>
      <c r="AL1096" s="6"/>
      <c r="AM1096" s="7"/>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row>
    <row r="1097" spans="1:64" ht="16.5" customHeight="1">
      <c r="A1097" s="1"/>
      <c r="B1097" s="139"/>
      <c r="C1097" s="1"/>
      <c r="D1097" s="1"/>
      <c r="E1097" s="1"/>
      <c r="F1097" s="1"/>
      <c r="G1097" s="1"/>
      <c r="H1097" s="4"/>
      <c r="I1097" s="4"/>
      <c r="J1097" s="4"/>
      <c r="K1097" s="4"/>
      <c r="L1097" s="4"/>
      <c r="M1097" s="4"/>
      <c r="N1097" s="3"/>
      <c r="O1097" s="1"/>
      <c r="P1097" s="1"/>
      <c r="Q1097" s="4"/>
      <c r="R1097" s="5"/>
      <c r="S1097" s="4"/>
      <c r="T1097" s="1"/>
      <c r="U1097" s="1"/>
      <c r="V1097" s="1"/>
      <c r="W1097" s="1"/>
      <c r="X1097" s="1"/>
      <c r="Y1097" s="6"/>
      <c r="Z1097" s="4"/>
      <c r="AA1097" s="4"/>
      <c r="AB1097" s="4"/>
      <c r="AC1097" s="1"/>
      <c r="AD1097" s="1"/>
      <c r="AE1097" s="1"/>
      <c r="AF1097" s="1"/>
      <c r="AG1097" s="1"/>
      <c r="AH1097" s="4"/>
      <c r="AI1097" s="1"/>
      <c r="AJ1097" s="3"/>
      <c r="AK1097" s="4"/>
      <c r="AL1097" s="6"/>
      <c r="AM1097" s="7"/>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row>
    <row r="1098" spans="1:64" ht="16.5" customHeight="1">
      <c r="A1098" s="1"/>
      <c r="B1098" s="139"/>
      <c r="C1098" s="1"/>
      <c r="D1098" s="1"/>
      <c r="E1098" s="1"/>
      <c r="F1098" s="1"/>
      <c r="G1098" s="1"/>
      <c r="H1098" s="4"/>
      <c r="I1098" s="4"/>
      <c r="J1098" s="4"/>
      <c r="K1098" s="4"/>
      <c r="L1098" s="4"/>
      <c r="M1098" s="4"/>
      <c r="N1098" s="3"/>
      <c r="O1098" s="1"/>
      <c r="P1098" s="1"/>
      <c r="Q1098" s="4"/>
      <c r="R1098" s="5"/>
      <c r="S1098" s="4"/>
      <c r="T1098" s="1"/>
      <c r="U1098" s="1"/>
      <c r="V1098" s="1"/>
      <c r="W1098" s="1"/>
      <c r="X1098" s="1"/>
      <c r="Y1098" s="6"/>
      <c r="Z1098" s="4"/>
      <c r="AA1098" s="4"/>
      <c r="AB1098" s="4"/>
      <c r="AC1098" s="1"/>
      <c r="AD1098" s="1"/>
      <c r="AE1098" s="1"/>
      <c r="AF1098" s="1"/>
      <c r="AG1098" s="1"/>
      <c r="AH1098" s="4"/>
      <c r="AI1098" s="1"/>
      <c r="AJ1098" s="3"/>
      <c r="AK1098" s="4"/>
      <c r="AL1098" s="6"/>
      <c r="AM1098" s="7"/>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row>
    <row r="1099" spans="1:64" ht="16.5" customHeight="1">
      <c r="A1099" s="1"/>
      <c r="B1099" s="139"/>
      <c r="C1099" s="1"/>
      <c r="D1099" s="1"/>
      <c r="E1099" s="1"/>
      <c r="F1099" s="1"/>
      <c r="G1099" s="1"/>
      <c r="H1099" s="4"/>
      <c r="I1099" s="4"/>
      <c r="J1099" s="4"/>
      <c r="K1099" s="4"/>
      <c r="L1099" s="4"/>
      <c r="M1099" s="4"/>
      <c r="N1099" s="3"/>
      <c r="O1099" s="1"/>
      <c r="P1099" s="1"/>
      <c r="Q1099" s="4"/>
      <c r="R1099" s="5"/>
      <c r="S1099" s="4"/>
      <c r="T1099" s="1"/>
      <c r="U1099" s="1"/>
      <c r="V1099" s="1"/>
      <c r="W1099" s="1"/>
      <c r="X1099" s="1"/>
      <c r="Y1099" s="6"/>
      <c r="Z1099" s="4"/>
      <c r="AA1099" s="4"/>
      <c r="AB1099" s="4"/>
      <c r="AC1099" s="1"/>
      <c r="AD1099" s="1"/>
      <c r="AE1099" s="1"/>
      <c r="AF1099" s="1"/>
      <c r="AG1099" s="1"/>
      <c r="AH1099" s="4"/>
      <c r="AI1099" s="1"/>
      <c r="AJ1099" s="3"/>
      <c r="AK1099" s="4"/>
      <c r="AL1099" s="6"/>
      <c r="AM1099" s="7"/>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row>
    <row r="1100" spans="1:64" ht="16.5" customHeight="1">
      <c r="A1100" s="1"/>
      <c r="B1100" s="139"/>
      <c r="C1100" s="1"/>
      <c r="D1100" s="1"/>
      <c r="E1100" s="1"/>
      <c r="F1100" s="1"/>
      <c r="G1100" s="1"/>
      <c r="H1100" s="4"/>
      <c r="I1100" s="4"/>
      <c r="J1100" s="4"/>
      <c r="K1100" s="4"/>
      <c r="L1100" s="4"/>
      <c r="M1100" s="4"/>
      <c r="N1100" s="3"/>
      <c r="O1100" s="1"/>
      <c r="P1100" s="1"/>
      <c r="Q1100" s="4"/>
      <c r="R1100" s="5"/>
      <c r="S1100" s="4"/>
      <c r="T1100" s="1"/>
      <c r="U1100" s="1"/>
      <c r="V1100" s="1"/>
      <c r="W1100" s="1"/>
      <c r="X1100" s="1"/>
      <c r="Y1100" s="6"/>
      <c r="Z1100" s="4"/>
      <c r="AA1100" s="4"/>
      <c r="AB1100" s="4"/>
      <c r="AC1100" s="1"/>
      <c r="AD1100" s="1"/>
      <c r="AE1100" s="1"/>
      <c r="AF1100" s="1"/>
      <c r="AG1100" s="1"/>
      <c r="AH1100" s="4"/>
      <c r="AI1100" s="1"/>
      <c r="AJ1100" s="3"/>
      <c r="AK1100" s="4"/>
      <c r="AL1100" s="6"/>
      <c r="AM1100" s="7"/>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row>
    <row r="1101" spans="1:64" ht="16.5" customHeight="1">
      <c r="A1101" s="1"/>
      <c r="B1101" s="139"/>
      <c r="C1101" s="1"/>
      <c r="D1101" s="1"/>
      <c r="E1101" s="1"/>
      <c r="F1101" s="1"/>
      <c r="G1101" s="1"/>
      <c r="H1101" s="4"/>
      <c r="I1101" s="4"/>
      <c r="J1101" s="4"/>
      <c r="K1101" s="4"/>
      <c r="L1101" s="4"/>
      <c r="M1101" s="4"/>
      <c r="N1101" s="3"/>
      <c r="O1101" s="1"/>
      <c r="P1101" s="1"/>
      <c r="Q1101" s="4"/>
      <c r="R1101" s="5"/>
      <c r="S1101" s="4"/>
      <c r="T1101" s="1"/>
      <c r="U1101" s="1"/>
      <c r="V1101" s="1"/>
      <c r="W1101" s="1"/>
      <c r="X1101" s="1"/>
      <c r="Y1101" s="6"/>
      <c r="Z1101" s="4"/>
      <c r="AA1101" s="4"/>
      <c r="AB1101" s="4"/>
      <c r="AC1101" s="1"/>
      <c r="AD1101" s="1"/>
      <c r="AE1101" s="1"/>
      <c r="AF1101" s="1"/>
      <c r="AG1101" s="1"/>
      <c r="AH1101" s="4"/>
      <c r="AI1101" s="1"/>
      <c r="AJ1101" s="3"/>
      <c r="AK1101" s="4"/>
      <c r="AL1101" s="6"/>
      <c r="AM1101" s="7"/>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row>
    <row r="1102" spans="1:64" ht="16.5" customHeight="1">
      <c r="A1102" s="1"/>
      <c r="B1102" s="139"/>
      <c r="C1102" s="1"/>
      <c r="D1102" s="1"/>
      <c r="E1102" s="1"/>
      <c r="F1102" s="1"/>
      <c r="G1102" s="1"/>
      <c r="H1102" s="4"/>
      <c r="I1102" s="4"/>
      <c r="J1102" s="4"/>
      <c r="K1102" s="4"/>
      <c r="L1102" s="4"/>
      <c r="M1102" s="4"/>
      <c r="N1102" s="3"/>
      <c r="O1102" s="1"/>
      <c r="P1102" s="1"/>
      <c r="Q1102" s="4"/>
      <c r="R1102" s="5"/>
      <c r="S1102" s="4"/>
      <c r="T1102" s="1"/>
      <c r="U1102" s="1"/>
      <c r="V1102" s="1"/>
      <c r="W1102" s="1"/>
      <c r="X1102" s="1"/>
      <c r="Y1102" s="6"/>
      <c r="Z1102" s="4"/>
      <c r="AA1102" s="4"/>
      <c r="AB1102" s="4"/>
      <c r="AC1102" s="1"/>
      <c r="AD1102" s="1"/>
      <c r="AE1102" s="1"/>
      <c r="AF1102" s="1"/>
      <c r="AG1102" s="1"/>
      <c r="AH1102" s="4"/>
      <c r="AI1102" s="1"/>
      <c r="AJ1102" s="3"/>
      <c r="AK1102" s="4"/>
      <c r="AL1102" s="6"/>
      <c r="AM1102" s="7"/>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row>
    <row r="1103" spans="1:64" ht="16.5" customHeight="1">
      <c r="A1103" s="1"/>
      <c r="B1103" s="139"/>
      <c r="C1103" s="1"/>
      <c r="D1103" s="1"/>
      <c r="E1103" s="1"/>
      <c r="F1103" s="1"/>
      <c r="G1103" s="1"/>
      <c r="H1103" s="4"/>
      <c r="I1103" s="4"/>
      <c r="J1103" s="4"/>
      <c r="K1103" s="4"/>
      <c r="L1103" s="4"/>
      <c r="M1103" s="4"/>
      <c r="N1103" s="3"/>
      <c r="O1103" s="1"/>
      <c r="P1103" s="1"/>
      <c r="Q1103" s="4"/>
      <c r="R1103" s="5"/>
      <c r="S1103" s="4"/>
      <c r="T1103" s="1"/>
      <c r="U1103" s="1"/>
      <c r="V1103" s="1"/>
      <c r="W1103" s="1"/>
      <c r="X1103" s="1"/>
      <c r="Y1103" s="6"/>
      <c r="Z1103" s="4"/>
      <c r="AA1103" s="4"/>
      <c r="AB1103" s="4"/>
      <c r="AC1103" s="1"/>
      <c r="AD1103" s="1"/>
      <c r="AE1103" s="1"/>
      <c r="AF1103" s="1"/>
      <c r="AG1103" s="1"/>
      <c r="AH1103" s="4"/>
      <c r="AI1103" s="1"/>
      <c r="AJ1103" s="3"/>
      <c r="AK1103" s="4"/>
      <c r="AL1103" s="6"/>
      <c r="AM1103" s="7"/>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row>
    <row r="1104" spans="1:64" ht="16.5" customHeight="1">
      <c r="A1104" s="1"/>
      <c r="B1104" s="139"/>
      <c r="C1104" s="1"/>
      <c r="D1104" s="1"/>
      <c r="E1104" s="1"/>
      <c r="F1104" s="1"/>
      <c r="G1104" s="1"/>
      <c r="H1104" s="4"/>
      <c r="I1104" s="4"/>
      <c r="J1104" s="4"/>
      <c r="K1104" s="4"/>
      <c r="L1104" s="4"/>
      <c r="M1104" s="4"/>
      <c r="N1104" s="3"/>
      <c r="O1104" s="1"/>
      <c r="P1104" s="1"/>
      <c r="Q1104" s="4"/>
      <c r="R1104" s="5"/>
      <c r="S1104" s="4"/>
      <c r="T1104" s="1"/>
      <c r="U1104" s="1"/>
      <c r="V1104" s="1"/>
      <c r="W1104" s="1"/>
      <c r="X1104" s="1"/>
      <c r="Y1104" s="6"/>
      <c r="Z1104" s="4"/>
      <c r="AA1104" s="4"/>
      <c r="AB1104" s="4"/>
      <c r="AC1104" s="1"/>
      <c r="AD1104" s="1"/>
      <c r="AE1104" s="1"/>
      <c r="AF1104" s="1"/>
      <c r="AG1104" s="1"/>
      <c r="AH1104" s="4"/>
      <c r="AI1104" s="1"/>
      <c r="AJ1104" s="3"/>
      <c r="AK1104" s="4"/>
      <c r="AL1104" s="6"/>
      <c r="AM1104" s="7"/>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row>
    <row r="1105" spans="1:64" ht="16.5" customHeight="1">
      <c r="A1105" s="1"/>
      <c r="B1105" s="139"/>
      <c r="C1105" s="1"/>
      <c r="D1105" s="1"/>
      <c r="E1105" s="1"/>
      <c r="F1105" s="1"/>
      <c r="G1105" s="1"/>
      <c r="H1105" s="4"/>
      <c r="I1105" s="4"/>
      <c r="J1105" s="4"/>
      <c r="K1105" s="4"/>
      <c r="L1105" s="4"/>
      <c r="M1105" s="4"/>
      <c r="N1105" s="3"/>
      <c r="O1105" s="1"/>
      <c r="P1105" s="1"/>
      <c r="Q1105" s="4"/>
      <c r="R1105" s="5"/>
      <c r="S1105" s="4"/>
      <c r="T1105" s="1"/>
      <c r="U1105" s="1"/>
      <c r="V1105" s="1"/>
      <c r="W1105" s="1"/>
      <c r="X1105" s="1"/>
      <c r="Y1105" s="6"/>
      <c r="Z1105" s="4"/>
      <c r="AA1105" s="4"/>
      <c r="AB1105" s="4"/>
      <c r="AC1105" s="1"/>
      <c r="AD1105" s="1"/>
      <c r="AE1105" s="1"/>
      <c r="AF1105" s="1"/>
      <c r="AG1105" s="1"/>
      <c r="AH1105" s="4"/>
      <c r="AI1105" s="1"/>
      <c r="AJ1105" s="3"/>
      <c r="AK1105" s="4"/>
      <c r="AL1105" s="6"/>
      <c r="AM1105" s="7"/>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row>
    <row r="1106" spans="1:64" ht="16.5" customHeight="1">
      <c r="A1106" s="1"/>
      <c r="B1106" s="139"/>
      <c r="C1106" s="1"/>
      <c r="D1106" s="1"/>
      <c r="E1106" s="1"/>
      <c r="F1106" s="1"/>
      <c r="G1106" s="1"/>
      <c r="H1106" s="4"/>
      <c r="I1106" s="4"/>
      <c r="J1106" s="4"/>
      <c r="K1106" s="4"/>
      <c r="L1106" s="4"/>
      <c r="M1106" s="4"/>
      <c r="N1106" s="3"/>
      <c r="O1106" s="1"/>
      <c r="P1106" s="1"/>
      <c r="Q1106" s="4"/>
      <c r="R1106" s="5"/>
      <c r="S1106" s="4"/>
      <c r="T1106" s="1"/>
      <c r="U1106" s="1"/>
      <c r="V1106" s="1"/>
      <c r="W1106" s="1"/>
      <c r="X1106" s="1"/>
      <c r="Y1106" s="6"/>
      <c r="Z1106" s="4"/>
      <c r="AA1106" s="4"/>
      <c r="AB1106" s="4"/>
      <c r="AC1106" s="1"/>
      <c r="AD1106" s="1"/>
      <c r="AE1106" s="1"/>
      <c r="AF1106" s="1"/>
      <c r="AG1106" s="1"/>
      <c r="AH1106" s="4"/>
      <c r="AI1106" s="1"/>
      <c r="AJ1106" s="3"/>
      <c r="AK1106" s="4"/>
      <c r="AL1106" s="6"/>
      <c r="AM1106" s="7"/>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row>
    <row r="1107" spans="1:64" ht="16.5" customHeight="1">
      <c r="A1107" s="1"/>
      <c r="B1107" s="139"/>
      <c r="C1107" s="1"/>
      <c r="D1107" s="1"/>
      <c r="E1107" s="1"/>
      <c r="F1107" s="1"/>
      <c r="G1107" s="1"/>
      <c r="H1107" s="4"/>
      <c r="I1107" s="4"/>
      <c r="J1107" s="4"/>
      <c r="K1107" s="4"/>
      <c r="L1107" s="4"/>
      <c r="M1107" s="4"/>
      <c r="N1107" s="3"/>
      <c r="O1107" s="1"/>
      <c r="P1107" s="1"/>
      <c r="Q1107" s="4"/>
      <c r="R1107" s="5"/>
      <c r="S1107" s="4"/>
      <c r="T1107" s="1"/>
      <c r="U1107" s="1"/>
      <c r="V1107" s="1"/>
      <c r="W1107" s="1"/>
      <c r="X1107" s="1"/>
      <c r="Y1107" s="6"/>
      <c r="Z1107" s="4"/>
      <c r="AA1107" s="4"/>
      <c r="AB1107" s="4"/>
      <c r="AC1107" s="1"/>
      <c r="AD1107" s="1"/>
      <c r="AE1107" s="1"/>
      <c r="AF1107" s="1"/>
      <c r="AG1107" s="1"/>
      <c r="AH1107" s="4"/>
      <c r="AI1107" s="1"/>
      <c r="AJ1107" s="3"/>
      <c r="AK1107" s="4"/>
      <c r="AL1107" s="6"/>
      <c r="AM1107" s="7"/>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row>
    <row r="1108" spans="1:64" ht="16.5" customHeight="1">
      <c r="A1108" s="1"/>
      <c r="B1108" s="139"/>
      <c r="C1108" s="1"/>
      <c r="D1108" s="1"/>
      <c r="E1108" s="1"/>
      <c r="F1108" s="1"/>
      <c r="G1108" s="1"/>
      <c r="H1108" s="4"/>
      <c r="I1108" s="4"/>
      <c r="J1108" s="4"/>
      <c r="K1108" s="4"/>
      <c r="L1108" s="4"/>
      <c r="M1108" s="4"/>
      <c r="N1108" s="3"/>
      <c r="O1108" s="1"/>
      <c r="P1108" s="1"/>
      <c r="Q1108" s="4"/>
      <c r="R1108" s="5"/>
      <c r="S1108" s="4"/>
      <c r="T1108" s="1"/>
      <c r="U1108" s="1"/>
      <c r="V1108" s="1"/>
      <c r="W1108" s="1"/>
      <c r="X1108" s="1"/>
      <c r="Y1108" s="6"/>
      <c r="Z1108" s="4"/>
      <c r="AA1108" s="4"/>
      <c r="AB1108" s="4"/>
      <c r="AC1108" s="1"/>
      <c r="AD1108" s="1"/>
      <c r="AE1108" s="1"/>
      <c r="AF1108" s="1"/>
      <c r="AG1108" s="1"/>
      <c r="AH1108" s="4"/>
      <c r="AI1108" s="1"/>
      <c r="AJ1108" s="3"/>
      <c r="AK1108" s="4"/>
      <c r="AL1108" s="6"/>
      <c r="AM1108" s="7"/>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row>
    <row r="1109" spans="1:64" ht="16.5" customHeight="1">
      <c r="A1109" s="1"/>
      <c r="B1109" s="139"/>
      <c r="C1109" s="1"/>
      <c r="D1109" s="1"/>
      <c r="E1109" s="1"/>
      <c r="F1109" s="1"/>
      <c r="G1109" s="1"/>
      <c r="H1109" s="4"/>
      <c r="I1109" s="4"/>
      <c r="J1109" s="4"/>
      <c r="K1109" s="4"/>
      <c r="L1109" s="4"/>
      <c r="M1109" s="4"/>
      <c r="N1109" s="3"/>
      <c r="O1109" s="1"/>
      <c r="P1109" s="1"/>
      <c r="Q1109" s="4"/>
      <c r="R1109" s="5"/>
      <c r="S1109" s="4"/>
      <c r="T1109" s="1"/>
      <c r="U1109" s="1"/>
      <c r="V1109" s="1"/>
      <c r="W1109" s="1"/>
      <c r="X1109" s="1"/>
      <c r="Y1109" s="6"/>
      <c r="Z1109" s="4"/>
      <c r="AA1109" s="4"/>
      <c r="AB1109" s="4"/>
      <c r="AC1109" s="1"/>
      <c r="AD1109" s="1"/>
      <c r="AE1109" s="1"/>
      <c r="AF1109" s="1"/>
      <c r="AG1109" s="1"/>
      <c r="AH1109" s="4"/>
      <c r="AI1109" s="1"/>
      <c r="AJ1109" s="3"/>
      <c r="AK1109" s="4"/>
      <c r="AL1109" s="6"/>
      <c r="AM1109" s="7"/>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row>
    <row r="1110" spans="1:64" ht="16.5" customHeight="1">
      <c r="A1110" s="1"/>
      <c r="B1110" s="139"/>
      <c r="C1110" s="1"/>
      <c r="D1110" s="1"/>
      <c r="E1110" s="1"/>
      <c r="F1110" s="1"/>
      <c r="G1110" s="1"/>
      <c r="H1110" s="4"/>
      <c r="I1110" s="4"/>
      <c r="J1110" s="4"/>
      <c r="K1110" s="4"/>
      <c r="L1110" s="4"/>
      <c r="M1110" s="4"/>
      <c r="N1110" s="3"/>
      <c r="O1110" s="1"/>
      <c r="P1110" s="1"/>
      <c r="Q1110" s="4"/>
      <c r="R1110" s="5"/>
      <c r="S1110" s="4"/>
      <c r="T1110" s="1"/>
      <c r="U1110" s="1"/>
      <c r="V1110" s="1"/>
      <c r="W1110" s="1"/>
      <c r="X1110" s="1"/>
      <c r="Y1110" s="6"/>
      <c r="Z1110" s="4"/>
      <c r="AA1110" s="4"/>
      <c r="AB1110" s="4"/>
      <c r="AC1110" s="1"/>
      <c r="AD1110" s="1"/>
      <c r="AE1110" s="1"/>
      <c r="AF1110" s="1"/>
      <c r="AG1110" s="1"/>
      <c r="AH1110" s="4"/>
      <c r="AI1110" s="1"/>
      <c r="AJ1110" s="3"/>
      <c r="AK1110" s="4"/>
      <c r="AL1110" s="6"/>
      <c r="AM1110" s="7"/>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row>
    <row r="1111" spans="1:64" ht="16.5" customHeight="1">
      <c r="A1111" s="1"/>
      <c r="B1111" s="139"/>
      <c r="C1111" s="1"/>
      <c r="D1111" s="1"/>
      <c r="E1111" s="1"/>
      <c r="F1111" s="1"/>
      <c r="G1111" s="1"/>
      <c r="H1111" s="4"/>
      <c r="I1111" s="4"/>
      <c r="J1111" s="4"/>
      <c r="K1111" s="4"/>
      <c r="L1111" s="4"/>
      <c r="M1111" s="4"/>
      <c r="N1111" s="3"/>
      <c r="O1111" s="1"/>
      <c r="P1111" s="1"/>
      <c r="Q1111" s="4"/>
      <c r="R1111" s="5"/>
      <c r="S1111" s="4"/>
      <c r="T1111" s="1"/>
      <c r="U1111" s="1"/>
      <c r="V1111" s="1"/>
      <c r="W1111" s="1"/>
      <c r="X1111" s="1"/>
      <c r="Y1111" s="6"/>
      <c r="Z1111" s="4"/>
      <c r="AA1111" s="4"/>
      <c r="AB1111" s="4"/>
      <c r="AC1111" s="1"/>
      <c r="AD1111" s="1"/>
      <c r="AE1111" s="1"/>
      <c r="AF1111" s="1"/>
      <c r="AG1111" s="1"/>
      <c r="AH1111" s="4"/>
      <c r="AI1111" s="1"/>
      <c r="AJ1111" s="3"/>
      <c r="AK1111" s="4"/>
      <c r="AL1111" s="6"/>
      <c r="AM1111" s="7"/>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row>
    <row r="1112" spans="1:64" ht="16.5" customHeight="1">
      <c r="A1112" s="1"/>
      <c r="B1112" s="139"/>
      <c r="C1112" s="1"/>
      <c r="D1112" s="1"/>
      <c r="E1112" s="1"/>
      <c r="F1112" s="1"/>
      <c r="G1112" s="1"/>
      <c r="H1112" s="4"/>
      <c r="I1112" s="4"/>
      <c r="J1112" s="4"/>
      <c r="K1112" s="4"/>
      <c r="L1112" s="4"/>
      <c r="M1112" s="4"/>
      <c r="N1112" s="3"/>
      <c r="O1112" s="1"/>
      <c r="P1112" s="1"/>
      <c r="Q1112" s="4"/>
      <c r="R1112" s="5"/>
      <c r="S1112" s="4"/>
      <c r="T1112" s="1"/>
      <c r="U1112" s="1"/>
      <c r="V1112" s="1"/>
      <c r="W1112" s="1"/>
      <c r="X1112" s="1"/>
      <c r="Y1112" s="6"/>
      <c r="Z1112" s="4"/>
      <c r="AA1112" s="4"/>
      <c r="AB1112" s="4"/>
      <c r="AC1112" s="1"/>
      <c r="AD1112" s="1"/>
      <c r="AE1112" s="1"/>
      <c r="AF1112" s="1"/>
      <c r="AG1112" s="1"/>
      <c r="AH1112" s="4"/>
      <c r="AI1112" s="1"/>
      <c r="AJ1112" s="3"/>
      <c r="AK1112" s="4"/>
      <c r="AL1112" s="6"/>
      <c r="AM1112" s="7"/>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row>
    <row r="1113" spans="1:64" ht="16.5" customHeight="1">
      <c r="A1113" s="1"/>
      <c r="B1113" s="139"/>
      <c r="C1113" s="1"/>
      <c r="D1113" s="1"/>
      <c r="E1113" s="1"/>
      <c r="F1113" s="1"/>
      <c r="G1113" s="1"/>
      <c r="H1113" s="4"/>
      <c r="I1113" s="4"/>
      <c r="J1113" s="4"/>
      <c r="K1113" s="4"/>
      <c r="L1113" s="4"/>
      <c r="M1113" s="4"/>
      <c r="N1113" s="3"/>
      <c r="O1113" s="1"/>
      <c r="P1113" s="1"/>
      <c r="Q1113" s="4"/>
      <c r="R1113" s="5"/>
      <c r="S1113" s="4"/>
      <c r="T1113" s="1"/>
      <c r="U1113" s="1"/>
      <c r="V1113" s="1"/>
      <c r="W1113" s="1"/>
      <c r="X1113" s="1"/>
      <c r="Y1113" s="6"/>
      <c r="Z1113" s="4"/>
      <c r="AA1113" s="4"/>
      <c r="AB1113" s="4"/>
      <c r="AC1113" s="1"/>
      <c r="AD1113" s="1"/>
      <c r="AE1113" s="1"/>
      <c r="AF1113" s="1"/>
      <c r="AG1113" s="1"/>
      <c r="AH1113" s="4"/>
      <c r="AI1113" s="1"/>
      <c r="AJ1113" s="3"/>
      <c r="AK1113" s="4"/>
      <c r="AL1113" s="6"/>
      <c r="AM1113" s="7"/>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row>
    <row r="1114" spans="1:64" ht="16.5" customHeight="1">
      <c r="A1114" s="1"/>
      <c r="B1114" s="139"/>
      <c r="C1114" s="1"/>
      <c r="D1114" s="1"/>
      <c r="E1114" s="1"/>
      <c r="F1114" s="1"/>
      <c r="G1114" s="1"/>
      <c r="H1114" s="4"/>
      <c r="I1114" s="4"/>
      <c r="J1114" s="4"/>
      <c r="K1114" s="4"/>
      <c r="L1114" s="4"/>
      <c r="M1114" s="4"/>
      <c r="N1114" s="3"/>
      <c r="O1114" s="1"/>
      <c r="P1114" s="1"/>
      <c r="Q1114" s="4"/>
      <c r="R1114" s="5"/>
      <c r="S1114" s="4"/>
      <c r="T1114" s="1"/>
      <c r="U1114" s="1"/>
      <c r="V1114" s="1"/>
      <c r="W1114" s="1"/>
      <c r="X1114" s="1"/>
      <c r="Y1114" s="6"/>
      <c r="Z1114" s="4"/>
      <c r="AA1114" s="4"/>
      <c r="AB1114" s="4"/>
      <c r="AC1114" s="1"/>
      <c r="AD1114" s="1"/>
      <c r="AE1114" s="1"/>
      <c r="AF1114" s="1"/>
      <c r="AG1114" s="1"/>
      <c r="AH1114" s="4"/>
      <c r="AI1114" s="1"/>
      <c r="AJ1114" s="3"/>
      <c r="AK1114" s="4"/>
      <c r="AL1114" s="6"/>
      <c r="AM1114" s="7"/>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row>
    <row r="1115" spans="1:64" ht="16.5" customHeight="1">
      <c r="A1115" s="1"/>
      <c r="B1115" s="139"/>
      <c r="C1115" s="1"/>
      <c r="D1115" s="1"/>
      <c r="E1115" s="1"/>
      <c r="F1115" s="1"/>
      <c r="G1115" s="1"/>
      <c r="H1115" s="4"/>
      <c r="I1115" s="4"/>
      <c r="J1115" s="4"/>
      <c r="K1115" s="4"/>
      <c r="L1115" s="4"/>
      <c r="M1115" s="4"/>
      <c r="N1115" s="3"/>
      <c r="O1115" s="1"/>
      <c r="P1115" s="1"/>
      <c r="Q1115" s="4"/>
      <c r="R1115" s="5"/>
      <c r="S1115" s="4"/>
      <c r="T1115" s="1"/>
      <c r="U1115" s="1"/>
      <c r="V1115" s="1"/>
      <c r="W1115" s="1"/>
      <c r="X1115" s="1"/>
      <c r="Y1115" s="6"/>
      <c r="Z1115" s="4"/>
      <c r="AA1115" s="4"/>
      <c r="AB1115" s="4"/>
      <c r="AC1115" s="1"/>
      <c r="AD1115" s="1"/>
      <c r="AE1115" s="1"/>
      <c r="AF1115" s="1"/>
      <c r="AG1115" s="1"/>
      <c r="AH1115" s="4"/>
      <c r="AI1115" s="1"/>
      <c r="AJ1115" s="3"/>
      <c r="AK1115" s="4"/>
      <c r="AL1115" s="6"/>
      <c r="AM1115" s="7"/>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row>
    <row r="1116" spans="1:64" ht="16.5" customHeight="1">
      <c r="A1116" s="1"/>
      <c r="B1116" s="139"/>
      <c r="C1116" s="1"/>
      <c r="D1116" s="1"/>
      <c r="E1116" s="1"/>
      <c r="F1116" s="1"/>
      <c r="G1116" s="1"/>
      <c r="H1116" s="4"/>
      <c r="I1116" s="4"/>
      <c r="J1116" s="4"/>
      <c r="K1116" s="4"/>
      <c r="L1116" s="4"/>
      <c r="M1116" s="4"/>
      <c r="N1116" s="3"/>
      <c r="O1116" s="1"/>
      <c r="P1116" s="1"/>
      <c r="Q1116" s="4"/>
      <c r="R1116" s="5"/>
      <c r="S1116" s="4"/>
      <c r="T1116" s="1"/>
      <c r="U1116" s="1"/>
      <c r="V1116" s="1"/>
      <c r="W1116" s="1"/>
      <c r="X1116" s="1"/>
      <c r="Y1116" s="6"/>
      <c r="Z1116" s="4"/>
      <c r="AA1116" s="4"/>
      <c r="AB1116" s="4"/>
      <c r="AC1116" s="1"/>
      <c r="AD1116" s="1"/>
      <c r="AE1116" s="1"/>
      <c r="AF1116" s="1"/>
      <c r="AG1116" s="1"/>
      <c r="AH1116" s="4"/>
      <c r="AI1116" s="1"/>
      <c r="AJ1116" s="3"/>
      <c r="AK1116" s="4"/>
      <c r="AL1116" s="6"/>
      <c r="AM1116" s="7"/>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row>
    <row r="1117" spans="1:64" ht="16.5" customHeight="1">
      <c r="A1117" s="1"/>
      <c r="B1117" s="139"/>
      <c r="C1117" s="1"/>
      <c r="D1117" s="1"/>
      <c r="E1117" s="1"/>
      <c r="F1117" s="1"/>
      <c r="G1117" s="1"/>
      <c r="H1117" s="4"/>
      <c r="I1117" s="4"/>
      <c r="J1117" s="4"/>
      <c r="K1117" s="4"/>
      <c r="L1117" s="4"/>
      <c r="M1117" s="4"/>
      <c r="N1117" s="3"/>
      <c r="O1117" s="1"/>
      <c r="P1117" s="1"/>
      <c r="Q1117" s="4"/>
      <c r="R1117" s="5"/>
      <c r="S1117" s="4"/>
      <c r="T1117" s="1"/>
      <c r="U1117" s="1"/>
      <c r="V1117" s="1"/>
      <c r="W1117" s="1"/>
      <c r="X1117" s="1"/>
      <c r="Y1117" s="6"/>
      <c r="Z1117" s="4"/>
      <c r="AA1117" s="4"/>
      <c r="AB1117" s="4"/>
      <c r="AC1117" s="1"/>
      <c r="AD1117" s="1"/>
      <c r="AE1117" s="1"/>
      <c r="AF1117" s="1"/>
      <c r="AG1117" s="1"/>
      <c r="AH1117" s="4"/>
      <c r="AI1117" s="1"/>
      <c r="AJ1117" s="3"/>
      <c r="AK1117" s="4"/>
      <c r="AL1117" s="6"/>
      <c r="AM1117" s="7"/>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row>
    <row r="1118" spans="1:64" ht="16.5" customHeight="1">
      <c r="A1118" s="1"/>
      <c r="B1118" s="139"/>
      <c r="C1118" s="1"/>
      <c r="D1118" s="1"/>
      <c r="E1118" s="1"/>
      <c r="F1118" s="1"/>
      <c r="G1118" s="1"/>
      <c r="H1118" s="4"/>
      <c r="I1118" s="4"/>
      <c r="J1118" s="4"/>
      <c r="K1118" s="4"/>
      <c r="L1118" s="4"/>
      <c r="M1118" s="4"/>
      <c r="N1118" s="3"/>
      <c r="O1118" s="1"/>
      <c r="P1118" s="1"/>
      <c r="Q1118" s="4"/>
      <c r="R1118" s="5"/>
      <c r="S1118" s="4"/>
      <c r="T1118" s="1"/>
      <c r="U1118" s="1"/>
      <c r="V1118" s="1"/>
      <c r="W1118" s="1"/>
      <c r="X1118" s="1"/>
      <c r="Y1118" s="6"/>
      <c r="Z1118" s="4"/>
      <c r="AA1118" s="4"/>
      <c r="AB1118" s="4"/>
      <c r="AC1118" s="1"/>
      <c r="AD1118" s="1"/>
      <c r="AE1118" s="1"/>
      <c r="AF1118" s="1"/>
      <c r="AG1118" s="1"/>
      <c r="AH1118" s="4"/>
      <c r="AI1118" s="1"/>
      <c r="AJ1118" s="3"/>
      <c r="AK1118" s="4"/>
      <c r="AL1118" s="6"/>
      <c r="AM1118" s="7"/>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row>
    <row r="1119" spans="1:64" ht="16.5" customHeight="1">
      <c r="A1119" s="1"/>
      <c r="B1119" s="139"/>
      <c r="C1119" s="1"/>
      <c r="D1119" s="1"/>
      <c r="E1119" s="1"/>
      <c r="F1119" s="1"/>
      <c r="G1119" s="1"/>
      <c r="H1119" s="4"/>
      <c r="I1119" s="4"/>
      <c r="J1119" s="4"/>
      <c r="K1119" s="4"/>
      <c r="L1119" s="4"/>
      <c r="M1119" s="4"/>
      <c r="N1119" s="3"/>
      <c r="O1119" s="1"/>
      <c r="P1119" s="1"/>
      <c r="Q1119" s="4"/>
      <c r="R1119" s="5"/>
      <c r="S1119" s="4"/>
      <c r="T1119" s="1"/>
      <c r="U1119" s="1"/>
      <c r="V1119" s="1"/>
      <c r="W1119" s="1"/>
      <c r="X1119" s="1"/>
      <c r="Y1119" s="6"/>
      <c r="Z1119" s="4"/>
      <c r="AA1119" s="4"/>
      <c r="AB1119" s="4"/>
      <c r="AC1119" s="1"/>
      <c r="AD1119" s="1"/>
      <c r="AE1119" s="1"/>
      <c r="AF1119" s="1"/>
      <c r="AG1119" s="1"/>
      <c r="AH1119" s="4"/>
      <c r="AI1119" s="1"/>
      <c r="AJ1119" s="3"/>
      <c r="AK1119" s="4"/>
      <c r="AL1119" s="6"/>
      <c r="AM1119" s="7"/>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row>
    <row r="1120" spans="1:64" ht="16.5" customHeight="1">
      <c r="A1120" s="1"/>
      <c r="B1120" s="139"/>
      <c r="C1120" s="1"/>
      <c r="D1120" s="1"/>
      <c r="E1120" s="1"/>
      <c r="F1120" s="1"/>
      <c r="G1120" s="1"/>
      <c r="H1120" s="4"/>
      <c r="I1120" s="4"/>
      <c r="J1120" s="4"/>
      <c r="K1120" s="4"/>
      <c r="L1120" s="4"/>
      <c r="M1120" s="4"/>
      <c r="N1120" s="3"/>
      <c r="O1120" s="1"/>
      <c r="P1120" s="1"/>
      <c r="Q1120" s="4"/>
      <c r="R1120" s="5"/>
      <c r="S1120" s="4"/>
      <c r="T1120" s="1"/>
      <c r="U1120" s="1"/>
      <c r="V1120" s="1"/>
      <c r="W1120" s="1"/>
      <c r="X1120" s="1"/>
      <c r="Y1120" s="6"/>
      <c r="Z1120" s="4"/>
      <c r="AA1120" s="4"/>
      <c r="AB1120" s="4"/>
      <c r="AC1120" s="1"/>
      <c r="AD1120" s="1"/>
      <c r="AE1120" s="1"/>
      <c r="AF1120" s="1"/>
      <c r="AG1120" s="1"/>
      <c r="AH1120" s="4"/>
      <c r="AI1120" s="1"/>
      <c r="AJ1120" s="3"/>
      <c r="AK1120" s="4"/>
      <c r="AL1120" s="6"/>
      <c r="AM1120" s="7"/>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row>
    <row r="1121" spans="1:64" ht="16.5" customHeight="1">
      <c r="A1121" s="1"/>
      <c r="B1121" s="139"/>
      <c r="C1121" s="1"/>
      <c r="D1121" s="1"/>
      <c r="E1121" s="1"/>
      <c r="F1121" s="1"/>
      <c r="G1121" s="1"/>
      <c r="H1121" s="4"/>
      <c r="I1121" s="4"/>
      <c r="J1121" s="4"/>
      <c r="K1121" s="4"/>
      <c r="L1121" s="4"/>
      <c r="M1121" s="4"/>
      <c r="N1121" s="3"/>
      <c r="O1121" s="1"/>
      <c r="P1121" s="1"/>
      <c r="Q1121" s="4"/>
      <c r="R1121" s="5"/>
      <c r="S1121" s="4"/>
      <c r="T1121" s="1"/>
      <c r="U1121" s="1"/>
      <c r="V1121" s="1"/>
      <c r="W1121" s="1"/>
      <c r="X1121" s="1"/>
      <c r="Y1121" s="6"/>
      <c r="Z1121" s="4"/>
      <c r="AA1121" s="4"/>
      <c r="AB1121" s="4"/>
      <c r="AC1121" s="1"/>
      <c r="AD1121" s="1"/>
      <c r="AE1121" s="1"/>
      <c r="AF1121" s="1"/>
      <c r="AG1121" s="1"/>
      <c r="AH1121" s="4"/>
      <c r="AI1121" s="1"/>
      <c r="AJ1121" s="3"/>
      <c r="AK1121" s="4"/>
      <c r="AL1121" s="6"/>
      <c r="AM1121" s="7"/>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row>
    <row r="1122" spans="1:64" ht="16.5" customHeight="1">
      <c r="A1122" s="1"/>
      <c r="B1122" s="139"/>
      <c r="C1122" s="1"/>
      <c r="D1122" s="1"/>
      <c r="E1122" s="1"/>
      <c r="F1122" s="1"/>
      <c r="G1122" s="1"/>
      <c r="H1122" s="4"/>
      <c r="I1122" s="4"/>
      <c r="J1122" s="4"/>
      <c r="K1122" s="4"/>
      <c r="L1122" s="4"/>
      <c r="M1122" s="4"/>
      <c r="N1122" s="3"/>
      <c r="O1122" s="1"/>
      <c r="P1122" s="1"/>
      <c r="Q1122" s="4"/>
      <c r="R1122" s="5"/>
      <c r="S1122" s="4"/>
      <c r="T1122" s="1"/>
      <c r="U1122" s="1"/>
      <c r="V1122" s="1"/>
      <c r="W1122" s="1"/>
      <c r="X1122" s="1"/>
      <c r="Y1122" s="6"/>
      <c r="Z1122" s="4"/>
      <c r="AA1122" s="4"/>
      <c r="AB1122" s="4"/>
      <c r="AC1122" s="1"/>
      <c r="AD1122" s="1"/>
      <c r="AE1122" s="1"/>
      <c r="AF1122" s="1"/>
      <c r="AG1122" s="1"/>
      <c r="AH1122" s="4"/>
      <c r="AI1122" s="1"/>
      <c r="AJ1122" s="3"/>
      <c r="AK1122" s="4"/>
      <c r="AL1122" s="6"/>
      <c r="AM1122" s="7"/>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row>
    <row r="1123" spans="1:64" ht="16.5" customHeight="1">
      <c r="A1123" s="1"/>
      <c r="B1123" s="139"/>
      <c r="C1123" s="1"/>
      <c r="D1123" s="1"/>
      <c r="E1123" s="1"/>
      <c r="F1123" s="1"/>
      <c r="G1123" s="1"/>
      <c r="H1123" s="4"/>
      <c r="I1123" s="4"/>
      <c r="J1123" s="4"/>
      <c r="K1123" s="4"/>
      <c r="L1123" s="4"/>
      <c r="M1123" s="4"/>
      <c r="N1123" s="3"/>
      <c r="O1123" s="1"/>
      <c r="P1123" s="1"/>
      <c r="Q1123" s="4"/>
      <c r="R1123" s="5"/>
      <c r="S1123" s="4"/>
      <c r="T1123" s="1"/>
      <c r="U1123" s="1"/>
      <c r="V1123" s="1"/>
      <c r="W1123" s="1"/>
      <c r="X1123" s="1"/>
      <c r="Y1123" s="6"/>
      <c r="Z1123" s="4"/>
      <c r="AA1123" s="4"/>
      <c r="AB1123" s="4"/>
      <c r="AC1123" s="1"/>
      <c r="AD1123" s="1"/>
      <c r="AE1123" s="1"/>
      <c r="AF1123" s="1"/>
      <c r="AG1123" s="1"/>
      <c r="AH1123" s="4"/>
      <c r="AI1123" s="1"/>
      <c r="AJ1123" s="3"/>
      <c r="AK1123" s="4"/>
      <c r="AL1123" s="6"/>
      <c r="AM1123" s="7"/>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row>
    <row r="1124" spans="1:64" ht="16.5" customHeight="1">
      <c r="A1124" s="1"/>
      <c r="B1124" s="139"/>
      <c r="C1124" s="1"/>
      <c r="D1124" s="1"/>
      <c r="E1124" s="1"/>
      <c r="F1124" s="1"/>
      <c r="G1124" s="1"/>
      <c r="H1124" s="4"/>
      <c r="I1124" s="4"/>
      <c r="J1124" s="4"/>
      <c r="K1124" s="4"/>
      <c r="L1124" s="4"/>
      <c r="M1124" s="4"/>
      <c r="N1124" s="3"/>
      <c r="O1124" s="1"/>
      <c r="P1124" s="1"/>
      <c r="Q1124" s="4"/>
      <c r="R1124" s="5"/>
      <c r="S1124" s="4"/>
      <c r="T1124" s="1"/>
      <c r="U1124" s="1"/>
      <c r="V1124" s="1"/>
      <c r="W1124" s="1"/>
      <c r="X1124" s="1"/>
      <c r="Y1124" s="6"/>
      <c r="Z1124" s="4"/>
      <c r="AA1124" s="4"/>
      <c r="AB1124" s="4"/>
      <c r="AC1124" s="1"/>
      <c r="AD1124" s="1"/>
      <c r="AE1124" s="1"/>
      <c r="AF1124" s="1"/>
      <c r="AG1124" s="1"/>
      <c r="AH1124" s="4"/>
      <c r="AI1124" s="1"/>
      <c r="AJ1124" s="3"/>
      <c r="AK1124" s="4"/>
      <c r="AL1124" s="6"/>
      <c r="AM1124" s="7"/>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row>
    <row r="1125" spans="1:64" ht="16.5" customHeight="1">
      <c r="A1125" s="1"/>
      <c r="B1125" s="139"/>
      <c r="C1125" s="1"/>
      <c r="D1125" s="1"/>
      <c r="E1125" s="1"/>
      <c r="F1125" s="1"/>
      <c r="G1125" s="1"/>
      <c r="H1125" s="4"/>
      <c r="I1125" s="4"/>
      <c r="J1125" s="4"/>
      <c r="K1125" s="4"/>
      <c r="L1125" s="4"/>
      <c r="M1125" s="4"/>
      <c r="N1125" s="3"/>
      <c r="O1125" s="1"/>
      <c r="P1125" s="1"/>
      <c r="Q1125" s="4"/>
      <c r="R1125" s="5"/>
      <c r="S1125" s="4"/>
      <c r="T1125" s="1"/>
      <c r="U1125" s="1"/>
      <c r="V1125" s="1"/>
      <c r="W1125" s="1"/>
      <c r="X1125" s="1"/>
      <c r="Y1125" s="6"/>
      <c r="Z1125" s="4"/>
      <c r="AA1125" s="4"/>
      <c r="AB1125" s="4"/>
      <c r="AC1125" s="1"/>
      <c r="AD1125" s="1"/>
      <c r="AE1125" s="1"/>
      <c r="AF1125" s="1"/>
      <c r="AG1125" s="1"/>
      <c r="AH1125" s="4"/>
      <c r="AI1125" s="1"/>
      <c r="AJ1125" s="3"/>
      <c r="AK1125" s="4"/>
      <c r="AL1125" s="6"/>
      <c r="AM1125" s="7"/>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row>
    <row r="1126" spans="1:64" ht="16.5" customHeight="1">
      <c r="A1126" s="1"/>
      <c r="B1126" s="139"/>
      <c r="C1126" s="1"/>
      <c r="D1126" s="1"/>
      <c r="E1126" s="1"/>
      <c r="F1126" s="1"/>
      <c r="G1126" s="1"/>
      <c r="H1126" s="4"/>
      <c r="I1126" s="4"/>
      <c r="J1126" s="4"/>
      <c r="K1126" s="4"/>
      <c r="L1126" s="4"/>
      <c r="M1126" s="4"/>
      <c r="N1126" s="3"/>
      <c r="O1126" s="1"/>
      <c r="P1126" s="1"/>
      <c r="Q1126" s="4"/>
      <c r="R1126" s="5"/>
      <c r="S1126" s="4"/>
      <c r="T1126" s="1"/>
      <c r="U1126" s="1"/>
      <c r="V1126" s="1"/>
      <c r="W1126" s="1"/>
      <c r="X1126" s="1"/>
      <c r="Y1126" s="6"/>
      <c r="Z1126" s="4"/>
      <c r="AA1126" s="4"/>
      <c r="AB1126" s="4"/>
      <c r="AC1126" s="1"/>
      <c r="AD1126" s="1"/>
      <c r="AE1126" s="1"/>
      <c r="AF1126" s="1"/>
      <c r="AG1126" s="1"/>
      <c r="AH1126" s="4"/>
      <c r="AI1126" s="1"/>
      <c r="AJ1126" s="3"/>
      <c r="AK1126" s="4"/>
      <c r="AL1126" s="6"/>
      <c r="AM1126" s="7"/>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row>
    <row r="1127" spans="1:64" ht="16.5" customHeight="1">
      <c r="A1127" s="1"/>
      <c r="B1127" s="139"/>
      <c r="C1127" s="1"/>
      <c r="D1127" s="1"/>
      <c r="E1127" s="1"/>
      <c r="F1127" s="1"/>
      <c r="G1127" s="1"/>
      <c r="H1127" s="4"/>
      <c r="I1127" s="4"/>
      <c r="J1127" s="4"/>
      <c r="K1127" s="4"/>
      <c r="L1127" s="4"/>
      <c r="M1127" s="4"/>
      <c r="N1127" s="3"/>
      <c r="O1127" s="1"/>
      <c r="P1127" s="1"/>
      <c r="Q1127" s="4"/>
      <c r="R1127" s="5"/>
      <c r="S1127" s="4"/>
      <c r="T1127" s="1"/>
      <c r="U1127" s="1"/>
      <c r="V1127" s="1"/>
      <c r="W1127" s="1"/>
      <c r="X1127" s="1"/>
      <c r="Y1127" s="6"/>
      <c r="Z1127" s="4"/>
      <c r="AA1127" s="4"/>
      <c r="AB1127" s="4"/>
      <c r="AC1127" s="1"/>
      <c r="AD1127" s="1"/>
      <c r="AE1127" s="1"/>
      <c r="AF1127" s="1"/>
      <c r="AG1127" s="1"/>
      <c r="AH1127" s="4"/>
      <c r="AI1127" s="1"/>
      <c r="AJ1127" s="3"/>
      <c r="AK1127" s="4"/>
      <c r="AL1127" s="6"/>
      <c r="AM1127" s="7"/>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row>
    <row r="1128" spans="1:64" ht="16.5" customHeight="1">
      <c r="A1128" s="1"/>
      <c r="B1128" s="139"/>
      <c r="C1128" s="1"/>
      <c r="D1128" s="1"/>
      <c r="E1128" s="1"/>
      <c r="F1128" s="1"/>
      <c r="G1128" s="1"/>
      <c r="H1128" s="4"/>
      <c r="I1128" s="4"/>
      <c r="J1128" s="4"/>
      <c r="K1128" s="4"/>
      <c r="L1128" s="4"/>
      <c r="M1128" s="4"/>
      <c r="N1128" s="3"/>
      <c r="O1128" s="1"/>
      <c r="P1128" s="1"/>
      <c r="Q1128" s="4"/>
      <c r="R1128" s="5"/>
      <c r="S1128" s="4"/>
      <c r="T1128" s="1"/>
      <c r="U1128" s="1"/>
      <c r="V1128" s="1"/>
      <c r="W1128" s="1"/>
      <c r="X1128" s="1"/>
      <c r="Y1128" s="6"/>
      <c r="Z1128" s="4"/>
      <c r="AA1128" s="4"/>
      <c r="AB1128" s="4"/>
      <c r="AC1128" s="1"/>
      <c r="AD1128" s="1"/>
      <c r="AE1128" s="1"/>
      <c r="AF1128" s="1"/>
      <c r="AG1128" s="1"/>
      <c r="AH1128" s="4"/>
      <c r="AI1128" s="1"/>
      <c r="AJ1128" s="3"/>
      <c r="AK1128" s="4"/>
      <c r="AL1128" s="6"/>
      <c r="AM1128" s="7"/>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row>
    <row r="1129" spans="1:64" ht="16.5" customHeight="1">
      <c r="A1129" s="1"/>
      <c r="B1129" s="139"/>
      <c r="C1129" s="1"/>
      <c r="D1129" s="1"/>
      <c r="E1129" s="1"/>
      <c r="F1129" s="1"/>
      <c r="G1129" s="1"/>
      <c r="H1129" s="4"/>
      <c r="I1129" s="4"/>
      <c r="J1129" s="4"/>
      <c r="K1129" s="4"/>
      <c r="L1129" s="4"/>
      <c r="M1129" s="4"/>
      <c r="N1129" s="3"/>
      <c r="O1129" s="1"/>
      <c r="P1129" s="1"/>
      <c r="Q1129" s="4"/>
      <c r="R1129" s="5"/>
      <c r="S1129" s="4"/>
      <c r="T1129" s="1"/>
      <c r="U1129" s="1"/>
      <c r="V1129" s="1"/>
      <c r="W1129" s="1"/>
      <c r="X1129" s="1"/>
      <c r="Y1129" s="6"/>
      <c r="Z1129" s="4"/>
      <c r="AA1129" s="4"/>
      <c r="AB1129" s="4"/>
      <c r="AC1129" s="1"/>
      <c r="AD1129" s="1"/>
      <c r="AE1129" s="1"/>
      <c r="AF1129" s="1"/>
      <c r="AG1129" s="1"/>
      <c r="AH1129" s="4"/>
      <c r="AI1129" s="1"/>
      <c r="AJ1129" s="3"/>
      <c r="AK1129" s="4"/>
      <c r="AL1129" s="6"/>
      <c r="AM1129" s="7"/>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row>
    <row r="1130" spans="1:64" ht="16.5" customHeight="1">
      <c r="A1130" s="1"/>
      <c r="B1130" s="139"/>
      <c r="C1130" s="1"/>
      <c r="D1130" s="1"/>
      <c r="E1130" s="1"/>
      <c r="F1130" s="1"/>
      <c r="G1130" s="1"/>
      <c r="H1130" s="4"/>
      <c r="I1130" s="4"/>
      <c r="J1130" s="4"/>
      <c r="K1130" s="4"/>
      <c r="L1130" s="4"/>
      <c r="M1130" s="4"/>
      <c r="N1130" s="3"/>
      <c r="O1130" s="1"/>
      <c r="P1130" s="1"/>
      <c r="Q1130" s="4"/>
      <c r="R1130" s="5"/>
      <c r="S1130" s="4"/>
      <c r="T1130" s="1"/>
      <c r="U1130" s="1"/>
      <c r="V1130" s="1"/>
      <c r="W1130" s="1"/>
      <c r="X1130" s="1"/>
      <c r="Y1130" s="6"/>
      <c r="Z1130" s="4"/>
      <c r="AA1130" s="4"/>
      <c r="AB1130" s="4"/>
      <c r="AC1130" s="1"/>
      <c r="AD1130" s="1"/>
      <c r="AE1130" s="1"/>
      <c r="AF1130" s="1"/>
      <c r="AG1130" s="1"/>
      <c r="AH1130" s="4"/>
      <c r="AI1130" s="1"/>
      <c r="AJ1130" s="3"/>
      <c r="AK1130" s="4"/>
      <c r="AL1130" s="6"/>
      <c r="AM1130" s="7"/>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row>
    <row r="1131" spans="1:64" ht="16.5" customHeight="1">
      <c r="A1131" s="1"/>
      <c r="B1131" s="139"/>
      <c r="C1131" s="1"/>
      <c r="D1131" s="1"/>
      <c r="E1131" s="1"/>
      <c r="F1131" s="1"/>
      <c r="G1131" s="1"/>
      <c r="H1131" s="4"/>
      <c r="I1131" s="4"/>
      <c r="J1131" s="4"/>
      <c r="K1131" s="4"/>
      <c r="L1131" s="4"/>
      <c r="M1131" s="4"/>
      <c r="N1131" s="3"/>
      <c r="O1131" s="1"/>
      <c r="P1131" s="1"/>
      <c r="Q1131" s="4"/>
      <c r="R1131" s="5"/>
      <c r="S1131" s="4"/>
      <c r="T1131" s="1"/>
      <c r="U1131" s="1"/>
      <c r="V1131" s="1"/>
      <c r="W1131" s="1"/>
      <c r="X1131" s="1"/>
      <c r="Y1131" s="6"/>
      <c r="Z1131" s="4"/>
      <c r="AA1131" s="4"/>
      <c r="AB1131" s="4"/>
      <c r="AC1131" s="1"/>
      <c r="AD1131" s="1"/>
      <c r="AE1131" s="1"/>
      <c r="AF1131" s="1"/>
      <c r="AG1131" s="1"/>
      <c r="AH1131" s="4"/>
      <c r="AI1131" s="1"/>
      <c r="AJ1131" s="3"/>
      <c r="AK1131" s="4"/>
      <c r="AL1131" s="6"/>
      <c r="AM1131" s="7"/>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row>
    <row r="1132" spans="1:64" ht="16.5" customHeight="1">
      <c r="A1132" s="1"/>
      <c r="B1132" s="139"/>
      <c r="C1132" s="1"/>
      <c r="D1132" s="1"/>
      <c r="E1132" s="1"/>
      <c r="F1132" s="1"/>
      <c r="G1132" s="1"/>
      <c r="H1132" s="4"/>
      <c r="I1132" s="4"/>
      <c r="J1132" s="4"/>
      <c r="K1132" s="4"/>
      <c r="L1132" s="4"/>
      <c r="M1132" s="4"/>
      <c r="N1132" s="3"/>
      <c r="O1132" s="1"/>
      <c r="P1132" s="1"/>
      <c r="Q1132" s="4"/>
      <c r="R1132" s="5"/>
      <c r="S1132" s="4"/>
      <c r="T1132" s="1"/>
      <c r="U1132" s="1"/>
      <c r="V1132" s="1"/>
      <c r="W1132" s="1"/>
      <c r="X1132" s="1"/>
      <c r="Y1132" s="6"/>
      <c r="Z1132" s="4"/>
      <c r="AA1132" s="4"/>
      <c r="AB1132" s="4"/>
      <c r="AC1132" s="1"/>
      <c r="AD1132" s="1"/>
      <c r="AE1132" s="1"/>
      <c r="AF1132" s="1"/>
      <c r="AG1132" s="1"/>
      <c r="AH1132" s="4"/>
      <c r="AI1132" s="1"/>
      <c r="AJ1132" s="3"/>
      <c r="AK1132" s="4"/>
      <c r="AL1132" s="6"/>
      <c r="AM1132" s="7"/>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row>
    <row r="1133" spans="1:64" ht="16.5" customHeight="1">
      <c r="A1133" s="1"/>
      <c r="B1133" s="139"/>
      <c r="C1133" s="1"/>
      <c r="D1133" s="1"/>
      <c r="E1133" s="1"/>
      <c r="F1133" s="1"/>
      <c r="G1133" s="1"/>
      <c r="H1133" s="4"/>
      <c r="I1133" s="4"/>
      <c r="J1133" s="4"/>
      <c r="K1133" s="4"/>
      <c r="L1133" s="4"/>
      <c r="M1133" s="4"/>
      <c r="N1133" s="3"/>
      <c r="O1133" s="1"/>
      <c r="P1133" s="1"/>
      <c r="Q1133" s="4"/>
      <c r="R1133" s="5"/>
      <c r="S1133" s="4"/>
      <c r="T1133" s="1"/>
      <c r="U1133" s="1"/>
      <c r="V1133" s="1"/>
      <c r="W1133" s="1"/>
      <c r="X1133" s="1"/>
      <c r="Y1133" s="6"/>
      <c r="Z1133" s="4"/>
      <c r="AA1133" s="4"/>
      <c r="AB1133" s="4"/>
      <c r="AC1133" s="1"/>
      <c r="AD1133" s="1"/>
      <c r="AE1133" s="1"/>
      <c r="AF1133" s="1"/>
      <c r="AG1133" s="1"/>
      <c r="AH1133" s="4"/>
      <c r="AI1133" s="1"/>
      <c r="AJ1133" s="3"/>
      <c r="AK1133" s="4"/>
      <c r="AL1133" s="6"/>
      <c r="AM1133" s="7"/>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row>
    <row r="1134" spans="1:64" ht="16.5" customHeight="1">
      <c r="A1134" s="1"/>
      <c r="B1134" s="139"/>
      <c r="C1134" s="1"/>
      <c r="D1134" s="1"/>
      <c r="E1134" s="1"/>
      <c r="F1134" s="1"/>
      <c r="G1134" s="1"/>
      <c r="H1134" s="4"/>
      <c r="I1134" s="4"/>
      <c r="J1134" s="4"/>
      <c r="K1134" s="4"/>
      <c r="L1134" s="4"/>
      <c r="M1134" s="4"/>
      <c r="N1134" s="3"/>
      <c r="O1134" s="1"/>
      <c r="P1134" s="1"/>
      <c r="Q1134" s="4"/>
      <c r="R1134" s="5"/>
      <c r="S1134" s="4"/>
      <c r="T1134" s="1"/>
      <c r="U1134" s="1"/>
      <c r="V1134" s="1"/>
      <c r="W1134" s="1"/>
      <c r="X1134" s="1"/>
      <c r="Y1134" s="6"/>
      <c r="Z1134" s="4"/>
      <c r="AA1134" s="4"/>
      <c r="AB1134" s="4"/>
      <c r="AC1134" s="1"/>
      <c r="AD1134" s="1"/>
      <c r="AE1134" s="1"/>
      <c r="AF1134" s="1"/>
      <c r="AG1134" s="1"/>
      <c r="AH1134" s="4"/>
      <c r="AI1134" s="1"/>
      <c r="AJ1134" s="3"/>
      <c r="AK1134" s="4"/>
      <c r="AL1134" s="6"/>
      <c r="AM1134" s="7"/>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row>
    <row r="1135" spans="1:64" ht="16.5" customHeight="1">
      <c r="A1135" s="1"/>
      <c r="B1135" s="139"/>
      <c r="C1135" s="1"/>
      <c r="D1135" s="1"/>
      <c r="E1135" s="1"/>
      <c r="F1135" s="1"/>
      <c r="G1135" s="1"/>
      <c r="H1135" s="4"/>
      <c r="I1135" s="4"/>
      <c r="J1135" s="4"/>
      <c r="K1135" s="4"/>
      <c r="L1135" s="4"/>
      <c r="M1135" s="4"/>
      <c r="N1135" s="3"/>
      <c r="O1135" s="1"/>
      <c r="P1135" s="1"/>
      <c r="Q1135" s="4"/>
      <c r="R1135" s="5"/>
      <c r="S1135" s="4"/>
      <c r="T1135" s="1"/>
      <c r="U1135" s="1"/>
      <c r="V1135" s="1"/>
      <c r="W1135" s="1"/>
      <c r="X1135" s="1"/>
      <c r="Y1135" s="6"/>
      <c r="Z1135" s="4"/>
      <c r="AA1135" s="4"/>
      <c r="AB1135" s="4"/>
      <c r="AC1135" s="1"/>
      <c r="AD1135" s="1"/>
      <c r="AE1135" s="1"/>
      <c r="AF1135" s="1"/>
      <c r="AG1135" s="1"/>
      <c r="AH1135" s="4"/>
      <c r="AI1135" s="1"/>
      <c r="AJ1135" s="3"/>
      <c r="AK1135" s="4"/>
      <c r="AL1135" s="6"/>
      <c r="AM1135" s="7"/>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row>
    <row r="1136" spans="1:64" ht="16.5" customHeight="1">
      <c r="A1136" s="1"/>
      <c r="B1136" s="139"/>
      <c r="C1136" s="1"/>
      <c r="D1136" s="1"/>
      <c r="E1136" s="1"/>
      <c r="F1136" s="1"/>
      <c r="G1136" s="1"/>
      <c r="H1136" s="4"/>
      <c r="I1136" s="4"/>
      <c r="J1136" s="4"/>
      <c r="K1136" s="4"/>
      <c r="L1136" s="4"/>
      <c r="M1136" s="4"/>
      <c r="N1136" s="3"/>
      <c r="O1136" s="1"/>
      <c r="P1136" s="1"/>
      <c r="Q1136" s="4"/>
      <c r="R1136" s="5"/>
      <c r="S1136" s="4"/>
      <c r="T1136" s="1"/>
      <c r="U1136" s="1"/>
      <c r="V1136" s="1"/>
      <c r="W1136" s="1"/>
      <c r="X1136" s="1"/>
      <c r="Y1136" s="6"/>
      <c r="Z1136" s="4"/>
      <c r="AA1136" s="4"/>
      <c r="AB1136" s="4"/>
      <c r="AC1136" s="1"/>
      <c r="AD1136" s="1"/>
      <c r="AE1136" s="1"/>
      <c r="AF1136" s="1"/>
      <c r="AG1136" s="1"/>
      <c r="AH1136" s="4"/>
      <c r="AI1136" s="1"/>
      <c r="AJ1136" s="3"/>
      <c r="AK1136" s="4"/>
      <c r="AL1136" s="6"/>
      <c r="AM1136" s="7"/>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row>
    <row r="1137" spans="1:64" ht="16.5" customHeight="1">
      <c r="A1137" s="1"/>
      <c r="B1137" s="139"/>
      <c r="C1137" s="1"/>
      <c r="D1137" s="1"/>
      <c r="E1137" s="1"/>
      <c r="F1137" s="1"/>
      <c r="G1137" s="1"/>
      <c r="H1137" s="4"/>
      <c r="I1137" s="4"/>
      <c r="J1137" s="4"/>
      <c r="K1137" s="4"/>
      <c r="L1137" s="4"/>
      <c r="M1137" s="4"/>
      <c r="N1137" s="3"/>
      <c r="O1137" s="1"/>
      <c r="P1137" s="1"/>
      <c r="Q1137" s="4"/>
      <c r="R1137" s="5"/>
      <c r="S1137" s="4"/>
      <c r="T1137" s="1"/>
      <c r="U1137" s="1"/>
      <c r="V1137" s="1"/>
      <c r="W1137" s="1"/>
      <c r="X1137" s="1"/>
      <c r="Y1137" s="6"/>
      <c r="Z1137" s="4"/>
      <c r="AA1137" s="4"/>
      <c r="AB1137" s="4"/>
      <c r="AC1137" s="1"/>
      <c r="AD1137" s="1"/>
      <c r="AE1137" s="1"/>
      <c r="AF1137" s="1"/>
      <c r="AG1137" s="1"/>
      <c r="AH1137" s="4"/>
      <c r="AI1137" s="1"/>
      <c r="AJ1137" s="3"/>
      <c r="AK1137" s="4"/>
      <c r="AL1137" s="6"/>
      <c r="AM1137" s="7"/>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row>
    <row r="1138" spans="1:64" ht="16.5" customHeight="1">
      <c r="A1138" s="1"/>
      <c r="B1138" s="139"/>
      <c r="C1138" s="1"/>
      <c r="D1138" s="1"/>
      <c r="E1138" s="1"/>
      <c r="F1138" s="1"/>
      <c r="G1138" s="1"/>
      <c r="H1138" s="4"/>
      <c r="I1138" s="4"/>
      <c r="J1138" s="4"/>
      <c r="K1138" s="4"/>
      <c r="L1138" s="4"/>
      <c r="M1138" s="4"/>
      <c r="N1138" s="3"/>
      <c r="O1138" s="1"/>
      <c r="P1138" s="1"/>
      <c r="Q1138" s="4"/>
      <c r="R1138" s="5"/>
      <c r="S1138" s="4"/>
      <c r="T1138" s="1"/>
      <c r="U1138" s="1"/>
      <c r="V1138" s="1"/>
      <c r="W1138" s="1"/>
      <c r="X1138" s="1"/>
      <c r="Y1138" s="6"/>
      <c r="Z1138" s="4"/>
      <c r="AA1138" s="4"/>
      <c r="AB1138" s="4"/>
      <c r="AC1138" s="1"/>
      <c r="AD1138" s="1"/>
      <c r="AE1138" s="1"/>
      <c r="AF1138" s="1"/>
      <c r="AG1138" s="1"/>
      <c r="AH1138" s="4"/>
      <c r="AI1138" s="1"/>
      <c r="AJ1138" s="3"/>
      <c r="AK1138" s="4"/>
      <c r="AL1138" s="6"/>
      <c r="AM1138" s="7"/>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row>
    <row r="1139" spans="1:64" ht="16.5" customHeight="1">
      <c r="A1139" s="1"/>
      <c r="B1139" s="139"/>
      <c r="C1139" s="1"/>
      <c r="D1139" s="1"/>
      <c r="E1139" s="1"/>
      <c r="F1139" s="1"/>
      <c r="G1139" s="1"/>
      <c r="H1139" s="4"/>
      <c r="I1139" s="4"/>
      <c r="J1139" s="4"/>
      <c r="K1139" s="4"/>
      <c r="L1139" s="4"/>
      <c r="M1139" s="4"/>
      <c r="N1139" s="3"/>
      <c r="O1139" s="1"/>
      <c r="P1139" s="1"/>
      <c r="Q1139" s="4"/>
      <c r="R1139" s="5"/>
      <c r="S1139" s="4"/>
      <c r="T1139" s="1"/>
      <c r="U1139" s="1"/>
      <c r="V1139" s="1"/>
      <c r="W1139" s="1"/>
      <c r="X1139" s="1"/>
      <c r="Y1139" s="6"/>
      <c r="Z1139" s="4"/>
      <c r="AA1139" s="4"/>
      <c r="AB1139" s="4"/>
      <c r="AC1139" s="1"/>
      <c r="AD1139" s="1"/>
      <c r="AE1139" s="1"/>
      <c r="AF1139" s="1"/>
      <c r="AG1139" s="1"/>
      <c r="AH1139" s="4"/>
      <c r="AI1139" s="1"/>
      <c r="AJ1139" s="3"/>
      <c r="AK1139" s="4"/>
      <c r="AL1139" s="6"/>
      <c r="AM1139" s="7"/>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row>
    <row r="1140" spans="1:64" ht="16.5" customHeight="1">
      <c r="A1140" s="1"/>
      <c r="B1140" s="139"/>
      <c r="C1140" s="1"/>
      <c r="D1140" s="1"/>
      <c r="E1140" s="1"/>
      <c r="F1140" s="1"/>
      <c r="G1140" s="1"/>
      <c r="H1140" s="4"/>
      <c r="I1140" s="4"/>
      <c r="J1140" s="4"/>
      <c r="K1140" s="4"/>
      <c r="L1140" s="4"/>
      <c r="M1140" s="4"/>
      <c r="N1140" s="3"/>
      <c r="O1140" s="1"/>
      <c r="P1140" s="1"/>
      <c r="Q1140" s="4"/>
      <c r="R1140" s="5"/>
      <c r="S1140" s="4"/>
      <c r="T1140" s="1"/>
      <c r="U1140" s="1"/>
      <c r="V1140" s="1"/>
      <c r="W1140" s="1"/>
      <c r="X1140" s="1"/>
      <c r="Y1140" s="6"/>
      <c r="Z1140" s="4"/>
      <c r="AA1140" s="4"/>
      <c r="AB1140" s="4"/>
      <c r="AC1140" s="1"/>
      <c r="AD1140" s="1"/>
      <c r="AE1140" s="1"/>
      <c r="AF1140" s="1"/>
      <c r="AG1140" s="1"/>
      <c r="AH1140" s="4"/>
      <c r="AI1140" s="1"/>
      <c r="AJ1140" s="3"/>
      <c r="AK1140" s="4"/>
      <c r="AL1140" s="6"/>
      <c r="AM1140" s="7"/>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row>
    <row r="1141" spans="1:64" ht="16.5" customHeight="1">
      <c r="A1141" s="1"/>
      <c r="B1141" s="139"/>
      <c r="C1141" s="1"/>
      <c r="D1141" s="1"/>
      <c r="E1141" s="1"/>
      <c r="F1141" s="1"/>
      <c r="G1141" s="1"/>
      <c r="H1141" s="4"/>
      <c r="I1141" s="4"/>
      <c r="J1141" s="4"/>
      <c r="K1141" s="4"/>
      <c r="L1141" s="4"/>
      <c r="M1141" s="4"/>
      <c r="N1141" s="3"/>
      <c r="O1141" s="1"/>
      <c r="P1141" s="1"/>
      <c r="Q1141" s="4"/>
      <c r="R1141" s="5"/>
      <c r="S1141" s="4"/>
      <c r="T1141" s="1"/>
      <c r="U1141" s="1"/>
      <c r="V1141" s="1"/>
      <c r="W1141" s="1"/>
      <c r="X1141" s="1"/>
      <c r="Y1141" s="6"/>
      <c r="Z1141" s="4"/>
      <c r="AA1141" s="4"/>
      <c r="AB1141" s="4"/>
      <c r="AC1141" s="1"/>
      <c r="AD1141" s="1"/>
      <c r="AE1141" s="1"/>
      <c r="AF1141" s="1"/>
      <c r="AG1141" s="1"/>
      <c r="AH1141" s="4"/>
      <c r="AI1141" s="1"/>
      <c r="AJ1141" s="3"/>
      <c r="AK1141" s="4"/>
      <c r="AL1141" s="6"/>
      <c r="AM1141" s="7"/>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row>
    <row r="1142" spans="1:64" ht="16.5" customHeight="1">
      <c r="A1142" s="1"/>
      <c r="B1142" s="139"/>
      <c r="C1142" s="1"/>
      <c r="D1142" s="1"/>
      <c r="E1142" s="1"/>
      <c r="F1142" s="1"/>
      <c r="G1142" s="1"/>
      <c r="H1142" s="4"/>
      <c r="I1142" s="4"/>
      <c r="J1142" s="4"/>
      <c r="K1142" s="4"/>
      <c r="L1142" s="4"/>
      <c r="M1142" s="4"/>
      <c r="N1142" s="3"/>
      <c r="O1142" s="1"/>
      <c r="P1142" s="1"/>
      <c r="Q1142" s="4"/>
      <c r="R1142" s="5"/>
      <c r="S1142" s="4"/>
      <c r="T1142" s="1"/>
      <c r="U1142" s="1"/>
      <c r="V1142" s="1"/>
      <c r="W1142" s="1"/>
      <c r="X1142" s="1"/>
      <c r="Y1142" s="6"/>
      <c r="Z1142" s="4"/>
      <c r="AA1142" s="4"/>
      <c r="AB1142" s="4"/>
      <c r="AC1142" s="1"/>
      <c r="AD1142" s="1"/>
      <c r="AE1142" s="1"/>
      <c r="AF1142" s="1"/>
      <c r="AG1142" s="1"/>
      <c r="AH1142" s="4"/>
      <c r="AI1142" s="1"/>
      <c r="AJ1142" s="3"/>
      <c r="AK1142" s="4"/>
      <c r="AL1142" s="6"/>
      <c r="AM1142" s="7"/>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row>
    <row r="1143" spans="1:64" ht="16.5" customHeight="1">
      <c r="A1143" s="1"/>
      <c r="B1143" s="139"/>
      <c r="C1143" s="1"/>
      <c r="D1143" s="1"/>
      <c r="E1143" s="1"/>
      <c r="F1143" s="1"/>
      <c r="G1143" s="1"/>
      <c r="H1143" s="4"/>
      <c r="I1143" s="4"/>
      <c r="J1143" s="4"/>
      <c r="K1143" s="4"/>
      <c r="L1143" s="4"/>
      <c r="M1143" s="4"/>
      <c r="N1143" s="3"/>
      <c r="O1143" s="1"/>
      <c r="P1143" s="1"/>
      <c r="Q1143" s="4"/>
      <c r="R1143" s="5"/>
      <c r="S1143" s="4"/>
      <c r="T1143" s="1"/>
      <c r="U1143" s="1"/>
      <c r="V1143" s="1"/>
      <c r="W1143" s="1"/>
      <c r="X1143" s="1"/>
      <c r="Y1143" s="6"/>
      <c r="Z1143" s="4"/>
      <c r="AA1143" s="4"/>
      <c r="AB1143" s="4"/>
      <c r="AC1143" s="1"/>
      <c r="AD1143" s="1"/>
      <c r="AE1143" s="1"/>
      <c r="AF1143" s="1"/>
      <c r="AG1143" s="1"/>
      <c r="AH1143" s="4"/>
      <c r="AI1143" s="1"/>
      <c r="AJ1143" s="3"/>
      <c r="AK1143" s="4"/>
      <c r="AL1143" s="6"/>
      <c r="AM1143" s="7"/>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row>
    <row r="1144" spans="1:64" ht="16.5" customHeight="1">
      <c r="A1144" s="1"/>
      <c r="B1144" s="139"/>
      <c r="C1144" s="1"/>
      <c r="D1144" s="1"/>
      <c r="E1144" s="1"/>
      <c r="F1144" s="1"/>
      <c r="G1144" s="1"/>
      <c r="H1144" s="4"/>
      <c r="I1144" s="4"/>
      <c r="J1144" s="4"/>
      <c r="K1144" s="4"/>
      <c r="L1144" s="4"/>
      <c r="M1144" s="4"/>
      <c r="N1144" s="3"/>
      <c r="O1144" s="1"/>
      <c r="P1144" s="1"/>
      <c r="Q1144" s="4"/>
      <c r="R1144" s="5"/>
      <c r="S1144" s="4"/>
      <c r="T1144" s="1"/>
      <c r="U1144" s="1"/>
      <c r="V1144" s="1"/>
      <c r="W1144" s="1"/>
      <c r="X1144" s="1"/>
      <c r="Y1144" s="6"/>
      <c r="Z1144" s="4"/>
      <c r="AA1144" s="4"/>
      <c r="AB1144" s="4"/>
      <c r="AC1144" s="1"/>
      <c r="AD1144" s="1"/>
      <c r="AE1144" s="1"/>
      <c r="AF1144" s="1"/>
      <c r="AG1144" s="1"/>
      <c r="AH1144" s="4"/>
      <c r="AI1144" s="1"/>
      <c r="AJ1144" s="3"/>
      <c r="AK1144" s="4"/>
      <c r="AL1144" s="6"/>
      <c r="AM1144" s="7"/>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row>
    <row r="1145" spans="1:64" ht="16.5" customHeight="1">
      <c r="A1145" s="1"/>
      <c r="B1145" s="139"/>
      <c r="C1145" s="1"/>
      <c r="D1145" s="1"/>
      <c r="E1145" s="1"/>
      <c r="F1145" s="1"/>
      <c r="G1145" s="1"/>
      <c r="H1145" s="4"/>
      <c r="I1145" s="4"/>
      <c r="J1145" s="4"/>
      <c r="K1145" s="4"/>
      <c r="L1145" s="4"/>
      <c r="M1145" s="4"/>
      <c r="N1145" s="3"/>
      <c r="O1145" s="1"/>
      <c r="P1145" s="1"/>
      <c r="Q1145" s="4"/>
      <c r="R1145" s="5"/>
      <c r="S1145" s="4"/>
      <c r="T1145" s="1"/>
      <c r="U1145" s="1"/>
      <c r="V1145" s="1"/>
      <c r="W1145" s="1"/>
      <c r="X1145" s="1"/>
      <c r="Y1145" s="6"/>
      <c r="Z1145" s="4"/>
      <c r="AA1145" s="4"/>
      <c r="AB1145" s="4"/>
      <c r="AC1145" s="1"/>
      <c r="AD1145" s="1"/>
      <c r="AE1145" s="1"/>
      <c r="AF1145" s="1"/>
      <c r="AG1145" s="1"/>
      <c r="AH1145" s="4"/>
      <c r="AI1145" s="1"/>
      <c r="AJ1145" s="3"/>
      <c r="AK1145" s="4"/>
      <c r="AL1145" s="6"/>
      <c r="AM1145" s="7"/>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row>
    <row r="1146" spans="1:64" ht="16.5" customHeight="1">
      <c r="A1146" s="1"/>
      <c r="B1146" s="139"/>
      <c r="C1146" s="1"/>
      <c r="D1146" s="1"/>
      <c r="E1146" s="1"/>
      <c r="F1146" s="1"/>
      <c r="G1146" s="1"/>
      <c r="H1146" s="4"/>
      <c r="I1146" s="4"/>
      <c r="J1146" s="4"/>
      <c r="K1146" s="4"/>
      <c r="L1146" s="4"/>
      <c r="M1146" s="4"/>
      <c r="N1146" s="3"/>
      <c r="O1146" s="1"/>
      <c r="P1146" s="1"/>
      <c r="Q1146" s="4"/>
      <c r="R1146" s="5"/>
      <c r="S1146" s="4"/>
      <c r="T1146" s="1"/>
      <c r="U1146" s="1"/>
      <c r="V1146" s="1"/>
      <c r="W1146" s="1"/>
      <c r="X1146" s="1"/>
      <c r="Y1146" s="6"/>
      <c r="Z1146" s="4"/>
      <c r="AA1146" s="4"/>
      <c r="AB1146" s="4"/>
      <c r="AC1146" s="1"/>
      <c r="AD1146" s="1"/>
      <c r="AE1146" s="1"/>
      <c r="AF1146" s="1"/>
      <c r="AG1146" s="1"/>
      <c r="AH1146" s="4"/>
      <c r="AI1146" s="1"/>
      <c r="AJ1146" s="3"/>
      <c r="AK1146" s="4"/>
      <c r="AL1146" s="6"/>
      <c r="AM1146" s="7"/>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row>
    <row r="1147" spans="1:64" ht="16.5" customHeight="1">
      <c r="A1147" s="1"/>
      <c r="B1147" s="139"/>
      <c r="C1147" s="1"/>
      <c r="D1147" s="1"/>
      <c r="E1147" s="1"/>
      <c r="F1147" s="1"/>
      <c r="G1147" s="1"/>
      <c r="H1147" s="4"/>
      <c r="I1147" s="4"/>
      <c r="J1147" s="4"/>
      <c r="K1147" s="4"/>
      <c r="L1147" s="4"/>
      <c r="M1147" s="4"/>
      <c r="N1147" s="3"/>
      <c r="O1147" s="1"/>
      <c r="P1147" s="1"/>
      <c r="Q1147" s="4"/>
      <c r="R1147" s="5"/>
      <c r="S1147" s="4"/>
      <c r="T1147" s="1"/>
      <c r="U1147" s="1"/>
      <c r="V1147" s="1"/>
      <c r="W1147" s="1"/>
      <c r="X1147" s="1"/>
      <c r="Y1147" s="6"/>
      <c r="Z1147" s="4"/>
      <c r="AA1147" s="4"/>
      <c r="AB1147" s="4"/>
      <c r="AC1147" s="1"/>
      <c r="AD1147" s="1"/>
      <c r="AE1147" s="1"/>
      <c r="AF1147" s="1"/>
      <c r="AG1147" s="1"/>
      <c r="AH1147" s="4"/>
      <c r="AI1147" s="1"/>
      <c r="AJ1147" s="3"/>
      <c r="AK1147" s="4"/>
      <c r="AL1147" s="6"/>
      <c r="AM1147" s="7"/>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row>
    <row r="1148" spans="1:64" ht="16.5" customHeight="1">
      <c r="A1148" s="1"/>
      <c r="B1148" s="139"/>
      <c r="C1148" s="1"/>
      <c r="D1148" s="1"/>
      <c r="E1148" s="1"/>
      <c r="F1148" s="1"/>
      <c r="G1148" s="1"/>
      <c r="H1148" s="4"/>
      <c r="I1148" s="4"/>
      <c r="J1148" s="4"/>
      <c r="K1148" s="4"/>
      <c r="L1148" s="4"/>
      <c r="M1148" s="4"/>
      <c r="N1148" s="3"/>
      <c r="O1148" s="1"/>
      <c r="P1148" s="1"/>
      <c r="Q1148" s="4"/>
      <c r="R1148" s="5"/>
      <c r="S1148" s="4"/>
      <c r="T1148" s="1"/>
      <c r="U1148" s="1"/>
      <c r="V1148" s="1"/>
      <c r="W1148" s="1"/>
      <c r="X1148" s="1"/>
      <c r="Y1148" s="6"/>
      <c r="Z1148" s="4"/>
      <c r="AA1148" s="4"/>
      <c r="AB1148" s="4"/>
      <c r="AC1148" s="1"/>
      <c r="AD1148" s="1"/>
      <c r="AE1148" s="1"/>
      <c r="AF1148" s="1"/>
      <c r="AG1148" s="1"/>
      <c r="AH1148" s="4"/>
      <c r="AI1148" s="1"/>
      <c r="AJ1148" s="3"/>
      <c r="AK1148" s="4"/>
      <c r="AL1148" s="6"/>
      <c r="AM1148" s="7"/>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row>
    <row r="1149" spans="1:64" ht="16.5" customHeight="1">
      <c r="A1149" s="1"/>
      <c r="B1149" s="139"/>
      <c r="C1149" s="1"/>
      <c r="D1149" s="1"/>
      <c r="E1149" s="1"/>
      <c r="F1149" s="1"/>
      <c r="G1149" s="1"/>
      <c r="H1149" s="4"/>
      <c r="I1149" s="4"/>
      <c r="J1149" s="4"/>
      <c r="K1149" s="4"/>
      <c r="L1149" s="4"/>
      <c r="M1149" s="4"/>
      <c r="N1149" s="3"/>
      <c r="O1149" s="1"/>
      <c r="P1149" s="1"/>
      <c r="Q1149" s="4"/>
      <c r="R1149" s="5"/>
      <c r="S1149" s="4"/>
      <c r="T1149" s="1"/>
      <c r="U1149" s="1"/>
      <c r="V1149" s="1"/>
      <c r="W1149" s="1"/>
      <c r="X1149" s="1"/>
      <c r="Y1149" s="6"/>
      <c r="Z1149" s="4"/>
      <c r="AA1149" s="4"/>
      <c r="AB1149" s="4"/>
      <c r="AC1149" s="1"/>
      <c r="AD1149" s="1"/>
      <c r="AE1149" s="1"/>
      <c r="AF1149" s="1"/>
      <c r="AG1149" s="1"/>
      <c r="AH1149" s="4"/>
      <c r="AI1149" s="1"/>
      <c r="AJ1149" s="3"/>
      <c r="AK1149" s="4"/>
      <c r="AL1149" s="6"/>
      <c r="AM1149" s="7"/>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row>
    <row r="1150" spans="1:64" ht="16.5" customHeight="1">
      <c r="A1150" s="1"/>
      <c r="B1150" s="139"/>
      <c r="C1150" s="1"/>
      <c r="D1150" s="1"/>
      <c r="E1150" s="1"/>
      <c r="F1150" s="1"/>
      <c r="G1150" s="1"/>
      <c r="H1150" s="4"/>
      <c r="I1150" s="4"/>
      <c r="J1150" s="4"/>
      <c r="K1150" s="4"/>
      <c r="L1150" s="4"/>
      <c r="M1150" s="4"/>
      <c r="N1150" s="3"/>
      <c r="O1150" s="1"/>
      <c r="P1150" s="1"/>
      <c r="Q1150" s="4"/>
      <c r="R1150" s="5"/>
      <c r="S1150" s="4"/>
      <c r="T1150" s="1"/>
      <c r="U1150" s="1"/>
      <c r="V1150" s="1"/>
      <c r="W1150" s="1"/>
      <c r="X1150" s="1"/>
      <c r="Y1150" s="6"/>
      <c r="Z1150" s="4"/>
      <c r="AA1150" s="4"/>
      <c r="AB1150" s="4"/>
      <c r="AC1150" s="1"/>
      <c r="AD1150" s="1"/>
      <c r="AE1150" s="1"/>
      <c r="AF1150" s="1"/>
      <c r="AG1150" s="1"/>
      <c r="AH1150" s="4"/>
      <c r="AI1150" s="1"/>
      <c r="AJ1150" s="3"/>
      <c r="AK1150" s="4"/>
      <c r="AL1150" s="6"/>
      <c r="AM1150" s="7"/>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row>
    <row r="1151" spans="1:64" ht="16.5" customHeight="1">
      <c r="A1151" s="1"/>
      <c r="B1151" s="139"/>
      <c r="C1151" s="1"/>
      <c r="D1151" s="1"/>
      <c r="E1151" s="1"/>
      <c r="F1151" s="1"/>
      <c r="G1151" s="1"/>
      <c r="H1151" s="4"/>
      <c r="I1151" s="4"/>
      <c r="J1151" s="4"/>
      <c r="K1151" s="4"/>
      <c r="L1151" s="4"/>
      <c r="M1151" s="4"/>
      <c r="N1151" s="3"/>
      <c r="O1151" s="1"/>
      <c r="P1151" s="1"/>
      <c r="Q1151" s="4"/>
      <c r="R1151" s="5"/>
      <c r="S1151" s="4"/>
      <c r="T1151" s="1"/>
      <c r="U1151" s="1"/>
      <c r="V1151" s="1"/>
      <c r="W1151" s="1"/>
      <c r="X1151" s="1"/>
      <c r="Y1151" s="6"/>
      <c r="Z1151" s="4"/>
      <c r="AA1151" s="4"/>
      <c r="AB1151" s="4"/>
      <c r="AC1151" s="1"/>
      <c r="AD1151" s="1"/>
      <c r="AE1151" s="1"/>
      <c r="AF1151" s="1"/>
      <c r="AG1151" s="1"/>
      <c r="AH1151" s="4"/>
      <c r="AI1151" s="1"/>
      <c r="AJ1151" s="3"/>
      <c r="AK1151" s="4"/>
      <c r="AL1151" s="6"/>
      <c r="AM1151" s="7"/>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row>
    <row r="1152" spans="1:64" ht="16.5" customHeight="1">
      <c r="A1152" s="1"/>
      <c r="B1152" s="139"/>
      <c r="C1152" s="1"/>
      <c r="D1152" s="1"/>
      <c r="E1152" s="1"/>
      <c r="F1152" s="1"/>
      <c r="G1152" s="1"/>
      <c r="H1152" s="4"/>
      <c r="I1152" s="4"/>
      <c r="J1152" s="4"/>
      <c r="K1152" s="4"/>
      <c r="L1152" s="4"/>
      <c r="M1152" s="4"/>
      <c r="N1152" s="3"/>
      <c r="O1152" s="1"/>
      <c r="P1152" s="1"/>
      <c r="Q1152" s="4"/>
      <c r="R1152" s="5"/>
      <c r="S1152" s="4"/>
      <c r="T1152" s="1"/>
      <c r="U1152" s="1"/>
      <c r="V1152" s="1"/>
      <c r="W1152" s="1"/>
      <c r="X1152" s="1"/>
      <c r="Y1152" s="6"/>
      <c r="Z1152" s="4"/>
      <c r="AA1152" s="4"/>
      <c r="AB1152" s="4"/>
      <c r="AC1152" s="1"/>
      <c r="AD1152" s="1"/>
      <c r="AE1152" s="1"/>
      <c r="AF1152" s="1"/>
      <c r="AG1152" s="1"/>
      <c r="AH1152" s="4"/>
      <c r="AI1152" s="1"/>
      <c r="AJ1152" s="3"/>
      <c r="AK1152" s="4"/>
      <c r="AL1152" s="6"/>
      <c r="AM1152" s="7"/>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row>
    <row r="1153" spans="1:64" ht="16.5" customHeight="1">
      <c r="A1153" s="1"/>
      <c r="B1153" s="139"/>
      <c r="C1153" s="1"/>
      <c r="D1153" s="1"/>
      <c r="E1153" s="1"/>
      <c r="F1153" s="1"/>
      <c r="G1153" s="1"/>
      <c r="H1153" s="4"/>
      <c r="I1153" s="4"/>
      <c r="J1153" s="4"/>
      <c r="K1153" s="4"/>
      <c r="L1153" s="4"/>
      <c r="M1153" s="4"/>
      <c r="N1153" s="3"/>
      <c r="O1153" s="1"/>
      <c r="P1153" s="1"/>
      <c r="Q1153" s="4"/>
      <c r="R1153" s="5"/>
      <c r="S1153" s="4"/>
      <c r="T1153" s="1"/>
      <c r="U1153" s="1"/>
      <c r="V1153" s="1"/>
      <c r="W1153" s="1"/>
      <c r="X1153" s="1"/>
      <c r="Y1153" s="6"/>
      <c r="Z1153" s="4"/>
      <c r="AA1153" s="4"/>
      <c r="AB1153" s="4"/>
      <c r="AC1153" s="1"/>
      <c r="AD1153" s="1"/>
      <c r="AE1153" s="1"/>
      <c r="AF1153" s="1"/>
      <c r="AG1153" s="1"/>
      <c r="AH1153" s="4"/>
      <c r="AI1153" s="1"/>
      <c r="AJ1153" s="3"/>
      <c r="AK1153" s="4"/>
      <c r="AL1153" s="6"/>
      <c r="AM1153" s="7"/>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row>
    <row r="1154" spans="1:64" ht="16.5" customHeight="1">
      <c r="A1154" s="1"/>
      <c r="B1154" s="139"/>
      <c r="C1154" s="1"/>
      <c r="D1154" s="1"/>
      <c r="E1154" s="1"/>
      <c r="F1154" s="1"/>
      <c r="G1154" s="1"/>
      <c r="H1154" s="4"/>
      <c r="I1154" s="4"/>
      <c r="J1154" s="4"/>
      <c r="K1154" s="4"/>
      <c r="L1154" s="4"/>
      <c r="M1154" s="4"/>
      <c r="N1154" s="3"/>
      <c r="O1154" s="1"/>
      <c r="P1154" s="1"/>
      <c r="Q1154" s="4"/>
      <c r="R1154" s="5"/>
      <c r="S1154" s="4"/>
      <c r="T1154" s="1"/>
      <c r="U1154" s="1"/>
      <c r="V1154" s="1"/>
      <c r="W1154" s="1"/>
      <c r="X1154" s="1"/>
      <c r="Y1154" s="6"/>
      <c r="Z1154" s="4"/>
      <c r="AA1154" s="4"/>
      <c r="AB1154" s="4"/>
      <c r="AC1154" s="1"/>
      <c r="AD1154" s="1"/>
      <c r="AE1154" s="1"/>
      <c r="AF1154" s="1"/>
      <c r="AG1154" s="1"/>
      <c r="AH1154" s="4"/>
      <c r="AI1154" s="1"/>
      <c r="AJ1154" s="3"/>
      <c r="AK1154" s="4"/>
      <c r="AL1154" s="6"/>
      <c r="AM1154" s="7"/>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row>
    <row r="1155" spans="1:64" ht="16.5" customHeight="1">
      <c r="A1155" s="1"/>
      <c r="B1155" s="139"/>
      <c r="C1155" s="1"/>
      <c r="D1155" s="1"/>
      <c r="E1155" s="1"/>
      <c r="F1155" s="1"/>
      <c r="G1155" s="1"/>
      <c r="H1155" s="4"/>
      <c r="I1155" s="4"/>
      <c r="J1155" s="4"/>
      <c r="K1155" s="4"/>
      <c r="L1155" s="4"/>
      <c r="M1155" s="4"/>
      <c r="N1155" s="3"/>
      <c r="O1155" s="1"/>
      <c r="P1155" s="1"/>
      <c r="Q1155" s="4"/>
      <c r="R1155" s="5"/>
      <c r="S1155" s="4"/>
      <c r="T1155" s="1"/>
      <c r="U1155" s="1"/>
      <c r="V1155" s="1"/>
      <c r="W1155" s="1"/>
      <c r="X1155" s="1"/>
      <c r="Y1155" s="6"/>
      <c r="Z1155" s="4"/>
      <c r="AA1155" s="4"/>
      <c r="AB1155" s="4"/>
      <c r="AC1155" s="1"/>
      <c r="AD1155" s="1"/>
      <c r="AE1155" s="1"/>
      <c r="AF1155" s="1"/>
      <c r="AG1155" s="1"/>
      <c r="AH1155" s="4"/>
      <c r="AI1155" s="1"/>
      <c r="AJ1155" s="3"/>
      <c r="AK1155" s="4"/>
      <c r="AL1155" s="6"/>
      <c r="AM1155" s="7"/>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row>
    <row r="1156" spans="1:64" ht="16.5" customHeight="1">
      <c r="A1156" s="1"/>
      <c r="B1156" s="139"/>
      <c r="C1156" s="1"/>
      <c r="D1156" s="1"/>
      <c r="E1156" s="1"/>
      <c r="F1156" s="1"/>
      <c r="G1156" s="1"/>
      <c r="H1156" s="4"/>
      <c r="I1156" s="4"/>
      <c r="J1156" s="4"/>
      <c r="K1156" s="4"/>
      <c r="L1156" s="4"/>
      <c r="M1156" s="4"/>
      <c r="N1156" s="3"/>
      <c r="O1156" s="1"/>
      <c r="P1156" s="1"/>
      <c r="Q1156" s="4"/>
      <c r="R1156" s="5"/>
      <c r="S1156" s="4"/>
      <c r="T1156" s="1"/>
      <c r="U1156" s="1"/>
      <c r="V1156" s="1"/>
      <c r="W1156" s="1"/>
      <c r="X1156" s="1"/>
      <c r="Y1156" s="6"/>
      <c r="Z1156" s="4"/>
      <c r="AA1156" s="4"/>
      <c r="AB1156" s="4"/>
      <c r="AC1156" s="1"/>
      <c r="AD1156" s="1"/>
      <c r="AE1156" s="1"/>
      <c r="AF1156" s="1"/>
      <c r="AG1156" s="1"/>
      <c r="AH1156" s="4"/>
      <c r="AI1156" s="1"/>
      <c r="AJ1156" s="3"/>
      <c r="AK1156" s="4"/>
      <c r="AL1156" s="6"/>
      <c r="AM1156" s="7"/>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row>
    <row r="1157" spans="1:64" ht="16.5" customHeight="1">
      <c r="A1157" s="1"/>
      <c r="B1157" s="139"/>
      <c r="C1157" s="1"/>
      <c r="D1157" s="1"/>
      <c r="E1157" s="1"/>
      <c r="F1157" s="1"/>
      <c r="G1157" s="1"/>
      <c r="H1157" s="4"/>
      <c r="I1157" s="4"/>
      <c r="J1157" s="4"/>
      <c r="K1157" s="4"/>
      <c r="L1157" s="4"/>
      <c r="M1157" s="4"/>
      <c r="N1157" s="3"/>
      <c r="O1157" s="1"/>
      <c r="P1157" s="1"/>
      <c r="Q1157" s="4"/>
      <c r="R1157" s="5"/>
      <c r="S1157" s="4"/>
      <c r="T1157" s="1"/>
      <c r="U1157" s="1"/>
      <c r="V1157" s="1"/>
      <c r="W1157" s="1"/>
      <c r="X1157" s="1"/>
      <c r="Y1157" s="6"/>
      <c r="Z1157" s="4"/>
      <c r="AA1157" s="4"/>
      <c r="AB1157" s="4"/>
      <c r="AC1157" s="1"/>
      <c r="AD1157" s="1"/>
      <c r="AE1157" s="1"/>
      <c r="AF1157" s="1"/>
      <c r="AG1157" s="1"/>
      <c r="AH1157" s="4"/>
      <c r="AI1157" s="1"/>
      <c r="AJ1157" s="3"/>
      <c r="AK1157" s="4"/>
      <c r="AL1157" s="6"/>
      <c r="AM1157" s="7"/>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row>
    <row r="1158" spans="1:64" ht="16.5" customHeight="1">
      <c r="A1158" s="1"/>
      <c r="B1158" s="139"/>
      <c r="C1158" s="1"/>
      <c r="D1158" s="1"/>
      <c r="E1158" s="1"/>
      <c r="F1158" s="1"/>
      <c r="G1158" s="1"/>
      <c r="H1158" s="4"/>
      <c r="I1158" s="4"/>
      <c r="J1158" s="4"/>
      <c r="K1158" s="4"/>
      <c r="L1158" s="4"/>
      <c r="M1158" s="4"/>
      <c r="N1158" s="3"/>
      <c r="O1158" s="1"/>
      <c r="P1158" s="1"/>
      <c r="Q1158" s="4"/>
      <c r="R1158" s="5"/>
      <c r="S1158" s="4"/>
      <c r="T1158" s="1"/>
      <c r="U1158" s="1"/>
      <c r="V1158" s="1"/>
      <c r="W1158" s="1"/>
      <c r="X1158" s="1"/>
      <c r="Y1158" s="6"/>
      <c r="Z1158" s="4"/>
      <c r="AA1158" s="4"/>
      <c r="AB1158" s="4"/>
      <c r="AC1158" s="1"/>
      <c r="AD1158" s="1"/>
      <c r="AE1158" s="1"/>
      <c r="AF1158" s="1"/>
      <c r="AG1158" s="1"/>
      <c r="AH1158" s="4"/>
      <c r="AI1158" s="1"/>
      <c r="AJ1158" s="3"/>
      <c r="AK1158" s="4"/>
      <c r="AL1158" s="6"/>
      <c r="AM1158" s="7"/>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row>
    <row r="1159" spans="1:64" ht="16.5" customHeight="1">
      <c r="A1159" s="1"/>
      <c r="B1159" s="139"/>
      <c r="C1159" s="1"/>
      <c r="D1159" s="1"/>
      <c r="E1159" s="1"/>
      <c r="F1159" s="1"/>
      <c r="G1159" s="1"/>
      <c r="H1159" s="4"/>
      <c r="I1159" s="4"/>
      <c r="J1159" s="4"/>
      <c r="K1159" s="4"/>
      <c r="L1159" s="4"/>
      <c r="M1159" s="4"/>
      <c r="N1159" s="3"/>
      <c r="O1159" s="1"/>
      <c r="P1159" s="1"/>
      <c r="Q1159" s="4"/>
      <c r="R1159" s="5"/>
      <c r="S1159" s="4"/>
      <c r="T1159" s="1"/>
      <c r="U1159" s="1"/>
      <c r="V1159" s="1"/>
      <c r="W1159" s="1"/>
      <c r="X1159" s="1"/>
      <c r="Y1159" s="6"/>
      <c r="Z1159" s="4"/>
      <c r="AA1159" s="4"/>
      <c r="AB1159" s="4"/>
      <c r="AC1159" s="1"/>
      <c r="AD1159" s="1"/>
      <c r="AE1159" s="1"/>
      <c r="AF1159" s="1"/>
      <c r="AG1159" s="1"/>
      <c r="AH1159" s="4"/>
      <c r="AI1159" s="1"/>
      <c r="AJ1159" s="3"/>
      <c r="AK1159" s="4"/>
      <c r="AL1159" s="6"/>
      <c r="AM1159" s="7"/>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row>
    <row r="1160" spans="1:64" ht="16.5" customHeight="1">
      <c r="A1160" s="1"/>
      <c r="B1160" s="139"/>
      <c r="C1160" s="1"/>
      <c r="D1160" s="1"/>
      <c r="E1160" s="1"/>
      <c r="F1160" s="1"/>
      <c r="G1160" s="1"/>
      <c r="H1160" s="4"/>
      <c r="I1160" s="4"/>
      <c r="J1160" s="4"/>
      <c r="K1160" s="4"/>
      <c r="L1160" s="4"/>
      <c r="M1160" s="4"/>
      <c r="N1160" s="3"/>
      <c r="O1160" s="1"/>
      <c r="P1160" s="1"/>
      <c r="Q1160" s="4"/>
      <c r="R1160" s="5"/>
      <c r="S1160" s="4"/>
      <c r="T1160" s="1"/>
      <c r="U1160" s="1"/>
      <c r="V1160" s="1"/>
      <c r="W1160" s="1"/>
      <c r="X1160" s="1"/>
      <c r="Y1160" s="6"/>
      <c r="Z1160" s="4"/>
      <c r="AA1160" s="4"/>
      <c r="AB1160" s="4"/>
      <c r="AC1160" s="1"/>
      <c r="AD1160" s="1"/>
      <c r="AE1160" s="1"/>
      <c r="AF1160" s="1"/>
      <c r="AG1160" s="1"/>
      <c r="AH1160" s="4"/>
      <c r="AI1160" s="1"/>
      <c r="AJ1160" s="3"/>
      <c r="AK1160" s="4"/>
      <c r="AL1160" s="6"/>
      <c r="AM1160" s="7"/>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row>
    <row r="1161" spans="1:64" ht="16.5" customHeight="1">
      <c r="A1161" s="1"/>
      <c r="B1161" s="139"/>
      <c r="C1161" s="1"/>
      <c r="D1161" s="1"/>
      <c r="E1161" s="1"/>
      <c r="F1161" s="1"/>
      <c r="G1161" s="1"/>
      <c r="H1161" s="4"/>
      <c r="I1161" s="4"/>
      <c r="J1161" s="4"/>
      <c r="K1161" s="4"/>
      <c r="L1161" s="4"/>
      <c r="M1161" s="4"/>
      <c r="N1161" s="3"/>
      <c r="O1161" s="1"/>
      <c r="P1161" s="1"/>
      <c r="Q1161" s="4"/>
      <c r="R1161" s="5"/>
      <c r="S1161" s="4"/>
      <c r="T1161" s="1"/>
      <c r="U1161" s="1"/>
      <c r="V1161" s="1"/>
      <c r="W1161" s="1"/>
      <c r="X1161" s="1"/>
      <c r="Y1161" s="6"/>
      <c r="Z1161" s="4"/>
      <c r="AA1161" s="4"/>
      <c r="AB1161" s="4"/>
      <c r="AC1161" s="1"/>
      <c r="AD1161" s="1"/>
      <c r="AE1161" s="1"/>
      <c r="AF1161" s="1"/>
      <c r="AG1161" s="1"/>
      <c r="AH1161" s="4"/>
      <c r="AI1161" s="1"/>
      <c r="AJ1161" s="3"/>
      <c r="AK1161" s="4"/>
      <c r="AL1161" s="6"/>
      <c r="AM1161" s="7"/>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row>
    <row r="1162" spans="1:64" ht="16.5" customHeight="1">
      <c r="A1162" s="1"/>
      <c r="B1162" s="139"/>
      <c r="C1162" s="1"/>
      <c r="D1162" s="1"/>
      <c r="E1162" s="1"/>
      <c r="F1162" s="1"/>
      <c r="G1162" s="1"/>
      <c r="H1162" s="4"/>
      <c r="I1162" s="4"/>
      <c r="J1162" s="4"/>
      <c r="K1162" s="4"/>
      <c r="L1162" s="4"/>
      <c r="M1162" s="4"/>
      <c r="N1162" s="3"/>
      <c r="O1162" s="1"/>
      <c r="P1162" s="1"/>
      <c r="Q1162" s="4"/>
      <c r="R1162" s="5"/>
      <c r="S1162" s="4"/>
      <c r="T1162" s="1"/>
      <c r="U1162" s="1"/>
      <c r="V1162" s="1"/>
      <c r="W1162" s="1"/>
      <c r="X1162" s="1"/>
      <c r="Y1162" s="6"/>
      <c r="Z1162" s="4"/>
      <c r="AA1162" s="4"/>
      <c r="AB1162" s="4"/>
      <c r="AC1162" s="1"/>
      <c r="AD1162" s="1"/>
      <c r="AE1162" s="1"/>
      <c r="AF1162" s="1"/>
      <c r="AG1162" s="1"/>
      <c r="AH1162" s="4"/>
      <c r="AI1162" s="1"/>
      <c r="AJ1162" s="3"/>
      <c r="AK1162" s="4"/>
      <c r="AL1162" s="6"/>
      <c r="AM1162" s="7"/>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row>
    <row r="1163" spans="1:64" ht="16.5" customHeight="1">
      <c r="A1163" s="1"/>
      <c r="B1163" s="139"/>
      <c r="C1163" s="1"/>
      <c r="D1163" s="1"/>
      <c r="E1163" s="1"/>
      <c r="F1163" s="1"/>
      <c r="G1163" s="1"/>
      <c r="H1163" s="4"/>
      <c r="I1163" s="4"/>
      <c r="J1163" s="4"/>
      <c r="K1163" s="4"/>
      <c r="L1163" s="4"/>
      <c r="M1163" s="4"/>
      <c r="N1163" s="3"/>
      <c r="O1163" s="1"/>
      <c r="P1163" s="1"/>
      <c r="Q1163" s="4"/>
      <c r="R1163" s="5"/>
      <c r="S1163" s="4"/>
      <c r="T1163" s="1"/>
      <c r="U1163" s="1"/>
      <c r="V1163" s="1"/>
      <c r="W1163" s="1"/>
      <c r="X1163" s="1"/>
      <c r="Y1163" s="6"/>
      <c r="Z1163" s="4"/>
      <c r="AA1163" s="4"/>
      <c r="AB1163" s="4"/>
      <c r="AC1163" s="1"/>
      <c r="AD1163" s="1"/>
      <c r="AE1163" s="1"/>
      <c r="AF1163" s="1"/>
      <c r="AG1163" s="1"/>
      <c r="AH1163" s="4"/>
      <c r="AI1163" s="1"/>
      <c r="AJ1163" s="3"/>
      <c r="AK1163" s="4"/>
      <c r="AL1163" s="6"/>
      <c r="AM1163" s="7"/>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row>
    <row r="1164" spans="1:64" ht="16.5" customHeight="1">
      <c r="A1164" s="1"/>
      <c r="B1164" s="139"/>
      <c r="C1164" s="1"/>
      <c r="D1164" s="1"/>
      <c r="E1164" s="1"/>
      <c r="F1164" s="1"/>
      <c r="G1164" s="1"/>
      <c r="H1164" s="4"/>
      <c r="I1164" s="4"/>
      <c r="J1164" s="4"/>
      <c r="K1164" s="4"/>
      <c r="L1164" s="4"/>
      <c r="M1164" s="4"/>
      <c r="N1164" s="3"/>
      <c r="O1164" s="1"/>
      <c r="P1164" s="1"/>
      <c r="Q1164" s="4"/>
      <c r="R1164" s="5"/>
      <c r="S1164" s="4"/>
      <c r="T1164" s="1"/>
      <c r="U1164" s="1"/>
      <c r="V1164" s="1"/>
      <c r="W1164" s="1"/>
      <c r="X1164" s="1"/>
      <c r="Y1164" s="6"/>
      <c r="Z1164" s="4"/>
      <c r="AA1164" s="4"/>
      <c r="AB1164" s="4"/>
      <c r="AC1164" s="1"/>
      <c r="AD1164" s="1"/>
      <c r="AE1164" s="1"/>
      <c r="AF1164" s="1"/>
      <c r="AG1164" s="1"/>
      <c r="AH1164" s="4"/>
      <c r="AI1164" s="1"/>
      <c r="AJ1164" s="3"/>
      <c r="AK1164" s="4"/>
      <c r="AL1164" s="6"/>
      <c r="AM1164" s="7"/>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row>
    <row r="1165" spans="1:64" ht="16.5" customHeight="1">
      <c r="A1165" s="1"/>
      <c r="B1165" s="139"/>
      <c r="C1165" s="1"/>
      <c r="D1165" s="1"/>
      <c r="E1165" s="1"/>
      <c r="F1165" s="1"/>
      <c r="G1165" s="1"/>
      <c r="H1165" s="4"/>
      <c r="I1165" s="4"/>
      <c r="J1165" s="4"/>
      <c r="K1165" s="4"/>
      <c r="L1165" s="4"/>
      <c r="M1165" s="4"/>
      <c r="N1165" s="3"/>
      <c r="O1165" s="1"/>
      <c r="P1165" s="1"/>
      <c r="Q1165" s="4"/>
      <c r="R1165" s="5"/>
      <c r="S1165" s="4"/>
      <c r="T1165" s="1"/>
      <c r="U1165" s="1"/>
      <c r="V1165" s="1"/>
      <c r="W1165" s="1"/>
      <c r="X1165" s="1"/>
      <c r="Y1165" s="6"/>
      <c r="Z1165" s="4"/>
      <c r="AA1165" s="4"/>
      <c r="AB1165" s="4"/>
      <c r="AC1165" s="1"/>
      <c r="AD1165" s="1"/>
      <c r="AE1165" s="1"/>
      <c r="AF1165" s="1"/>
      <c r="AG1165" s="1"/>
      <c r="AH1165" s="4"/>
      <c r="AI1165" s="1"/>
      <c r="AJ1165" s="3"/>
      <c r="AK1165" s="4"/>
      <c r="AL1165" s="6"/>
      <c r="AM1165" s="7"/>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row>
    <row r="1166" spans="1:64" ht="16.5" customHeight="1">
      <c r="A1166" s="1"/>
      <c r="B1166" s="139"/>
      <c r="C1166" s="1"/>
      <c r="D1166" s="1"/>
      <c r="E1166" s="1"/>
      <c r="F1166" s="1"/>
      <c r="G1166" s="1"/>
      <c r="H1166" s="4"/>
      <c r="I1166" s="4"/>
      <c r="J1166" s="4"/>
      <c r="K1166" s="4"/>
      <c r="L1166" s="4"/>
      <c r="M1166" s="4"/>
      <c r="N1166" s="3"/>
      <c r="O1166" s="1"/>
      <c r="P1166" s="1"/>
      <c r="Q1166" s="4"/>
      <c r="R1166" s="5"/>
      <c r="S1166" s="4"/>
      <c r="T1166" s="1"/>
      <c r="U1166" s="1"/>
      <c r="V1166" s="1"/>
      <c r="W1166" s="1"/>
      <c r="X1166" s="1"/>
      <c r="Y1166" s="6"/>
      <c r="Z1166" s="4"/>
      <c r="AA1166" s="4"/>
      <c r="AB1166" s="4"/>
      <c r="AC1166" s="1"/>
      <c r="AD1166" s="1"/>
      <c r="AE1166" s="1"/>
      <c r="AF1166" s="1"/>
      <c r="AG1166" s="1"/>
      <c r="AH1166" s="4"/>
      <c r="AI1166" s="1"/>
      <c r="AJ1166" s="3"/>
      <c r="AK1166" s="4"/>
      <c r="AL1166" s="6"/>
      <c r="AM1166" s="7"/>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row>
    <row r="1167" spans="1:64" ht="16.5" customHeight="1">
      <c r="A1167" s="1"/>
      <c r="B1167" s="139"/>
      <c r="C1167" s="1"/>
      <c r="D1167" s="1"/>
      <c r="E1167" s="1"/>
      <c r="F1167" s="1"/>
      <c r="G1167" s="1"/>
      <c r="H1167" s="4"/>
      <c r="I1167" s="4"/>
      <c r="J1167" s="4"/>
      <c r="K1167" s="4"/>
      <c r="L1167" s="4"/>
      <c r="M1167" s="4"/>
      <c r="N1167" s="3"/>
      <c r="O1167" s="1"/>
      <c r="P1167" s="1"/>
      <c r="Q1167" s="4"/>
      <c r="R1167" s="5"/>
      <c r="S1167" s="4"/>
      <c r="T1167" s="1"/>
      <c r="U1167" s="1"/>
      <c r="V1167" s="1"/>
      <c r="W1167" s="1"/>
      <c r="X1167" s="1"/>
      <c r="Y1167" s="6"/>
      <c r="Z1167" s="4"/>
      <c r="AA1167" s="4"/>
      <c r="AB1167" s="4"/>
      <c r="AC1167" s="1"/>
      <c r="AD1167" s="1"/>
      <c r="AE1167" s="1"/>
      <c r="AF1167" s="1"/>
      <c r="AG1167" s="1"/>
      <c r="AH1167" s="4"/>
      <c r="AI1167" s="1"/>
      <c r="AJ1167" s="3"/>
      <c r="AK1167" s="4"/>
      <c r="AL1167" s="6"/>
      <c r="AM1167" s="7"/>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row>
    <row r="1168" spans="1:64" ht="16.5" customHeight="1">
      <c r="A1168" s="1"/>
      <c r="B1168" s="139"/>
      <c r="C1168" s="1"/>
      <c r="D1168" s="1"/>
      <c r="E1168" s="1"/>
      <c r="F1168" s="1"/>
      <c r="G1168" s="1"/>
      <c r="H1168" s="4"/>
      <c r="I1168" s="4"/>
      <c r="J1168" s="4"/>
      <c r="K1168" s="4"/>
      <c r="L1168" s="4"/>
      <c r="M1168" s="4"/>
      <c r="N1168" s="3"/>
      <c r="O1168" s="1"/>
      <c r="P1168" s="1"/>
      <c r="Q1168" s="4"/>
      <c r="R1168" s="5"/>
      <c r="S1168" s="4"/>
      <c r="T1168" s="1"/>
      <c r="U1168" s="1"/>
      <c r="V1168" s="1"/>
      <c r="W1168" s="1"/>
      <c r="X1168" s="1"/>
      <c r="Y1168" s="6"/>
      <c r="Z1168" s="4"/>
      <c r="AA1168" s="4"/>
      <c r="AB1168" s="4"/>
      <c r="AC1168" s="1"/>
      <c r="AD1168" s="1"/>
      <c r="AE1168" s="1"/>
      <c r="AF1168" s="1"/>
      <c r="AG1168" s="1"/>
      <c r="AH1168" s="4"/>
      <c r="AI1168" s="1"/>
      <c r="AJ1168" s="3"/>
      <c r="AK1168" s="4"/>
      <c r="AL1168" s="6"/>
      <c r="AM1168" s="7"/>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row>
    <row r="1169" spans="1:64" ht="16.5" customHeight="1">
      <c r="A1169" s="1"/>
      <c r="B1169" s="139"/>
      <c r="C1169" s="1"/>
      <c r="D1169" s="1"/>
      <c r="E1169" s="1"/>
      <c r="F1169" s="1"/>
      <c r="G1169" s="1"/>
      <c r="H1169" s="4"/>
      <c r="I1169" s="4"/>
      <c r="J1169" s="4"/>
      <c r="K1169" s="4"/>
      <c r="L1169" s="4"/>
      <c r="M1169" s="4"/>
      <c r="N1169" s="3"/>
      <c r="O1169" s="1"/>
      <c r="P1169" s="1"/>
      <c r="Q1169" s="4"/>
      <c r="R1169" s="5"/>
      <c r="S1169" s="4"/>
      <c r="T1169" s="1"/>
      <c r="U1169" s="1"/>
      <c r="V1169" s="1"/>
      <c r="W1169" s="1"/>
      <c r="X1169" s="1"/>
      <c r="Y1169" s="6"/>
      <c r="Z1169" s="4"/>
      <c r="AA1169" s="4"/>
      <c r="AB1169" s="4"/>
      <c r="AC1169" s="1"/>
      <c r="AD1169" s="1"/>
      <c r="AE1169" s="1"/>
      <c r="AF1169" s="1"/>
      <c r="AG1169" s="1"/>
      <c r="AH1169" s="4"/>
      <c r="AI1169" s="1"/>
      <c r="AJ1169" s="3"/>
      <c r="AK1169" s="4"/>
      <c r="AL1169" s="6"/>
      <c r="AM1169" s="7"/>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row>
    <row r="1170" spans="1:64" ht="16.5" customHeight="1">
      <c r="A1170" s="1"/>
      <c r="B1170" s="139"/>
      <c r="C1170" s="1"/>
      <c r="D1170" s="1"/>
      <c r="E1170" s="1"/>
      <c r="F1170" s="1"/>
      <c r="G1170" s="1"/>
      <c r="H1170" s="4"/>
      <c r="I1170" s="4"/>
      <c r="J1170" s="4"/>
      <c r="K1170" s="4"/>
      <c r="L1170" s="4"/>
      <c r="M1170" s="4"/>
      <c r="N1170" s="3"/>
      <c r="O1170" s="1"/>
      <c r="P1170" s="1"/>
      <c r="Q1170" s="4"/>
      <c r="R1170" s="5"/>
      <c r="S1170" s="4"/>
      <c r="T1170" s="1"/>
      <c r="U1170" s="1"/>
      <c r="V1170" s="1"/>
      <c r="W1170" s="1"/>
      <c r="X1170" s="1"/>
      <c r="Y1170" s="6"/>
      <c r="Z1170" s="4"/>
      <c r="AA1170" s="4"/>
      <c r="AB1170" s="4"/>
      <c r="AC1170" s="1"/>
      <c r="AD1170" s="1"/>
      <c r="AE1170" s="1"/>
      <c r="AF1170" s="1"/>
      <c r="AG1170" s="1"/>
      <c r="AH1170" s="4"/>
      <c r="AI1170" s="1"/>
      <c r="AJ1170" s="3"/>
      <c r="AK1170" s="4"/>
      <c r="AL1170" s="6"/>
      <c r="AM1170" s="7"/>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row>
    <row r="1171" spans="1:64" ht="16.5" customHeight="1">
      <c r="A1171" s="1"/>
      <c r="B1171" s="139"/>
      <c r="C1171" s="1"/>
      <c r="D1171" s="1"/>
      <c r="E1171" s="1"/>
      <c r="F1171" s="1"/>
      <c r="G1171" s="1"/>
      <c r="H1171" s="4"/>
      <c r="I1171" s="4"/>
      <c r="J1171" s="4"/>
      <c r="K1171" s="4"/>
      <c r="L1171" s="4"/>
      <c r="M1171" s="4"/>
      <c r="N1171" s="3"/>
      <c r="O1171" s="1"/>
      <c r="P1171" s="1"/>
      <c r="Q1171" s="4"/>
      <c r="R1171" s="5"/>
      <c r="S1171" s="4"/>
      <c r="T1171" s="1"/>
      <c r="U1171" s="1"/>
      <c r="V1171" s="1"/>
      <c r="W1171" s="1"/>
      <c r="X1171" s="1"/>
      <c r="Y1171" s="6"/>
      <c r="Z1171" s="4"/>
      <c r="AA1171" s="4"/>
      <c r="AB1171" s="4"/>
      <c r="AC1171" s="1"/>
      <c r="AD1171" s="1"/>
      <c r="AE1171" s="1"/>
      <c r="AF1171" s="1"/>
      <c r="AG1171" s="1"/>
      <c r="AH1171" s="4"/>
      <c r="AI1171" s="1"/>
      <c r="AJ1171" s="3"/>
      <c r="AK1171" s="4"/>
      <c r="AL1171" s="6"/>
      <c r="AM1171" s="7"/>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row>
    <row r="1172" spans="1:64" ht="16.5" customHeight="1">
      <c r="A1172" s="1"/>
      <c r="B1172" s="139"/>
      <c r="C1172" s="1"/>
      <c r="D1172" s="1"/>
      <c r="E1172" s="1"/>
      <c r="F1172" s="1"/>
      <c r="G1172" s="1"/>
      <c r="H1172" s="4"/>
      <c r="I1172" s="4"/>
      <c r="J1172" s="4"/>
      <c r="K1172" s="4"/>
      <c r="L1172" s="4"/>
      <c r="M1172" s="4"/>
      <c r="N1172" s="3"/>
      <c r="O1172" s="1"/>
      <c r="P1172" s="1"/>
      <c r="Q1172" s="4"/>
      <c r="R1172" s="5"/>
      <c r="S1172" s="4"/>
      <c r="T1172" s="1"/>
      <c r="U1172" s="1"/>
      <c r="V1172" s="1"/>
      <c r="W1172" s="1"/>
      <c r="X1172" s="1"/>
      <c r="Y1172" s="6"/>
      <c r="Z1172" s="4"/>
      <c r="AA1172" s="4"/>
      <c r="AB1172" s="4"/>
      <c r="AC1172" s="1"/>
      <c r="AD1172" s="1"/>
      <c r="AE1172" s="1"/>
      <c r="AF1172" s="1"/>
      <c r="AG1172" s="1"/>
      <c r="AH1172" s="4"/>
      <c r="AI1172" s="1"/>
      <c r="AJ1172" s="3"/>
      <c r="AK1172" s="4"/>
      <c r="AL1172" s="6"/>
      <c r="AM1172" s="7"/>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row>
    <row r="1173" spans="1:64" ht="16.5" customHeight="1">
      <c r="A1173" s="1"/>
      <c r="B1173" s="139"/>
      <c r="C1173" s="1"/>
      <c r="D1173" s="1"/>
      <c r="E1173" s="1"/>
      <c r="F1173" s="1"/>
      <c r="G1173" s="1"/>
      <c r="H1173" s="4"/>
      <c r="I1173" s="4"/>
      <c r="J1173" s="4"/>
      <c r="K1173" s="4"/>
      <c r="L1173" s="4"/>
      <c r="M1173" s="4"/>
      <c r="N1173" s="3"/>
      <c r="O1173" s="1"/>
      <c r="P1173" s="1"/>
      <c r="Q1173" s="4"/>
      <c r="R1173" s="5"/>
      <c r="S1173" s="4"/>
      <c r="T1173" s="1"/>
      <c r="U1173" s="1"/>
      <c r="V1173" s="1"/>
      <c r="W1173" s="1"/>
      <c r="X1173" s="1"/>
      <c r="Y1173" s="6"/>
      <c r="Z1173" s="4"/>
      <c r="AA1173" s="4"/>
      <c r="AB1173" s="4"/>
      <c r="AC1173" s="1"/>
      <c r="AD1173" s="1"/>
      <c r="AE1173" s="1"/>
      <c r="AF1173" s="1"/>
      <c r="AG1173" s="1"/>
      <c r="AH1173" s="4"/>
      <c r="AI1173" s="1"/>
      <c r="AJ1173" s="3"/>
      <c r="AK1173" s="4"/>
      <c r="AL1173" s="6"/>
      <c r="AM1173" s="7"/>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row>
    <row r="1174" spans="1:64" ht="16.5" customHeight="1">
      <c r="A1174" s="1"/>
      <c r="B1174" s="139"/>
      <c r="C1174" s="1"/>
      <c r="D1174" s="1"/>
      <c r="E1174" s="1"/>
      <c r="F1174" s="1"/>
      <c r="G1174" s="1"/>
      <c r="H1174" s="4"/>
      <c r="I1174" s="4"/>
      <c r="J1174" s="4"/>
      <c r="K1174" s="4"/>
      <c r="L1174" s="4"/>
      <c r="M1174" s="4"/>
      <c r="N1174" s="3"/>
      <c r="O1174" s="1"/>
      <c r="P1174" s="1"/>
      <c r="Q1174" s="4"/>
      <c r="R1174" s="5"/>
      <c r="S1174" s="4"/>
      <c r="T1174" s="1"/>
      <c r="U1174" s="1"/>
      <c r="V1174" s="1"/>
      <c r="W1174" s="1"/>
      <c r="X1174" s="1"/>
      <c r="Y1174" s="6"/>
      <c r="Z1174" s="4"/>
      <c r="AA1174" s="4"/>
      <c r="AB1174" s="4"/>
      <c r="AC1174" s="1"/>
      <c r="AD1174" s="1"/>
      <c r="AE1174" s="1"/>
      <c r="AF1174" s="1"/>
      <c r="AG1174" s="1"/>
      <c r="AH1174" s="4"/>
      <c r="AI1174" s="1"/>
      <c r="AJ1174" s="3"/>
      <c r="AK1174" s="4"/>
      <c r="AL1174" s="6"/>
      <c r="AM1174" s="7"/>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row>
    <row r="1175" spans="1:64" ht="16.5" customHeight="1">
      <c r="A1175" s="1"/>
      <c r="B1175" s="139"/>
      <c r="C1175" s="1"/>
      <c r="D1175" s="1"/>
      <c r="E1175" s="1"/>
      <c r="F1175" s="1"/>
      <c r="G1175" s="1"/>
      <c r="H1175" s="4"/>
      <c r="I1175" s="4"/>
      <c r="J1175" s="4"/>
      <c r="K1175" s="4"/>
      <c r="L1175" s="4"/>
      <c r="M1175" s="4"/>
      <c r="N1175" s="3"/>
      <c r="O1175" s="1"/>
      <c r="P1175" s="1"/>
      <c r="Q1175" s="4"/>
      <c r="R1175" s="5"/>
      <c r="S1175" s="4"/>
      <c r="T1175" s="1"/>
      <c r="U1175" s="1"/>
      <c r="V1175" s="1"/>
      <c r="W1175" s="1"/>
      <c r="X1175" s="1"/>
      <c r="Y1175" s="6"/>
      <c r="Z1175" s="4"/>
      <c r="AA1175" s="4"/>
      <c r="AB1175" s="4"/>
      <c r="AC1175" s="1"/>
      <c r="AD1175" s="1"/>
      <c r="AE1175" s="1"/>
      <c r="AF1175" s="1"/>
      <c r="AG1175" s="1"/>
      <c r="AH1175" s="4"/>
      <c r="AI1175" s="1"/>
      <c r="AJ1175" s="3"/>
      <c r="AK1175" s="4"/>
      <c r="AL1175" s="6"/>
      <c r="AM1175" s="7"/>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row>
    <row r="1176" spans="1:64" ht="16.5" customHeight="1">
      <c r="A1176" s="1"/>
      <c r="B1176" s="139"/>
      <c r="C1176" s="1"/>
      <c r="D1176" s="1"/>
      <c r="E1176" s="1"/>
      <c r="F1176" s="1"/>
      <c r="G1176" s="1"/>
      <c r="H1176" s="4"/>
      <c r="I1176" s="4"/>
      <c r="J1176" s="4"/>
      <c r="K1176" s="4"/>
      <c r="L1176" s="4"/>
      <c r="M1176" s="4"/>
      <c r="N1176" s="3"/>
      <c r="O1176" s="1"/>
      <c r="P1176" s="1"/>
      <c r="Q1176" s="4"/>
      <c r="R1176" s="5"/>
      <c r="S1176" s="4"/>
      <c r="T1176" s="1"/>
      <c r="U1176" s="1"/>
      <c r="V1176" s="1"/>
      <c r="W1176" s="1"/>
      <c r="X1176" s="1"/>
      <c r="Y1176" s="6"/>
      <c r="Z1176" s="4"/>
      <c r="AA1176" s="4"/>
      <c r="AB1176" s="4"/>
      <c r="AC1176" s="1"/>
      <c r="AD1176" s="1"/>
      <c r="AE1176" s="1"/>
      <c r="AF1176" s="1"/>
      <c r="AG1176" s="1"/>
      <c r="AH1176" s="4"/>
      <c r="AI1176" s="1"/>
      <c r="AJ1176" s="3"/>
      <c r="AK1176" s="4"/>
      <c r="AL1176" s="6"/>
      <c r="AM1176" s="7"/>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row>
    <row r="1177" spans="1:64" ht="16.5" customHeight="1">
      <c r="A1177" s="1"/>
      <c r="B1177" s="139"/>
      <c r="C1177" s="1"/>
      <c r="D1177" s="1"/>
      <c r="E1177" s="1"/>
      <c r="F1177" s="1"/>
      <c r="G1177" s="1"/>
      <c r="H1177" s="4"/>
      <c r="I1177" s="4"/>
      <c r="J1177" s="4"/>
      <c r="K1177" s="4"/>
      <c r="L1177" s="4"/>
      <c r="M1177" s="4"/>
      <c r="N1177" s="3"/>
      <c r="O1177" s="1"/>
      <c r="P1177" s="1"/>
      <c r="Q1177" s="4"/>
      <c r="R1177" s="5"/>
      <c r="S1177" s="4"/>
      <c r="T1177" s="1"/>
      <c r="U1177" s="1"/>
      <c r="V1177" s="1"/>
      <c r="W1177" s="1"/>
      <c r="X1177" s="1"/>
      <c r="Y1177" s="6"/>
      <c r="Z1177" s="4"/>
      <c r="AA1177" s="4"/>
      <c r="AB1177" s="4"/>
      <c r="AC1177" s="1"/>
      <c r="AD1177" s="1"/>
      <c r="AE1177" s="1"/>
      <c r="AF1177" s="1"/>
      <c r="AG1177" s="1"/>
      <c r="AH1177" s="4"/>
      <c r="AI1177" s="1"/>
      <c r="AJ1177" s="3"/>
      <c r="AK1177" s="4"/>
      <c r="AL1177" s="6"/>
      <c r="AM1177" s="7"/>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row>
    <row r="1178" spans="1:64" ht="16.5" customHeight="1">
      <c r="A1178" s="1"/>
      <c r="B1178" s="139"/>
      <c r="C1178" s="1"/>
      <c r="D1178" s="1"/>
      <c r="E1178" s="1"/>
      <c r="F1178" s="1"/>
      <c r="G1178" s="1"/>
      <c r="H1178" s="4"/>
      <c r="I1178" s="4"/>
      <c r="J1178" s="4"/>
      <c r="K1178" s="4"/>
      <c r="L1178" s="4"/>
      <c r="M1178" s="4"/>
      <c r="N1178" s="3"/>
      <c r="O1178" s="1"/>
      <c r="P1178" s="1"/>
      <c r="Q1178" s="4"/>
      <c r="R1178" s="5"/>
      <c r="S1178" s="4"/>
      <c r="T1178" s="1"/>
      <c r="U1178" s="1"/>
      <c r="V1178" s="1"/>
      <c r="W1178" s="1"/>
      <c r="X1178" s="1"/>
      <c r="Y1178" s="6"/>
      <c r="Z1178" s="4"/>
      <c r="AA1178" s="4"/>
      <c r="AB1178" s="4"/>
      <c r="AC1178" s="1"/>
      <c r="AD1178" s="1"/>
      <c r="AE1178" s="1"/>
      <c r="AF1178" s="1"/>
      <c r="AG1178" s="1"/>
      <c r="AH1178" s="4"/>
      <c r="AI1178" s="1"/>
      <c r="AJ1178" s="3"/>
      <c r="AK1178" s="4"/>
      <c r="AL1178" s="6"/>
      <c r="AM1178" s="7"/>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row>
    <row r="1179" spans="1:64" ht="16.5" customHeight="1">
      <c r="A1179" s="1"/>
      <c r="B1179" s="139"/>
      <c r="C1179" s="1"/>
      <c r="D1179" s="1"/>
      <c r="E1179" s="1"/>
      <c r="F1179" s="1"/>
      <c r="G1179" s="1"/>
      <c r="H1179" s="4"/>
      <c r="I1179" s="4"/>
      <c r="J1179" s="4"/>
      <c r="K1179" s="4"/>
      <c r="L1179" s="4"/>
      <c r="M1179" s="4"/>
      <c r="N1179" s="3"/>
      <c r="O1179" s="1"/>
      <c r="P1179" s="1"/>
      <c r="Q1179" s="4"/>
      <c r="R1179" s="5"/>
      <c r="S1179" s="4"/>
      <c r="T1179" s="1"/>
      <c r="U1179" s="1"/>
      <c r="V1179" s="1"/>
      <c r="W1179" s="1"/>
      <c r="X1179" s="1"/>
      <c r="Y1179" s="6"/>
      <c r="Z1179" s="4"/>
      <c r="AA1179" s="4"/>
      <c r="AB1179" s="4"/>
      <c r="AC1179" s="1"/>
      <c r="AD1179" s="1"/>
      <c r="AE1179" s="1"/>
      <c r="AF1179" s="1"/>
      <c r="AG1179" s="1"/>
      <c r="AH1179" s="4"/>
      <c r="AI1179" s="1"/>
      <c r="AJ1179" s="3"/>
      <c r="AK1179" s="4"/>
      <c r="AL1179" s="6"/>
      <c r="AM1179" s="7"/>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row>
    <row r="1180" spans="1:64" ht="16.5" customHeight="1">
      <c r="A1180" s="1"/>
      <c r="B1180" s="139"/>
      <c r="C1180" s="1"/>
      <c r="D1180" s="1"/>
      <c r="E1180" s="1"/>
      <c r="F1180" s="1"/>
      <c r="G1180" s="1"/>
      <c r="H1180" s="4"/>
      <c r="I1180" s="4"/>
      <c r="J1180" s="4"/>
      <c r="K1180" s="4"/>
      <c r="L1180" s="4"/>
      <c r="M1180" s="4"/>
      <c r="N1180" s="3"/>
      <c r="O1180" s="1"/>
      <c r="P1180" s="1"/>
      <c r="Q1180" s="4"/>
      <c r="R1180" s="5"/>
      <c r="S1180" s="4"/>
      <c r="T1180" s="1"/>
      <c r="U1180" s="1"/>
      <c r="V1180" s="1"/>
      <c r="W1180" s="1"/>
      <c r="X1180" s="1"/>
      <c r="Y1180" s="6"/>
      <c r="Z1180" s="4"/>
      <c r="AA1180" s="4"/>
      <c r="AB1180" s="4"/>
      <c r="AC1180" s="1"/>
      <c r="AD1180" s="1"/>
      <c r="AE1180" s="1"/>
      <c r="AF1180" s="1"/>
      <c r="AG1180" s="1"/>
      <c r="AH1180" s="4"/>
      <c r="AI1180" s="1"/>
      <c r="AJ1180" s="3"/>
      <c r="AK1180" s="4"/>
      <c r="AL1180" s="6"/>
      <c r="AM1180" s="7"/>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row>
    <row r="1181" spans="1:64" ht="16.5" customHeight="1">
      <c r="A1181" s="1"/>
      <c r="B1181" s="139"/>
      <c r="C1181" s="1"/>
      <c r="D1181" s="1"/>
      <c r="E1181" s="1"/>
      <c r="F1181" s="1"/>
      <c r="G1181" s="1"/>
      <c r="H1181" s="4"/>
      <c r="I1181" s="4"/>
      <c r="J1181" s="4"/>
      <c r="K1181" s="4"/>
      <c r="L1181" s="4"/>
      <c r="M1181" s="4"/>
      <c r="N1181" s="3"/>
      <c r="O1181" s="1"/>
      <c r="P1181" s="1"/>
      <c r="Q1181" s="4"/>
      <c r="R1181" s="5"/>
      <c r="S1181" s="4"/>
      <c r="T1181" s="1"/>
      <c r="U1181" s="1"/>
      <c r="V1181" s="1"/>
      <c r="W1181" s="1"/>
      <c r="X1181" s="1"/>
      <c r="Y1181" s="6"/>
      <c r="Z1181" s="4"/>
      <c r="AA1181" s="4"/>
      <c r="AB1181" s="4"/>
      <c r="AC1181" s="1"/>
      <c r="AD1181" s="1"/>
      <c r="AE1181" s="1"/>
      <c r="AF1181" s="1"/>
      <c r="AG1181" s="1"/>
      <c r="AH1181" s="4"/>
      <c r="AI1181" s="1"/>
      <c r="AJ1181" s="3"/>
      <c r="AK1181" s="4"/>
      <c r="AL1181" s="6"/>
      <c r="AM1181" s="7"/>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row>
    <row r="1182" spans="1:64" ht="16.5" customHeight="1">
      <c r="A1182" s="1"/>
      <c r="B1182" s="139"/>
      <c r="C1182" s="1"/>
      <c r="D1182" s="1"/>
      <c r="E1182" s="1"/>
      <c r="F1182" s="1"/>
      <c r="G1182" s="1"/>
      <c r="H1182" s="4"/>
      <c r="I1182" s="4"/>
      <c r="J1182" s="4"/>
      <c r="K1182" s="4"/>
      <c r="L1182" s="4"/>
      <c r="M1182" s="4"/>
      <c r="N1182" s="3"/>
      <c r="O1182" s="1"/>
      <c r="P1182" s="1"/>
      <c r="Q1182" s="4"/>
      <c r="R1182" s="5"/>
      <c r="S1182" s="4"/>
      <c r="T1182" s="1"/>
      <c r="U1182" s="1"/>
      <c r="V1182" s="1"/>
      <c r="W1182" s="1"/>
      <c r="X1182" s="1"/>
      <c r="Y1182" s="6"/>
      <c r="Z1182" s="4"/>
      <c r="AA1182" s="4"/>
      <c r="AB1182" s="4"/>
      <c r="AC1182" s="1"/>
      <c r="AD1182" s="1"/>
      <c r="AE1182" s="1"/>
      <c r="AF1182" s="1"/>
      <c r="AG1182" s="1"/>
      <c r="AH1182" s="4"/>
      <c r="AI1182" s="1"/>
      <c r="AJ1182" s="3"/>
      <c r="AK1182" s="4"/>
      <c r="AL1182" s="6"/>
      <c r="AM1182" s="7"/>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row>
    <row r="1183" spans="1:64" ht="16.5" customHeight="1">
      <c r="A1183" s="1"/>
      <c r="B1183" s="139"/>
      <c r="C1183" s="1"/>
      <c r="D1183" s="1"/>
      <c r="E1183" s="1"/>
      <c r="F1183" s="1"/>
      <c r="G1183" s="1"/>
      <c r="H1183" s="4"/>
      <c r="I1183" s="4"/>
      <c r="J1183" s="4"/>
      <c r="K1183" s="4"/>
      <c r="L1183" s="4"/>
      <c r="M1183" s="4"/>
      <c r="N1183" s="3"/>
      <c r="O1183" s="1"/>
      <c r="P1183" s="1"/>
      <c r="Q1183" s="4"/>
      <c r="R1183" s="5"/>
      <c r="S1183" s="4"/>
      <c r="T1183" s="1"/>
      <c r="U1183" s="1"/>
      <c r="V1183" s="1"/>
      <c r="W1183" s="1"/>
      <c r="X1183" s="1"/>
      <c r="Y1183" s="6"/>
      <c r="Z1183" s="4"/>
      <c r="AA1183" s="4"/>
      <c r="AB1183" s="4"/>
      <c r="AC1183" s="1"/>
      <c r="AD1183" s="1"/>
      <c r="AE1183" s="1"/>
      <c r="AF1183" s="1"/>
      <c r="AG1183" s="1"/>
      <c r="AH1183" s="4"/>
      <c r="AI1183" s="1"/>
      <c r="AJ1183" s="3"/>
      <c r="AK1183" s="4"/>
      <c r="AL1183" s="6"/>
      <c r="AM1183" s="7"/>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row>
    <row r="1184" spans="1:64" ht="16.5" customHeight="1">
      <c r="A1184" s="1"/>
      <c r="B1184" s="139"/>
      <c r="C1184" s="1"/>
      <c r="D1184" s="1"/>
      <c r="E1184" s="1"/>
      <c r="F1184" s="1"/>
      <c r="G1184" s="1"/>
      <c r="H1184" s="4"/>
      <c r="I1184" s="4"/>
      <c r="J1184" s="4"/>
      <c r="K1184" s="4"/>
      <c r="L1184" s="4"/>
      <c r="M1184" s="4"/>
      <c r="N1184" s="3"/>
      <c r="O1184" s="1"/>
      <c r="P1184" s="1"/>
      <c r="Q1184" s="4"/>
      <c r="R1184" s="5"/>
      <c r="S1184" s="4"/>
      <c r="T1184" s="1"/>
      <c r="U1184" s="1"/>
      <c r="V1184" s="1"/>
      <c r="W1184" s="1"/>
      <c r="X1184" s="1"/>
      <c r="Y1184" s="6"/>
      <c r="Z1184" s="4"/>
      <c r="AA1184" s="4"/>
      <c r="AB1184" s="4"/>
      <c r="AC1184" s="1"/>
      <c r="AD1184" s="1"/>
      <c r="AE1184" s="1"/>
      <c r="AF1184" s="1"/>
      <c r="AG1184" s="1"/>
      <c r="AH1184" s="4"/>
      <c r="AI1184" s="1"/>
      <c r="AJ1184" s="3"/>
      <c r="AK1184" s="4"/>
      <c r="AL1184" s="6"/>
      <c r="AM1184" s="7"/>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row>
    <row r="1185" spans="1:64" ht="16.5" customHeight="1">
      <c r="A1185" s="1"/>
      <c r="B1185" s="139"/>
      <c r="C1185" s="1"/>
      <c r="D1185" s="1"/>
      <c r="E1185" s="1"/>
      <c r="F1185" s="1"/>
      <c r="G1185" s="1"/>
      <c r="H1185" s="4"/>
      <c r="I1185" s="4"/>
      <c r="J1185" s="4"/>
      <c r="K1185" s="4"/>
      <c r="L1185" s="4"/>
      <c r="M1185" s="4"/>
      <c r="N1185" s="3"/>
      <c r="O1185" s="1"/>
      <c r="P1185" s="1"/>
      <c r="Q1185" s="4"/>
      <c r="R1185" s="5"/>
      <c r="S1185" s="4"/>
      <c r="T1185" s="1"/>
      <c r="U1185" s="1"/>
      <c r="V1185" s="1"/>
      <c r="W1185" s="1"/>
      <c r="X1185" s="1"/>
      <c r="Y1185" s="6"/>
      <c r="Z1185" s="4"/>
      <c r="AA1185" s="4"/>
      <c r="AB1185" s="4"/>
      <c r="AC1185" s="1"/>
      <c r="AD1185" s="1"/>
      <c r="AE1185" s="1"/>
      <c r="AF1185" s="1"/>
      <c r="AG1185" s="1"/>
      <c r="AH1185" s="4"/>
      <c r="AI1185" s="1"/>
      <c r="AJ1185" s="3"/>
      <c r="AK1185" s="4"/>
      <c r="AL1185" s="6"/>
      <c r="AM1185" s="7"/>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row>
    <row r="1186" spans="1:64" ht="16.5" customHeight="1">
      <c r="A1186" s="1"/>
      <c r="B1186" s="139"/>
      <c r="C1186" s="1"/>
      <c r="D1186" s="1"/>
      <c r="E1186" s="1"/>
      <c r="F1186" s="1"/>
      <c r="G1186" s="1"/>
      <c r="H1186" s="4"/>
      <c r="I1186" s="4"/>
      <c r="J1186" s="4"/>
      <c r="K1186" s="4"/>
      <c r="L1186" s="4"/>
      <c r="M1186" s="4"/>
      <c r="N1186" s="3"/>
      <c r="O1186" s="1"/>
      <c r="P1186" s="1"/>
      <c r="Q1186" s="4"/>
      <c r="R1186" s="5"/>
      <c r="S1186" s="4"/>
      <c r="T1186" s="1"/>
      <c r="U1186" s="1"/>
      <c r="V1186" s="1"/>
      <c r="W1186" s="1"/>
      <c r="X1186" s="1"/>
      <c r="Y1186" s="6"/>
      <c r="Z1186" s="4"/>
      <c r="AA1186" s="4"/>
      <c r="AB1186" s="4"/>
      <c r="AC1186" s="1"/>
      <c r="AD1186" s="1"/>
      <c r="AE1186" s="1"/>
      <c r="AF1186" s="1"/>
      <c r="AG1186" s="1"/>
      <c r="AH1186" s="4"/>
      <c r="AI1186" s="1"/>
      <c r="AJ1186" s="3"/>
      <c r="AK1186" s="4"/>
      <c r="AL1186" s="6"/>
      <c r="AM1186" s="7"/>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row>
    <row r="1187" spans="1:64" ht="16.5" customHeight="1">
      <c r="A1187" s="1"/>
      <c r="B1187" s="139"/>
      <c r="C1187" s="1"/>
      <c r="D1187" s="1"/>
      <c r="E1187" s="1"/>
      <c r="F1187" s="1"/>
      <c r="G1187" s="1"/>
      <c r="H1187" s="4"/>
      <c r="I1187" s="4"/>
      <c r="J1187" s="4"/>
      <c r="K1187" s="4"/>
      <c r="L1187" s="4"/>
      <c r="M1187" s="4"/>
      <c r="N1187" s="3"/>
      <c r="O1187" s="1"/>
      <c r="P1187" s="1"/>
      <c r="Q1187" s="4"/>
      <c r="R1187" s="5"/>
      <c r="S1187" s="4"/>
      <c r="T1187" s="1"/>
      <c r="U1187" s="1"/>
      <c r="V1187" s="1"/>
      <c r="W1187" s="1"/>
      <c r="X1187" s="1"/>
      <c r="Y1187" s="6"/>
      <c r="Z1187" s="4"/>
      <c r="AA1187" s="4"/>
      <c r="AB1187" s="4"/>
      <c r="AC1187" s="1"/>
      <c r="AD1187" s="1"/>
      <c r="AE1187" s="1"/>
      <c r="AF1187" s="1"/>
      <c r="AG1187" s="1"/>
      <c r="AH1187" s="4"/>
      <c r="AI1187" s="1"/>
      <c r="AJ1187" s="3"/>
      <c r="AK1187" s="4"/>
      <c r="AL1187" s="6"/>
      <c r="AM1187" s="7"/>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row>
    <row r="1188" spans="1:64" ht="16.5" customHeight="1">
      <c r="A1188" s="1"/>
      <c r="B1188" s="139"/>
      <c r="C1188" s="1"/>
      <c r="D1188" s="1"/>
      <c r="E1188" s="1"/>
      <c r="F1188" s="1"/>
      <c r="G1188" s="1"/>
      <c r="H1188" s="4"/>
      <c r="I1188" s="4"/>
      <c r="J1188" s="4"/>
      <c r="K1188" s="4"/>
      <c r="L1188" s="4"/>
      <c r="M1188" s="4"/>
      <c r="N1188" s="3"/>
      <c r="O1188" s="1"/>
      <c r="P1188" s="1"/>
      <c r="Q1188" s="4"/>
      <c r="R1188" s="5"/>
      <c r="S1188" s="4"/>
      <c r="T1188" s="1"/>
      <c r="U1188" s="1"/>
      <c r="V1188" s="1"/>
      <c r="W1188" s="1"/>
      <c r="X1188" s="1"/>
      <c r="Y1188" s="6"/>
      <c r="Z1188" s="4"/>
      <c r="AA1188" s="4"/>
      <c r="AB1188" s="4"/>
      <c r="AC1188" s="1"/>
      <c r="AD1188" s="1"/>
      <c r="AE1188" s="1"/>
      <c r="AF1188" s="1"/>
      <c r="AG1188" s="1"/>
      <c r="AH1188" s="4"/>
      <c r="AI1188" s="1"/>
      <c r="AJ1188" s="3"/>
      <c r="AK1188" s="4"/>
      <c r="AL1188" s="6"/>
      <c r="AM1188" s="7"/>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row>
    <row r="1189" spans="1:64" ht="16.5" customHeight="1">
      <c r="A1189" s="1"/>
      <c r="B1189" s="139"/>
      <c r="C1189" s="1"/>
      <c r="D1189" s="1"/>
      <c r="E1189" s="1"/>
      <c r="F1189" s="1"/>
      <c r="G1189" s="1"/>
      <c r="H1189" s="4"/>
      <c r="I1189" s="4"/>
      <c r="J1189" s="4"/>
      <c r="K1189" s="4"/>
      <c r="L1189" s="4"/>
      <c r="M1189" s="4"/>
      <c r="N1189" s="3"/>
      <c r="O1189" s="1"/>
      <c r="P1189" s="1"/>
      <c r="Q1189" s="4"/>
      <c r="R1189" s="5"/>
      <c r="S1189" s="4"/>
      <c r="T1189" s="1"/>
      <c r="U1189" s="1"/>
      <c r="V1189" s="1"/>
      <c r="W1189" s="1"/>
      <c r="X1189" s="1"/>
      <c r="Y1189" s="6"/>
      <c r="Z1189" s="4"/>
      <c r="AA1189" s="4"/>
      <c r="AB1189" s="4"/>
      <c r="AC1189" s="1"/>
      <c r="AD1189" s="1"/>
      <c r="AE1189" s="1"/>
      <c r="AF1189" s="1"/>
      <c r="AG1189" s="1"/>
      <c r="AH1189" s="4"/>
      <c r="AI1189" s="1"/>
      <c r="AJ1189" s="3"/>
      <c r="AK1189" s="4"/>
      <c r="AL1189" s="6"/>
      <c r="AM1189" s="7"/>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row>
    <row r="1190" spans="1:64" ht="16.5" customHeight="1">
      <c r="A1190" s="1"/>
      <c r="B1190" s="139"/>
      <c r="C1190" s="1"/>
      <c r="D1190" s="1"/>
      <c r="E1190" s="1"/>
      <c r="F1190" s="1"/>
      <c r="G1190" s="1"/>
      <c r="H1190" s="4"/>
      <c r="I1190" s="4"/>
      <c r="J1190" s="4"/>
      <c r="K1190" s="4"/>
      <c r="L1190" s="4"/>
      <c r="M1190" s="4"/>
      <c r="N1190" s="3"/>
      <c r="O1190" s="1"/>
      <c r="P1190" s="1"/>
      <c r="Q1190" s="4"/>
      <c r="R1190" s="5"/>
      <c r="S1190" s="4"/>
      <c r="T1190" s="1"/>
      <c r="U1190" s="1"/>
      <c r="V1190" s="1"/>
      <c r="W1190" s="1"/>
      <c r="X1190" s="1"/>
      <c r="Y1190" s="6"/>
      <c r="Z1190" s="4"/>
      <c r="AA1190" s="4"/>
      <c r="AB1190" s="4"/>
      <c r="AC1190" s="1"/>
      <c r="AD1190" s="1"/>
      <c r="AE1190" s="1"/>
      <c r="AF1190" s="1"/>
      <c r="AG1190" s="1"/>
      <c r="AH1190" s="4"/>
      <c r="AI1190" s="1"/>
      <c r="AJ1190" s="3"/>
      <c r="AK1190" s="4"/>
      <c r="AL1190" s="6"/>
      <c r="AM1190" s="7"/>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row>
    <row r="1191" spans="1:64" ht="16.5" customHeight="1">
      <c r="A1191" s="1"/>
      <c r="B1191" s="139"/>
      <c r="C1191" s="1"/>
      <c r="D1191" s="1"/>
      <c r="E1191" s="1"/>
      <c r="F1191" s="1"/>
      <c r="G1191" s="1"/>
      <c r="H1191" s="4"/>
      <c r="I1191" s="4"/>
      <c r="J1191" s="4"/>
      <c r="K1191" s="4"/>
      <c r="L1191" s="4"/>
      <c r="M1191" s="4"/>
      <c r="N1191" s="3"/>
      <c r="O1191" s="1"/>
      <c r="P1191" s="1"/>
      <c r="Q1191" s="4"/>
      <c r="R1191" s="5"/>
      <c r="S1191" s="4"/>
      <c r="T1191" s="1"/>
      <c r="U1191" s="1"/>
      <c r="V1191" s="1"/>
      <c r="W1191" s="1"/>
      <c r="X1191" s="1"/>
      <c r="Y1191" s="6"/>
      <c r="Z1191" s="4"/>
      <c r="AA1191" s="4"/>
      <c r="AB1191" s="4"/>
      <c r="AC1191" s="1"/>
      <c r="AD1191" s="1"/>
      <c r="AE1191" s="1"/>
      <c r="AF1191" s="1"/>
      <c r="AG1191" s="1"/>
      <c r="AH1191" s="4"/>
      <c r="AI1191" s="1"/>
      <c r="AJ1191" s="3"/>
      <c r="AK1191" s="4"/>
      <c r="AL1191" s="6"/>
      <c r="AM1191" s="7"/>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row>
    <row r="1192" spans="1:64" ht="16.5" customHeight="1">
      <c r="A1192" s="1"/>
      <c r="B1192" s="139"/>
      <c r="C1192" s="1"/>
      <c r="D1192" s="1"/>
      <c r="E1192" s="1"/>
      <c r="F1192" s="1"/>
      <c r="G1192" s="1"/>
      <c r="H1192" s="4"/>
      <c r="I1192" s="4"/>
      <c r="J1192" s="4"/>
      <c r="K1192" s="4"/>
      <c r="L1192" s="4"/>
      <c r="M1192" s="4"/>
      <c r="N1192" s="3"/>
      <c r="O1192" s="1"/>
      <c r="P1192" s="1"/>
      <c r="Q1192" s="4"/>
      <c r="R1192" s="5"/>
      <c r="S1192" s="4"/>
      <c r="T1192" s="1"/>
      <c r="U1192" s="1"/>
      <c r="V1192" s="1"/>
      <c r="W1192" s="1"/>
      <c r="X1192" s="1"/>
      <c r="Y1192" s="6"/>
      <c r="Z1192" s="4"/>
      <c r="AA1192" s="4"/>
      <c r="AB1192" s="4"/>
      <c r="AC1192" s="1"/>
      <c r="AD1192" s="1"/>
      <c r="AE1192" s="1"/>
      <c r="AF1192" s="1"/>
      <c r="AG1192" s="1"/>
      <c r="AH1192" s="4"/>
      <c r="AI1192" s="1"/>
      <c r="AJ1192" s="3"/>
      <c r="AK1192" s="4"/>
      <c r="AL1192" s="6"/>
      <c r="AM1192" s="7"/>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row>
    <row r="1193" spans="1:64" ht="16.5" customHeight="1">
      <c r="A1193" s="1"/>
      <c r="B1193" s="139"/>
      <c r="C1193" s="1"/>
      <c r="D1193" s="1"/>
      <c r="E1193" s="1"/>
      <c r="F1193" s="1"/>
      <c r="G1193" s="1"/>
      <c r="H1193" s="4"/>
      <c r="I1193" s="4"/>
      <c r="J1193" s="4"/>
      <c r="K1193" s="4"/>
      <c r="L1193" s="4"/>
      <c r="M1193" s="4"/>
      <c r="N1193" s="3"/>
      <c r="O1193" s="1"/>
      <c r="P1193" s="1"/>
      <c r="Q1193" s="4"/>
      <c r="R1193" s="5"/>
      <c r="S1193" s="4"/>
      <c r="T1193" s="1"/>
      <c r="U1193" s="1"/>
      <c r="V1193" s="1"/>
      <c r="W1193" s="1"/>
      <c r="X1193" s="1"/>
      <c r="Y1193" s="6"/>
      <c r="Z1193" s="4"/>
      <c r="AA1193" s="4"/>
      <c r="AB1193" s="4"/>
      <c r="AC1193" s="1"/>
      <c r="AD1193" s="1"/>
      <c r="AE1193" s="1"/>
      <c r="AF1193" s="1"/>
      <c r="AG1193" s="1"/>
      <c r="AH1193" s="4"/>
      <c r="AI1193" s="1"/>
      <c r="AJ1193" s="3"/>
      <c r="AK1193" s="4"/>
      <c r="AL1193" s="6"/>
      <c r="AM1193" s="7"/>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row>
    <row r="1194" spans="1:64" ht="16.5" customHeight="1">
      <c r="A1194" s="1"/>
      <c r="B1194" s="139"/>
      <c r="C1194" s="1"/>
      <c r="D1194" s="1"/>
      <c r="E1194" s="1"/>
      <c r="F1194" s="1"/>
      <c r="G1194" s="1"/>
      <c r="H1194" s="4"/>
      <c r="I1194" s="4"/>
      <c r="J1194" s="4"/>
      <c r="K1194" s="4"/>
      <c r="L1194" s="4"/>
      <c r="M1194" s="4"/>
      <c r="N1194" s="3"/>
      <c r="O1194" s="1"/>
      <c r="P1194" s="1"/>
      <c r="Q1194" s="4"/>
      <c r="R1194" s="5"/>
      <c r="S1194" s="4"/>
      <c r="T1194" s="1"/>
      <c r="U1194" s="1"/>
      <c r="V1194" s="1"/>
      <c r="W1194" s="1"/>
      <c r="X1194" s="1"/>
      <c r="Y1194" s="6"/>
      <c r="Z1194" s="4"/>
      <c r="AA1194" s="4"/>
      <c r="AB1194" s="4"/>
      <c r="AC1194" s="1"/>
      <c r="AD1194" s="1"/>
      <c r="AE1194" s="1"/>
      <c r="AF1194" s="1"/>
      <c r="AG1194" s="1"/>
      <c r="AH1194" s="4"/>
      <c r="AI1194" s="1"/>
      <c r="AJ1194" s="3"/>
      <c r="AK1194" s="4"/>
      <c r="AL1194" s="6"/>
      <c r="AM1194" s="7"/>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row>
    <row r="1195" spans="1:64" ht="16.5" customHeight="1">
      <c r="A1195" s="1"/>
      <c r="B1195" s="139"/>
      <c r="C1195" s="1"/>
      <c r="D1195" s="1"/>
      <c r="E1195" s="1"/>
      <c r="F1195" s="1"/>
      <c r="G1195" s="1"/>
      <c r="H1195" s="4"/>
      <c r="I1195" s="4"/>
      <c r="J1195" s="4"/>
      <c r="K1195" s="4"/>
      <c r="L1195" s="4"/>
      <c r="M1195" s="4"/>
      <c r="N1195" s="3"/>
      <c r="O1195" s="1"/>
      <c r="P1195" s="1"/>
      <c r="Q1195" s="4"/>
      <c r="R1195" s="5"/>
      <c r="S1195" s="4"/>
      <c r="T1195" s="1"/>
      <c r="U1195" s="1"/>
      <c r="V1195" s="1"/>
      <c r="W1195" s="1"/>
      <c r="X1195" s="1"/>
      <c r="Y1195" s="6"/>
      <c r="Z1195" s="4"/>
      <c r="AA1195" s="4"/>
      <c r="AB1195" s="4"/>
      <c r="AC1195" s="1"/>
      <c r="AD1195" s="1"/>
      <c r="AE1195" s="1"/>
      <c r="AF1195" s="1"/>
      <c r="AG1195" s="1"/>
      <c r="AH1195" s="4"/>
      <c r="AI1195" s="1"/>
      <c r="AJ1195" s="3"/>
      <c r="AK1195" s="4"/>
      <c r="AL1195" s="6"/>
      <c r="AM1195" s="7"/>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row>
    <row r="1196" spans="1:64" ht="16.5" customHeight="1">
      <c r="A1196" s="1"/>
      <c r="B1196" s="139"/>
      <c r="C1196" s="1"/>
      <c r="D1196" s="1"/>
      <c r="E1196" s="1"/>
      <c r="F1196" s="1"/>
      <c r="G1196" s="1"/>
      <c r="H1196" s="4"/>
      <c r="I1196" s="4"/>
      <c r="J1196" s="4"/>
      <c r="K1196" s="4"/>
      <c r="L1196" s="4"/>
      <c r="M1196" s="4"/>
      <c r="N1196" s="3"/>
      <c r="O1196" s="1"/>
      <c r="P1196" s="1"/>
      <c r="Q1196" s="4"/>
      <c r="R1196" s="5"/>
      <c r="S1196" s="4"/>
      <c r="T1196" s="1"/>
      <c r="U1196" s="1"/>
      <c r="V1196" s="1"/>
      <c r="W1196" s="1"/>
      <c r="X1196" s="1"/>
      <c r="Y1196" s="6"/>
      <c r="Z1196" s="4"/>
      <c r="AA1196" s="4"/>
      <c r="AB1196" s="4"/>
      <c r="AC1196" s="1"/>
      <c r="AD1196" s="1"/>
      <c r="AE1196" s="1"/>
      <c r="AF1196" s="1"/>
      <c r="AG1196" s="1"/>
      <c r="AH1196" s="4"/>
      <c r="AI1196" s="1"/>
      <c r="AJ1196" s="3"/>
      <c r="AK1196" s="4"/>
      <c r="AL1196" s="6"/>
      <c r="AM1196" s="7"/>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row>
    <row r="1197" spans="1:64" ht="16.5" customHeight="1">
      <c r="A1197" s="1"/>
      <c r="B1197" s="139"/>
      <c r="C1197" s="1"/>
      <c r="D1197" s="1"/>
      <c r="E1197" s="1"/>
      <c r="F1197" s="1"/>
      <c r="G1197" s="1"/>
      <c r="H1197" s="4"/>
      <c r="I1197" s="4"/>
      <c r="J1197" s="4"/>
      <c r="K1197" s="4"/>
      <c r="L1197" s="4"/>
      <c r="M1197" s="4"/>
      <c r="N1197" s="3"/>
      <c r="O1197" s="1"/>
      <c r="P1197" s="1"/>
      <c r="Q1197" s="4"/>
      <c r="R1197" s="5"/>
      <c r="S1197" s="4"/>
      <c r="T1197" s="1"/>
      <c r="U1197" s="1"/>
      <c r="V1197" s="1"/>
      <c r="W1197" s="1"/>
      <c r="X1197" s="1"/>
      <c r="Y1197" s="6"/>
      <c r="Z1197" s="4"/>
      <c r="AA1197" s="4"/>
      <c r="AB1197" s="4"/>
      <c r="AC1197" s="1"/>
      <c r="AD1197" s="1"/>
      <c r="AE1197" s="1"/>
      <c r="AF1197" s="1"/>
      <c r="AG1197" s="1"/>
      <c r="AH1197" s="4"/>
      <c r="AI1197" s="1"/>
      <c r="AJ1197" s="3"/>
      <c r="AK1197" s="4"/>
      <c r="AL1197" s="6"/>
      <c r="AM1197" s="7"/>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row>
    <row r="1198" spans="1:64" ht="16.5" customHeight="1">
      <c r="A1198" s="1"/>
      <c r="B1198" s="139"/>
      <c r="C1198" s="1"/>
      <c r="D1198" s="1"/>
      <c r="E1198" s="1"/>
      <c r="F1198" s="1"/>
      <c r="G1198" s="1"/>
      <c r="H1198" s="4"/>
      <c r="I1198" s="4"/>
      <c r="J1198" s="4"/>
      <c r="K1198" s="4"/>
      <c r="L1198" s="4"/>
      <c r="M1198" s="4"/>
      <c r="N1198" s="3"/>
      <c r="O1198" s="1"/>
      <c r="P1198" s="1"/>
      <c r="Q1198" s="4"/>
      <c r="R1198" s="5"/>
      <c r="S1198" s="4"/>
      <c r="T1198" s="1"/>
      <c r="U1198" s="1"/>
      <c r="V1198" s="1"/>
      <c r="W1198" s="1"/>
      <c r="X1198" s="1"/>
      <c r="Y1198" s="6"/>
      <c r="Z1198" s="4"/>
      <c r="AA1198" s="4"/>
      <c r="AB1198" s="4"/>
      <c r="AC1198" s="1"/>
      <c r="AD1198" s="1"/>
      <c r="AE1198" s="1"/>
      <c r="AF1198" s="1"/>
      <c r="AG1198" s="1"/>
      <c r="AH1198" s="4"/>
      <c r="AI1198" s="1"/>
      <c r="AJ1198" s="3"/>
      <c r="AK1198" s="4"/>
      <c r="AL1198" s="6"/>
      <c r="AM1198" s="7"/>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row>
    <row r="1199" spans="1:64" ht="16.5" customHeight="1">
      <c r="A1199" s="1"/>
      <c r="B1199" s="139"/>
      <c r="C1199" s="1"/>
      <c r="D1199" s="1"/>
      <c r="E1199" s="1"/>
      <c r="F1199" s="1"/>
      <c r="G1199" s="1"/>
      <c r="H1199" s="4"/>
      <c r="I1199" s="4"/>
      <c r="J1199" s="4"/>
      <c r="K1199" s="4"/>
      <c r="L1199" s="4"/>
      <c r="M1199" s="4"/>
      <c r="N1199" s="3"/>
      <c r="O1199" s="1"/>
      <c r="P1199" s="1"/>
      <c r="Q1199" s="4"/>
      <c r="R1199" s="5"/>
      <c r="S1199" s="4"/>
      <c r="T1199" s="1"/>
      <c r="U1199" s="1"/>
      <c r="V1199" s="1"/>
      <c r="W1199" s="1"/>
      <c r="X1199" s="1"/>
      <c r="Y1199" s="6"/>
      <c r="Z1199" s="4"/>
      <c r="AA1199" s="4"/>
      <c r="AB1199" s="4"/>
      <c r="AC1199" s="1"/>
      <c r="AD1199" s="1"/>
      <c r="AE1199" s="1"/>
      <c r="AF1199" s="1"/>
      <c r="AG1199" s="1"/>
      <c r="AH1199" s="4"/>
      <c r="AI1199" s="1"/>
      <c r="AJ1199" s="3"/>
      <c r="AK1199" s="4"/>
      <c r="AL1199" s="6"/>
      <c r="AM1199" s="7"/>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row>
    <row r="1200" spans="1:64" ht="16.5" customHeight="1">
      <c r="A1200" s="1"/>
      <c r="B1200" s="139"/>
      <c r="C1200" s="1"/>
      <c r="D1200" s="1"/>
      <c r="E1200" s="1"/>
      <c r="F1200" s="1"/>
      <c r="G1200" s="1"/>
      <c r="H1200" s="4"/>
      <c r="I1200" s="4"/>
      <c r="J1200" s="4"/>
      <c r="K1200" s="4"/>
      <c r="L1200" s="4"/>
      <c r="M1200" s="4"/>
      <c r="N1200" s="3"/>
      <c r="O1200" s="1"/>
      <c r="P1200" s="1"/>
      <c r="Q1200" s="4"/>
      <c r="R1200" s="5"/>
      <c r="S1200" s="4"/>
      <c r="T1200" s="1"/>
      <c r="U1200" s="1"/>
      <c r="V1200" s="1"/>
      <c r="W1200" s="1"/>
      <c r="X1200" s="1"/>
      <c r="Y1200" s="6"/>
      <c r="Z1200" s="4"/>
      <c r="AA1200" s="4"/>
      <c r="AB1200" s="4"/>
      <c r="AC1200" s="1"/>
      <c r="AD1200" s="1"/>
      <c r="AE1200" s="1"/>
      <c r="AF1200" s="1"/>
      <c r="AG1200" s="1"/>
      <c r="AH1200" s="4"/>
      <c r="AI1200" s="1"/>
      <c r="AJ1200" s="3"/>
      <c r="AK1200" s="4"/>
      <c r="AL1200" s="6"/>
      <c r="AM1200" s="7"/>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row>
    <row r="1201" spans="1:64" ht="16.5" customHeight="1">
      <c r="A1201" s="1"/>
      <c r="B1201" s="139"/>
      <c r="C1201" s="1"/>
      <c r="D1201" s="1"/>
      <c r="E1201" s="1"/>
      <c r="F1201" s="1"/>
      <c r="G1201" s="1"/>
      <c r="H1201" s="4"/>
      <c r="I1201" s="4"/>
      <c r="J1201" s="4"/>
      <c r="K1201" s="4"/>
      <c r="L1201" s="4"/>
      <c r="M1201" s="4"/>
      <c r="N1201" s="3"/>
      <c r="O1201" s="1"/>
      <c r="P1201" s="1"/>
      <c r="Q1201" s="4"/>
      <c r="R1201" s="5"/>
      <c r="S1201" s="4"/>
      <c r="T1201" s="1"/>
      <c r="U1201" s="1"/>
      <c r="V1201" s="1"/>
      <c r="W1201" s="1"/>
      <c r="X1201" s="1"/>
      <c r="Y1201" s="6"/>
      <c r="Z1201" s="4"/>
      <c r="AA1201" s="4"/>
      <c r="AB1201" s="4"/>
      <c r="AC1201" s="1"/>
      <c r="AD1201" s="1"/>
      <c r="AE1201" s="1"/>
      <c r="AF1201" s="1"/>
      <c r="AG1201" s="1"/>
      <c r="AH1201" s="4"/>
      <c r="AI1201" s="1"/>
      <c r="AJ1201" s="3"/>
      <c r="AK1201" s="4"/>
      <c r="AL1201" s="6"/>
      <c r="AM1201" s="7"/>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row>
    <row r="1202" spans="1:64" ht="16.5" customHeight="1">
      <c r="A1202" s="1"/>
      <c r="B1202" s="139"/>
      <c r="C1202" s="1"/>
      <c r="D1202" s="1"/>
      <c r="E1202" s="1"/>
      <c r="F1202" s="1"/>
      <c r="G1202" s="1"/>
      <c r="H1202" s="4"/>
      <c r="I1202" s="4"/>
      <c r="J1202" s="4"/>
      <c r="K1202" s="4"/>
      <c r="L1202" s="4"/>
      <c r="M1202" s="4"/>
      <c r="N1202" s="3"/>
      <c r="O1202" s="1"/>
      <c r="P1202" s="1"/>
      <c r="Q1202" s="4"/>
      <c r="R1202" s="5"/>
      <c r="S1202" s="4"/>
      <c r="T1202" s="1"/>
      <c r="U1202" s="1"/>
      <c r="V1202" s="1"/>
      <c r="W1202" s="1"/>
      <c r="X1202" s="1"/>
      <c r="Y1202" s="6"/>
      <c r="Z1202" s="4"/>
      <c r="AA1202" s="4"/>
      <c r="AB1202" s="4"/>
      <c r="AC1202" s="1"/>
      <c r="AD1202" s="1"/>
      <c r="AE1202" s="1"/>
      <c r="AF1202" s="1"/>
      <c r="AG1202" s="1"/>
      <c r="AH1202" s="4"/>
      <c r="AI1202" s="1"/>
      <c r="AJ1202" s="3"/>
      <c r="AK1202" s="4"/>
      <c r="AL1202" s="6"/>
      <c r="AM1202" s="7"/>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row>
    <row r="1203" spans="1:64" ht="16.5" customHeight="1">
      <c r="A1203" s="1"/>
      <c r="B1203" s="139"/>
      <c r="C1203" s="1"/>
      <c r="D1203" s="1"/>
      <c r="E1203" s="1"/>
      <c r="F1203" s="1"/>
      <c r="G1203" s="1"/>
      <c r="H1203" s="4"/>
      <c r="I1203" s="4"/>
      <c r="J1203" s="4"/>
      <c r="K1203" s="4"/>
      <c r="L1203" s="4"/>
      <c r="M1203" s="4"/>
      <c r="N1203" s="3"/>
      <c r="O1203" s="1"/>
      <c r="P1203" s="1"/>
      <c r="Q1203" s="4"/>
      <c r="R1203" s="5"/>
      <c r="S1203" s="4"/>
      <c r="T1203" s="1"/>
      <c r="U1203" s="1"/>
      <c r="V1203" s="1"/>
      <c r="W1203" s="1"/>
      <c r="X1203" s="1"/>
      <c r="Y1203" s="6"/>
      <c r="Z1203" s="4"/>
      <c r="AA1203" s="4"/>
      <c r="AB1203" s="4"/>
      <c r="AC1203" s="1"/>
      <c r="AD1203" s="1"/>
      <c r="AE1203" s="1"/>
      <c r="AF1203" s="1"/>
      <c r="AG1203" s="1"/>
      <c r="AH1203" s="4"/>
      <c r="AI1203" s="1"/>
      <c r="AJ1203" s="3"/>
      <c r="AK1203" s="4"/>
      <c r="AL1203" s="6"/>
      <c r="AM1203" s="7"/>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row>
    <row r="1204" spans="1:64" ht="16.5" customHeight="1">
      <c r="A1204" s="1"/>
      <c r="B1204" s="139"/>
      <c r="C1204" s="1"/>
      <c r="D1204" s="1"/>
      <c r="E1204" s="1"/>
      <c r="F1204" s="1"/>
      <c r="G1204" s="1"/>
      <c r="H1204" s="4"/>
      <c r="I1204" s="4"/>
      <c r="J1204" s="4"/>
      <c r="K1204" s="4"/>
      <c r="L1204" s="4"/>
      <c r="M1204" s="4"/>
      <c r="N1204" s="3"/>
      <c r="O1204" s="1"/>
      <c r="P1204" s="1"/>
      <c r="Q1204" s="4"/>
      <c r="R1204" s="5"/>
      <c r="S1204" s="4"/>
      <c r="T1204" s="1"/>
      <c r="U1204" s="1"/>
      <c r="V1204" s="1"/>
      <c r="W1204" s="1"/>
      <c r="X1204" s="1"/>
      <c r="Y1204" s="6"/>
      <c r="Z1204" s="4"/>
      <c r="AA1204" s="4"/>
      <c r="AB1204" s="4"/>
      <c r="AC1204" s="1"/>
      <c r="AD1204" s="1"/>
      <c r="AE1204" s="1"/>
      <c r="AF1204" s="1"/>
      <c r="AG1204" s="1"/>
      <c r="AH1204" s="4"/>
      <c r="AI1204" s="1"/>
      <c r="AJ1204" s="3"/>
      <c r="AK1204" s="4"/>
      <c r="AL1204" s="6"/>
      <c r="AM1204" s="7"/>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row>
    <row r="1205" spans="1:64" ht="16.5" customHeight="1">
      <c r="A1205" s="1"/>
      <c r="B1205" s="139"/>
      <c r="C1205" s="1"/>
      <c r="D1205" s="1"/>
      <c r="E1205" s="1"/>
      <c r="F1205" s="1"/>
      <c r="G1205" s="1"/>
      <c r="H1205" s="4"/>
      <c r="I1205" s="4"/>
      <c r="J1205" s="4"/>
      <c r="K1205" s="4"/>
      <c r="L1205" s="4"/>
      <c r="M1205" s="4"/>
      <c r="N1205" s="3"/>
      <c r="O1205" s="1"/>
      <c r="P1205" s="1"/>
      <c r="Q1205" s="4"/>
      <c r="R1205" s="5"/>
      <c r="S1205" s="4"/>
      <c r="T1205" s="1"/>
      <c r="U1205" s="1"/>
      <c r="V1205" s="1"/>
      <c r="W1205" s="1"/>
      <c r="X1205" s="1"/>
      <c r="Y1205" s="6"/>
      <c r="Z1205" s="4"/>
      <c r="AA1205" s="4"/>
      <c r="AB1205" s="4"/>
      <c r="AC1205" s="1"/>
      <c r="AD1205" s="1"/>
      <c r="AE1205" s="1"/>
      <c r="AF1205" s="1"/>
      <c r="AG1205" s="1"/>
      <c r="AH1205" s="4"/>
      <c r="AI1205" s="1"/>
      <c r="AJ1205" s="3"/>
      <c r="AK1205" s="4"/>
      <c r="AL1205" s="6"/>
      <c r="AM1205" s="7"/>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row>
    <row r="1206" spans="1:64" ht="16.5" customHeight="1">
      <c r="A1206" s="1"/>
      <c r="B1206" s="139"/>
      <c r="C1206" s="1"/>
      <c r="D1206" s="1"/>
      <c r="E1206" s="1"/>
      <c r="F1206" s="1"/>
      <c r="G1206" s="1"/>
      <c r="H1206" s="4"/>
      <c r="I1206" s="4"/>
      <c r="J1206" s="4"/>
      <c r="K1206" s="4"/>
      <c r="L1206" s="4"/>
      <c r="M1206" s="4"/>
      <c r="N1206" s="3"/>
      <c r="O1206" s="1"/>
      <c r="P1206" s="1"/>
      <c r="Q1206" s="4"/>
      <c r="R1206" s="5"/>
      <c r="S1206" s="4"/>
      <c r="T1206" s="1"/>
      <c r="U1206" s="1"/>
      <c r="V1206" s="1"/>
      <c r="W1206" s="1"/>
      <c r="X1206" s="1"/>
      <c r="Y1206" s="6"/>
      <c r="Z1206" s="4"/>
      <c r="AA1206" s="4"/>
      <c r="AB1206" s="4"/>
      <c r="AC1206" s="1"/>
      <c r="AD1206" s="1"/>
      <c r="AE1206" s="1"/>
      <c r="AF1206" s="1"/>
      <c r="AG1206" s="1"/>
      <c r="AH1206" s="4"/>
      <c r="AI1206" s="1"/>
      <c r="AJ1206" s="3"/>
      <c r="AK1206" s="4"/>
      <c r="AL1206" s="6"/>
      <c r="AM1206" s="7"/>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row>
    <row r="1207" spans="1:64" ht="16.5" customHeight="1">
      <c r="A1207" s="1"/>
      <c r="B1207" s="139"/>
      <c r="C1207" s="1"/>
      <c r="D1207" s="1"/>
      <c r="E1207" s="1"/>
      <c r="F1207" s="1"/>
      <c r="G1207" s="1"/>
      <c r="H1207" s="4"/>
      <c r="I1207" s="4"/>
      <c r="J1207" s="4"/>
      <c r="K1207" s="4"/>
      <c r="L1207" s="4"/>
      <c r="M1207" s="4"/>
      <c r="N1207" s="3"/>
      <c r="O1207" s="1"/>
      <c r="P1207" s="1"/>
      <c r="Q1207" s="4"/>
      <c r="R1207" s="5"/>
      <c r="S1207" s="4"/>
      <c r="T1207" s="1"/>
      <c r="U1207" s="1"/>
      <c r="V1207" s="1"/>
      <c r="W1207" s="1"/>
      <c r="X1207" s="1"/>
      <c r="Y1207" s="6"/>
      <c r="Z1207" s="4"/>
      <c r="AA1207" s="4"/>
      <c r="AB1207" s="4"/>
      <c r="AC1207" s="1"/>
      <c r="AD1207" s="1"/>
      <c r="AE1207" s="1"/>
      <c r="AF1207" s="1"/>
      <c r="AG1207" s="1"/>
      <c r="AH1207" s="4"/>
      <c r="AI1207" s="1"/>
      <c r="AJ1207" s="3"/>
      <c r="AK1207" s="4"/>
      <c r="AL1207" s="6"/>
      <c r="AM1207" s="7"/>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row>
    <row r="1208" spans="1:64" ht="16.5" customHeight="1">
      <c r="A1208" s="1"/>
      <c r="B1208" s="139"/>
      <c r="C1208" s="1"/>
      <c r="D1208" s="1"/>
      <c r="E1208" s="1"/>
      <c r="F1208" s="1"/>
      <c r="G1208" s="1"/>
      <c r="H1208" s="4"/>
      <c r="I1208" s="4"/>
      <c r="J1208" s="4"/>
      <c r="K1208" s="4"/>
      <c r="L1208" s="4"/>
      <c r="M1208" s="4"/>
      <c r="N1208" s="3"/>
      <c r="O1208" s="1"/>
      <c r="P1208" s="1"/>
      <c r="Q1208" s="4"/>
      <c r="R1208" s="5"/>
      <c r="S1208" s="4"/>
      <c r="T1208" s="1"/>
      <c r="U1208" s="1"/>
      <c r="V1208" s="1"/>
      <c r="W1208" s="1"/>
      <c r="X1208" s="1"/>
      <c r="Y1208" s="6"/>
      <c r="Z1208" s="4"/>
      <c r="AA1208" s="4"/>
      <c r="AB1208" s="4"/>
      <c r="AC1208" s="1"/>
      <c r="AD1208" s="1"/>
      <c r="AE1208" s="1"/>
      <c r="AF1208" s="1"/>
      <c r="AG1208" s="1"/>
      <c r="AH1208" s="4"/>
      <c r="AI1208" s="1"/>
      <c r="AJ1208" s="3"/>
      <c r="AK1208" s="4"/>
      <c r="AL1208" s="6"/>
      <c r="AM1208" s="7"/>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row>
    <row r="1209" spans="1:64" ht="16.5" customHeight="1">
      <c r="A1209" s="1"/>
      <c r="B1209" s="139"/>
      <c r="C1209" s="1"/>
      <c r="D1209" s="1"/>
      <c r="E1209" s="1"/>
      <c r="F1209" s="1"/>
      <c r="G1209" s="1"/>
      <c r="H1209" s="4"/>
      <c r="I1209" s="4"/>
      <c r="J1209" s="4"/>
      <c r="K1209" s="4"/>
      <c r="L1209" s="4"/>
      <c r="M1209" s="4"/>
      <c r="N1209" s="3"/>
      <c r="O1209" s="1"/>
      <c r="P1209" s="1"/>
      <c r="Q1209" s="4"/>
      <c r="R1209" s="5"/>
      <c r="S1209" s="4"/>
      <c r="T1209" s="1"/>
      <c r="U1209" s="1"/>
      <c r="V1209" s="1"/>
      <c r="W1209" s="1"/>
      <c r="X1209" s="1"/>
      <c r="Y1209" s="6"/>
      <c r="Z1209" s="4"/>
      <c r="AA1209" s="4"/>
      <c r="AB1209" s="4"/>
      <c r="AC1209" s="1"/>
      <c r="AD1209" s="1"/>
      <c r="AE1209" s="1"/>
      <c r="AF1209" s="1"/>
      <c r="AG1209" s="1"/>
      <c r="AH1209" s="4"/>
      <c r="AI1209" s="1"/>
      <c r="AJ1209" s="3"/>
      <c r="AK1209" s="4"/>
      <c r="AL1209" s="6"/>
      <c r="AM1209" s="7"/>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row>
    <row r="1210" spans="1:64" ht="16.5" customHeight="1">
      <c r="A1210" s="1"/>
      <c r="B1210" s="139"/>
      <c r="C1210" s="1"/>
      <c r="D1210" s="1"/>
      <c r="E1210" s="1"/>
      <c r="F1210" s="1"/>
      <c r="G1210" s="1"/>
      <c r="H1210" s="4"/>
      <c r="I1210" s="4"/>
      <c r="J1210" s="4"/>
      <c r="K1210" s="4"/>
      <c r="L1210" s="4"/>
      <c r="M1210" s="4"/>
      <c r="N1210" s="3"/>
      <c r="O1210" s="1"/>
      <c r="P1210" s="1"/>
      <c r="Q1210" s="4"/>
      <c r="R1210" s="5"/>
      <c r="S1210" s="4"/>
      <c r="T1210" s="1"/>
      <c r="U1210" s="1"/>
      <c r="V1210" s="1"/>
      <c r="W1210" s="1"/>
      <c r="X1210" s="1"/>
      <c r="Y1210" s="6"/>
      <c r="Z1210" s="4"/>
      <c r="AA1210" s="4"/>
      <c r="AB1210" s="4"/>
      <c r="AC1210" s="1"/>
      <c r="AD1210" s="1"/>
      <c r="AE1210" s="1"/>
      <c r="AF1210" s="1"/>
      <c r="AG1210" s="1"/>
      <c r="AH1210" s="4"/>
      <c r="AI1210" s="1"/>
      <c r="AJ1210" s="3"/>
      <c r="AK1210" s="4"/>
      <c r="AL1210" s="6"/>
      <c r="AM1210" s="7"/>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row>
    <row r="1211" spans="1:64" ht="16.5" customHeight="1">
      <c r="A1211" s="1"/>
      <c r="B1211" s="139"/>
      <c r="C1211" s="1"/>
      <c r="D1211" s="1"/>
      <c r="E1211" s="1"/>
      <c r="F1211" s="1"/>
      <c r="G1211" s="1"/>
      <c r="H1211" s="4"/>
      <c r="I1211" s="4"/>
      <c r="J1211" s="4"/>
      <c r="K1211" s="4"/>
      <c r="L1211" s="4"/>
      <c r="M1211" s="4"/>
      <c r="N1211" s="3"/>
      <c r="O1211" s="1"/>
      <c r="P1211" s="1"/>
      <c r="Q1211" s="4"/>
      <c r="R1211" s="5"/>
      <c r="S1211" s="4"/>
      <c r="T1211" s="1"/>
      <c r="U1211" s="1"/>
      <c r="V1211" s="1"/>
      <c r="W1211" s="1"/>
      <c r="X1211" s="1"/>
      <c r="Y1211" s="6"/>
      <c r="Z1211" s="4"/>
      <c r="AA1211" s="4"/>
      <c r="AB1211" s="4"/>
      <c r="AC1211" s="1"/>
      <c r="AD1211" s="1"/>
      <c r="AE1211" s="1"/>
      <c r="AF1211" s="1"/>
      <c r="AG1211" s="1"/>
      <c r="AH1211" s="4"/>
      <c r="AI1211" s="1"/>
      <c r="AJ1211" s="3"/>
      <c r="AK1211" s="4"/>
      <c r="AL1211" s="6"/>
      <c r="AM1211" s="7"/>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row>
    <row r="1212" spans="1:64" ht="16.5" customHeight="1">
      <c r="A1212" s="1"/>
      <c r="B1212" s="139"/>
      <c r="C1212" s="1"/>
      <c r="D1212" s="1"/>
      <c r="E1212" s="1"/>
      <c r="F1212" s="1"/>
      <c r="G1212" s="1"/>
      <c r="H1212" s="4"/>
      <c r="I1212" s="4"/>
      <c r="J1212" s="4"/>
      <c r="K1212" s="4"/>
      <c r="L1212" s="4"/>
      <c r="M1212" s="4"/>
      <c r="N1212" s="3"/>
      <c r="O1212" s="1"/>
      <c r="P1212" s="1"/>
      <c r="Q1212" s="4"/>
      <c r="R1212" s="5"/>
      <c r="S1212" s="4"/>
      <c r="T1212" s="1"/>
      <c r="U1212" s="1"/>
      <c r="V1212" s="1"/>
      <c r="W1212" s="1"/>
      <c r="X1212" s="1"/>
      <c r="Y1212" s="6"/>
      <c r="Z1212" s="4"/>
      <c r="AA1212" s="4"/>
      <c r="AB1212" s="4"/>
      <c r="AC1212" s="1"/>
      <c r="AD1212" s="1"/>
      <c r="AE1212" s="1"/>
      <c r="AF1212" s="1"/>
      <c r="AG1212" s="1"/>
      <c r="AH1212" s="4"/>
      <c r="AI1212" s="1"/>
      <c r="AJ1212" s="3"/>
      <c r="AK1212" s="4"/>
      <c r="AL1212" s="6"/>
      <c r="AM1212" s="7"/>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row>
    <row r="1213" spans="1:64" ht="16.5" customHeight="1">
      <c r="A1213" s="1"/>
      <c r="B1213" s="139"/>
      <c r="C1213" s="1"/>
      <c r="D1213" s="1"/>
      <c r="E1213" s="1"/>
      <c r="F1213" s="1"/>
      <c r="G1213" s="1"/>
      <c r="H1213" s="4"/>
      <c r="I1213" s="4"/>
      <c r="J1213" s="4"/>
      <c r="K1213" s="4"/>
      <c r="L1213" s="4"/>
      <c r="M1213" s="4"/>
      <c r="N1213" s="3"/>
      <c r="O1213" s="1"/>
      <c r="P1213" s="1"/>
      <c r="Q1213" s="4"/>
      <c r="R1213" s="5"/>
      <c r="S1213" s="4"/>
      <c r="T1213" s="1"/>
      <c r="U1213" s="1"/>
      <c r="V1213" s="1"/>
      <c r="W1213" s="1"/>
      <c r="X1213" s="1"/>
      <c r="Y1213" s="6"/>
      <c r="Z1213" s="4"/>
      <c r="AA1213" s="4"/>
      <c r="AB1213" s="4"/>
      <c r="AC1213" s="1"/>
      <c r="AD1213" s="1"/>
      <c r="AE1213" s="1"/>
      <c r="AF1213" s="1"/>
      <c r="AG1213" s="1"/>
      <c r="AH1213" s="4"/>
      <c r="AI1213" s="1"/>
      <c r="AJ1213" s="3"/>
      <c r="AK1213" s="4"/>
      <c r="AL1213" s="6"/>
      <c r="AM1213" s="7"/>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row>
    <row r="1214" spans="1:64" ht="16.5" customHeight="1">
      <c r="A1214" s="1"/>
      <c r="B1214" s="139"/>
      <c r="C1214" s="1"/>
      <c r="D1214" s="1"/>
      <c r="E1214" s="1"/>
      <c r="F1214" s="1"/>
      <c r="G1214" s="1"/>
      <c r="H1214" s="4"/>
      <c r="I1214" s="4"/>
      <c r="J1214" s="4"/>
      <c r="K1214" s="4"/>
      <c r="L1214" s="4"/>
      <c r="M1214" s="4"/>
      <c r="N1214" s="3"/>
      <c r="O1214" s="1"/>
      <c r="P1214" s="1"/>
      <c r="Q1214" s="4"/>
      <c r="R1214" s="5"/>
      <c r="S1214" s="4"/>
      <c r="T1214" s="1"/>
      <c r="U1214" s="1"/>
      <c r="V1214" s="1"/>
      <c r="W1214" s="1"/>
      <c r="X1214" s="1"/>
      <c r="Y1214" s="6"/>
      <c r="Z1214" s="4"/>
      <c r="AA1214" s="4"/>
      <c r="AB1214" s="4"/>
      <c r="AC1214" s="1"/>
      <c r="AD1214" s="1"/>
      <c r="AE1214" s="1"/>
      <c r="AF1214" s="1"/>
      <c r="AG1214" s="1"/>
      <c r="AH1214" s="4"/>
      <c r="AI1214" s="1"/>
      <c r="AJ1214" s="3"/>
      <c r="AK1214" s="4"/>
      <c r="AL1214" s="6"/>
      <c r="AM1214" s="7"/>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row>
    <row r="1215" spans="1:64" ht="16.5" customHeight="1">
      <c r="A1215" s="1"/>
      <c r="B1215" s="139"/>
      <c r="C1215" s="1"/>
      <c r="D1215" s="1"/>
      <c r="E1215" s="1"/>
      <c r="F1215" s="1"/>
      <c r="G1215" s="1"/>
      <c r="H1215" s="4"/>
      <c r="I1215" s="4"/>
      <c r="J1215" s="4"/>
      <c r="K1215" s="4"/>
      <c r="L1215" s="4"/>
      <c r="M1215" s="4"/>
      <c r="N1215" s="3"/>
      <c r="O1215" s="1"/>
      <c r="P1215" s="1"/>
      <c r="Q1215" s="4"/>
      <c r="R1215" s="5"/>
      <c r="S1215" s="4"/>
      <c r="T1215" s="1"/>
      <c r="U1215" s="1"/>
      <c r="V1215" s="1"/>
      <c r="W1215" s="1"/>
      <c r="X1215" s="1"/>
      <c r="Y1215" s="6"/>
      <c r="Z1215" s="4"/>
      <c r="AA1215" s="4"/>
      <c r="AB1215" s="4"/>
      <c r="AC1215" s="1"/>
      <c r="AD1215" s="1"/>
      <c r="AE1215" s="1"/>
      <c r="AF1215" s="1"/>
      <c r="AG1215" s="1"/>
      <c r="AH1215" s="4"/>
      <c r="AI1215" s="1"/>
      <c r="AJ1215" s="3"/>
      <c r="AK1215" s="4"/>
      <c r="AL1215" s="6"/>
      <c r="AM1215" s="7"/>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row>
    <row r="1216" spans="1:64" ht="16.5" customHeight="1">
      <c r="A1216" s="1"/>
      <c r="B1216" s="139"/>
      <c r="C1216" s="1"/>
      <c r="D1216" s="1"/>
      <c r="E1216" s="1"/>
      <c r="F1216" s="1"/>
      <c r="G1216" s="1"/>
      <c r="H1216" s="4"/>
      <c r="I1216" s="4"/>
      <c r="J1216" s="4"/>
      <c r="K1216" s="4"/>
      <c r="L1216" s="4"/>
      <c r="M1216" s="4"/>
      <c r="N1216" s="3"/>
      <c r="O1216" s="1"/>
      <c r="P1216" s="1"/>
      <c r="Q1216" s="4"/>
      <c r="R1216" s="5"/>
      <c r="S1216" s="4"/>
      <c r="T1216" s="1"/>
      <c r="U1216" s="1"/>
      <c r="V1216" s="1"/>
      <c r="W1216" s="1"/>
      <c r="X1216" s="1"/>
      <c r="Y1216" s="6"/>
      <c r="Z1216" s="4"/>
      <c r="AA1216" s="4"/>
      <c r="AB1216" s="4"/>
      <c r="AC1216" s="1"/>
      <c r="AD1216" s="1"/>
      <c r="AE1216" s="1"/>
      <c r="AF1216" s="1"/>
      <c r="AG1216" s="1"/>
      <c r="AH1216" s="4"/>
      <c r="AI1216" s="1"/>
      <c r="AJ1216" s="3"/>
      <c r="AK1216" s="4"/>
      <c r="AL1216" s="6"/>
      <c r="AM1216" s="7"/>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row>
    <row r="1217" spans="1:64" ht="16.5" customHeight="1">
      <c r="A1217" s="1"/>
      <c r="B1217" s="139"/>
      <c r="C1217" s="1"/>
      <c r="D1217" s="1"/>
      <c r="E1217" s="1"/>
      <c r="F1217" s="1"/>
      <c r="G1217" s="1"/>
      <c r="H1217" s="4"/>
      <c r="I1217" s="4"/>
      <c r="J1217" s="4"/>
      <c r="K1217" s="4"/>
      <c r="L1217" s="4"/>
      <c r="M1217" s="4"/>
      <c r="N1217" s="3"/>
      <c r="O1217" s="1"/>
      <c r="P1217" s="1"/>
      <c r="Q1217" s="4"/>
      <c r="R1217" s="5"/>
      <c r="S1217" s="4"/>
      <c r="T1217" s="1"/>
      <c r="U1217" s="1"/>
      <c r="V1217" s="1"/>
      <c r="W1217" s="1"/>
      <c r="X1217" s="1"/>
      <c r="Y1217" s="6"/>
      <c r="Z1217" s="4"/>
      <c r="AA1217" s="4"/>
      <c r="AB1217" s="4"/>
      <c r="AC1217" s="1"/>
      <c r="AD1217" s="1"/>
      <c r="AE1217" s="1"/>
      <c r="AF1217" s="1"/>
      <c r="AG1217" s="1"/>
      <c r="AH1217" s="4"/>
      <c r="AI1217" s="1"/>
      <c r="AJ1217" s="3"/>
      <c r="AK1217" s="4"/>
      <c r="AL1217" s="6"/>
      <c r="AM1217" s="7"/>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row>
    <row r="1218" spans="1:64" ht="16.5" customHeight="1">
      <c r="A1218" s="1"/>
      <c r="B1218" s="139"/>
      <c r="C1218" s="1"/>
      <c r="D1218" s="1"/>
      <c r="E1218" s="1"/>
      <c r="F1218" s="1"/>
      <c r="G1218" s="1"/>
      <c r="H1218" s="4"/>
      <c r="I1218" s="4"/>
      <c r="J1218" s="4"/>
      <c r="K1218" s="4"/>
      <c r="L1218" s="4"/>
      <c r="M1218" s="4"/>
      <c r="N1218" s="3"/>
      <c r="O1218" s="1"/>
      <c r="P1218" s="1"/>
      <c r="Q1218" s="4"/>
      <c r="R1218" s="5"/>
      <c r="S1218" s="4"/>
      <c r="T1218" s="1"/>
      <c r="U1218" s="1"/>
      <c r="V1218" s="1"/>
      <c r="W1218" s="1"/>
      <c r="X1218" s="1"/>
      <c r="Y1218" s="6"/>
      <c r="Z1218" s="4"/>
      <c r="AA1218" s="4"/>
      <c r="AB1218" s="4"/>
      <c r="AC1218" s="1"/>
      <c r="AD1218" s="1"/>
      <c r="AE1218" s="1"/>
      <c r="AF1218" s="1"/>
      <c r="AG1218" s="1"/>
      <c r="AH1218" s="4"/>
      <c r="AI1218" s="1"/>
      <c r="AJ1218" s="3"/>
      <c r="AK1218" s="4"/>
      <c r="AL1218" s="6"/>
      <c r="AM1218" s="7"/>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row>
    <row r="1219" spans="1:64" ht="16.5" customHeight="1">
      <c r="A1219" s="1"/>
      <c r="B1219" s="139"/>
      <c r="C1219" s="1"/>
      <c r="D1219" s="1"/>
      <c r="E1219" s="1"/>
      <c r="F1219" s="1"/>
      <c r="G1219" s="1"/>
      <c r="H1219" s="4"/>
      <c r="I1219" s="4"/>
      <c r="J1219" s="4"/>
      <c r="K1219" s="4"/>
      <c r="L1219" s="4"/>
      <c r="M1219" s="4"/>
      <c r="N1219" s="3"/>
      <c r="O1219" s="1"/>
      <c r="P1219" s="1"/>
      <c r="Q1219" s="4"/>
      <c r="R1219" s="5"/>
      <c r="S1219" s="4"/>
      <c r="T1219" s="1"/>
      <c r="U1219" s="1"/>
      <c r="V1219" s="1"/>
      <c r="W1219" s="1"/>
      <c r="X1219" s="1"/>
      <c r="Y1219" s="6"/>
      <c r="Z1219" s="4"/>
      <c r="AA1219" s="4"/>
      <c r="AB1219" s="4"/>
      <c r="AC1219" s="1"/>
      <c r="AD1219" s="1"/>
      <c r="AE1219" s="1"/>
      <c r="AF1219" s="1"/>
      <c r="AG1219" s="1"/>
      <c r="AH1219" s="4"/>
      <c r="AI1219" s="1"/>
      <c r="AJ1219" s="3"/>
      <c r="AK1219" s="4"/>
      <c r="AL1219" s="6"/>
      <c r="AM1219" s="7"/>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row>
    <row r="1220" spans="1:64" ht="16.5" customHeight="1">
      <c r="A1220" s="1"/>
      <c r="B1220" s="139"/>
      <c r="C1220" s="1"/>
      <c r="D1220" s="1"/>
      <c r="E1220" s="1"/>
      <c r="F1220" s="1"/>
      <c r="G1220" s="1"/>
      <c r="H1220" s="4"/>
      <c r="I1220" s="4"/>
      <c r="J1220" s="4"/>
      <c r="K1220" s="4"/>
      <c r="L1220" s="4"/>
      <c r="M1220" s="4"/>
      <c r="N1220" s="3"/>
      <c r="O1220" s="1"/>
      <c r="P1220" s="1"/>
      <c r="Q1220" s="4"/>
      <c r="R1220" s="5"/>
      <c r="S1220" s="4"/>
      <c r="T1220" s="1"/>
      <c r="U1220" s="1"/>
      <c r="V1220" s="1"/>
      <c r="W1220" s="1"/>
      <c r="X1220" s="1"/>
      <c r="Y1220" s="6"/>
      <c r="Z1220" s="4"/>
      <c r="AA1220" s="4"/>
      <c r="AB1220" s="4"/>
      <c r="AC1220" s="1"/>
      <c r="AD1220" s="1"/>
      <c r="AE1220" s="1"/>
      <c r="AF1220" s="1"/>
      <c r="AG1220" s="1"/>
      <c r="AH1220" s="4"/>
      <c r="AI1220" s="1"/>
      <c r="AJ1220" s="3"/>
      <c r="AK1220" s="4"/>
      <c r="AL1220" s="6"/>
      <c r="AM1220" s="7"/>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row>
    <row r="1221" spans="1:64" ht="16.5" customHeight="1">
      <c r="A1221" s="1"/>
      <c r="B1221" s="139"/>
      <c r="C1221" s="1"/>
      <c r="D1221" s="1"/>
      <c r="E1221" s="1"/>
      <c r="F1221" s="1"/>
      <c r="G1221" s="1"/>
      <c r="H1221" s="4"/>
      <c r="I1221" s="4"/>
      <c r="J1221" s="4"/>
      <c r="K1221" s="4"/>
      <c r="L1221" s="4"/>
      <c r="M1221" s="4"/>
      <c r="N1221" s="3"/>
      <c r="O1221" s="1"/>
      <c r="P1221" s="1"/>
      <c r="Q1221" s="4"/>
      <c r="R1221" s="5"/>
      <c r="S1221" s="4"/>
      <c r="T1221" s="1"/>
      <c r="U1221" s="1"/>
      <c r="V1221" s="1"/>
      <c r="W1221" s="1"/>
      <c r="X1221" s="1"/>
      <c r="Y1221" s="6"/>
      <c r="Z1221" s="4"/>
      <c r="AA1221" s="4"/>
      <c r="AB1221" s="4"/>
      <c r="AC1221" s="1"/>
      <c r="AD1221" s="1"/>
      <c r="AE1221" s="1"/>
      <c r="AF1221" s="1"/>
      <c r="AG1221" s="1"/>
      <c r="AH1221" s="4"/>
      <c r="AI1221" s="1"/>
      <c r="AJ1221" s="3"/>
      <c r="AK1221" s="4"/>
      <c r="AL1221" s="6"/>
      <c r="AM1221" s="7"/>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row>
    <row r="1222" spans="1:64" ht="16.5" customHeight="1">
      <c r="A1222" s="1"/>
      <c r="B1222" s="139"/>
      <c r="C1222" s="1"/>
      <c r="D1222" s="1"/>
      <c r="E1222" s="1"/>
      <c r="F1222" s="1"/>
      <c r="G1222" s="1"/>
      <c r="H1222" s="4"/>
      <c r="I1222" s="4"/>
      <c r="J1222" s="4"/>
      <c r="K1222" s="4"/>
      <c r="L1222" s="4"/>
      <c r="M1222" s="4"/>
      <c r="N1222" s="3"/>
      <c r="O1222" s="1"/>
      <c r="P1222" s="1"/>
      <c r="Q1222" s="4"/>
      <c r="R1222" s="5"/>
      <c r="S1222" s="4"/>
      <c r="T1222" s="1"/>
      <c r="U1222" s="1"/>
      <c r="V1222" s="1"/>
      <c r="W1222" s="1"/>
      <c r="X1222" s="1"/>
      <c r="Y1222" s="6"/>
      <c r="Z1222" s="4"/>
      <c r="AA1222" s="4"/>
      <c r="AB1222" s="4"/>
      <c r="AC1222" s="1"/>
      <c r="AD1222" s="1"/>
      <c r="AE1222" s="1"/>
      <c r="AF1222" s="1"/>
      <c r="AG1222" s="1"/>
      <c r="AH1222" s="4"/>
      <c r="AI1222" s="1"/>
      <c r="AJ1222" s="3"/>
      <c r="AK1222" s="4"/>
      <c r="AL1222" s="6"/>
      <c r="AM1222" s="7"/>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row>
    <row r="1223" spans="1:64" ht="16.5" customHeight="1">
      <c r="A1223" s="1"/>
      <c r="B1223" s="139"/>
      <c r="C1223" s="1"/>
      <c r="D1223" s="1"/>
      <c r="E1223" s="1"/>
      <c r="F1223" s="1"/>
      <c r="G1223" s="1"/>
      <c r="H1223" s="4"/>
      <c r="I1223" s="4"/>
      <c r="J1223" s="4"/>
      <c r="K1223" s="4"/>
      <c r="L1223" s="4"/>
      <c r="M1223" s="4"/>
      <c r="N1223" s="3"/>
      <c r="O1223" s="1"/>
      <c r="P1223" s="1"/>
      <c r="Q1223" s="4"/>
      <c r="R1223" s="5"/>
      <c r="S1223" s="4"/>
      <c r="T1223" s="1"/>
      <c r="U1223" s="1"/>
      <c r="V1223" s="1"/>
      <c r="W1223" s="1"/>
      <c r="X1223" s="1"/>
      <c r="Y1223" s="6"/>
      <c r="Z1223" s="4"/>
      <c r="AA1223" s="4"/>
      <c r="AB1223" s="4"/>
      <c r="AC1223" s="1"/>
      <c r="AD1223" s="1"/>
      <c r="AE1223" s="1"/>
      <c r="AF1223" s="1"/>
      <c r="AG1223" s="1"/>
      <c r="AH1223" s="4"/>
      <c r="AI1223" s="1"/>
      <c r="AJ1223" s="3"/>
      <c r="AK1223" s="4"/>
      <c r="AL1223" s="6"/>
      <c r="AM1223" s="7"/>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row>
    <row r="1224" spans="1:64" ht="16.5" customHeight="1">
      <c r="A1224" s="1"/>
      <c r="B1224" s="139"/>
      <c r="C1224" s="1"/>
      <c r="D1224" s="1"/>
      <c r="E1224" s="1"/>
      <c r="F1224" s="1"/>
      <c r="G1224" s="1"/>
      <c r="H1224" s="4"/>
      <c r="I1224" s="4"/>
      <c r="J1224" s="4"/>
      <c r="K1224" s="4"/>
      <c r="L1224" s="4"/>
      <c r="M1224" s="4"/>
      <c r="N1224" s="3"/>
      <c r="O1224" s="1"/>
      <c r="P1224" s="1"/>
      <c r="Q1224" s="4"/>
      <c r="R1224" s="5"/>
      <c r="S1224" s="4"/>
      <c r="T1224" s="1"/>
      <c r="U1224" s="1"/>
      <c r="V1224" s="1"/>
      <c r="W1224" s="1"/>
      <c r="X1224" s="1"/>
      <c r="Y1224" s="6"/>
      <c r="Z1224" s="4"/>
      <c r="AA1224" s="4"/>
      <c r="AB1224" s="4"/>
      <c r="AC1224" s="1"/>
      <c r="AD1224" s="1"/>
      <c r="AE1224" s="1"/>
      <c r="AF1224" s="1"/>
      <c r="AG1224" s="1"/>
      <c r="AH1224" s="4"/>
      <c r="AI1224" s="1"/>
      <c r="AJ1224" s="3"/>
      <c r="AK1224" s="4"/>
      <c r="AL1224" s="6"/>
      <c r="AM1224" s="7"/>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row>
    <row r="1225" spans="1:64" ht="16.5" customHeight="1">
      <c r="A1225" s="1"/>
      <c r="B1225" s="139"/>
      <c r="C1225" s="1"/>
      <c r="D1225" s="1"/>
      <c r="E1225" s="1"/>
      <c r="F1225" s="1"/>
      <c r="G1225" s="1"/>
      <c r="H1225" s="4"/>
      <c r="I1225" s="4"/>
      <c r="J1225" s="4"/>
      <c r="K1225" s="4"/>
      <c r="L1225" s="4"/>
      <c r="M1225" s="4"/>
      <c r="N1225" s="3"/>
      <c r="O1225" s="1"/>
      <c r="P1225" s="1"/>
      <c r="Q1225" s="4"/>
      <c r="R1225" s="5"/>
      <c r="S1225" s="4"/>
      <c r="T1225" s="1"/>
      <c r="U1225" s="1"/>
      <c r="V1225" s="1"/>
      <c r="W1225" s="1"/>
      <c r="X1225" s="1"/>
      <c r="Y1225" s="6"/>
      <c r="Z1225" s="4"/>
      <c r="AA1225" s="4"/>
      <c r="AB1225" s="4"/>
      <c r="AC1225" s="1"/>
      <c r="AD1225" s="1"/>
      <c r="AE1225" s="1"/>
      <c r="AF1225" s="1"/>
      <c r="AG1225" s="1"/>
      <c r="AH1225" s="4"/>
      <c r="AI1225" s="1"/>
      <c r="AJ1225" s="3"/>
      <c r="AK1225" s="4"/>
      <c r="AL1225" s="6"/>
      <c r="AM1225" s="7"/>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row>
    <row r="1226" spans="1:64" ht="16.5" customHeight="1">
      <c r="A1226" s="1"/>
      <c r="B1226" s="139"/>
      <c r="C1226" s="1"/>
      <c r="D1226" s="1"/>
      <c r="E1226" s="1"/>
      <c r="F1226" s="1"/>
      <c r="G1226" s="1"/>
      <c r="H1226" s="4"/>
      <c r="I1226" s="4"/>
      <c r="J1226" s="4"/>
      <c r="K1226" s="4"/>
      <c r="L1226" s="4"/>
      <c r="M1226" s="4"/>
      <c r="N1226" s="3"/>
      <c r="O1226" s="1"/>
      <c r="P1226" s="1"/>
      <c r="Q1226" s="4"/>
      <c r="R1226" s="5"/>
      <c r="S1226" s="4"/>
      <c r="T1226" s="1"/>
      <c r="U1226" s="1"/>
      <c r="V1226" s="1"/>
      <c r="W1226" s="1"/>
      <c r="X1226" s="1"/>
      <c r="Y1226" s="6"/>
      <c r="Z1226" s="4"/>
      <c r="AA1226" s="4"/>
      <c r="AB1226" s="4"/>
      <c r="AC1226" s="1"/>
      <c r="AD1226" s="1"/>
      <c r="AE1226" s="1"/>
      <c r="AF1226" s="1"/>
      <c r="AG1226" s="1"/>
      <c r="AH1226" s="4"/>
      <c r="AI1226" s="1"/>
      <c r="AJ1226" s="3"/>
      <c r="AK1226" s="4"/>
      <c r="AL1226" s="6"/>
      <c r="AM1226" s="7"/>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row>
    <row r="1227" spans="1:64" ht="16.5" customHeight="1">
      <c r="A1227" s="1"/>
      <c r="B1227" s="139"/>
      <c r="C1227" s="1"/>
      <c r="D1227" s="1"/>
      <c r="E1227" s="1"/>
      <c r="F1227" s="1"/>
      <c r="G1227" s="1"/>
      <c r="H1227" s="4"/>
      <c r="I1227" s="4"/>
      <c r="J1227" s="4"/>
      <c r="K1227" s="4"/>
      <c r="L1227" s="4"/>
      <c r="M1227" s="4"/>
      <c r="N1227" s="3"/>
      <c r="O1227" s="1"/>
      <c r="P1227" s="1"/>
      <c r="Q1227" s="4"/>
      <c r="R1227" s="5"/>
      <c r="S1227" s="4"/>
      <c r="T1227" s="1"/>
      <c r="U1227" s="1"/>
      <c r="V1227" s="1"/>
      <c r="W1227" s="1"/>
      <c r="X1227" s="1"/>
      <c r="Y1227" s="6"/>
      <c r="Z1227" s="4"/>
      <c r="AA1227" s="4"/>
      <c r="AB1227" s="4"/>
      <c r="AC1227" s="1"/>
      <c r="AD1227" s="1"/>
      <c r="AE1227" s="1"/>
      <c r="AF1227" s="1"/>
      <c r="AG1227" s="1"/>
      <c r="AH1227" s="4"/>
      <c r="AI1227" s="1"/>
      <c r="AJ1227" s="3"/>
      <c r="AK1227" s="4"/>
      <c r="AL1227" s="6"/>
      <c r="AM1227" s="7"/>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row>
    <row r="1228" spans="1:64" ht="16.5" customHeight="1">
      <c r="A1228" s="1"/>
      <c r="B1228" s="139"/>
      <c r="C1228" s="1"/>
      <c r="D1228" s="1"/>
      <c r="E1228" s="1"/>
      <c r="F1228" s="1"/>
      <c r="G1228" s="1"/>
      <c r="H1228" s="4"/>
      <c r="I1228" s="4"/>
      <c r="J1228" s="4"/>
      <c r="K1228" s="4"/>
      <c r="L1228" s="4"/>
      <c r="M1228" s="4"/>
      <c r="N1228" s="3"/>
      <c r="O1228" s="1"/>
      <c r="P1228" s="1"/>
      <c r="Q1228" s="4"/>
      <c r="R1228" s="5"/>
      <c r="S1228" s="4"/>
      <c r="T1228" s="1"/>
      <c r="U1228" s="1"/>
      <c r="V1228" s="1"/>
      <c r="W1228" s="1"/>
      <c r="X1228" s="1"/>
      <c r="Y1228" s="6"/>
      <c r="Z1228" s="4"/>
      <c r="AA1228" s="4"/>
      <c r="AB1228" s="4"/>
      <c r="AC1228" s="1"/>
      <c r="AD1228" s="1"/>
      <c r="AE1228" s="1"/>
      <c r="AF1228" s="1"/>
      <c r="AG1228" s="1"/>
      <c r="AH1228" s="4"/>
      <c r="AI1228" s="1"/>
      <c r="AJ1228" s="3"/>
      <c r="AK1228" s="4"/>
      <c r="AL1228" s="6"/>
      <c r="AM1228" s="7"/>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row>
    <row r="1229" spans="1:64" ht="16.5" customHeight="1">
      <c r="A1229" s="1"/>
      <c r="B1229" s="139"/>
      <c r="C1229" s="1"/>
      <c r="D1229" s="1"/>
      <c r="E1229" s="1"/>
      <c r="F1229" s="1"/>
      <c r="G1229" s="1"/>
      <c r="H1229" s="4"/>
      <c r="I1229" s="4"/>
      <c r="J1229" s="4"/>
      <c r="K1229" s="4"/>
      <c r="L1229" s="4"/>
      <c r="M1229" s="4"/>
      <c r="N1229" s="3"/>
      <c r="O1229" s="1"/>
      <c r="P1229" s="1"/>
      <c r="Q1229" s="4"/>
      <c r="R1229" s="5"/>
      <c r="S1229" s="4"/>
      <c r="T1229" s="1"/>
      <c r="U1229" s="1"/>
      <c r="V1229" s="1"/>
      <c r="W1229" s="1"/>
      <c r="X1229" s="1"/>
      <c r="Y1229" s="6"/>
      <c r="Z1229" s="4"/>
      <c r="AA1229" s="4"/>
      <c r="AB1229" s="4"/>
      <c r="AC1229" s="1"/>
      <c r="AD1229" s="1"/>
      <c r="AE1229" s="1"/>
      <c r="AF1229" s="1"/>
      <c r="AG1229" s="1"/>
      <c r="AH1229" s="4"/>
      <c r="AI1229" s="1"/>
      <c r="AJ1229" s="3"/>
      <c r="AK1229" s="4"/>
      <c r="AL1229" s="6"/>
      <c r="AM1229" s="7"/>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row>
    <row r="1230" spans="1:64" ht="16.5" customHeight="1">
      <c r="A1230" s="1"/>
      <c r="B1230" s="139"/>
      <c r="C1230" s="1"/>
      <c r="D1230" s="1"/>
      <c r="E1230" s="1"/>
      <c r="F1230" s="1"/>
      <c r="G1230" s="1"/>
      <c r="H1230" s="4"/>
      <c r="I1230" s="4"/>
      <c r="J1230" s="4"/>
      <c r="K1230" s="4"/>
      <c r="L1230" s="4"/>
      <c r="M1230" s="4"/>
      <c r="N1230" s="3"/>
      <c r="O1230" s="1"/>
      <c r="P1230" s="1"/>
      <c r="Q1230" s="4"/>
      <c r="R1230" s="5"/>
      <c r="S1230" s="4"/>
      <c r="T1230" s="1"/>
      <c r="U1230" s="1"/>
      <c r="V1230" s="1"/>
      <c r="W1230" s="1"/>
      <c r="X1230" s="1"/>
      <c r="Y1230" s="6"/>
      <c r="Z1230" s="4"/>
      <c r="AA1230" s="4"/>
      <c r="AB1230" s="4"/>
      <c r="AC1230" s="1"/>
      <c r="AD1230" s="1"/>
      <c r="AE1230" s="1"/>
      <c r="AF1230" s="1"/>
      <c r="AG1230" s="1"/>
      <c r="AH1230" s="4"/>
      <c r="AI1230" s="1"/>
      <c r="AJ1230" s="3"/>
      <c r="AK1230" s="4"/>
      <c r="AL1230" s="6"/>
      <c r="AM1230" s="7"/>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row>
    <row r="1231" spans="1:64" ht="16.5" customHeight="1">
      <c r="A1231" s="1"/>
      <c r="B1231" s="139"/>
      <c r="C1231" s="1"/>
      <c r="D1231" s="1"/>
      <c r="E1231" s="1"/>
      <c r="F1231" s="1"/>
      <c r="G1231" s="1"/>
      <c r="H1231" s="4"/>
      <c r="I1231" s="4"/>
      <c r="J1231" s="4"/>
      <c r="K1231" s="4"/>
      <c r="L1231" s="4"/>
      <c r="M1231" s="4"/>
      <c r="N1231" s="3"/>
      <c r="O1231" s="1"/>
      <c r="P1231" s="1"/>
      <c r="Q1231" s="4"/>
      <c r="R1231" s="5"/>
      <c r="S1231" s="4"/>
      <c r="T1231" s="1"/>
      <c r="U1231" s="1"/>
      <c r="V1231" s="1"/>
      <c r="W1231" s="1"/>
      <c r="X1231" s="1"/>
      <c r="Y1231" s="6"/>
      <c r="Z1231" s="4"/>
      <c r="AA1231" s="4"/>
      <c r="AB1231" s="4"/>
      <c r="AC1231" s="1"/>
      <c r="AD1231" s="1"/>
      <c r="AE1231" s="1"/>
      <c r="AF1231" s="1"/>
      <c r="AG1231" s="1"/>
      <c r="AH1231" s="4"/>
      <c r="AI1231" s="1"/>
      <c r="AJ1231" s="3"/>
      <c r="AK1231" s="4"/>
      <c r="AL1231" s="6"/>
      <c r="AM1231" s="7"/>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row>
    <row r="1232" spans="1:64" ht="16.5" customHeight="1">
      <c r="A1232" s="1"/>
      <c r="B1232" s="139"/>
      <c r="C1232" s="1"/>
      <c r="D1232" s="1"/>
      <c r="E1232" s="1"/>
      <c r="F1232" s="1"/>
      <c r="G1232" s="1"/>
      <c r="H1232" s="4"/>
      <c r="I1232" s="4"/>
      <c r="J1232" s="4"/>
      <c r="K1232" s="4"/>
      <c r="L1232" s="4"/>
      <c r="M1232" s="4"/>
      <c r="N1232" s="3"/>
      <c r="O1232" s="1"/>
      <c r="P1232" s="1"/>
      <c r="Q1232" s="4"/>
      <c r="R1232" s="5"/>
      <c r="S1232" s="4"/>
      <c r="T1232" s="1"/>
      <c r="U1232" s="1"/>
      <c r="V1232" s="1"/>
      <c r="W1232" s="1"/>
      <c r="X1232" s="1"/>
      <c r="Y1232" s="6"/>
      <c r="Z1232" s="4"/>
      <c r="AA1232" s="4"/>
      <c r="AB1232" s="4"/>
      <c r="AC1232" s="1"/>
      <c r="AD1232" s="1"/>
      <c r="AE1232" s="1"/>
      <c r="AF1232" s="1"/>
      <c r="AG1232" s="1"/>
      <c r="AH1232" s="4"/>
      <c r="AI1232" s="1"/>
      <c r="AJ1232" s="3"/>
      <c r="AK1232" s="4"/>
      <c r="AL1232" s="6"/>
      <c r="AM1232" s="7"/>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row>
    <row r="1233" spans="1:64" ht="16.5" customHeight="1">
      <c r="A1233" s="1"/>
      <c r="B1233" s="139"/>
      <c r="C1233" s="1"/>
      <c r="D1233" s="1"/>
      <c r="E1233" s="1"/>
      <c r="F1233" s="1"/>
      <c r="G1233" s="1"/>
      <c r="H1233" s="4"/>
      <c r="I1233" s="4"/>
      <c r="J1233" s="4"/>
      <c r="K1233" s="4"/>
      <c r="L1233" s="4"/>
      <c r="M1233" s="4"/>
      <c r="N1233" s="3"/>
      <c r="O1233" s="1"/>
      <c r="P1233" s="1"/>
      <c r="Q1233" s="4"/>
      <c r="R1233" s="5"/>
      <c r="S1233" s="4"/>
      <c r="T1233" s="1"/>
      <c r="U1233" s="1"/>
      <c r="V1233" s="1"/>
      <c r="W1233" s="1"/>
      <c r="X1233" s="1"/>
      <c r="Y1233" s="6"/>
      <c r="Z1233" s="4"/>
      <c r="AA1233" s="4"/>
      <c r="AB1233" s="4"/>
      <c r="AC1233" s="1"/>
      <c r="AD1233" s="1"/>
      <c r="AE1233" s="1"/>
      <c r="AF1233" s="1"/>
      <c r="AG1233" s="1"/>
      <c r="AH1233" s="4"/>
      <c r="AI1233" s="1"/>
      <c r="AJ1233" s="3"/>
      <c r="AK1233" s="4"/>
      <c r="AL1233" s="6"/>
      <c r="AM1233" s="7"/>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row>
    <row r="1234" spans="1:64" ht="16.5" customHeight="1">
      <c r="A1234" s="1"/>
      <c r="B1234" s="139"/>
      <c r="C1234" s="1"/>
      <c r="D1234" s="1"/>
      <c r="E1234" s="1"/>
      <c r="F1234" s="1"/>
      <c r="G1234" s="1"/>
      <c r="H1234" s="4"/>
      <c r="I1234" s="4"/>
      <c r="J1234" s="4"/>
      <c r="K1234" s="4"/>
      <c r="L1234" s="4"/>
      <c r="M1234" s="4"/>
      <c r="N1234" s="3"/>
      <c r="O1234" s="1"/>
      <c r="P1234" s="1"/>
      <c r="Q1234" s="4"/>
      <c r="R1234" s="5"/>
      <c r="S1234" s="4"/>
      <c r="T1234" s="1"/>
      <c r="U1234" s="1"/>
      <c r="V1234" s="1"/>
      <c r="W1234" s="1"/>
      <c r="X1234" s="1"/>
      <c r="Y1234" s="6"/>
      <c r="Z1234" s="4"/>
      <c r="AA1234" s="4"/>
      <c r="AB1234" s="4"/>
      <c r="AC1234" s="1"/>
      <c r="AD1234" s="1"/>
      <c r="AE1234" s="1"/>
      <c r="AF1234" s="1"/>
      <c r="AG1234" s="1"/>
      <c r="AH1234" s="4"/>
      <c r="AI1234" s="1"/>
      <c r="AJ1234" s="3"/>
      <c r="AK1234" s="4"/>
      <c r="AL1234" s="6"/>
      <c r="AM1234" s="7"/>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row>
    <row r="1235" spans="1:64" ht="16.5" customHeight="1">
      <c r="A1235" s="1"/>
      <c r="B1235" s="139"/>
      <c r="C1235" s="1"/>
      <c r="D1235" s="1"/>
      <c r="E1235" s="1"/>
      <c r="F1235" s="1"/>
      <c r="G1235" s="1"/>
      <c r="H1235" s="4"/>
      <c r="I1235" s="4"/>
      <c r="J1235" s="4"/>
      <c r="K1235" s="4"/>
      <c r="L1235" s="4"/>
      <c r="M1235" s="4"/>
      <c r="N1235" s="3"/>
      <c r="O1235" s="1"/>
      <c r="P1235" s="1"/>
      <c r="Q1235" s="4"/>
      <c r="R1235" s="5"/>
      <c r="S1235" s="4"/>
      <c r="T1235" s="1"/>
      <c r="U1235" s="1"/>
      <c r="V1235" s="1"/>
      <c r="W1235" s="1"/>
      <c r="X1235" s="1"/>
      <c r="Y1235" s="6"/>
      <c r="Z1235" s="4"/>
      <c r="AA1235" s="4"/>
      <c r="AB1235" s="4"/>
      <c r="AC1235" s="1"/>
      <c r="AD1235" s="1"/>
      <c r="AE1235" s="1"/>
      <c r="AF1235" s="1"/>
      <c r="AG1235" s="1"/>
      <c r="AH1235" s="4"/>
      <c r="AI1235" s="1"/>
      <c r="AJ1235" s="3"/>
      <c r="AK1235" s="4"/>
      <c r="AL1235" s="6"/>
      <c r="AM1235" s="7"/>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row>
    <row r="1236" spans="1:64" ht="16.5" customHeight="1">
      <c r="A1236" s="1"/>
      <c r="B1236" s="139"/>
      <c r="C1236" s="1"/>
      <c r="D1236" s="1"/>
      <c r="E1236" s="1"/>
      <c r="F1236" s="1"/>
      <c r="G1236" s="1"/>
      <c r="H1236" s="4"/>
      <c r="I1236" s="4"/>
      <c r="J1236" s="4"/>
      <c r="K1236" s="4"/>
      <c r="L1236" s="4"/>
      <c r="M1236" s="4"/>
      <c r="N1236" s="3"/>
      <c r="O1236" s="1"/>
      <c r="P1236" s="1"/>
      <c r="Q1236" s="4"/>
      <c r="R1236" s="5"/>
      <c r="S1236" s="4"/>
      <c r="T1236" s="1"/>
      <c r="U1236" s="1"/>
      <c r="V1236" s="1"/>
      <c r="W1236" s="1"/>
      <c r="X1236" s="1"/>
      <c r="Y1236" s="6"/>
      <c r="Z1236" s="4"/>
      <c r="AA1236" s="4"/>
      <c r="AB1236" s="4"/>
      <c r="AC1236" s="1"/>
      <c r="AD1236" s="1"/>
      <c r="AE1236" s="1"/>
      <c r="AF1236" s="1"/>
      <c r="AG1236" s="1"/>
      <c r="AH1236" s="4"/>
      <c r="AI1236" s="1"/>
      <c r="AJ1236" s="3"/>
      <c r="AK1236" s="4"/>
      <c r="AL1236" s="6"/>
      <c r="AM1236" s="7"/>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row>
    <row r="1237" spans="1:64" ht="16.5" customHeight="1">
      <c r="A1237" s="1"/>
      <c r="B1237" s="139"/>
      <c r="C1237" s="1"/>
      <c r="D1237" s="1"/>
      <c r="E1237" s="1"/>
      <c r="F1237" s="1"/>
      <c r="G1237" s="1"/>
      <c r="H1237" s="4"/>
      <c r="I1237" s="4"/>
      <c r="J1237" s="4"/>
      <c r="K1237" s="4"/>
      <c r="L1237" s="4"/>
      <c r="M1237" s="4"/>
      <c r="N1237" s="3"/>
      <c r="O1237" s="1"/>
      <c r="P1237" s="1"/>
      <c r="Q1237" s="4"/>
      <c r="R1237" s="5"/>
      <c r="S1237" s="4"/>
      <c r="T1237" s="1"/>
      <c r="U1237" s="1"/>
      <c r="V1237" s="1"/>
      <c r="W1237" s="1"/>
      <c r="X1237" s="1"/>
      <c r="Y1237" s="6"/>
      <c r="Z1237" s="4"/>
      <c r="AA1237" s="4"/>
      <c r="AB1237" s="4"/>
      <c r="AC1237" s="1"/>
      <c r="AD1237" s="1"/>
      <c r="AE1237" s="1"/>
      <c r="AF1237" s="1"/>
      <c r="AG1237" s="1"/>
      <c r="AH1237" s="4"/>
      <c r="AI1237" s="1"/>
      <c r="AJ1237" s="3"/>
      <c r="AK1237" s="4"/>
      <c r="AL1237" s="6"/>
      <c r="AM1237" s="7"/>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row>
    <row r="1238" spans="1:64" ht="16.5" customHeight="1">
      <c r="A1238" s="1"/>
      <c r="B1238" s="139"/>
      <c r="C1238" s="1"/>
      <c r="D1238" s="1"/>
      <c r="E1238" s="1"/>
      <c r="F1238" s="1"/>
      <c r="G1238" s="1"/>
      <c r="H1238" s="4"/>
      <c r="I1238" s="4"/>
      <c r="J1238" s="4"/>
      <c r="K1238" s="4"/>
      <c r="L1238" s="4"/>
      <c r="M1238" s="4"/>
      <c r="N1238" s="3"/>
      <c r="O1238" s="1"/>
      <c r="P1238" s="1"/>
      <c r="Q1238" s="4"/>
      <c r="R1238" s="5"/>
      <c r="S1238" s="4"/>
      <c r="T1238" s="1"/>
      <c r="U1238" s="1"/>
      <c r="V1238" s="1"/>
      <c r="W1238" s="1"/>
      <c r="X1238" s="1"/>
      <c r="Y1238" s="6"/>
      <c r="Z1238" s="4"/>
      <c r="AA1238" s="4"/>
      <c r="AB1238" s="4"/>
      <c r="AC1238" s="1"/>
      <c r="AD1238" s="1"/>
      <c r="AE1238" s="1"/>
      <c r="AF1238" s="1"/>
      <c r="AG1238" s="1"/>
      <c r="AH1238" s="4"/>
      <c r="AI1238" s="1"/>
      <c r="AJ1238" s="3"/>
      <c r="AK1238" s="4"/>
      <c r="AL1238" s="6"/>
      <c r="AM1238" s="7"/>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row>
    <row r="1239" spans="1:64" ht="16.5" customHeight="1">
      <c r="A1239" s="1"/>
      <c r="B1239" s="139"/>
      <c r="C1239" s="1"/>
      <c r="D1239" s="1"/>
      <c r="E1239" s="1"/>
      <c r="F1239" s="1"/>
      <c r="G1239" s="1"/>
      <c r="H1239" s="4"/>
      <c r="I1239" s="4"/>
      <c r="J1239" s="4"/>
      <c r="K1239" s="4"/>
      <c r="L1239" s="4"/>
      <c r="M1239" s="4"/>
      <c r="N1239" s="3"/>
      <c r="O1239" s="1"/>
      <c r="P1239" s="1"/>
      <c r="Q1239" s="4"/>
      <c r="R1239" s="5"/>
      <c r="S1239" s="4"/>
      <c r="T1239" s="1"/>
      <c r="U1239" s="1"/>
      <c r="V1239" s="1"/>
      <c r="W1239" s="1"/>
      <c r="X1239" s="1"/>
      <c r="Y1239" s="6"/>
      <c r="Z1239" s="4"/>
      <c r="AA1239" s="4"/>
      <c r="AB1239" s="4"/>
      <c r="AC1239" s="1"/>
      <c r="AD1239" s="1"/>
      <c r="AE1239" s="1"/>
      <c r="AF1239" s="1"/>
      <c r="AG1239" s="1"/>
      <c r="AH1239" s="4"/>
      <c r="AI1239" s="1"/>
      <c r="AJ1239" s="3"/>
      <c r="AK1239" s="4"/>
      <c r="AL1239" s="6"/>
      <c r="AM1239" s="7"/>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row>
    <row r="1240" spans="1:64" ht="16.5" customHeight="1">
      <c r="A1240" s="1"/>
      <c r="B1240" s="139"/>
      <c r="C1240" s="1"/>
      <c r="D1240" s="1"/>
      <c r="E1240" s="1"/>
      <c r="F1240" s="1"/>
      <c r="G1240" s="1"/>
      <c r="H1240" s="4"/>
      <c r="I1240" s="4"/>
      <c r="J1240" s="4"/>
      <c r="K1240" s="4"/>
      <c r="L1240" s="4"/>
      <c r="M1240" s="4"/>
      <c r="N1240" s="3"/>
      <c r="O1240" s="1"/>
      <c r="P1240" s="1"/>
      <c r="Q1240" s="4"/>
      <c r="R1240" s="5"/>
      <c r="S1240" s="4"/>
      <c r="T1240" s="1"/>
      <c r="U1240" s="1"/>
      <c r="V1240" s="1"/>
      <c r="W1240" s="1"/>
      <c r="X1240" s="1"/>
      <c r="Y1240" s="6"/>
      <c r="Z1240" s="4"/>
      <c r="AA1240" s="4"/>
      <c r="AB1240" s="4"/>
      <c r="AC1240" s="1"/>
      <c r="AD1240" s="1"/>
      <c r="AE1240" s="1"/>
      <c r="AF1240" s="1"/>
      <c r="AG1240" s="1"/>
      <c r="AH1240" s="4"/>
      <c r="AI1240" s="1"/>
      <c r="AJ1240" s="3"/>
      <c r="AK1240" s="4"/>
      <c r="AL1240" s="6"/>
      <c r="AM1240" s="7"/>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row>
    <row r="1241" spans="1:64" ht="16.5" customHeight="1">
      <c r="A1241" s="1"/>
      <c r="B1241" s="139"/>
      <c r="C1241" s="1"/>
      <c r="D1241" s="1"/>
      <c r="E1241" s="1"/>
      <c r="F1241" s="1"/>
      <c r="G1241" s="1"/>
      <c r="H1241" s="4"/>
      <c r="I1241" s="4"/>
      <c r="J1241" s="4"/>
      <c r="K1241" s="4"/>
      <c r="L1241" s="4"/>
      <c r="M1241" s="4"/>
      <c r="N1241" s="3"/>
      <c r="O1241" s="1"/>
      <c r="P1241" s="1"/>
      <c r="Q1241" s="4"/>
      <c r="R1241" s="5"/>
      <c r="S1241" s="4"/>
      <c r="T1241" s="1"/>
      <c r="U1241" s="1"/>
      <c r="V1241" s="1"/>
      <c r="W1241" s="1"/>
      <c r="X1241" s="1"/>
      <c r="Y1241" s="6"/>
      <c r="Z1241" s="4"/>
      <c r="AA1241" s="4"/>
      <c r="AB1241" s="4"/>
      <c r="AC1241" s="1"/>
      <c r="AD1241" s="1"/>
      <c r="AE1241" s="1"/>
      <c r="AF1241" s="1"/>
      <c r="AG1241" s="1"/>
      <c r="AH1241" s="4"/>
      <c r="AI1241" s="1"/>
      <c r="AJ1241" s="3"/>
      <c r="AK1241" s="4"/>
      <c r="AL1241" s="6"/>
      <c r="AM1241" s="7"/>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row>
    <row r="1242" spans="1:64" ht="16.5" customHeight="1">
      <c r="A1242" s="1"/>
      <c r="B1242" s="139"/>
      <c r="C1242" s="1"/>
      <c r="D1242" s="1"/>
      <c r="E1242" s="1"/>
      <c r="F1242" s="1"/>
      <c r="G1242" s="1"/>
      <c r="H1242" s="4"/>
      <c r="I1242" s="4"/>
      <c r="J1242" s="4"/>
      <c r="K1242" s="4"/>
      <c r="L1242" s="4"/>
      <c r="M1242" s="4"/>
      <c r="N1242" s="3"/>
      <c r="O1242" s="1"/>
      <c r="P1242" s="1"/>
      <c r="Q1242" s="4"/>
      <c r="R1242" s="5"/>
      <c r="S1242" s="4"/>
      <c r="T1242" s="1"/>
      <c r="U1242" s="1"/>
      <c r="V1242" s="1"/>
      <c r="W1242" s="1"/>
      <c r="X1242" s="1"/>
      <c r="Y1242" s="6"/>
      <c r="Z1242" s="4"/>
      <c r="AA1242" s="4"/>
      <c r="AB1242" s="4"/>
      <c r="AC1242" s="1"/>
      <c r="AD1242" s="1"/>
      <c r="AE1242" s="1"/>
      <c r="AF1242" s="1"/>
      <c r="AG1242" s="1"/>
      <c r="AH1242" s="4"/>
      <c r="AI1242" s="1"/>
      <c r="AJ1242" s="3"/>
      <c r="AK1242" s="4"/>
      <c r="AL1242" s="6"/>
      <c r="AM1242" s="7"/>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row>
    <row r="1243" spans="1:64" ht="16.5" customHeight="1">
      <c r="A1243" s="1"/>
      <c r="B1243" s="139"/>
      <c r="C1243" s="1"/>
      <c r="D1243" s="1"/>
      <c r="E1243" s="1"/>
      <c r="F1243" s="1"/>
      <c r="G1243" s="1"/>
      <c r="H1243" s="4"/>
      <c r="I1243" s="4"/>
      <c r="J1243" s="4"/>
      <c r="K1243" s="4"/>
      <c r="L1243" s="4"/>
      <c r="M1243" s="4"/>
      <c r="N1243" s="3"/>
      <c r="O1243" s="1"/>
      <c r="P1243" s="1"/>
      <c r="Q1243" s="4"/>
      <c r="R1243" s="5"/>
      <c r="S1243" s="4"/>
      <c r="T1243" s="1"/>
      <c r="U1243" s="1"/>
      <c r="V1243" s="1"/>
      <c r="W1243" s="1"/>
      <c r="X1243" s="1"/>
      <c r="Y1243" s="6"/>
      <c r="Z1243" s="4"/>
      <c r="AA1243" s="4"/>
      <c r="AB1243" s="4"/>
      <c r="AC1243" s="1"/>
      <c r="AD1243" s="1"/>
      <c r="AE1243" s="1"/>
      <c r="AF1243" s="1"/>
      <c r="AG1243" s="1"/>
      <c r="AH1243" s="4"/>
      <c r="AI1243" s="1"/>
      <c r="AJ1243" s="3"/>
      <c r="AK1243" s="4"/>
      <c r="AL1243" s="6"/>
      <c r="AM1243" s="7"/>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row>
    <row r="1244" spans="1:64" ht="16.5" customHeight="1">
      <c r="A1244" s="1"/>
      <c r="B1244" s="139"/>
      <c r="C1244" s="1"/>
      <c r="D1244" s="1"/>
      <c r="E1244" s="1"/>
      <c r="F1244" s="1"/>
      <c r="G1244" s="1"/>
      <c r="H1244" s="4"/>
      <c r="I1244" s="4"/>
      <c r="J1244" s="4"/>
      <c r="K1244" s="4"/>
      <c r="L1244" s="4"/>
      <c r="M1244" s="4"/>
      <c r="N1244" s="3"/>
      <c r="O1244" s="1"/>
      <c r="P1244" s="1"/>
      <c r="Q1244" s="4"/>
      <c r="R1244" s="5"/>
      <c r="S1244" s="4"/>
      <c r="T1244" s="1"/>
      <c r="U1244" s="1"/>
      <c r="V1244" s="1"/>
      <c r="W1244" s="1"/>
      <c r="X1244" s="1"/>
      <c r="Y1244" s="6"/>
      <c r="Z1244" s="4"/>
      <c r="AA1244" s="4"/>
      <c r="AB1244" s="4"/>
      <c r="AC1244" s="1"/>
      <c r="AD1244" s="1"/>
      <c r="AE1244" s="1"/>
      <c r="AF1244" s="1"/>
      <c r="AG1244" s="1"/>
      <c r="AH1244" s="4"/>
      <c r="AI1244" s="1"/>
      <c r="AJ1244" s="3"/>
      <c r="AK1244" s="4"/>
      <c r="AL1244" s="6"/>
      <c r="AM1244" s="7"/>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row>
    <row r="1245" spans="1:64" ht="16.5" customHeight="1">
      <c r="A1245" s="1"/>
      <c r="B1245" s="139"/>
      <c r="C1245" s="1"/>
      <c r="D1245" s="1"/>
      <c r="E1245" s="1"/>
      <c r="F1245" s="1"/>
      <c r="G1245" s="1"/>
      <c r="H1245" s="4"/>
      <c r="I1245" s="4"/>
      <c r="J1245" s="4"/>
      <c r="K1245" s="4"/>
      <c r="L1245" s="4"/>
      <c r="M1245" s="4"/>
      <c r="N1245" s="3"/>
      <c r="O1245" s="1"/>
      <c r="P1245" s="1"/>
      <c r="Q1245" s="4"/>
      <c r="R1245" s="5"/>
      <c r="S1245" s="4"/>
      <c r="T1245" s="1"/>
      <c r="U1245" s="1"/>
      <c r="V1245" s="1"/>
      <c r="W1245" s="1"/>
      <c r="X1245" s="1"/>
      <c r="Y1245" s="6"/>
      <c r="Z1245" s="4"/>
      <c r="AA1245" s="4"/>
      <c r="AB1245" s="4"/>
      <c r="AC1245" s="1"/>
      <c r="AD1245" s="1"/>
      <c r="AE1245" s="1"/>
      <c r="AF1245" s="1"/>
      <c r="AG1245" s="1"/>
      <c r="AH1245" s="4"/>
      <c r="AI1245" s="1"/>
      <c r="AJ1245" s="3"/>
      <c r="AK1245" s="4"/>
      <c r="AL1245" s="6"/>
      <c r="AM1245" s="7"/>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row>
    <row r="1246" spans="1:64" ht="16.5" customHeight="1">
      <c r="A1246" s="1"/>
      <c r="B1246" s="139"/>
      <c r="C1246" s="1"/>
      <c r="D1246" s="1"/>
      <c r="E1246" s="1"/>
      <c r="F1246" s="1"/>
      <c r="G1246" s="1"/>
      <c r="H1246" s="4"/>
      <c r="I1246" s="4"/>
      <c r="J1246" s="4"/>
      <c r="K1246" s="4"/>
      <c r="L1246" s="4"/>
      <c r="M1246" s="4"/>
      <c r="N1246" s="3"/>
      <c r="O1246" s="1"/>
      <c r="P1246" s="1"/>
      <c r="Q1246" s="4"/>
      <c r="R1246" s="5"/>
      <c r="S1246" s="4"/>
      <c r="T1246" s="1"/>
      <c r="U1246" s="1"/>
      <c r="V1246" s="1"/>
      <c r="W1246" s="1"/>
      <c r="X1246" s="1"/>
      <c r="Y1246" s="6"/>
      <c r="Z1246" s="4"/>
      <c r="AA1246" s="4"/>
      <c r="AB1246" s="4"/>
      <c r="AC1246" s="1"/>
      <c r="AD1246" s="1"/>
      <c r="AE1246" s="1"/>
      <c r="AF1246" s="1"/>
      <c r="AG1246" s="1"/>
      <c r="AH1246" s="4"/>
      <c r="AI1246" s="1"/>
      <c r="AJ1246" s="3"/>
      <c r="AK1246" s="4"/>
      <c r="AL1246" s="6"/>
      <c r="AM1246" s="7"/>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row>
    <row r="1247" spans="1:64" ht="16.5" customHeight="1">
      <c r="A1247" s="1"/>
      <c r="B1247" s="139"/>
      <c r="C1247" s="1"/>
      <c r="D1247" s="1"/>
      <c r="E1247" s="1"/>
      <c r="F1247" s="1"/>
      <c r="G1247" s="1"/>
      <c r="H1247" s="4"/>
      <c r="I1247" s="4"/>
      <c r="J1247" s="4"/>
      <c r="K1247" s="4"/>
      <c r="L1247" s="4"/>
      <c r="M1247" s="4"/>
      <c r="N1247" s="3"/>
      <c r="O1247" s="1"/>
      <c r="P1247" s="1"/>
      <c r="Q1247" s="4"/>
      <c r="R1247" s="5"/>
      <c r="S1247" s="4"/>
      <c r="T1247" s="1"/>
      <c r="U1247" s="1"/>
      <c r="V1247" s="1"/>
      <c r="W1247" s="1"/>
      <c r="X1247" s="1"/>
      <c r="Y1247" s="6"/>
      <c r="Z1247" s="4"/>
      <c r="AA1247" s="4"/>
      <c r="AB1247" s="4"/>
      <c r="AC1247" s="1"/>
      <c r="AD1247" s="1"/>
      <c r="AE1247" s="1"/>
      <c r="AF1247" s="1"/>
      <c r="AG1247" s="1"/>
      <c r="AH1247" s="4"/>
      <c r="AI1247" s="1"/>
      <c r="AJ1247" s="3"/>
      <c r="AK1247" s="4"/>
      <c r="AL1247" s="6"/>
      <c r="AM1247" s="7"/>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row>
    <row r="1248" spans="1:64" ht="16.5" customHeight="1">
      <c r="A1248" s="1"/>
      <c r="B1248" s="139"/>
      <c r="C1248" s="1"/>
      <c r="D1248" s="1"/>
      <c r="E1248" s="1"/>
      <c r="F1248" s="1"/>
      <c r="G1248" s="1"/>
      <c r="H1248" s="4"/>
      <c r="I1248" s="4"/>
      <c r="J1248" s="4"/>
      <c r="K1248" s="4"/>
      <c r="L1248" s="4"/>
      <c r="M1248" s="4"/>
      <c r="N1248" s="3"/>
      <c r="O1248" s="1"/>
      <c r="P1248" s="1"/>
      <c r="Q1248" s="4"/>
      <c r="R1248" s="5"/>
      <c r="S1248" s="4"/>
      <c r="T1248" s="1"/>
      <c r="U1248" s="1"/>
      <c r="V1248" s="1"/>
      <c r="W1248" s="1"/>
      <c r="X1248" s="1"/>
      <c r="Y1248" s="6"/>
      <c r="Z1248" s="4"/>
      <c r="AA1248" s="4"/>
      <c r="AB1248" s="4"/>
      <c r="AC1248" s="1"/>
      <c r="AD1248" s="1"/>
      <c r="AE1248" s="1"/>
      <c r="AF1248" s="1"/>
      <c r="AG1248" s="1"/>
      <c r="AH1248" s="4"/>
      <c r="AI1248" s="1"/>
      <c r="AJ1248" s="3"/>
      <c r="AK1248" s="4"/>
      <c r="AL1248" s="6"/>
      <c r="AM1248" s="7"/>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row>
    <row r="1249" spans="1:64" ht="16.5" customHeight="1">
      <c r="A1249" s="1"/>
      <c r="B1249" s="139"/>
      <c r="C1249" s="1"/>
      <c r="D1249" s="1"/>
      <c r="E1249" s="1"/>
      <c r="F1249" s="1"/>
      <c r="G1249" s="1"/>
      <c r="H1249" s="4"/>
      <c r="I1249" s="4"/>
      <c r="J1249" s="4"/>
      <c r="K1249" s="4"/>
      <c r="L1249" s="4"/>
      <c r="M1249" s="4"/>
      <c r="N1249" s="3"/>
      <c r="O1249" s="1"/>
      <c r="P1249" s="1"/>
      <c r="Q1249" s="4"/>
      <c r="R1249" s="5"/>
      <c r="S1249" s="4"/>
      <c r="T1249" s="1"/>
      <c r="U1249" s="1"/>
      <c r="V1249" s="1"/>
      <c r="W1249" s="1"/>
      <c r="X1249" s="1"/>
      <c r="Y1249" s="6"/>
      <c r="Z1249" s="4"/>
      <c r="AA1249" s="4"/>
      <c r="AB1249" s="4"/>
      <c r="AC1249" s="1"/>
      <c r="AD1249" s="1"/>
      <c r="AE1249" s="1"/>
      <c r="AF1249" s="1"/>
      <c r="AG1249" s="1"/>
      <c r="AH1249" s="4"/>
      <c r="AI1249" s="1"/>
      <c r="AJ1249" s="3"/>
      <c r="AK1249" s="4"/>
      <c r="AL1249" s="6"/>
      <c r="AM1249" s="7"/>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row>
    <row r="1250" spans="1:64" ht="16.5" customHeight="1">
      <c r="A1250" s="1"/>
      <c r="B1250" s="139"/>
      <c r="C1250" s="1"/>
      <c r="D1250" s="1"/>
      <c r="E1250" s="1"/>
      <c r="F1250" s="1"/>
      <c r="G1250" s="1"/>
      <c r="H1250" s="4"/>
      <c r="I1250" s="4"/>
      <c r="J1250" s="4"/>
      <c r="K1250" s="4"/>
      <c r="L1250" s="4"/>
      <c r="M1250" s="4"/>
      <c r="N1250" s="3"/>
      <c r="O1250" s="1"/>
      <c r="P1250" s="1"/>
      <c r="Q1250" s="4"/>
      <c r="R1250" s="5"/>
      <c r="S1250" s="4"/>
      <c r="T1250" s="1"/>
      <c r="U1250" s="1"/>
      <c r="V1250" s="1"/>
      <c r="W1250" s="1"/>
      <c r="X1250" s="1"/>
      <c r="Y1250" s="6"/>
      <c r="Z1250" s="4"/>
      <c r="AA1250" s="4"/>
      <c r="AB1250" s="4"/>
      <c r="AC1250" s="1"/>
      <c r="AD1250" s="1"/>
      <c r="AE1250" s="1"/>
      <c r="AF1250" s="1"/>
      <c r="AG1250" s="1"/>
      <c r="AH1250" s="4"/>
      <c r="AI1250" s="1"/>
      <c r="AJ1250" s="3"/>
      <c r="AK1250" s="4"/>
      <c r="AL1250" s="6"/>
      <c r="AM1250" s="7"/>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row>
    <row r="1251" spans="1:64" ht="16.5" customHeight="1">
      <c r="A1251" s="1"/>
      <c r="B1251" s="139"/>
      <c r="C1251" s="1"/>
      <c r="D1251" s="1"/>
      <c r="E1251" s="1"/>
      <c r="F1251" s="1"/>
      <c r="G1251" s="1"/>
      <c r="H1251" s="4"/>
      <c r="I1251" s="4"/>
      <c r="J1251" s="4"/>
      <c r="K1251" s="4"/>
      <c r="L1251" s="4"/>
      <c r="M1251" s="4"/>
      <c r="N1251" s="3"/>
      <c r="O1251" s="1"/>
      <c r="P1251" s="1"/>
      <c r="Q1251" s="4"/>
      <c r="R1251" s="5"/>
      <c r="S1251" s="4"/>
      <c r="T1251" s="1"/>
      <c r="U1251" s="1"/>
      <c r="V1251" s="1"/>
      <c r="W1251" s="1"/>
      <c r="X1251" s="1"/>
      <c r="Y1251" s="6"/>
      <c r="Z1251" s="4"/>
      <c r="AA1251" s="4"/>
      <c r="AB1251" s="4"/>
      <c r="AC1251" s="1"/>
      <c r="AD1251" s="1"/>
      <c r="AE1251" s="1"/>
      <c r="AF1251" s="1"/>
      <c r="AG1251" s="1"/>
      <c r="AH1251" s="4"/>
      <c r="AI1251" s="1"/>
      <c r="AJ1251" s="3"/>
      <c r="AK1251" s="4"/>
      <c r="AL1251" s="6"/>
      <c r="AM1251" s="7"/>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row>
    <row r="1252" spans="1:64" ht="16.5" customHeight="1">
      <c r="A1252" s="1"/>
      <c r="B1252" s="139"/>
      <c r="C1252" s="1"/>
      <c r="D1252" s="1"/>
      <c r="E1252" s="1"/>
      <c r="F1252" s="1"/>
      <c r="G1252" s="1"/>
      <c r="H1252" s="4"/>
      <c r="I1252" s="4"/>
      <c r="J1252" s="4"/>
      <c r="K1252" s="4"/>
      <c r="L1252" s="4"/>
      <c r="M1252" s="4"/>
      <c r="N1252" s="3"/>
      <c r="O1252" s="1"/>
      <c r="P1252" s="1"/>
      <c r="Q1252" s="4"/>
      <c r="R1252" s="5"/>
      <c r="S1252" s="4"/>
      <c r="T1252" s="1"/>
      <c r="U1252" s="1"/>
      <c r="V1252" s="1"/>
      <c r="W1252" s="1"/>
      <c r="X1252" s="1"/>
      <c r="Y1252" s="6"/>
      <c r="Z1252" s="4"/>
      <c r="AA1252" s="4"/>
      <c r="AB1252" s="4"/>
      <c r="AC1252" s="1"/>
      <c r="AD1252" s="1"/>
      <c r="AE1252" s="1"/>
      <c r="AF1252" s="1"/>
      <c r="AG1252" s="1"/>
      <c r="AH1252" s="4"/>
      <c r="AI1252" s="1"/>
      <c r="AJ1252" s="3"/>
      <c r="AK1252" s="4"/>
      <c r="AL1252" s="6"/>
      <c r="AM1252" s="7"/>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row>
    <row r="1253" spans="1:64" ht="16.5" customHeight="1">
      <c r="A1253" s="1"/>
      <c r="B1253" s="139"/>
      <c r="C1253" s="1"/>
      <c r="D1253" s="1"/>
      <c r="E1253" s="1"/>
      <c r="F1253" s="1"/>
      <c r="G1253" s="1"/>
      <c r="H1253" s="4"/>
      <c r="I1253" s="4"/>
      <c r="J1253" s="4"/>
      <c r="K1253" s="4"/>
      <c r="L1253" s="4"/>
      <c r="M1253" s="4"/>
      <c r="N1253" s="3"/>
      <c r="O1253" s="1"/>
      <c r="P1253" s="1"/>
      <c r="Q1253" s="4"/>
      <c r="R1253" s="5"/>
      <c r="S1253" s="4"/>
      <c r="T1253" s="1"/>
      <c r="U1253" s="1"/>
      <c r="V1253" s="1"/>
      <c r="W1253" s="1"/>
      <c r="X1253" s="1"/>
      <c r="Y1253" s="6"/>
      <c r="Z1253" s="4"/>
      <c r="AA1253" s="4"/>
      <c r="AB1253" s="4"/>
      <c r="AC1253" s="1"/>
      <c r="AD1253" s="1"/>
      <c r="AE1253" s="1"/>
      <c r="AF1253" s="1"/>
      <c r="AG1253" s="1"/>
      <c r="AH1253" s="4"/>
      <c r="AI1253" s="1"/>
      <c r="AJ1253" s="3"/>
      <c r="AK1253" s="4"/>
      <c r="AL1253" s="6"/>
      <c r="AM1253" s="7"/>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row>
    <row r="1254" spans="1:64" ht="16.5" customHeight="1">
      <c r="A1254" s="1"/>
      <c r="B1254" s="139"/>
      <c r="C1254" s="1"/>
      <c r="D1254" s="1"/>
      <c r="E1254" s="1"/>
      <c r="F1254" s="1"/>
      <c r="G1254" s="1"/>
      <c r="H1254" s="4"/>
      <c r="I1254" s="4"/>
      <c r="J1254" s="4"/>
      <c r="K1254" s="4"/>
      <c r="L1254" s="4"/>
      <c r="M1254" s="4"/>
      <c r="N1254" s="3"/>
      <c r="O1254" s="1"/>
      <c r="P1254" s="1"/>
      <c r="Q1254" s="4"/>
      <c r="R1254" s="5"/>
      <c r="S1254" s="4"/>
      <c r="T1254" s="1"/>
      <c r="U1254" s="1"/>
      <c r="V1254" s="1"/>
      <c r="W1254" s="1"/>
      <c r="X1254" s="1"/>
      <c r="Y1254" s="6"/>
      <c r="Z1254" s="4"/>
      <c r="AA1254" s="4"/>
      <c r="AB1254" s="4"/>
      <c r="AC1254" s="1"/>
      <c r="AD1254" s="1"/>
      <c r="AE1254" s="1"/>
      <c r="AF1254" s="1"/>
      <c r="AG1254" s="1"/>
      <c r="AH1254" s="4"/>
      <c r="AI1254" s="1"/>
      <c r="AJ1254" s="3"/>
      <c r="AK1254" s="4"/>
      <c r="AL1254" s="6"/>
      <c r="AM1254" s="7"/>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row>
    <row r="1255" spans="1:64" ht="16.5" customHeight="1">
      <c r="A1255" s="1"/>
      <c r="B1255" s="139"/>
      <c r="C1255" s="1"/>
      <c r="D1255" s="1"/>
      <c r="E1255" s="1"/>
      <c r="F1255" s="1"/>
      <c r="G1255" s="1"/>
      <c r="H1255" s="4"/>
      <c r="I1255" s="4"/>
      <c r="J1255" s="4"/>
      <c r="K1255" s="4"/>
      <c r="L1255" s="4"/>
      <c r="M1255" s="4"/>
      <c r="N1255" s="3"/>
      <c r="O1255" s="1"/>
      <c r="P1255" s="1"/>
      <c r="Q1255" s="4"/>
      <c r="R1255" s="5"/>
      <c r="S1255" s="4"/>
      <c r="T1255" s="1"/>
      <c r="U1255" s="1"/>
      <c r="V1255" s="1"/>
      <c r="W1255" s="1"/>
      <c r="X1255" s="1"/>
      <c r="Y1255" s="6"/>
      <c r="Z1255" s="4"/>
      <c r="AA1255" s="4"/>
      <c r="AB1255" s="4"/>
      <c r="AC1255" s="1"/>
      <c r="AD1255" s="1"/>
      <c r="AE1255" s="1"/>
      <c r="AF1255" s="1"/>
      <c r="AG1255" s="1"/>
      <c r="AH1255" s="4"/>
      <c r="AI1255" s="1"/>
      <c r="AJ1255" s="3"/>
      <c r="AK1255" s="4"/>
      <c r="AL1255" s="6"/>
      <c r="AM1255" s="7"/>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row>
    <row r="1256" spans="1:64" ht="16.5" customHeight="1">
      <c r="A1256" s="1"/>
      <c r="B1256" s="139"/>
      <c r="C1256" s="1"/>
      <c r="D1256" s="1"/>
      <c r="E1256" s="1"/>
      <c r="F1256" s="1"/>
      <c r="G1256" s="1"/>
      <c r="H1256" s="4"/>
      <c r="I1256" s="4"/>
      <c r="J1256" s="4"/>
      <c r="K1256" s="4"/>
      <c r="L1256" s="4"/>
      <c r="M1256" s="4"/>
      <c r="N1256" s="3"/>
      <c r="O1256" s="1"/>
      <c r="P1256" s="1"/>
      <c r="Q1256" s="4"/>
      <c r="R1256" s="5"/>
      <c r="S1256" s="4"/>
      <c r="T1256" s="1"/>
      <c r="U1256" s="1"/>
      <c r="V1256" s="1"/>
      <c r="W1256" s="1"/>
      <c r="X1256" s="1"/>
      <c r="Y1256" s="6"/>
      <c r="Z1256" s="4"/>
      <c r="AA1256" s="4"/>
      <c r="AB1256" s="4"/>
      <c r="AC1256" s="1"/>
      <c r="AD1256" s="1"/>
      <c r="AE1256" s="1"/>
      <c r="AF1256" s="1"/>
      <c r="AG1256" s="1"/>
      <c r="AH1256" s="4"/>
      <c r="AI1256" s="1"/>
      <c r="AJ1256" s="3"/>
      <c r="AK1256" s="4"/>
      <c r="AL1256" s="6"/>
      <c r="AM1256" s="7"/>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row>
    <row r="1257" spans="1:64" ht="16.5" customHeight="1">
      <c r="A1257" s="1"/>
      <c r="B1257" s="139"/>
      <c r="C1257" s="1"/>
      <c r="D1257" s="1"/>
      <c r="E1257" s="1"/>
      <c r="F1257" s="1"/>
      <c r="G1257" s="1"/>
      <c r="H1257" s="4"/>
      <c r="I1257" s="4"/>
      <c r="J1257" s="4"/>
      <c r="K1257" s="4"/>
      <c r="L1257" s="4"/>
      <c r="M1257" s="4"/>
      <c r="N1257" s="3"/>
      <c r="O1257" s="1"/>
      <c r="P1257" s="1"/>
      <c r="Q1257" s="4"/>
      <c r="R1257" s="5"/>
      <c r="S1257" s="4"/>
      <c r="T1257" s="1"/>
      <c r="U1257" s="1"/>
      <c r="V1257" s="1"/>
      <c r="W1257" s="1"/>
      <c r="X1257" s="1"/>
      <c r="Y1257" s="6"/>
      <c r="Z1257" s="4"/>
      <c r="AA1257" s="4"/>
      <c r="AB1257" s="4"/>
      <c r="AC1257" s="1"/>
      <c r="AD1257" s="1"/>
      <c r="AE1257" s="1"/>
      <c r="AF1257" s="1"/>
      <c r="AG1257" s="1"/>
      <c r="AH1257" s="4"/>
      <c r="AI1257" s="1"/>
      <c r="AJ1257" s="3"/>
      <c r="AK1257" s="4"/>
      <c r="AL1257" s="6"/>
      <c r="AM1257" s="7"/>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row>
    <row r="1258" spans="1:64" ht="16.5" customHeight="1">
      <c r="A1258" s="1"/>
      <c r="B1258" s="139"/>
      <c r="C1258" s="1"/>
      <c r="D1258" s="1"/>
      <c r="E1258" s="1"/>
      <c r="F1258" s="1"/>
      <c r="G1258" s="1"/>
      <c r="H1258" s="4"/>
      <c r="I1258" s="4"/>
      <c r="J1258" s="4"/>
      <c r="K1258" s="4"/>
      <c r="L1258" s="4"/>
      <c r="M1258" s="4"/>
      <c r="N1258" s="3"/>
      <c r="O1258" s="1"/>
      <c r="P1258" s="1"/>
      <c r="Q1258" s="4"/>
      <c r="R1258" s="5"/>
      <c r="S1258" s="4"/>
      <c r="T1258" s="1"/>
      <c r="U1258" s="1"/>
      <c r="V1258" s="1"/>
      <c r="W1258" s="1"/>
      <c r="X1258" s="1"/>
      <c r="Y1258" s="6"/>
      <c r="Z1258" s="4"/>
      <c r="AA1258" s="4"/>
      <c r="AB1258" s="4"/>
      <c r="AC1258" s="1"/>
      <c r="AD1258" s="1"/>
      <c r="AE1258" s="1"/>
      <c r="AF1258" s="1"/>
      <c r="AG1258" s="1"/>
      <c r="AH1258" s="4"/>
      <c r="AI1258" s="1"/>
      <c r="AJ1258" s="3"/>
      <c r="AK1258" s="4"/>
      <c r="AL1258" s="6"/>
      <c r="AM1258" s="7"/>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row>
    <row r="1259" spans="1:64" ht="16.5" customHeight="1">
      <c r="A1259" s="1"/>
      <c r="B1259" s="139"/>
      <c r="C1259" s="1"/>
      <c r="D1259" s="1"/>
      <c r="E1259" s="1"/>
      <c r="F1259" s="1"/>
      <c r="G1259" s="1"/>
      <c r="H1259" s="4"/>
      <c r="I1259" s="4"/>
      <c r="J1259" s="4"/>
      <c r="K1259" s="4"/>
      <c r="L1259" s="4"/>
      <c r="M1259" s="4"/>
      <c r="N1259" s="3"/>
      <c r="O1259" s="1"/>
      <c r="P1259" s="1"/>
      <c r="Q1259" s="4"/>
      <c r="R1259" s="5"/>
      <c r="S1259" s="4"/>
      <c r="T1259" s="1"/>
      <c r="U1259" s="1"/>
      <c r="V1259" s="1"/>
      <c r="W1259" s="1"/>
      <c r="X1259" s="1"/>
      <c r="Y1259" s="6"/>
      <c r="Z1259" s="4"/>
      <c r="AA1259" s="4"/>
      <c r="AB1259" s="4"/>
      <c r="AC1259" s="1"/>
      <c r="AD1259" s="1"/>
      <c r="AE1259" s="1"/>
      <c r="AF1259" s="1"/>
      <c r="AG1259" s="1"/>
      <c r="AH1259" s="4"/>
      <c r="AI1259" s="1"/>
      <c r="AJ1259" s="3"/>
      <c r="AK1259" s="4"/>
      <c r="AL1259" s="6"/>
      <c r="AM1259" s="7"/>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row>
    <row r="1260" spans="1:64" ht="16.5" customHeight="1">
      <c r="A1260" s="1"/>
      <c r="B1260" s="139"/>
      <c r="C1260" s="1"/>
      <c r="D1260" s="1"/>
      <c r="E1260" s="1"/>
      <c r="F1260" s="1"/>
      <c r="G1260" s="1"/>
      <c r="H1260" s="4"/>
      <c r="I1260" s="4"/>
      <c r="J1260" s="4"/>
      <c r="K1260" s="4"/>
      <c r="L1260" s="4"/>
      <c r="M1260" s="4"/>
      <c r="N1260" s="3"/>
      <c r="O1260" s="1"/>
      <c r="P1260" s="1"/>
      <c r="Q1260" s="4"/>
      <c r="R1260" s="5"/>
      <c r="S1260" s="4"/>
      <c r="T1260" s="1"/>
      <c r="U1260" s="1"/>
      <c r="V1260" s="1"/>
      <c r="W1260" s="1"/>
      <c r="X1260" s="1"/>
      <c r="Y1260" s="6"/>
      <c r="Z1260" s="4"/>
      <c r="AA1260" s="4"/>
      <c r="AB1260" s="4"/>
      <c r="AC1260" s="1"/>
      <c r="AD1260" s="1"/>
      <c r="AE1260" s="1"/>
      <c r="AF1260" s="1"/>
      <c r="AG1260" s="1"/>
      <c r="AH1260" s="4"/>
      <c r="AI1260" s="1"/>
      <c r="AJ1260" s="3"/>
      <c r="AK1260" s="4"/>
      <c r="AL1260" s="6"/>
      <c r="AM1260" s="7"/>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row>
    <row r="1261" spans="1:64" ht="16.5" customHeight="1">
      <c r="A1261" s="1"/>
      <c r="B1261" s="139"/>
      <c r="C1261" s="1"/>
      <c r="D1261" s="1"/>
      <c r="E1261" s="1"/>
      <c r="F1261" s="1"/>
      <c r="G1261" s="1"/>
      <c r="H1261" s="4"/>
      <c r="I1261" s="4"/>
      <c r="J1261" s="4"/>
      <c r="K1261" s="4"/>
      <c r="L1261" s="4"/>
      <c r="M1261" s="4"/>
      <c r="N1261" s="3"/>
      <c r="O1261" s="1"/>
      <c r="P1261" s="1"/>
      <c r="Q1261" s="4"/>
      <c r="R1261" s="5"/>
      <c r="S1261" s="4"/>
      <c r="T1261" s="1"/>
      <c r="U1261" s="1"/>
      <c r="V1261" s="1"/>
      <c r="W1261" s="1"/>
      <c r="X1261" s="1"/>
      <c r="Y1261" s="6"/>
      <c r="Z1261" s="4"/>
      <c r="AA1261" s="4"/>
      <c r="AB1261" s="4"/>
      <c r="AC1261" s="1"/>
      <c r="AD1261" s="1"/>
      <c r="AE1261" s="1"/>
      <c r="AF1261" s="1"/>
      <c r="AG1261" s="1"/>
      <c r="AH1261" s="4"/>
      <c r="AI1261" s="1"/>
      <c r="AJ1261" s="3"/>
      <c r="AK1261" s="4"/>
      <c r="AL1261" s="6"/>
      <c r="AM1261" s="7"/>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row>
    <row r="1262" spans="1:64" ht="16.5" customHeight="1">
      <c r="A1262" s="1"/>
      <c r="B1262" s="139"/>
      <c r="C1262" s="1"/>
      <c r="D1262" s="1"/>
      <c r="E1262" s="1"/>
      <c r="F1262" s="1"/>
      <c r="G1262" s="1"/>
      <c r="H1262" s="4"/>
      <c r="I1262" s="4"/>
      <c r="J1262" s="4"/>
      <c r="K1262" s="4"/>
      <c r="L1262" s="4"/>
      <c r="M1262" s="4"/>
      <c r="N1262" s="3"/>
      <c r="O1262" s="1"/>
      <c r="P1262" s="1"/>
      <c r="Q1262" s="4"/>
      <c r="R1262" s="5"/>
      <c r="S1262" s="4"/>
      <c r="T1262" s="1"/>
      <c r="U1262" s="1"/>
      <c r="V1262" s="1"/>
      <c r="W1262" s="1"/>
      <c r="X1262" s="1"/>
      <c r="Y1262" s="6"/>
      <c r="Z1262" s="4"/>
      <c r="AA1262" s="4"/>
      <c r="AB1262" s="4"/>
      <c r="AC1262" s="1"/>
      <c r="AD1262" s="1"/>
      <c r="AE1262" s="1"/>
      <c r="AF1262" s="1"/>
      <c r="AG1262" s="1"/>
      <c r="AH1262" s="4"/>
      <c r="AI1262" s="1"/>
      <c r="AJ1262" s="3"/>
      <c r="AK1262" s="4"/>
      <c r="AL1262" s="6"/>
      <c r="AM1262" s="7"/>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row>
    <row r="1263" spans="1:64" ht="16.5" customHeight="1">
      <c r="A1263" s="1"/>
      <c r="B1263" s="139"/>
      <c r="C1263" s="1"/>
      <c r="D1263" s="1"/>
      <c r="E1263" s="1"/>
      <c r="F1263" s="1"/>
      <c r="G1263" s="1"/>
      <c r="H1263" s="4"/>
      <c r="I1263" s="4"/>
      <c r="J1263" s="4"/>
      <c r="K1263" s="4"/>
      <c r="L1263" s="4"/>
      <c r="M1263" s="4"/>
      <c r="N1263" s="3"/>
      <c r="O1263" s="1"/>
      <c r="P1263" s="1"/>
      <c r="Q1263" s="4"/>
      <c r="R1263" s="5"/>
      <c r="S1263" s="4"/>
      <c r="T1263" s="1"/>
      <c r="U1263" s="1"/>
      <c r="V1263" s="1"/>
      <c r="W1263" s="1"/>
      <c r="X1263" s="1"/>
      <c r="Y1263" s="6"/>
      <c r="Z1263" s="4"/>
      <c r="AA1263" s="4"/>
      <c r="AB1263" s="4"/>
      <c r="AC1263" s="1"/>
      <c r="AD1263" s="1"/>
      <c r="AE1263" s="1"/>
      <c r="AF1263" s="1"/>
      <c r="AG1263" s="1"/>
      <c r="AH1263" s="4"/>
      <c r="AI1263" s="1"/>
      <c r="AJ1263" s="3"/>
      <c r="AK1263" s="4"/>
      <c r="AL1263" s="6"/>
      <c r="AM1263" s="7"/>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row>
    <row r="1264" spans="1:64" ht="16.5" customHeight="1">
      <c r="A1264" s="1"/>
      <c r="B1264" s="139"/>
      <c r="C1264" s="1"/>
      <c r="D1264" s="1"/>
      <c r="E1264" s="1"/>
      <c r="F1264" s="1"/>
      <c r="G1264" s="1"/>
      <c r="H1264" s="4"/>
      <c r="I1264" s="4"/>
      <c r="J1264" s="4"/>
      <c r="K1264" s="4"/>
      <c r="L1264" s="4"/>
      <c r="M1264" s="4"/>
      <c r="N1264" s="3"/>
      <c r="O1264" s="1"/>
      <c r="P1264" s="1"/>
      <c r="Q1264" s="4"/>
      <c r="R1264" s="5"/>
      <c r="S1264" s="4"/>
      <c r="T1264" s="1"/>
      <c r="U1264" s="1"/>
      <c r="V1264" s="1"/>
      <c r="W1264" s="1"/>
      <c r="X1264" s="1"/>
      <c r="Y1264" s="6"/>
      <c r="Z1264" s="4"/>
      <c r="AA1264" s="4"/>
      <c r="AB1264" s="4"/>
      <c r="AC1264" s="1"/>
      <c r="AD1264" s="1"/>
      <c r="AE1264" s="1"/>
      <c r="AF1264" s="1"/>
      <c r="AG1264" s="1"/>
      <c r="AH1264" s="4"/>
      <c r="AI1264" s="1"/>
      <c r="AJ1264" s="3"/>
      <c r="AK1264" s="4"/>
      <c r="AL1264" s="6"/>
      <c r="AM1264" s="7"/>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row>
    <row r="1265" spans="1:64" ht="16.5" customHeight="1">
      <c r="A1265" s="1"/>
      <c r="B1265" s="139"/>
      <c r="C1265" s="1"/>
      <c r="D1265" s="1"/>
      <c r="E1265" s="1"/>
      <c r="F1265" s="1"/>
      <c r="G1265" s="1"/>
      <c r="H1265" s="4"/>
      <c r="I1265" s="4"/>
      <c r="J1265" s="4"/>
      <c r="K1265" s="4"/>
      <c r="L1265" s="4"/>
      <c r="M1265" s="4"/>
      <c r="N1265" s="3"/>
      <c r="O1265" s="1"/>
      <c r="P1265" s="1"/>
      <c r="Q1265" s="4"/>
      <c r="R1265" s="5"/>
      <c r="S1265" s="4"/>
      <c r="T1265" s="1"/>
      <c r="U1265" s="1"/>
      <c r="V1265" s="1"/>
      <c r="W1265" s="1"/>
      <c r="X1265" s="1"/>
      <c r="Y1265" s="6"/>
      <c r="Z1265" s="4"/>
      <c r="AA1265" s="4"/>
      <c r="AB1265" s="4"/>
      <c r="AC1265" s="1"/>
      <c r="AD1265" s="1"/>
      <c r="AE1265" s="1"/>
      <c r="AF1265" s="1"/>
      <c r="AG1265" s="1"/>
      <c r="AH1265" s="4"/>
      <c r="AI1265" s="1"/>
      <c r="AJ1265" s="3"/>
      <c r="AK1265" s="4"/>
      <c r="AL1265" s="6"/>
      <c r="AM1265" s="7"/>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row>
    <row r="1266" spans="1:64" ht="16.5" customHeight="1">
      <c r="A1266" s="1"/>
      <c r="B1266" s="139"/>
      <c r="C1266" s="1"/>
      <c r="D1266" s="1"/>
      <c r="E1266" s="1"/>
      <c r="F1266" s="1"/>
      <c r="G1266" s="1"/>
      <c r="H1266" s="4"/>
      <c r="I1266" s="4"/>
      <c r="J1266" s="4"/>
      <c r="K1266" s="4"/>
      <c r="L1266" s="4"/>
      <c r="M1266" s="4"/>
      <c r="N1266" s="3"/>
      <c r="O1266" s="1"/>
      <c r="P1266" s="1"/>
      <c r="Q1266" s="4"/>
      <c r="R1266" s="5"/>
      <c r="S1266" s="4"/>
      <c r="T1266" s="1"/>
      <c r="U1266" s="1"/>
      <c r="V1266" s="1"/>
      <c r="W1266" s="1"/>
      <c r="X1266" s="1"/>
      <c r="Y1266" s="6"/>
      <c r="Z1266" s="4"/>
      <c r="AA1266" s="4"/>
      <c r="AB1266" s="4"/>
      <c r="AC1266" s="1"/>
      <c r="AD1266" s="1"/>
      <c r="AE1266" s="1"/>
      <c r="AF1266" s="1"/>
      <c r="AG1266" s="1"/>
      <c r="AH1266" s="4"/>
      <c r="AI1266" s="1"/>
      <c r="AJ1266" s="3"/>
      <c r="AK1266" s="4"/>
      <c r="AL1266" s="6"/>
      <c r="AM1266" s="7"/>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row>
    <row r="1267" spans="1:64" ht="16.5" customHeight="1">
      <c r="A1267" s="1"/>
      <c r="B1267" s="139"/>
      <c r="C1267" s="1"/>
      <c r="D1267" s="1"/>
      <c r="E1267" s="1"/>
      <c r="F1267" s="1"/>
      <c r="G1267" s="1"/>
      <c r="H1267" s="4"/>
      <c r="I1267" s="4"/>
      <c r="J1267" s="4"/>
      <c r="K1267" s="4"/>
      <c r="L1267" s="4"/>
      <c r="M1267" s="4"/>
      <c r="N1267" s="3"/>
      <c r="O1267" s="1"/>
      <c r="P1267" s="1"/>
      <c r="Q1267" s="4"/>
      <c r="R1267" s="5"/>
      <c r="S1267" s="4"/>
      <c r="T1267" s="1"/>
      <c r="U1267" s="1"/>
      <c r="V1267" s="1"/>
      <c r="W1267" s="1"/>
      <c r="X1267" s="1"/>
      <c r="Y1267" s="6"/>
      <c r="Z1267" s="4"/>
      <c r="AA1267" s="4"/>
      <c r="AB1267" s="4"/>
      <c r="AC1267" s="1"/>
      <c r="AD1267" s="1"/>
      <c r="AE1267" s="1"/>
      <c r="AF1267" s="1"/>
      <c r="AG1267" s="1"/>
      <c r="AH1267" s="4"/>
      <c r="AI1267" s="1"/>
      <c r="AJ1267" s="3"/>
      <c r="AK1267" s="4"/>
      <c r="AL1267" s="6"/>
      <c r="AM1267" s="7"/>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row>
    <row r="1268" spans="1:64" ht="16.5" customHeight="1">
      <c r="A1268" s="1"/>
      <c r="B1268" s="139"/>
      <c r="C1268" s="1"/>
      <c r="D1268" s="1"/>
      <c r="E1268" s="1"/>
      <c r="F1268" s="1"/>
      <c r="G1268" s="1"/>
      <c r="H1268" s="4"/>
      <c r="I1268" s="4"/>
      <c r="J1268" s="4"/>
      <c r="K1268" s="4"/>
      <c r="L1268" s="4"/>
      <c r="M1268" s="4"/>
      <c r="N1268" s="3"/>
      <c r="O1268" s="1"/>
      <c r="P1268" s="1"/>
      <c r="Q1268" s="4"/>
      <c r="R1268" s="5"/>
      <c r="S1268" s="4"/>
      <c r="T1268" s="1"/>
      <c r="U1268" s="1"/>
      <c r="V1268" s="1"/>
      <c r="W1268" s="1"/>
      <c r="X1268" s="1"/>
      <c r="Y1268" s="6"/>
      <c r="Z1268" s="4"/>
      <c r="AA1268" s="4"/>
      <c r="AB1268" s="4"/>
      <c r="AC1268" s="1"/>
      <c r="AD1268" s="1"/>
      <c r="AE1268" s="1"/>
      <c r="AF1268" s="1"/>
      <c r="AG1268" s="1"/>
      <c r="AH1268" s="4"/>
      <c r="AI1268" s="1"/>
      <c r="AJ1268" s="3"/>
      <c r="AK1268" s="4"/>
      <c r="AL1268" s="6"/>
      <c r="AM1268" s="7"/>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row>
    <row r="1269" spans="1:64" ht="16.5" customHeight="1">
      <c r="A1269" s="1"/>
      <c r="B1269" s="139"/>
      <c r="C1269" s="1"/>
      <c r="D1269" s="1"/>
      <c r="E1269" s="1"/>
      <c r="F1269" s="1"/>
      <c r="G1269" s="1"/>
      <c r="H1269" s="4"/>
      <c r="I1269" s="4"/>
      <c r="J1269" s="4"/>
      <c r="K1269" s="4"/>
      <c r="L1269" s="4"/>
      <c r="M1269" s="4"/>
      <c r="N1269" s="3"/>
      <c r="O1269" s="1"/>
      <c r="P1269" s="1"/>
      <c r="Q1269" s="4"/>
      <c r="R1269" s="5"/>
      <c r="S1269" s="4"/>
      <c r="T1269" s="1"/>
      <c r="U1269" s="1"/>
      <c r="V1269" s="1"/>
      <c r="W1269" s="1"/>
      <c r="X1269" s="1"/>
      <c r="Y1269" s="6"/>
      <c r="Z1269" s="4"/>
      <c r="AA1269" s="4"/>
      <c r="AB1269" s="4"/>
      <c r="AC1269" s="1"/>
      <c r="AD1269" s="1"/>
      <c r="AE1269" s="1"/>
      <c r="AF1269" s="1"/>
      <c r="AG1269" s="1"/>
      <c r="AH1269" s="4"/>
      <c r="AI1269" s="1"/>
      <c r="AJ1269" s="3"/>
      <c r="AK1269" s="4"/>
      <c r="AL1269" s="6"/>
      <c r="AM1269" s="7"/>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row>
    <row r="1270" spans="1:64" ht="16.5" customHeight="1">
      <c r="A1270" s="1"/>
      <c r="B1270" s="139"/>
      <c r="C1270" s="1"/>
      <c r="D1270" s="1"/>
      <c r="E1270" s="1"/>
      <c r="F1270" s="1"/>
      <c r="G1270" s="1"/>
      <c r="H1270" s="4"/>
      <c r="I1270" s="4"/>
      <c r="J1270" s="4"/>
      <c r="K1270" s="4"/>
      <c r="L1270" s="4"/>
      <c r="M1270" s="4"/>
      <c r="N1270" s="3"/>
      <c r="O1270" s="1"/>
      <c r="P1270" s="1"/>
      <c r="Q1270" s="4"/>
      <c r="R1270" s="5"/>
      <c r="S1270" s="4"/>
      <c r="T1270" s="1"/>
      <c r="U1270" s="1"/>
      <c r="V1270" s="1"/>
      <c r="W1270" s="1"/>
      <c r="X1270" s="1"/>
      <c r="Y1270" s="6"/>
      <c r="Z1270" s="4"/>
      <c r="AA1270" s="4"/>
      <c r="AB1270" s="4"/>
      <c r="AC1270" s="1"/>
      <c r="AD1270" s="1"/>
      <c r="AE1270" s="1"/>
      <c r="AF1270" s="1"/>
      <c r="AG1270" s="1"/>
      <c r="AH1270" s="4"/>
      <c r="AI1270" s="1"/>
      <c r="AJ1270" s="3"/>
      <c r="AK1270" s="4"/>
      <c r="AL1270" s="6"/>
      <c r="AM1270" s="7"/>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row>
    <row r="1271" spans="1:64" ht="16.5" customHeight="1">
      <c r="A1271" s="1"/>
      <c r="B1271" s="139"/>
      <c r="C1271" s="1"/>
      <c r="D1271" s="1"/>
      <c r="E1271" s="1"/>
      <c r="F1271" s="1"/>
      <c r="G1271" s="1"/>
      <c r="H1271" s="4"/>
      <c r="I1271" s="4"/>
      <c r="J1271" s="4"/>
      <c r="K1271" s="4"/>
      <c r="L1271" s="4"/>
      <c r="M1271" s="4"/>
      <c r="N1271" s="3"/>
      <c r="O1271" s="1"/>
      <c r="P1271" s="1"/>
      <c r="Q1271" s="4"/>
      <c r="R1271" s="5"/>
      <c r="S1271" s="4"/>
      <c r="T1271" s="1"/>
      <c r="U1271" s="1"/>
      <c r="V1271" s="1"/>
      <c r="W1271" s="1"/>
      <c r="X1271" s="1"/>
      <c r="Y1271" s="6"/>
      <c r="Z1271" s="4"/>
      <c r="AA1271" s="4"/>
      <c r="AB1271" s="4"/>
      <c r="AC1271" s="1"/>
      <c r="AD1271" s="1"/>
      <c r="AE1271" s="1"/>
      <c r="AF1271" s="1"/>
      <c r="AG1271" s="1"/>
      <c r="AH1271" s="4"/>
      <c r="AI1271" s="1"/>
      <c r="AJ1271" s="3"/>
      <c r="AK1271" s="4"/>
      <c r="AL1271" s="6"/>
      <c r="AM1271" s="7"/>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row>
    <row r="1272" spans="1:64" ht="16.5" customHeight="1">
      <c r="A1272" s="1"/>
      <c r="B1272" s="139"/>
      <c r="C1272" s="1"/>
      <c r="D1272" s="1"/>
      <c r="E1272" s="1"/>
      <c r="F1272" s="1"/>
      <c r="G1272" s="1"/>
      <c r="H1272" s="4"/>
      <c r="I1272" s="4"/>
      <c r="J1272" s="4"/>
      <c r="K1272" s="4"/>
      <c r="L1272" s="4"/>
      <c r="M1272" s="4"/>
      <c r="N1272" s="3"/>
      <c r="O1272" s="1"/>
      <c r="P1272" s="1"/>
      <c r="Q1272" s="4"/>
      <c r="R1272" s="5"/>
      <c r="S1272" s="4"/>
      <c r="T1272" s="1"/>
      <c r="U1272" s="1"/>
      <c r="V1272" s="1"/>
      <c r="W1272" s="1"/>
      <c r="X1272" s="1"/>
      <c r="Y1272" s="6"/>
      <c r="Z1272" s="4"/>
      <c r="AA1272" s="4"/>
      <c r="AB1272" s="4"/>
      <c r="AC1272" s="1"/>
      <c r="AD1272" s="1"/>
      <c r="AE1272" s="1"/>
      <c r="AF1272" s="1"/>
      <c r="AG1272" s="1"/>
      <c r="AH1272" s="4"/>
      <c r="AI1272" s="1"/>
      <c r="AJ1272" s="3"/>
      <c r="AK1272" s="4"/>
      <c r="AL1272" s="6"/>
      <c r="AM1272" s="7"/>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row>
    <row r="1273" spans="1:64" ht="16.5" customHeight="1">
      <c r="A1273" s="1"/>
      <c r="B1273" s="139"/>
      <c r="C1273" s="1"/>
      <c r="D1273" s="1"/>
      <c r="E1273" s="1"/>
      <c r="F1273" s="1"/>
      <c r="G1273" s="1"/>
      <c r="H1273" s="4"/>
      <c r="I1273" s="4"/>
      <c r="J1273" s="4"/>
      <c r="K1273" s="4"/>
      <c r="L1273" s="4"/>
      <c r="M1273" s="4"/>
      <c r="N1273" s="3"/>
      <c r="O1273" s="1"/>
      <c r="P1273" s="1"/>
      <c r="Q1273" s="4"/>
      <c r="R1273" s="5"/>
      <c r="S1273" s="4"/>
      <c r="T1273" s="1"/>
      <c r="U1273" s="1"/>
      <c r="V1273" s="1"/>
      <c r="W1273" s="1"/>
      <c r="X1273" s="1"/>
      <c r="Y1273" s="6"/>
      <c r="Z1273" s="4"/>
      <c r="AA1273" s="4"/>
      <c r="AB1273" s="4"/>
      <c r="AC1273" s="1"/>
      <c r="AD1273" s="1"/>
      <c r="AE1273" s="1"/>
      <c r="AF1273" s="1"/>
      <c r="AG1273" s="1"/>
      <c r="AH1273" s="4"/>
      <c r="AI1273" s="1"/>
      <c r="AJ1273" s="3"/>
      <c r="AK1273" s="4"/>
      <c r="AL1273" s="6"/>
      <c r="AM1273" s="7"/>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row>
    <row r="1274" spans="1:64" ht="16.5" customHeight="1">
      <c r="A1274" s="1"/>
      <c r="B1274" s="139"/>
      <c r="C1274" s="1"/>
      <c r="D1274" s="1"/>
      <c r="E1274" s="1"/>
      <c r="F1274" s="1"/>
      <c r="G1274" s="1"/>
      <c r="H1274" s="4"/>
      <c r="I1274" s="4"/>
      <c r="J1274" s="4"/>
      <c r="K1274" s="4"/>
      <c r="L1274" s="4"/>
      <c r="M1274" s="4"/>
      <c r="N1274" s="3"/>
      <c r="O1274" s="1"/>
      <c r="P1274" s="1"/>
      <c r="Q1274" s="4"/>
      <c r="R1274" s="5"/>
      <c r="S1274" s="4"/>
      <c r="T1274" s="1"/>
      <c r="U1274" s="1"/>
      <c r="V1274" s="1"/>
      <c r="W1274" s="1"/>
      <c r="X1274" s="1"/>
      <c r="Y1274" s="6"/>
      <c r="Z1274" s="4"/>
      <c r="AA1274" s="4"/>
      <c r="AB1274" s="4"/>
      <c r="AC1274" s="1"/>
      <c r="AD1274" s="1"/>
      <c r="AE1274" s="1"/>
      <c r="AF1274" s="1"/>
      <c r="AG1274" s="1"/>
      <c r="AH1274" s="4"/>
      <c r="AI1274" s="1"/>
      <c r="AJ1274" s="3"/>
      <c r="AK1274" s="4"/>
      <c r="AL1274" s="6"/>
      <c r="AM1274" s="7"/>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row>
    <row r="1275" spans="1:64" ht="16.5" customHeight="1">
      <c r="A1275" s="1"/>
      <c r="B1275" s="139"/>
      <c r="C1275" s="1"/>
      <c r="D1275" s="1"/>
      <c r="E1275" s="1"/>
      <c r="F1275" s="1"/>
      <c r="G1275" s="1"/>
      <c r="H1275" s="4"/>
      <c r="I1275" s="4"/>
      <c r="J1275" s="4"/>
      <c r="K1275" s="4"/>
      <c r="L1275" s="4"/>
      <c r="M1275" s="4"/>
      <c r="N1275" s="3"/>
      <c r="O1275" s="1"/>
      <c r="P1275" s="1"/>
      <c r="Q1275" s="4"/>
      <c r="R1275" s="5"/>
      <c r="S1275" s="4"/>
      <c r="T1275" s="1"/>
      <c r="U1275" s="1"/>
      <c r="V1275" s="1"/>
      <c r="W1275" s="1"/>
      <c r="X1275" s="1"/>
      <c r="Y1275" s="6"/>
      <c r="Z1275" s="4"/>
      <c r="AA1275" s="4"/>
      <c r="AB1275" s="4"/>
      <c r="AC1275" s="1"/>
      <c r="AD1275" s="1"/>
      <c r="AE1275" s="1"/>
      <c r="AF1275" s="1"/>
      <c r="AG1275" s="1"/>
      <c r="AH1275" s="4"/>
      <c r="AI1275" s="1"/>
      <c r="AJ1275" s="3"/>
      <c r="AK1275" s="4"/>
      <c r="AL1275" s="6"/>
      <c r="AM1275" s="7"/>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row>
    <row r="1276" spans="1:64" ht="16.5" customHeight="1">
      <c r="A1276" s="1"/>
      <c r="B1276" s="139"/>
      <c r="C1276" s="1"/>
      <c r="D1276" s="1"/>
      <c r="E1276" s="1"/>
      <c r="F1276" s="1"/>
      <c r="G1276" s="1"/>
      <c r="H1276" s="4"/>
      <c r="I1276" s="4"/>
      <c r="J1276" s="4"/>
      <c r="K1276" s="4"/>
      <c r="L1276" s="4"/>
      <c r="M1276" s="4"/>
      <c r="N1276" s="3"/>
      <c r="O1276" s="1"/>
      <c r="P1276" s="1"/>
      <c r="Q1276" s="4"/>
      <c r="R1276" s="5"/>
      <c r="S1276" s="4"/>
      <c r="T1276" s="1"/>
      <c r="U1276" s="1"/>
      <c r="V1276" s="1"/>
      <c r="W1276" s="1"/>
      <c r="X1276" s="1"/>
      <c r="Y1276" s="6"/>
      <c r="Z1276" s="4"/>
      <c r="AA1276" s="4"/>
      <c r="AB1276" s="4"/>
      <c r="AC1276" s="1"/>
      <c r="AD1276" s="1"/>
      <c r="AE1276" s="1"/>
      <c r="AF1276" s="1"/>
      <c r="AG1276" s="1"/>
      <c r="AH1276" s="4"/>
      <c r="AI1276" s="1"/>
      <c r="AJ1276" s="3"/>
      <c r="AK1276" s="4"/>
      <c r="AL1276" s="6"/>
      <c r="AM1276" s="7"/>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row>
    <row r="1277" spans="1:64" ht="16.5" customHeight="1">
      <c r="A1277" s="1"/>
      <c r="B1277" s="139"/>
      <c r="C1277" s="1"/>
      <c r="D1277" s="1"/>
      <c r="E1277" s="1"/>
      <c r="F1277" s="1"/>
      <c r="G1277" s="1"/>
      <c r="H1277" s="4"/>
      <c r="I1277" s="4"/>
      <c r="J1277" s="4"/>
      <c r="K1277" s="4"/>
      <c r="L1277" s="4"/>
      <c r="M1277" s="4"/>
      <c r="N1277" s="3"/>
      <c r="O1277" s="1"/>
      <c r="P1277" s="1"/>
      <c r="Q1277" s="4"/>
      <c r="R1277" s="5"/>
      <c r="S1277" s="4"/>
      <c r="T1277" s="1"/>
      <c r="U1277" s="1"/>
      <c r="V1277" s="1"/>
      <c r="W1277" s="1"/>
      <c r="X1277" s="1"/>
      <c r="Y1277" s="6"/>
      <c r="Z1277" s="4"/>
      <c r="AA1277" s="4"/>
      <c r="AB1277" s="4"/>
      <c r="AC1277" s="1"/>
      <c r="AD1277" s="1"/>
      <c r="AE1277" s="1"/>
      <c r="AF1277" s="1"/>
      <c r="AG1277" s="1"/>
      <c r="AH1277" s="4"/>
      <c r="AI1277" s="1"/>
      <c r="AJ1277" s="3"/>
      <c r="AK1277" s="4"/>
      <c r="AL1277" s="6"/>
      <c r="AM1277" s="7"/>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row>
    <row r="1278" spans="1:64" ht="16.5" customHeight="1">
      <c r="A1278" s="1"/>
      <c r="B1278" s="139"/>
      <c r="C1278" s="1"/>
      <c r="D1278" s="1"/>
      <c r="E1278" s="1"/>
      <c r="F1278" s="1"/>
      <c r="G1278" s="1"/>
      <c r="H1278" s="4"/>
      <c r="I1278" s="4"/>
      <c r="J1278" s="4"/>
      <c r="K1278" s="4"/>
      <c r="L1278" s="4"/>
      <c r="M1278" s="4"/>
      <c r="N1278" s="3"/>
      <c r="O1278" s="1"/>
      <c r="P1278" s="1"/>
      <c r="Q1278" s="4"/>
      <c r="R1278" s="5"/>
      <c r="S1278" s="4"/>
      <c r="T1278" s="1"/>
      <c r="U1278" s="1"/>
      <c r="V1278" s="1"/>
      <c r="W1278" s="1"/>
      <c r="X1278" s="1"/>
      <c r="Y1278" s="6"/>
      <c r="Z1278" s="4"/>
      <c r="AA1278" s="4"/>
      <c r="AB1278" s="4"/>
      <c r="AC1278" s="1"/>
      <c r="AD1278" s="1"/>
      <c r="AE1278" s="1"/>
      <c r="AF1278" s="1"/>
      <c r="AG1278" s="1"/>
      <c r="AH1278" s="4"/>
      <c r="AI1278" s="1"/>
      <c r="AJ1278" s="3"/>
      <c r="AK1278" s="4"/>
      <c r="AL1278" s="6"/>
      <c r="AM1278" s="7"/>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row>
    <row r="1279" spans="1:64" ht="16.5" customHeight="1">
      <c r="A1279" s="1"/>
      <c r="B1279" s="139"/>
      <c r="C1279" s="1"/>
      <c r="D1279" s="1"/>
      <c r="E1279" s="1"/>
      <c r="F1279" s="1"/>
      <c r="G1279" s="1"/>
      <c r="H1279" s="4"/>
      <c r="I1279" s="4"/>
      <c r="J1279" s="4"/>
      <c r="K1279" s="4"/>
      <c r="L1279" s="4"/>
      <c r="M1279" s="4"/>
      <c r="N1279" s="3"/>
      <c r="O1279" s="1"/>
      <c r="P1279" s="1"/>
      <c r="Q1279" s="4"/>
      <c r="R1279" s="5"/>
      <c r="S1279" s="4"/>
      <c r="T1279" s="1"/>
      <c r="U1279" s="1"/>
      <c r="V1279" s="1"/>
      <c r="W1279" s="1"/>
      <c r="X1279" s="1"/>
      <c r="Y1279" s="6"/>
      <c r="Z1279" s="4"/>
      <c r="AA1279" s="4"/>
      <c r="AB1279" s="4"/>
      <c r="AC1279" s="1"/>
      <c r="AD1279" s="1"/>
      <c r="AE1279" s="1"/>
      <c r="AF1279" s="1"/>
      <c r="AG1279" s="1"/>
      <c r="AH1279" s="4"/>
      <c r="AI1279" s="1"/>
      <c r="AJ1279" s="3"/>
      <c r="AK1279" s="4"/>
      <c r="AL1279" s="6"/>
      <c r="AM1279" s="7"/>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row>
    <row r="1280" spans="1:64" ht="16.5" customHeight="1">
      <c r="A1280" s="1"/>
      <c r="B1280" s="139"/>
      <c r="C1280" s="1"/>
      <c r="D1280" s="1"/>
      <c r="E1280" s="1"/>
      <c r="F1280" s="1"/>
      <c r="G1280" s="1"/>
      <c r="H1280" s="4"/>
      <c r="I1280" s="4"/>
      <c r="J1280" s="4"/>
      <c r="K1280" s="4"/>
      <c r="L1280" s="4"/>
      <c r="M1280" s="4"/>
      <c r="N1280" s="3"/>
      <c r="O1280" s="1"/>
      <c r="P1280" s="1"/>
      <c r="Q1280" s="4"/>
      <c r="R1280" s="5"/>
      <c r="S1280" s="4"/>
      <c r="T1280" s="1"/>
      <c r="U1280" s="1"/>
      <c r="V1280" s="1"/>
      <c r="W1280" s="1"/>
      <c r="X1280" s="1"/>
      <c r="Y1280" s="6"/>
      <c r="Z1280" s="4"/>
      <c r="AA1280" s="4"/>
      <c r="AB1280" s="4"/>
      <c r="AC1280" s="1"/>
      <c r="AD1280" s="1"/>
      <c r="AE1280" s="1"/>
      <c r="AF1280" s="1"/>
      <c r="AG1280" s="1"/>
      <c r="AH1280" s="4"/>
      <c r="AI1280" s="1"/>
      <c r="AJ1280" s="3"/>
      <c r="AK1280" s="4"/>
      <c r="AL1280" s="6"/>
      <c r="AM1280" s="7"/>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row>
    <row r="1281" spans="1:64" ht="16.5" customHeight="1">
      <c r="A1281" s="1"/>
      <c r="B1281" s="139"/>
      <c r="C1281" s="1"/>
      <c r="D1281" s="1"/>
      <c r="E1281" s="1"/>
      <c r="F1281" s="1"/>
      <c r="G1281" s="1"/>
      <c r="H1281" s="4"/>
      <c r="I1281" s="4"/>
      <c r="J1281" s="4"/>
      <c r="K1281" s="4"/>
      <c r="L1281" s="4"/>
      <c r="M1281" s="4"/>
      <c r="N1281" s="3"/>
      <c r="O1281" s="1"/>
      <c r="P1281" s="1"/>
      <c r="Q1281" s="4"/>
      <c r="R1281" s="5"/>
      <c r="S1281" s="4"/>
      <c r="T1281" s="1"/>
      <c r="U1281" s="1"/>
      <c r="V1281" s="1"/>
      <c r="W1281" s="1"/>
      <c r="X1281" s="1"/>
      <c r="Y1281" s="6"/>
      <c r="Z1281" s="4"/>
      <c r="AA1281" s="4"/>
      <c r="AB1281" s="4"/>
      <c r="AC1281" s="1"/>
      <c r="AD1281" s="1"/>
      <c r="AE1281" s="1"/>
      <c r="AF1281" s="1"/>
      <c r="AG1281" s="1"/>
      <c r="AH1281" s="4"/>
      <c r="AI1281" s="1"/>
      <c r="AJ1281" s="3"/>
      <c r="AK1281" s="4"/>
      <c r="AL1281" s="6"/>
      <c r="AM1281" s="7"/>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row>
    <row r="1282" spans="1:64" ht="16.5" customHeight="1">
      <c r="A1282" s="1"/>
      <c r="B1282" s="139"/>
      <c r="C1282" s="1"/>
      <c r="D1282" s="1"/>
      <c r="E1282" s="1"/>
      <c r="F1282" s="1"/>
      <c r="G1282" s="1"/>
      <c r="H1282" s="4"/>
      <c r="I1282" s="4"/>
      <c r="J1282" s="4"/>
      <c r="K1282" s="4"/>
      <c r="L1282" s="4"/>
      <c r="M1282" s="4"/>
      <c r="N1282" s="3"/>
      <c r="O1282" s="1"/>
      <c r="P1282" s="1"/>
      <c r="Q1282" s="4"/>
      <c r="R1282" s="5"/>
      <c r="S1282" s="4"/>
      <c r="T1282" s="1"/>
      <c r="U1282" s="1"/>
      <c r="V1282" s="1"/>
      <c r="W1282" s="1"/>
      <c r="X1282" s="1"/>
      <c r="Y1282" s="6"/>
      <c r="Z1282" s="4"/>
      <c r="AA1282" s="4"/>
      <c r="AB1282" s="4"/>
      <c r="AC1282" s="1"/>
      <c r="AD1282" s="1"/>
      <c r="AE1282" s="1"/>
      <c r="AF1282" s="1"/>
      <c r="AG1282" s="1"/>
      <c r="AH1282" s="4"/>
      <c r="AI1282" s="1"/>
      <c r="AJ1282" s="3"/>
      <c r="AK1282" s="4"/>
      <c r="AL1282" s="6"/>
      <c r="AM1282" s="7"/>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row>
    <row r="1283" spans="1:64" ht="16.5" customHeight="1">
      <c r="A1283" s="1"/>
      <c r="B1283" s="139"/>
      <c r="C1283" s="1"/>
      <c r="D1283" s="1"/>
      <c r="E1283" s="1"/>
      <c r="F1283" s="1"/>
      <c r="G1283" s="1"/>
      <c r="H1283" s="4"/>
      <c r="I1283" s="4"/>
      <c r="J1283" s="4"/>
      <c r="K1283" s="4"/>
      <c r="L1283" s="4"/>
      <c r="M1283" s="4"/>
      <c r="N1283" s="3"/>
      <c r="O1283" s="1"/>
      <c r="P1283" s="1"/>
      <c r="Q1283" s="4"/>
      <c r="R1283" s="5"/>
      <c r="S1283" s="4"/>
      <c r="T1283" s="1"/>
      <c r="U1283" s="1"/>
      <c r="V1283" s="1"/>
      <c r="W1283" s="1"/>
      <c r="X1283" s="1"/>
      <c r="Y1283" s="6"/>
      <c r="Z1283" s="4"/>
      <c r="AA1283" s="4"/>
      <c r="AB1283" s="4"/>
      <c r="AC1283" s="1"/>
      <c r="AD1283" s="1"/>
      <c r="AE1283" s="1"/>
      <c r="AF1283" s="1"/>
      <c r="AG1283" s="1"/>
      <c r="AH1283" s="4"/>
      <c r="AI1283" s="1"/>
      <c r="AJ1283" s="3"/>
      <c r="AK1283" s="4"/>
      <c r="AL1283" s="6"/>
      <c r="AM1283" s="7"/>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row>
    <row r="1284" spans="1:64" ht="16.5" customHeight="1">
      <c r="A1284" s="1"/>
      <c r="B1284" s="139"/>
      <c r="C1284" s="1"/>
      <c r="D1284" s="1"/>
      <c r="E1284" s="1"/>
      <c r="F1284" s="1"/>
      <c r="G1284" s="1"/>
      <c r="H1284" s="4"/>
      <c r="I1284" s="4"/>
      <c r="J1284" s="4"/>
      <c r="K1284" s="4"/>
      <c r="L1284" s="4"/>
      <c r="M1284" s="4"/>
      <c r="N1284" s="3"/>
      <c r="O1284" s="1"/>
      <c r="P1284" s="1"/>
      <c r="Q1284" s="4"/>
      <c r="R1284" s="5"/>
      <c r="S1284" s="4"/>
      <c r="T1284" s="1"/>
      <c r="U1284" s="1"/>
      <c r="V1284" s="1"/>
      <c r="W1284" s="1"/>
      <c r="X1284" s="1"/>
      <c r="Y1284" s="6"/>
      <c r="Z1284" s="4"/>
      <c r="AA1284" s="4"/>
      <c r="AB1284" s="4"/>
      <c r="AC1284" s="1"/>
      <c r="AD1284" s="1"/>
      <c r="AE1284" s="1"/>
      <c r="AF1284" s="1"/>
      <c r="AG1284" s="1"/>
      <c r="AH1284" s="4"/>
      <c r="AI1284" s="1"/>
      <c r="AJ1284" s="3"/>
      <c r="AK1284" s="4"/>
      <c r="AL1284" s="6"/>
      <c r="AM1284" s="7"/>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row>
    <row r="1285" spans="1:64" ht="16.5" customHeight="1">
      <c r="A1285" s="1"/>
      <c r="B1285" s="139"/>
      <c r="C1285" s="1"/>
      <c r="D1285" s="1"/>
      <c r="E1285" s="1"/>
      <c r="F1285" s="1"/>
      <c r="G1285" s="1"/>
      <c r="H1285" s="4"/>
      <c r="I1285" s="4"/>
      <c r="J1285" s="4"/>
      <c r="K1285" s="4"/>
      <c r="L1285" s="4"/>
      <c r="M1285" s="4"/>
      <c r="N1285" s="3"/>
      <c r="O1285" s="1"/>
      <c r="P1285" s="1"/>
      <c r="Q1285" s="4"/>
      <c r="R1285" s="5"/>
      <c r="S1285" s="4"/>
      <c r="T1285" s="1"/>
      <c r="U1285" s="1"/>
      <c r="V1285" s="1"/>
      <c r="W1285" s="1"/>
      <c r="X1285" s="1"/>
      <c r="Y1285" s="6"/>
      <c r="Z1285" s="4"/>
      <c r="AA1285" s="4"/>
      <c r="AB1285" s="4"/>
      <c r="AC1285" s="1"/>
      <c r="AD1285" s="1"/>
      <c r="AE1285" s="1"/>
      <c r="AF1285" s="1"/>
      <c r="AG1285" s="1"/>
      <c r="AH1285" s="4"/>
      <c r="AI1285" s="1"/>
      <c r="AJ1285" s="3"/>
      <c r="AK1285" s="4"/>
      <c r="AL1285" s="6"/>
      <c r="AM1285" s="7"/>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row>
    <row r="1286" spans="1:64" ht="16.5" customHeight="1">
      <c r="A1286" s="1"/>
      <c r="B1286" s="139"/>
      <c r="C1286" s="1"/>
      <c r="D1286" s="1"/>
      <c r="E1286" s="1"/>
      <c r="F1286" s="1"/>
      <c r="G1286" s="1"/>
      <c r="H1286" s="4"/>
      <c r="I1286" s="4"/>
      <c r="J1286" s="4"/>
      <c r="K1286" s="4"/>
      <c r="L1286" s="4"/>
      <c r="M1286" s="4"/>
      <c r="N1286" s="3"/>
      <c r="O1286" s="1"/>
      <c r="P1286" s="1"/>
      <c r="Q1286" s="4"/>
      <c r="R1286" s="5"/>
      <c r="S1286" s="4"/>
      <c r="T1286" s="1"/>
      <c r="U1286" s="1"/>
      <c r="V1286" s="1"/>
      <c r="W1286" s="1"/>
      <c r="X1286" s="1"/>
      <c r="Y1286" s="6"/>
      <c r="Z1286" s="4"/>
      <c r="AA1286" s="4"/>
      <c r="AB1286" s="4"/>
      <c r="AC1286" s="1"/>
      <c r="AD1286" s="1"/>
      <c r="AE1286" s="1"/>
      <c r="AF1286" s="1"/>
      <c r="AG1286" s="1"/>
      <c r="AH1286" s="4"/>
      <c r="AI1286" s="1"/>
      <c r="AJ1286" s="3"/>
      <c r="AK1286" s="4"/>
      <c r="AL1286" s="6"/>
      <c r="AM1286" s="7"/>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row>
    <row r="1287" spans="1:64" ht="16.5" customHeight="1">
      <c r="A1287" s="1"/>
      <c r="B1287" s="139"/>
      <c r="C1287" s="1"/>
      <c r="D1287" s="1"/>
      <c r="E1287" s="1"/>
      <c r="F1287" s="1"/>
      <c r="G1287" s="1"/>
      <c r="H1287" s="4"/>
      <c r="I1287" s="4"/>
      <c r="J1287" s="4"/>
      <c r="K1287" s="4"/>
      <c r="L1287" s="4"/>
      <c r="M1287" s="4"/>
      <c r="N1287" s="3"/>
      <c r="O1287" s="1"/>
      <c r="P1287" s="1"/>
      <c r="Q1287" s="4"/>
      <c r="R1287" s="5"/>
      <c r="S1287" s="4"/>
      <c r="T1287" s="1"/>
      <c r="U1287" s="1"/>
      <c r="V1287" s="1"/>
      <c r="W1287" s="1"/>
      <c r="X1287" s="1"/>
      <c r="Y1287" s="6"/>
      <c r="Z1287" s="4"/>
      <c r="AA1287" s="4"/>
      <c r="AB1287" s="4"/>
      <c r="AC1287" s="1"/>
      <c r="AD1287" s="1"/>
      <c r="AE1287" s="1"/>
      <c r="AF1287" s="1"/>
      <c r="AG1287" s="1"/>
      <c r="AH1287" s="4"/>
      <c r="AI1287" s="1"/>
      <c r="AJ1287" s="3"/>
      <c r="AK1287" s="4"/>
      <c r="AL1287" s="6"/>
      <c r="AM1287" s="7"/>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row>
    <row r="1288" spans="1:64" ht="16.5" customHeight="1">
      <c r="A1288" s="1"/>
      <c r="B1288" s="139"/>
      <c r="C1288" s="1"/>
      <c r="D1288" s="1"/>
      <c r="E1288" s="1"/>
      <c r="F1288" s="1"/>
      <c r="G1288" s="1"/>
      <c r="H1288" s="4"/>
      <c r="I1288" s="4"/>
      <c r="J1288" s="4"/>
      <c r="K1288" s="4"/>
      <c r="L1288" s="4"/>
      <c r="M1288" s="4"/>
      <c r="N1288" s="3"/>
      <c r="O1288" s="1"/>
      <c r="P1288" s="1"/>
      <c r="Q1288" s="4"/>
      <c r="R1288" s="5"/>
      <c r="S1288" s="4"/>
      <c r="T1288" s="1"/>
      <c r="U1288" s="1"/>
      <c r="V1288" s="1"/>
      <c r="W1288" s="1"/>
      <c r="X1288" s="1"/>
      <c r="Y1288" s="6"/>
      <c r="Z1288" s="4"/>
      <c r="AA1288" s="4"/>
      <c r="AB1288" s="4"/>
      <c r="AC1288" s="1"/>
      <c r="AD1288" s="1"/>
      <c r="AE1288" s="1"/>
      <c r="AF1288" s="1"/>
      <c r="AG1288" s="1"/>
      <c r="AH1288" s="4"/>
      <c r="AI1288" s="1"/>
      <c r="AJ1288" s="3"/>
      <c r="AK1288" s="4"/>
      <c r="AL1288" s="6"/>
      <c r="AM1288" s="7"/>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row>
    <row r="1289" spans="1:64" ht="16.5" customHeight="1">
      <c r="A1289" s="1"/>
      <c r="B1289" s="139"/>
      <c r="C1289" s="1"/>
      <c r="D1289" s="1"/>
      <c r="E1289" s="1"/>
      <c r="F1289" s="1"/>
      <c r="G1289" s="1"/>
      <c r="H1289" s="4"/>
      <c r="I1289" s="4"/>
      <c r="J1289" s="4"/>
      <c r="K1289" s="4"/>
      <c r="L1289" s="4"/>
      <c r="M1289" s="4"/>
      <c r="N1289" s="3"/>
      <c r="O1289" s="1"/>
      <c r="P1289" s="1"/>
      <c r="Q1289" s="4"/>
      <c r="R1289" s="5"/>
      <c r="S1289" s="4"/>
      <c r="T1289" s="1"/>
      <c r="U1289" s="1"/>
      <c r="V1289" s="1"/>
      <c r="W1289" s="1"/>
      <c r="X1289" s="1"/>
      <c r="Y1289" s="6"/>
      <c r="Z1289" s="4"/>
      <c r="AA1289" s="4"/>
      <c r="AB1289" s="4"/>
      <c r="AC1289" s="1"/>
      <c r="AD1289" s="1"/>
      <c r="AE1289" s="1"/>
      <c r="AF1289" s="1"/>
      <c r="AG1289" s="1"/>
      <c r="AH1289" s="4"/>
      <c r="AI1289" s="1"/>
      <c r="AJ1289" s="3"/>
      <c r="AK1289" s="4"/>
      <c r="AL1289" s="6"/>
      <c r="AM1289" s="7"/>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row>
    <row r="1290" spans="1:64" ht="16.5" customHeight="1">
      <c r="A1290" s="1"/>
      <c r="B1290" s="139"/>
      <c r="C1290" s="1"/>
      <c r="D1290" s="1"/>
      <c r="E1290" s="1"/>
      <c r="F1290" s="1"/>
      <c r="G1290" s="1"/>
      <c r="H1290" s="4"/>
      <c r="I1290" s="4"/>
      <c r="J1290" s="4"/>
      <c r="K1290" s="4"/>
      <c r="L1290" s="4"/>
      <c r="M1290" s="4"/>
      <c r="N1290" s="3"/>
      <c r="O1290" s="1"/>
      <c r="P1290" s="1"/>
      <c r="Q1290" s="4"/>
      <c r="R1290" s="5"/>
      <c r="S1290" s="4"/>
      <c r="T1290" s="1"/>
      <c r="U1290" s="1"/>
      <c r="V1290" s="1"/>
      <c r="W1290" s="1"/>
      <c r="X1290" s="1"/>
      <c r="Y1290" s="6"/>
      <c r="Z1290" s="4"/>
      <c r="AA1290" s="4"/>
      <c r="AB1290" s="4"/>
      <c r="AC1290" s="1"/>
      <c r="AD1290" s="1"/>
      <c r="AE1290" s="1"/>
      <c r="AF1290" s="1"/>
      <c r="AG1290" s="1"/>
      <c r="AH1290" s="4"/>
      <c r="AI1290" s="1"/>
      <c r="AJ1290" s="3"/>
      <c r="AK1290" s="4"/>
      <c r="AL1290" s="6"/>
      <c r="AM1290" s="7"/>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row>
    <row r="1291" spans="1:64" ht="16.5" customHeight="1">
      <c r="A1291" s="1"/>
      <c r="B1291" s="139"/>
      <c r="C1291" s="1"/>
      <c r="D1291" s="1"/>
      <c r="E1291" s="1"/>
      <c r="F1291" s="1"/>
      <c r="G1291" s="1"/>
      <c r="H1291" s="4"/>
      <c r="I1291" s="4"/>
      <c r="J1291" s="4"/>
      <c r="K1291" s="4"/>
      <c r="L1291" s="4"/>
      <c r="M1291" s="4"/>
      <c r="N1291" s="3"/>
      <c r="O1291" s="1"/>
      <c r="P1291" s="1"/>
      <c r="Q1291" s="4"/>
      <c r="R1291" s="5"/>
      <c r="S1291" s="4"/>
      <c r="T1291" s="1"/>
      <c r="U1291" s="1"/>
      <c r="V1291" s="1"/>
      <c r="W1291" s="1"/>
      <c r="X1291" s="1"/>
      <c r="Y1291" s="6"/>
      <c r="Z1291" s="4"/>
      <c r="AA1291" s="4"/>
      <c r="AB1291" s="4"/>
      <c r="AC1291" s="1"/>
      <c r="AD1291" s="1"/>
      <c r="AE1291" s="1"/>
      <c r="AF1291" s="1"/>
      <c r="AG1291" s="1"/>
      <c r="AH1291" s="4"/>
      <c r="AI1291" s="1"/>
      <c r="AJ1291" s="3"/>
      <c r="AK1291" s="4"/>
      <c r="AL1291" s="6"/>
      <c r="AM1291" s="7"/>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row>
    <row r="1292" spans="1:64" ht="16.5" customHeight="1">
      <c r="A1292" s="1"/>
      <c r="B1292" s="139"/>
      <c r="C1292" s="1"/>
      <c r="D1292" s="1"/>
      <c r="E1292" s="1"/>
      <c r="F1292" s="1"/>
      <c r="G1292" s="1"/>
      <c r="H1292" s="4"/>
      <c r="I1292" s="4"/>
      <c r="J1292" s="4"/>
      <c r="K1292" s="4"/>
      <c r="L1292" s="4"/>
      <c r="M1292" s="4"/>
      <c r="N1292" s="3"/>
      <c r="O1292" s="1"/>
      <c r="P1292" s="1"/>
      <c r="Q1292" s="4"/>
      <c r="R1292" s="5"/>
      <c r="S1292" s="4"/>
      <c r="T1292" s="1"/>
      <c r="U1292" s="1"/>
      <c r="V1292" s="1"/>
      <c r="W1292" s="1"/>
      <c r="X1292" s="1"/>
      <c r="Y1292" s="6"/>
      <c r="Z1292" s="4"/>
      <c r="AA1292" s="4"/>
      <c r="AB1292" s="4"/>
      <c r="AC1292" s="1"/>
      <c r="AD1292" s="1"/>
      <c r="AE1292" s="1"/>
      <c r="AF1292" s="1"/>
      <c r="AG1292" s="1"/>
      <c r="AH1292" s="4"/>
      <c r="AI1292" s="1"/>
      <c r="AJ1292" s="3"/>
      <c r="AK1292" s="4"/>
      <c r="AL1292" s="6"/>
      <c r="AM1292" s="7"/>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row>
    <row r="1293" spans="1:64" ht="16.5" customHeight="1">
      <c r="A1293" s="1"/>
      <c r="B1293" s="139"/>
      <c r="C1293" s="1"/>
      <c r="D1293" s="1"/>
      <c r="E1293" s="1"/>
      <c r="F1293" s="1"/>
      <c r="G1293" s="1"/>
      <c r="H1293" s="4"/>
      <c r="I1293" s="4"/>
      <c r="J1293" s="4"/>
      <c r="K1293" s="4"/>
      <c r="L1293" s="4"/>
      <c r="M1293" s="4"/>
      <c r="N1293" s="3"/>
      <c r="O1293" s="1"/>
      <c r="P1293" s="1"/>
      <c r="Q1293" s="4"/>
      <c r="R1293" s="5"/>
      <c r="S1293" s="4"/>
      <c r="T1293" s="1"/>
      <c r="U1293" s="1"/>
      <c r="V1293" s="1"/>
      <c r="W1293" s="1"/>
      <c r="X1293" s="1"/>
      <c r="Y1293" s="6"/>
      <c r="Z1293" s="4"/>
      <c r="AA1293" s="4"/>
      <c r="AB1293" s="4"/>
      <c r="AC1293" s="1"/>
      <c r="AD1293" s="1"/>
      <c r="AE1293" s="1"/>
      <c r="AF1293" s="1"/>
      <c r="AG1293" s="1"/>
      <c r="AH1293" s="4"/>
      <c r="AI1293" s="1"/>
      <c r="AJ1293" s="3"/>
      <c r="AK1293" s="4"/>
      <c r="AL1293" s="6"/>
      <c r="AM1293" s="7"/>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row>
    <row r="1294" spans="1:64" ht="16.5" customHeight="1">
      <c r="A1294" s="1"/>
      <c r="B1294" s="139"/>
      <c r="C1294" s="1"/>
      <c r="D1294" s="1"/>
      <c r="E1294" s="1"/>
      <c r="F1294" s="1"/>
      <c r="G1294" s="1"/>
      <c r="H1294" s="4"/>
      <c r="I1294" s="4"/>
      <c r="J1294" s="4"/>
      <c r="K1294" s="4"/>
      <c r="L1294" s="4"/>
      <c r="M1294" s="4"/>
      <c r="N1294" s="3"/>
      <c r="O1294" s="1"/>
      <c r="P1294" s="1"/>
      <c r="Q1294" s="4"/>
      <c r="R1294" s="5"/>
      <c r="S1294" s="4"/>
      <c r="T1294" s="1"/>
      <c r="U1294" s="1"/>
      <c r="V1294" s="1"/>
      <c r="W1294" s="1"/>
      <c r="X1294" s="1"/>
      <c r="Y1294" s="6"/>
      <c r="Z1294" s="4"/>
      <c r="AA1294" s="4"/>
      <c r="AB1294" s="4"/>
      <c r="AC1294" s="1"/>
      <c r="AD1294" s="1"/>
      <c r="AE1294" s="1"/>
      <c r="AF1294" s="1"/>
      <c r="AG1294" s="1"/>
      <c r="AH1294" s="4"/>
      <c r="AI1294" s="1"/>
      <c r="AJ1294" s="3"/>
      <c r="AK1294" s="4"/>
      <c r="AL1294" s="6"/>
      <c r="AM1294" s="7"/>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row>
    <row r="1295" spans="1:64" ht="16.5" customHeight="1">
      <c r="A1295" s="1"/>
      <c r="B1295" s="139"/>
      <c r="C1295" s="1"/>
      <c r="D1295" s="1"/>
      <c r="E1295" s="1"/>
      <c r="F1295" s="1"/>
      <c r="G1295" s="1"/>
      <c r="H1295" s="4"/>
      <c r="I1295" s="4"/>
      <c r="J1295" s="4"/>
      <c r="K1295" s="4"/>
      <c r="L1295" s="4"/>
      <c r="M1295" s="4"/>
      <c r="N1295" s="3"/>
      <c r="O1295" s="1"/>
      <c r="P1295" s="1"/>
      <c r="Q1295" s="4"/>
      <c r="R1295" s="5"/>
      <c r="S1295" s="4"/>
      <c r="T1295" s="1"/>
      <c r="U1295" s="1"/>
      <c r="V1295" s="1"/>
      <c r="W1295" s="1"/>
      <c r="X1295" s="1"/>
      <c r="Y1295" s="6"/>
      <c r="Z1295" s="4"/>
      <c r="AA1295" s="4"/>
      <c r="AB1295" s="4"/>
      <c r="AC1295" s="1"/>
      <c r="AD1295" s="1"/>
      <c r="AE1295" s="1"/>
      <c r="AF1295" s="1"/>
      <c r="AG1295" s="1"/>
      <c r="AH1295" s="4"/>
      <c r="AI1295" s="1"/>
      <c r="AJ1295" s="3"/>
      <c r="AK1295" s="4"/>
      <c r="AL1295" s="6"/>
      <c r="AM1295" s="7"/>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row>
    <row r="1296" spans="1:64" ht="16.5" customHeight="1">
      <c r="A1296" s="1"/>
      <c r="B1296" s="139"/>
      <c r="C1296" s="1"/>
      <c r="D1296" s="1"/>
      <c r="E1296" s="1"/>
      <c r="F1296" s="1"/>
      <c r="G1296" s="1"/>
      <c r="H1296" s="4"/>
      <c r="I1296" s="4"/>
      <c r="J1296" s="4"/>
      <c r="K1296" s="4"/>
      <c r="L1296" s="4"/>
      <c r="M1296" s="4"/>
      <c r="N1296" s="3"/>
      <c r="O1296" s="1"/>
      <c r="P1296" s="1"/>
      <c r="Q1296" s="4"/>
      <c r="R1296" s="5"/>
      <c r="S1296" s="4"/>
      <c r="T1296" s="1"/>
      <c r="U1296" s="1"/>
      <c r="V1296" s="1"/>
      <c r="W1296" s="1"/>
      <c r="X1296" s="1"/>
      <c r="Y1296" s="6"/>
      <c r="Z1296" s="4"/>
      <c r="AA1296" s="4"/>
      <c r="AB1296" s="4"/>
      <c r="AC1296" s="1"/>
      <c r="AD1296" s="1"/>
      <c r="AE1296" s="1"/>
      <c r="AF1296" s="1"/>
      <c r="AG1296" s="1"/>
      <c r="AH1296" s="4"/>
      <c r="AI1296" s="1"/>
      <c r="AJ1296" s="3"/>
      <c r="AK1296" s="4"/>
      <c r="AL1296" s="6"/>
      <c r="AM1296" s="7"/>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row>
    <row r="1297" spans="1:64" ht="16.5" customHeight="1">
      <c r="A1297" s="1"/>
      <c r="B1297" s="139"/>
      <c r="C1297" s="1"/>
      <c r="D1297" s="1"/>
      <c r="E1297" s="1"/>
      <c r="F1297" s="1"/>
      <c r="G1297" s="1"/>
      <c r="H1297" s="4"/>
      <c r="I1297" s="4"/>
      <c r="J1297" s="4"/>
      <c r="K1297" s="4"/>
      <c r="L1297" s="4"/>
      <c r="M1297" s="4"/>
      <c r="N1297" s="3"/>
      <c r="O1297" s="1"/>
      <c r="P1297" s="1"/>
      <c r="Q1297" s="4"/>
      <c r="R1297" s="5"/>
      <c r="S1297" s="4"/>
      <c r="T1297" s="1"/>
      <c r="U1297" s="1"/>
      <c r="V1297" s="1"/>
      <c r="W1297" s="1"/>
      <c r="X1297" s="1"/>
      <c r="Y1297" s="6"/>
      <c r="Z1297" s="4"/>
      <c r="AA1297" s="4"/>
      <c r="AB1297" s="4"/>
      <c r="AC1297" s="1"/>
      <c r="AD1297" s="1"/>
      <c r="AE1297" s="1"/>
      <c r="AF1297" s="1"/>
      <c r="AG1297" s="1"/>
      <c r="AH1297" s="4"/>
      <c r="AI1297" s="1"/>
      <c r="AJ1297" s="3"/>
      <c r="AK1297" s="4"/>
      <c r="AL1297" s="6"/>
      <c r="AM1297" s="7"/>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row>
    <row r="1298" spans="1:64" ht="16.5" customHeight="1">
      <c r="A1298" s="1"/>
      <c r="B1298" s="139"/>
      <c r="C1298" s="1"/>
      <c r="D1298" s="1"/>
      <c r="E1298" s="1"/>
      <c r="F1298" s="1"/>
      <c r="G1298" s="1"/>
      <c r="H1298" s="4"/>
      <c r="I1298" s="4"/>
      <c r="J1298" s="4"/>
      <c r="K1298" s="4"/>
      <c r="L1298" s="4"/>
      <c r="M1298" s="4"/>
      <c r="N1298" s="3"/>
      <c r="O1298" s="1"/>
      <c r="P1298" s="1"/>
      <c r="Q1298" s="4"/>
      <c r="R1298" s="5"/>
      <c r="S1298" s="4"/>
      <c r="T1298" s="1"/>
      <c r="U1298" s="1"/>
      <c r="V1298" s="1"/>
      <c r="W1298" s="1"/>
      <c r="X1298" s="1"/>
      <c r="Y1298" s="6"/>
      <c r="Z1298" s="4"/>
      <c r="AA1298" s="4"/>
      <c r="AB1298" s="4"/>
      <c r="AC1298" s="1"/>
      <c r="AD1298" s="1"/>
      <c r="AE1298" s="1"/>
      <c r="AF1298" s="1"/>
      <c r="AG1298" s="1"/>
      <c r="AH1298" s="4"/>
      <c r="AI1298" s="1"/>
      <c r="AJ1298" s="3"/>
      <c r="AK1298" s="4"/>
      <c r="AL1298" s="6"/>
      <c r="AM1298" s="7"/>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row>
    <row r="1299" spans="1:64" ht="16.5" customHeight="1">
      <c r="A1299" s="1"/>
      <c r="B1299" s="139"/>
      <c r="C1299" s="1"/>
      <c r="D1299" s="1"/>
      <c r="E1299" s="1"/>
      <c r="F1299" s="1"/>
      <c r="G1299" s="1"/>
      <c r="H1299" s="4"/>
      <c r="I1299" s="4"/>
      <c r="J1299" s="4"/>
      <c r="K1299" s="4"/>
      <c r="L1299" s="4"/>
      <c r="M1299" s="4"/>
      <c r="N1299" s="3"/>
      <c r="O1299" s="1"/>
      <c r="P1299" s="1"/>
      <c r="Q1299" s="4"/>
      <c r="R1299" s="5"/>
      <c r="S1299" s="4"/>
      <c r="T1299" s="1"/>
      <c r="U1299" s="1"/>
      <c r="V1299" s="1"/>
      <c r="W1299" s="1"/>
      <c r="X1299" s="1"/>
      <c r="Y1299" s="6"/>
      <c r="Z1299" s="4"/>
      <c r="AA1299" s="4"/>
      <c r="AB1299" s="4"/>
      <c r="AC1299" s="1"/>
      <c r="AD1299" s="1"/>
      <c r="AE1299" s="1"/>
      <c r="AF1299" s="1"/>
      <c r="AG1299" s="1"/>
      <c r="AH1299" s="4"/>
      <c r="AI1299" s="1"/>
      <c r="AJ1299" s="3"/>
      <c r="AK1299" s="4"/>
      <c r="AL1299" s="6"/>
      <c r="AM1299" s="7"/>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row>
    <row r="1300" spans="1:64" ht="16.5" customHeight="1">
      <c r="A1300" s="1"/>
      <c r="B1300" s="139"/>
      <c r="C1300" s="1"/>
      <c r="D1300" s="1"/>
      <c r="E1300" s="1"/>
      <c r="F1300" s="1"/>
      <c r="G1300" s="1"/>
      <c r="H1300" s="4"/>
      <c r="I1300" s="4"/>
      <c r="J1300" s="4"/>
      <c r="K1300" s="4"/>
      <c r="L1300" s="4"/>
      <c r="M1300" s="4"/>
      <c r="N1300" s="3"/>
      <c r="O1300" s="1"/>
      <c r="P1300" s="1"/>
      <c r="Q1300" s="4"/>
      <c r="R1300" s="5"/>
      <c r="S1300" s="4"/>
      <c r="T1300" s="1"/>
      <c r="U1300" s="1"/>
      <c r="V1300" s="1"/>
      <c r="W1300" s="1"/>
      <c r="X1300" s="1"/>
      <c r="Y1300" s="6"/>
      <c r="Z1300" s="4"/>
      <c r="AA1300" s="4"/>
      <c r="AB1300" s="4"/>
      <c r="AC1300" s="1"/>
      <c r="AD1300" s="1"/>
      <c r="AE1300" s="1"/>
      <c r="AF1300" s="1"/>
      <c r="AG1300" s="1"/>
      <c r="AH1300" s="4"/>
      <c r="AI1300" s="1"/>
      <c r="AJ1300" s="3"/>
      <c r="AK1300" s="4"/>
      <c r="AL1300" s="6"/>
      <c r="AM1300" s="7"/>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row>
    <row r="1301" spans="1:64" ht="16.5" customHeight="1">
      <c r="A1301" s="1"/>
      <c r="B1301" s="139"/>
      <c r="C1301" s="1"/>
      <c r="D1301" s="1"/>
      <c r="E1301" s="1"/>
      <c r="F1301" s="1"/>
      <c r="G1301" s="1"/>
      <c r="H1301" s="4"/>
      <c r="I1301" s="4"/>
      <c r="J1301" s="4"/>
      <c r="K1301" s="4"/>
      <c r="L1301" s="4"/>
      <c r="M1301" s="4"/>
      <c r="N1301" s="3"/>
      <c r="O1301" s="1"/>
      <c r="P1301" s="1"/>
      <c r="Q1301" s="4"/>
      <c r="R1301" s="5"/>
      <c r="S1301" s="4"/>
      <c r="T1301" s="1"/>
      <c r="U1301" s="1"/>
      <c r="V1301" s="1"/>
      <c r="W1301" s="1"/>
      <c r="X1301" s="1"/>
      <c r="Y1301" s="6"/>
      <c r="Z1301" s="4"/>
      <c r="AA1301" s="4"/>
      <c r="AB1301" s="4"/>
      <c r="AC1301" s="1"/>
      <c r="AD1301" s="1"/>
      <c r="AE1301" s="1"/>
      <c r="AF1301" s="1"/>
      <c r="AG1301" s="1"/>
      <c r="AH1301" s="4"/>
      <c r="AI1301" s="1"/>
      <c r="AJ1301" s="3"/>
      <c r="AK1301" s="4"/>
      <c r="AL1301" s="6"/>
      <c r="AM1301" s="7"/>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row>
    <row r="1302" spans="1:64" ht="16.5" customHeight="1">
      <c r="A1302" s="1"/>
      <c r="B1302" s="139"/>
      <c r="C1302" s="1"/>
      <c r="D1302" s="1"/>
      <c r="E1302" s="1"/>
      <c r="F1302" s="1"/>
      <c r="G1302" s="1"/>
      <c r="H1302" s="4"/>
      <c r="I1302" s="4"/>
      <c r="J1302" s="4"/>
      <c r="K1302" s="4"/>
      <c r="L1302" s="4"/>
      <c r="M1302" s="4"/>
      <c r="N1302" s="3"/>
      <c r="O1302" s="1"/>
      <c r="P1302" s="1"/>
      <c r="Q1302" s="4"/>
      <c r="R1302" s="5"/>
      <c r="S1302" s="4"/>
      <c r="T1302" s="1"/>
      <c r="U1302" s="1"/>
      <c r="V1302" s="1"/>
      <c r="W1302" s="1"/>
      <c r="X1302" s="1"/>
      <c r="Y1302" s="6"/>
      <c r="Z1302" s="4"/>
      <c r="AA1302" s="4"/>
      <c r="AB1302" s="4"/>
      <c r="AC1302" s="1"/>
      <c r="AD1302" s="1"/>
      <c r="AE1302" s="1"/>
      <c r="AF1302" s="1"/>
      <c r="AG1302" s="1"/>
      <c r="AH1302" s="4"/>
      <c r="AI1302" s="1"/>
      <c r="AJ1302" s="3"/>
      <c r="AK1302" s="4"/>
      <c r="AL1302" s="6"/>
      <c r="AM1302" s="7"/>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row>
    <row r="1303" spans="1:64" ht="16.5" customHeight="1">
      <c r="A1303" s="1"/>
      <c r="B1303" s="139"/>
      <c r="C1303" s="1"/>
      <c r="D1303" s="1"/>
      <c r="E1303" s="1"/>
      <c r="F1303" s="1"/>
      <c r="G1303" s="1"/>
      <c r="H1303" s="4"/>
      <c r="I1303" s="4"/>
      <c r="J1303" s="4"/>
      <c r="K1303" s="4"/>
      <c r="L1303" s="4"/>
      <c r="M1303" s="4"/>
      <c r="N1303" s="3"/>
      <c r="O1303" s="1"/>
      <c r="P1303" s="1"/>
      <c r="Q1303" s="4"/>
      <c r="R1303" s="5"/>
      <c r="S1303" s="4"/>
      <c r="T1303" s="1"/>
      <c r="U1303" s="1"/>
      <c r="V1303" s="1"/>
      <c r="W1303" s="1"/>
      <c r="X1303" s="1"/>
      <c r="Y1303" s="6"/>
      <c r="Z1303" s="4"/>
      <c r="AA1303" s="4"/>
      <c r="AB1303" s="4"/>
      <c r="AC1303" s="1"/>
      <c r="AD1303" s="1"/>
      <c r="AE1303" s="1"/>
      <c r="AF1303" s="1"/>
      <c r="AG1303" s="1"/>
      <c r="AH1303" s="4"/>
      <c r="AI1303" s="1"/>
      <c r="AJ1303" s="3"/>
      <c r="AK1303" s="4"/>
      <c r="AL1303" s="6"/>
      <c r="AM1303" s="7"/>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row>
    <row r="1304" spans="1:64" ht="16.5" customHeight="1">
      <c r="A1304" s="1"/>
      <c r="B1304" s="139"/>
      <c r="C1304" s="1"/>
      <c r="D1304" s="1"/>
      <c r="E1304" s="1"/>
      <c r="F1304" s="1"/>
      <c r="G1304" s="1"/>
      <c r="H1304" s="4"/>
      <c r="I1304" s="4"/>
      <c r="J1304" s="4"/>
      <c r="K1304" s="4"/>
      <c r="L1304" s="4"/>
      <c r="M1304" s="4"/>
      <c r="N1304" s="3"/>
      <c r="O1304" s="1"/>
      <c r="P1304" s="1"/>
      <c r="Q1304" s="4"/>
      <c r="R1304" s="5"/>
      <c r="S1304" s="4"/>
      <c r="T1304" s="1"/>
      <c r="U1304" s="1"/>
      <c r="V1304" s="1"/>
      <c r="W1304" s="1"/>
      <c r="X1304" s="1"/>
      <c r="Y1304" s="6"/>
      <c r="Z1304" s="4"/>
      <c r="AA1304" s="4"/>
      <c r="AB1304" s="4"/>
      <c r="AC1304" s="1"/>
      <c r="AD1304" s="1"/>
      <c r="AE1304" s="1"/>
      <c r="AF1304" s="1"/>
      <c r="AG1304" s="1"/>
      <c r="AH1304" s="4"/>
      <c r="AI1304" s="1"/>
      <c r="AJ1304" s="3"/>
      <c r="AK1304" s="4"/>
      <c r="AL1304" s="6"/>
      <c r="AM1304" s="7"/>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row>
    <row r="1305" spans="1:64" ht="16.5" customHeight="1">
      <c r="A1305" s="1"/>
      <c r="B1305" s="139"/>
      <c r="C1305" s="1"/>
      <c r="D1305" s="1"/>
      <c r="E1305" s="1"/>
      <c r="F1305" s="1"/>
      <c r="G1305" s="1"/>
      <c r="H1305" s="4"/>
      <c r="I1305" s="4"/>
      <c r="J1305" s="4"/>
      <c r="K1305" s="4"/>
      <c r="L1305" s="4"/>
      <c r="M1305" s="4"/>
      <c r="N1305" s="3"/>
      <c r="O1305" s="1"/>
      <c r="P1305" s="1"/>
      <c r="Q1305" s="4"/>
      <c r="R1305" s="5"/>
      <c r="S1305" s="4"/>
      <c r="T1305" s="1"/>
      <c r="U1305" s="1"/>
      <c r="V1305" s="1"/>
      <c r="W1305" s="1"/>
      <c r="X1305" s="1"/>
      <c r="Y1305" s="6"/>
      <c r="Z1305" s="4"/>
      <c r="AA1305" s="4"/>
      <c r="AB1305" s="4"/>
      <c r="AC1305" s="1"/>
      <c r="AD1305" s="1"/>
      <c r="AE1305" s="1"/>
      <c r="AF1305" s="1"/>
      <c r="AG1305" s="1"/>
      <c r="AH1305" s="4"/>
      <c r="AI1305" s="1"/>
      <c r="AJ1305" s="3"/>
      <c r="AK1305" s="4"/>
      <c r="AL1305" s="6"/>
      <c r="AM1305" s="7"/>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row>
    <row r="1306" spans="1:64" ht="16.5" customHeight="1">
      <c r="A1306" s="1"/>
      <c r="B1306" s="139"/>
      <c r="C1306" s="1"/>
      <c r="D1306" s="1"/>
      <c r="E1306" s="1"/>
      <c r="F1306" s="1"/>
      <c r="G1306" s="1"/>
      <c r="H1306" s="4"/>
      <c r="I1306" s="4"/>
      <c r="J1306" s="4"/>
      <c r="K1306" s="4"/>
      <c r="L1306" s="4"/>
      <c r="M1306" s="4"/>
      <c r="N1306" s="3"/>
      <c r="O1306" s="1"/>
      <c r="P1306" s="1"/>
      <c r="Q1306" s="4"/>
      <c r="R1306" s="5"/>
      <c r="S1306" s="4"/>
      <c r="T1306" s="1"/>
      <c r="U1306" s="1"/>
      <c r="V1306" s="1"/>
      <c r="W1306" s="1"/>
      <c r="X1306" s="1"/>
      <c r="Y1306" s="6"/>
      <c r="Z1306" s="4"/>
      <c r="AA1306" s="4"/>
      <c r="AB1306" s="4"/>
      <c r="AC1306" s="1"/>
      <c r="AD1306" s="1"/>
      <c r="AE1306" s="1"/>
      <c r="AF1306" s="1"/>
      <c r="AG1306" s="1"/>
      <c r="AH1306" s="4"/>
      <c r="AI1306" s="1"/>
      <c r="AJ1306" s="3"/>
      <c r="AK1306" s="4"/>
      <c r="AL1306" s="6"/>
      <c r="AM1306" s="7"/>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row>
    <row r="1307" spans="1:64" ht="16.5" customHeight="1">
      <c r="A1307" s="1"/>
      <c r="B1307" s="139"/>
      <c r="C1307" s="1"/>
      <c r="D1307" s="1"/>
      <c r="E1307" s="1"/>
      <c r="F1307" s="1"/>
      <c r="G1307" s="1"/>
      <c r="H1307" s="4"/>
      <c r="I1307" s="4"/>
      <c r="J1307" s="4"/>
      <c r="K1307" s="4"/>
      <c r="L1307" s="4"/>
      <c r="M1307" s="4"/>
      <c r="N1307" s="3"/>
      <c r="O1307" s="1"/>
      <c r="P1307" s="1"/>
      <c r="Q1307" s="4"/>
      <c r="R1307" s="5"/>
      <c r="S1307" s="4"/>
      <c r="T1307" s="1"/>
      <c r="U1307" s="1"/>
      <c r="V1307" s="1"/>
      <c r="W1307" s="1"/>
      <c r="X1307" s="1"/>
      <c r="Y1307" s="6"/>
      <c r="Z1307" s="4"/>
      <c r="AA1307" s="4"/>
      <c r="AB1307" s="4"/>
      <c r="AC1307" s="1"/>
      <c r="AD1307" s="1"/>
      <c r="AE1307" s="1"/>
      <c r="AF1307" s="1"/>
      <c r="AG1307" s="1"/>
      <c r="AH1307" s="4"/>
      <c r="AI1307" s="1"/>
      <c r="AJ1307" s="3"/>
      <c r="AK1307" s="4"/>
      <c r="AL1307" s="6"/>
      <c r="AM1307" s="7"/>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row>
    <row r="1308" spans="1:64" ht="16.5" customHeight="1">
      <c r="A1308" s="1"/>
      <c r="B1308" s="139"/>
      <c r="C1308" s="1"/>
      <c r="D1308" s="1"/>
      <c r="E1308" s="1"/>
      <c r="F1308" s="1"/>
      <c r="G1308" s="1"/>
      <c r="H1308" s="4"/>
      <c r="I1308" s="4"/>
      <c r="J1308" s="4"/>
      <c r="K1308" s="4"/>
      <c r="L1308" s="4"/>
      <c r="M1308" s="4"/>
      <c r="N1308" s="3"/>
      <c r="O1308" s="1"/>
      <c r="P1308" s="1"/>
      <c r="Q1308" s="4"/>
      <c r="R1308" s="5"/>
      <c r="S1308" s="4"/>
      <c r="T1308" s="1"/>
      <c r="U1308" s="1"/>
      <c r="V1308" s="1"/>
      <c r="W1308" s="1"/>
      <c r="X1308" s="1"/>
      <c r="Y1308" s="6"/>
      <c r="Z1308" s="4"/>
      <c r="AA1308" s="4"/>
      <c r="AB1308" s="4"/>
      <c r="AC1308" s="1"/>
      <c r="AD1308" s="1"/>
      <c r="AE1308" s="1"/>
      <c r="AF1308" s="1"/>
      <c r="AG1308" s="1"/>
      <c r="AH1308" s="4"/>
      <c r="AI1308" s="1"/>
      <c r="AJ1308" s="3"/>
      <c r="AK1308" s="4"/>
      <c r="AL1308" s="6"/>
      <c r="AM1308" s="7"/>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row>
    <row r="1309" spans="1:64" ht="16.5" customHeight="1">
      <c r="A1309" s="1"/>
      <c r="B1309" s="139"/>
      <c r="C1309" s="1"/>
      <c r="D1309" s="1"/>
      <c r="E1309" s="1"/>
      <c r="F1309" s="1"/>
      <c r="G1309" s="1"/>
      <c r="H1309" s="4"/>
      <c r="I1309" s="4"/>
      <c r="J1309" s="4"/>
      <c r="K1309" s="4"/>
      <c r="L1309" s="4"/>
      <c r="M1309" s="4"/>
      <c r="N1309" s="3"/>
      <c r="O1309" s="1"/>
      <c r="P1309" s="1"/>
      <c r="Q1309" s="4"/>
      <c r="R1309" s="5"/>
      <c r="S1309" s="4"/>
      <c r="T1309" s="1"/>
      <c r="U1309" s="1"/>
      <c r="V1309" s="1"/>
      <c r="W1309" s="1"/>
      <c r="X1309" s="1"/>
      <c r="Y1309" s="6"/>
      <c r="Z1309" s="4"/>
      <c r="AA1309" s="4"/>
      <c r="AB1309" s="4"/>
      <c r="AC1309" s="1"/>
      <c r="AD1309" s="1"/>
      <c r="AE1309" s="1"/>
      <c r="AF1309" s="1"/>
      <c r="AG1309" s="1"/>
      <c r="AH1309" s="4"/>
      <c r="AI1309" s="1"/>
      <c r="AJ1309" s="3"/>
      <c r="AK1309" s="4"/>
      <c r="AL1309" s="6"/>
      <c r="AM1309" s="7"/>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row>
    <row r="1310" spans="1:64" ht="16.5" customHeight="1">
      <c r="A1310" s="1"/>
      <c r="B1310" s="139"/>
      <c r="C1310" s="1"/>
      <c r="D1310" s="1"/>
      <c r="E1310" s="1"/>
      <c r="F1310" s="1"/>
      <c r="G1310" s="1"/>
      <c r="H1310" s="4"/>
      <c r="I1310" s="4"/>
      <c r="J1310" s="4"/>
      <c r="K1310" s="4"/>
      <c r="L1310" s="4"/>
      <c r="M1310" s="4"/>
      <c r="N1310" s="3"/>
      <c r="O1310" s="1"/>
      <c r="P1310" s="1"/>
      <c r="Q1310" s="4"/>
      <c r="R1310" s="5"/>
      <c r="S1310" s="4"/>
      <c r="T1310" s="1"/>
      <c r="U1310" s="1"/>
      <c r="V1310" s="1"/>
      <c r="W1310" s="1"/>
      <c r="X1310" s="1"/>
      <c r="Y1310" s="6"/>
      <c r="Z1310" s="4"/>
      <c r="AA1310" s="4"/>
      <c r="AB1310" s="4"/>
      <c r="AC1310" s="1"/>
      <c r="AD1310" s="1"/>
      <c r="AE1310" s="1"/>
      <c r="AF1310" s="1"/>
      <c r="AG1310" s="1"/>
      <c r="AH1310" s="4"/>
      <c r="AI1310" s="1"/>
      <c r="AJ1310" s="3"/>
      <c r="AK1310" s="4"/>
      <c r="AL1310" s="6"/>
      <c r="AM1310" s="7"/>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row>
    <row r="1311" spans="1:64" ht="16.5" customHeight="1">
      <c r="A1311" s="1"/>
      <c r="B1311" s="139"/>
      <c r="C1311" s="1"/>
      <c r="D1311" s="1"/>
      <c r="E1311" s="1"/>
      <c r="F1311" s="1"/>
      <c r="G1311" s="1"/>
      <c r="H1311" s="4"/>
      <c r="I1311" s="4"/>
      <c r="J1311" s="4"/>
      <c r="K1311" s="4"/>
      <c r="L1311" s="4"/>
      <c r="M1311" s="4"/>
      <c r="N1311" s="3"/>
      <c r="O1311" s="1"/>
      <c r="P1311" s="1"/>
      <c r="Q1311" s="4"/>
      <c r="R1311" s="5"/>
      <c r="S1311" s="4"/>
      <c r="T1311" s="1"/>
      <c r="U1311" s="1"/>
      <c r="V1311" s="1"/>
      <c r="W1311" s="1"/>
      <c r="X1311" s="1"/>
      <c r="Y1311" s="6"/>
      <c r="Z1311" s="4"/>
      <c r="AA1311" s="4"/>
      <c r="AB1311" s="4"/>
      <c r="AC1311" s="1"/>
      <c r="AD1311" s="1"/>
      <c r="AE1311" s="1"/>
      <c r="AF1311" s="1"/>
      <c r="AG1311" s="1"/>
      <c r="AH1311" s="4"/>
      <c r="AI1311" s="1"/>
      <c r="AJ1311" s="3"/>
      <c r="AK1311" s="4"/>
      <c r="AL1311" s="6"/>
      <c r="AM1311" s="7"/>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row>
    <row r="1312" spans="1:64" ht="16.5" customHeight="1">
      <c r="A1312" s="1"/>
      <c r="B1312" s="139"/>
      <c r="C1312" s="1"/>
      <c r="D1312" s="1"/>
      <c r="E1312" s="1"/>
      <c r="F1312" s="1"/>
      <c r="G1312" s="1"/>
      <c r="H1312" s="4"/>
      <c r="I1312" s="4"/>
      <c r="J1312" s="4"/>
      <c r="K1312" s="4"/>
      <c r="L1312" s="4"/>
      <c r="M1312" s="4"/>
      <c r="N1312" s="3"/>
      <c r="O1312" s="1"/>
      <c r="P1312" s="1"/>
      <c r="Q1312" s="4"/>
      <c r="R1312" s="5"/>
      <c r="S1312" s="4"/>
      <c r="T1312" s="1"/>
      <c r="U1312" s="1"/>
      <c r="V1312" s="1"/>
      <c r="W1312" s="1"/>
      <c r="X1312" s="1"/>
      <c r="Y1312" s="6"/>
      <c r="Z1312" s="4"/>
      <c r="AA1312" s="4"/>
      <c r="AB1312" s="4"/>
      <c r="AC1312" s="1"/>
      <c r="AD1312" s="1"/>
      <c r="AE1312" s="1"/>
      <c r="AF1312" s="1"/>
      <c r="AG1312" s="1"/>
      <c r="AH1312" s="4"/>
      <c r="AI1312" s="1"/>
      <c r="AJ1312" s="3"/>
      <c r="AK1312" s="4"/>
      <c r="AL1312" s="6"/>
      <c r="AM1312" s="7"/>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row>
    <row r="1313" spans="1:64" ht="16.5" customHeight="1">
      <c r="A1313" s="1"/>
      <c r="B1313" s="139"/>
      <c r="C1313" s="1"/>
      <c r="D1313" s="1"/>
      <c r="E1313" s="1"/>
      <c r="F1313" s="1"/>
      <c r="G1313" s="1"/>
      <c r="H1313" s="4"/>
      <c r="I1313" s="4"/>
      <c r="J1313" s="4"/>
      <c r="K1313" s="4"/>
      <c r="L1313" s="4"/>
      <c r="M1313" s="4"/>
      <c r="N1313" s="3"/>
      <c r="O1313" s="1"/>
      <c r="P1313" s="1"/>
      <c r="Q1313" s="4"/>
      <c r="R1313" s="5"/>
      <c r="S1313" s="4"/>
      <c r="T1313" s="1"/>
      <c r="U1313" s="1"/>
      <c r="V1313" s="1"/>
      <c r="W1313" s="1"/>
      <c r="X1313" s="1"/>
      <c r="Y1313" s="6"/>
      <c r="Z1313" s="4"/>
      <c r="AA1313" s="4"/>
      <c r="AB1313" s="4"/>
      <c r="AC1313" s="1"/>
      <c r="AD1313" s="1"/>
      <c r="AE1313" s="1"/>
      <c r="AF1313" s="1"/>
      <c r="AG1313" s="1"/>
      <c r="AH1313" s="4"/>
      <c r="AI1313" s="1"/>
      <c r="AJ1313" s="3"/>
      <c r="AK1313" s="4"/>
      <c r="AL1313" s="6"/>
      <c r="AM1313" s="7"/>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row>
    <row r="1314" spans="1:64" ht="16.5" customHeight="1">
      <c r="A1314" s="1"/>
      <c r="B1314" s="139"/>
      <c r="C1314" s="1"/>
      <c r="D1314" s="1"/>
      <c r="E1314" s="1"/>
      <c r="F1314" s="1"/>
      <c r="G1314" s="1"/>
      <c r="H1314" s="4"/>
      <c r="I1314" s="4"/>
      <c r="J1314" s="4"/>
      <c r="K1314" s="4"/>
      <c r="L1314" s="4"/>
      <c r="M1314" s="4"/>
      <c r="N1314" s="3"/>
      <c r="O1314" s="1"/>
      <c r="P1314" s="1"/>
      <c r="Q1314" s="4"/>
      <c r="R1314" s="5"/>
      <c r="S1314" s="4"/>
      <c r="T1314" s="1"/>
      <c r="U1314" s="1"/>
      <c r="V1314" s="1"/>
      <c r="W1314" s="1"/>
      <c r="X1314" s="1"/>
      <c r="Y1314" s="6"/>
      <c r="Z1314" s="4"/>
      <c r="AA1314" s="4"/>
      <c r="AB1314" s="4"/>
      <c r="AC1314" s="1"/>
      <c r="AD1314" s="1"/>
      <c r="AE1314" s="1"/>
      <c r="AF1314" s="1"/>
      <c r="AG1314" s="1"/>
      <c r="AH1314" s="4"/>
      <c r="AI1314" s="1"/>
      <c r="AJ1314" s="3"/>
      <c r="AK1314" s="4"/>
      <c r="AL1314" s="6"/>
      <c r="AM1314" s="7"/>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row>
    <row r="1315" spans="1:64" ht="16.5" customHeight="1">
      <c r="A1315" s="1"/>
      <c r="B1315" s="139"/>
      <c r="C1315" s="1"/>
      <c r="D1315" s="1"/>
      <c r="E1315" s="1"/>
      <c r="F1315" s="1"/>
      <c r="G1315" s="1"/>
      <c r="H1315" s="4"/>
      <c r="I1315" s="4"/>
      <c r="J1315" s="4"/>
      <c r="K1315" s="4"/>
      <c r="L1315" s="4"/>
      <c r="M1315" s="4"/>
      <c r="N1315" s="3"/>
      <c r="O1315" s="1"/>
      <c r="P1315" s="1"/>
      <c r="Q1315" s="4"/>
      <c r="R1315" s="5"/>
      <c r="S1315" s="4"/>
      <c r="T1315" s="1"/>
      <c r="U1315" s="1"/>
      <c r="V1315" s="1"/>
      <c r="W1315" s="1"/>
      <c r="X1315" s="1"/>
      <c r="Y1315" s="6"/>
      <c r="Z1315" s="4"/>
      <c r="AA1315" s="4"/>
      <c r="AB1315" s="4"/>
      <c r="AC1315" s="1"/>
      <c r="AD1315" s="1"/>
      <c r="AE1315" s="1"/>
      <c r="AF1315" s="1"/>
      <c r="AG1315" s="1"/>
      <c r="AH1315" s="4"/>
      <c r="AI1315" s="1"/>
      <c r="AJ1315" s="3"/>
      <c r="AK1315" s="4"/>
      <c r="AL1315" s="6"/>
      <c r="AM1315" s="7"/>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row>
    <row r="1316" spans="1:64" ht="16.5" customHeight="1">
      <c r="A1316" s="1"/>
      <c r="B1316" s="139"/>
      <c r="C1316" s="1"/>
      <c r="D1316" s="1"/>
      <c r="E1316" s="1"/>
      <c r="F1316" s="1"/>
      <c r="G1316" s="1"/>
      <c r="H1316" s="4"/>
      <c r="I1316" s="4"/>
      <c r="J1316" s="4"/>
      <c r="K1316" s="4"/>
      <c r="L1316" s="4"/>
      <c r="M1316" s="4"/>
      <c r="N1316" s="3"/>
      <c r="O1316" s="1"/>
      <c r="P1316" s="1"/>
      <c r="Q1316" s="4"/>
      <c r="R1316" s="5"/>
      <c r="S1316" s="4"/>
      <c r="T1316" s="1"/>
      <c r="U1316" s="1"/>
      <c r="V1316" s="1"/>
      <c r="W1316" s="1"/>
      <c r="X1316" s="1"/>
      <c r="Y1316" s="6"/>
      <c r="Z1316" s="4"/>
      <c r="AA1316" s="4"/>
      <c r="AB1316" s="4"/>
      <c r="AC1316" s="1"/>
      <c r="AD1316" s="1"/>
      <c r="AE1316" s="1"/>
      <c r="AF1316" s="1"/>
      <c r="AG1316" s="1"/>
      <c r="AH1316" s="4"/>
      <c r="AI1316" s="1"/>
      <c r="AJ1316" s="3"/>
      <c r="AK1316" s="4"/>
      <c r="AL1316" s="6"/>
      <c r="AM1316" s="7"/>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row>
    <row r="1317" spans="1:64" ht="16.5" customHeight="1">
      <c r="A1317" s="1"/>
      <c r="B1317" s="139"/>
      <c r="C1317" s="1"/>
      <c r="D1317" s="1"/>
      <c r="E1317" s="1"/>
      <c r="F1317" s="1"/>
      <c r="G1317" s="1"/>
      <c r="H1317" s="4"/>
      <c r="I1317" s="4"/>
      <c r="J1317" s="4"/>
      <c r="K1317" s="4"/>
      <c r="L1317" s="4"/>
      <c r="M1317" s="4"/>
      <c r="N1317" s="3"/>
      <c r="O1317" s="1"/>
      <c r="P1317" s="1"/>
      <c r="Q1317" s="4"/>
      <c r="R1317" s="5"/>
      <c r="S1317" s="4"/>
      <c r="T1317" s="1"/>
      <c r="U1317" s="1"/>
      <c r="V1317" s="1"/>
      <c r="W1317" s="1"/>
      <c r="X1317" s="1"/>
      <c r="Y1317" s="6"/>
      <c r="Z1317" s="4"/>
      <c r="AA1317" s="4"/>
      <c r="AB1317" s="4"/>
      <c r="AC1317" s="1"/>
      <c r="AD1317" s="1"/>
      <c r="AE1317" s="1"/>
      <c r="AF1317" s="1"/>
      <c r="AG1317" s="1"/>
      <c r="AH1317" s="4"/>
      <c r="AI1317" s="1"/>
      <c r="AJ1317" s="3"/>
      <c r="AK1317" s="4"/>
      <c r="AL1317" s="6"/>
      <c r="AM1317" s="7"/>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row>
    <row r="1318" spans="1:64" ht="16.5" customHeight="1">
      <c r="A1318" s="1"/>
      <c r="B1318" s="139"/>
      <c r="C1318" s="1"/>
      <c r="D1318" s="1"/>
      <c r="E1318" s="1"/>
      <c r="F1318" s="1"/>
      <c r="G1318" s="1"/>
      <c r="H1318" s="4"/>
      <c r="I1318" s="4"/>
      <c r="J1318" s="4"/>
      <c r="K1318" s="4"/>
      <c r="L1318" s="4"/>
      <c r="M1318" s="4"/>
      <c r="N1318" s="3"/>
      <c r="O1318" s="1"/>
      <c r="P1318" s="1"/>
      <c r="Q1318" s="4"/>
      <c r="R1318" s="5"/>
      <c r="S1318" s="4"/>
      <c r="T1318" s="1"/>
      <c r="U1318" s="1"/>
      <c r="V1318" s="1"/>
      <c r="W1318" s="1"/>
      <c r="X1318" s="1"/>
      <c r="Y1318" s="6"/>
      <c r="Z1318" s="4"/>
      <c r="AA1318" s="4"/>
      <c r="AB1318" s="4"/>
      <c r="AC1318" s="1"/>
      <c r="AD1318" s="1"/>
      <c r="AE1318" s="1"/>
      <c r="AF1318" s="1"/>
      <c r="AG1318" s="1"/>
      <c r="AH1318" s="4"/>
      <c r="AI1318" s="1"/>
      <c r="AJ1318" s="3"/>
      <c r="AK1318" s="4"/>
      <c r="AL1318" s="6"/>
      <c r="AM1318" s="7"/>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row>
    <row r="1319" spans="1:64" ht="16.5" customHeight="1">
      <c r="A1319" s="1"/>
      <c r="B1319" s="139"/>
      <c r="C1319" s="1"/>
      <c r="D1319" s="1"/>
      <c r="E1319" s="1"/>
      <c r="F1319" s="1"/>
      <c r="G1319" s="1"/>
      <c r="H1319" s="4"/>
      <c r="I1319" s="4"/>
      <c r="J1319" s="4"/>
      <c r="K1319" s="4"/>
      <c r="L1319" s="4"/>
      <c r="M1319" s="4"/>
      <c r="N1319" s="3"/>
      <c r="O1319" s="1"/>
      <c r="P1319" s="1"/>
      <c r="Q1319" s="4"/>
      <c r="R1319" s="5"/>
      <c r="S1319" s="4"/>
      <c r="T1319" s="1"/>
      <c r="U1319" s="1"/>
      <c r="V1319" s="1"/>
      <c r="W1319" s="1"/>
      <c r="X1319" s="1"/>
      <c r="Y1319" s="6"/>
      <c r="Z1319" s="4"/>
      <c r="AA1319" s="4"/>
      <c r="AB1319" s="4"/>
      <c r="AC1319" s="1"/>
      <c r="AD1319" s="1"/>
      <c r="AE1319" s="1"/>
      <c r="AF1319" s="1"/>
      <c r="AG1319" s="1"/>
      <c r="AH1319" s="4"/>
      <c r="AI1319" s="1"/>
      <c r="AJ1319" s="3"/>
      <c r="AK1319" s="4"/>
      <c r="AL1319" s="6"/>
      <c r="AM1319" s="7"/>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row>
    <row r="1320" spans="1:64" ht="16.5" customHeight="1">
      <c r="A1320" s="1"/>
      <c r="B1320" s="139"/>
      <c r="C1320" s="1"/>
      <c r="D1320" s="1"/>
      <c r="E1320" s="1"/>
      <c r="F1320" s="1"/>
      <c r="G1320" s="1"/>
      <c r="H1320" s="4"/>
      <c r="I1320" s="4"/>
      <c r="J1320" s="4"/>
      <c r="K1320" s="4"/>
      <c r="L1320" s="4"/>
      <c r="M1320" s="4"/>
      <c r="N1320" s="3"/>
      <c r="O1320" s="1"/>
      <c r="P1320" s="1"/>
      <c r="Q1320" s="4"/>
      <c r="R1320" s="5"/>
      <c r="S1320" s="4"/>
      <c r="T1320" s="1"/>
      <c r="U1320" s="1"/>
      <c r="V1320" s="1"/>
      <c r="W1320" s="1"/>
      <c r="X1320" s="1"/>
      <c r="Y1320" s="6"/>
      <c r="Z1320" s="4"/>
      <c r="AA1320" s="4"/>
      <c r="AB1320" s="4"/>
      <c r="AC1320" s="1"/>
      <c r="AD1320" s="1"/>
      <c r="AE1320" s="1"/>
      <c r="AF1320" s="1"/>
      <c r="AG1320" s="1"/>
      <c r="AH1320" s="4"/>
      <c r="AI1320" s="1"/>
      <c r="AJ1320" s="3"/>
      <c r="AK1320" s="4"/>
      <c r="AL1320" s="6"/>
      <c r="AM1320" s="7"/>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row>
    <row r="1321" spans="1:64" ht="16.5" customHeight="1">
      <c r="A1321" s="1"/>
      <c r="B1321" s="139"/>
      <c r="C1321" s="1"/>
      <c r="D1321" s="1"/>
      <c r="E1321" s="1"/>
      <c r="F1321" s="1"/>
      <c r="G1321" s="1"/>
      <c r="H1321" s="4"/>
      <c r="I1321" s="4"/>
      <c r="J1321" s="4"/>
      <c r="K1321" s="4"/>
      <c r="L1321" s="4"/>
      <c r="M1321" s="4"/>
      <c r="N1321" s="3"/>
      <c r="O1321" s="1"/>
      <c r="P1321" s="1"/>
      <c r="Q1321" s="4"/>
      <c r="R1321" s="5"/>
      <c r="S1321" s="4"/>
      <c r="T1321" s="1"/>
      <c r="U1321" s="1"/>
      <c r="V1321" s="1"/>
      <c r="W1321" s="1"/>
      <c r="X1321" s="1"/>
      <c r="Y1321" s="6"/>
      <c r="Z1321" s="4"/>
      <c r="AA1321" s="4"/>
      <c r="AB1321" s="4"/>
      <c r="AC1321" s="1"/>
      <c r="AD1321" s="1"/>
      <c r="AE1321" s="1"/>
      <c r="AF1321" s="1"/>
      <c r="AG1321" s="1"/>
      <c r="AH1321" s="4"/>
      <c r="AI1321" s="1"/>
      <c r="AJ1321" s="3"/>
      <c r="AK1321" s="4"/>
      <c r="AL1321" s="6"/>
      <c r="AM1321" s="7"/>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row>
    <row r="1322" spans="1:64" ht="16.5" customHeight="1">
      <c r="A1322" s="1"/>
      <c r="B1322" s="139"/>
      <c r="C1322" s="1"/>
      <c r="D1322" s="1"/>
      <c r="E1322" s="1"/>
      <c r="F1322" s="1"/>
      <c r="G1322" s="1"/>
      <c r="H1322" s="4"/>
      <c r="I1322" s="4"/>
      <c r="J1322" s="4"/>
      <c r="K1322" s="4"/>
      <c r="L1322" s="4"/>
      <c r="M1322" s="4"/>
      <c r="N1322" s="3"/>
      <c r="O1322" s="1"/>
      <c r="P1322" s="1"/>
      <c r="Q1322" s="4"/>
      <c r="R1322" s="5"/>
      <c r="S1322" s="4"/>
      <c r="T1322" s="1"/>
      <c r="U1322" s="1"/>
      <c r="V1322" s="1"/>
      <c r="W1322" s="1"/>
      <c r="X1322" s="1"/>
      <c r="Y1322" s="6"/>
      <c r="Z1322" s="4"/>
      <c r="AA1322" s="4"/>
      <c r="AB1322" s="4"/>
      <c r="AC1322" s="1"/>
      <c r="AD1322" s="1"/>
      <c r="AE1322" s="1"/>
      <c r="AF1322" s="1"/>
      <c r="AG1322" s="1"/>
      <c r="AH1322" s="4"/>
      <c r="AI1322" s="1"/>
      <c r="AJ1322" s="3"/>
      <c r="AK1322" s="4"/>
      <c r="AL1322" s="6"/>
      <c r="AM1322" s="7"/>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row>
    <row r="1323" spans="1:64" ht="16.5" customHeight="1">
      <c r="A1323" s="1"/>
      <c r="B1323" s="139"/>
      <c r="C1323" s="1"/>
      <c r="D1323" s="1"/>
      <c r="E1323" s="1"/>
      <c r="F1323" s="1"/>
      <c r="G1323" s="1"/>
      <c r="H1323" s="4"/>
      <c r="I1323" s="4"/>
      <c r="J1323" s="4"/>
      <c r="K1323" s="4"/>
      <c r="L1323" s="4"/>
      <c r="M1323" s="4"/>
      <c r="N1323" s="3"/>
      <c r="O1323" s="1"/>
      <c r="P1323" s="1"/>
      <c r="Q1323" s="4"/>
      <c r="R1323" s="5"/>
      <c r="S1323" s="4"/>
      <c r="T1323" s="1"/>
      <c r="U1323" s="1"/>
      <c r="V1323" s="1"/>
      <c r="W1323" s="1"/>
      <c r="X1323" s="1"/>
      <c r="Y1323" s="6"/>
      <c r="Z1323" s="4"/>
      <c r="AA1323" s="4"/>
      <c r="AB1323" s="4"/>
      <c r="AC1323" s="1"/>
      <c r="AD1323" s="1"/>
      <c r="AE1323" s="1"/>
      <c r="AF1323" s="1"/>
      <c r="AG1323" s="1"/>
      <c r="AH1323" s="4"/>
      <c r="AI1323" s="1"/>
      <c r="AJ1323" s="3"/>
      <c r="AK1323" s="4"/>
      <c r="AL1323" s="6"/>
      <c r="AM1323" s="7"/>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row>
    <row r="1324" spans="1:64" ht="16.5" customHeight="1">
      <c r="A1324" s="1"/>
      <c r="B1324" s="139"/>
      <c r="C1324" s="1"/>
      <c r="D1324" s="1"/>
      <c r="E1324" s="1"/>
      <c r="F1324" s="1"/>
      <c r="G1324" s="1"/>
      <c r="H1324" s="4"/>
      <c r="I1324" s="4"/>
      <c r="J1324" s="4"/>
      <c r="K1324" s="4"/>
      <c r="L1324" s="4"/>
      <c r="M1324" s="4"/>
      <c r="N1324" s="3"/>
      <c r="O1324" s="1"/>
      <c r="P1324" s="1"/>
      <c r="Q1324" s="4"/>
      <c r="R1324" s="5"/>
      <c r="S1324" s="4"/>
      <c r="T1324" s="1"/>
      <c r="U1324" s="1"/>
      <c r="V1324" s="1"/>
      <c r="W1324" s="1"/>
      <c r="X1324" s="1"/>
      <c r="Y1324" s="6"/>
      <c r="Z1324" s="4"/>
      <c r="AA1324" s="4"/>
      <c r="AB1324" s="4"/>
      <c r="AC1324" s="1"/>
      <c r="AD1324" s="1"/>
      <c r="AE1324" s="1"/>
      <c r="AF1324" s="1"/>
      <c r="AG1324" s="1"/>
      <c r="AH1324" s="4"/>
      <c r="AI1324" s="1"/>
      <c r="AJ1324" s="3"/>
      <c r="AK1324" s="4"/>
      <c r="AL1324" s="6"/>
      <c r="AM1324" s="7"/>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row>
    <row r="1325" spans="1:64" ht="16.5" customHeight="1">
      <c r="A1325" s="1"/>
      <c r="B1325" s="139"/>
      <c r="C1325" s="1"/>
      <c r="D1325" s="1"/>
      <c r="E1325" s="1"/>
      <c r="F1325" s="1"/>
      <c r="G1325" s="1"/>
      <c r="H1325" s="4"/>
      <c r="I1325" s="4"/>
      <c r="J1325" s="4"/>
      <c r="K1325" s="4"/>
      <c r="L1325" s="4"/>
      <c r="M1325" s="4"/>
      <c r="N1325" s="3"/>
      <c r="O1325" s="1"/>
      <c r="P1325" s="1"/>
      <c r="Q1325" s="4"/>
      <c r="R1325" s="5"/>
      <c r="S1325" s="4"/>
      <c r="T1325" s="1"/>
      <c r="U1325" s="1"/>
      <c r="V1325" s="1"/>
      <c r="W1325" s="1"/>
      <c r="X1325" s="1"/>
      <c r="Y1325" s="6"/>
      <c r="Z1325" s="4"/>
      <c r="AA1325" s="4"/>
      <c r="AB1325" s="4"/>
      <c r="AC1325" s="1"/>
      <c r="AD1325" s="1"/>
      <c r="AE1325" s="1"/>
      <c r="AF1325" s="1"/>
      <c r="AG1325" s="1"/>
      <c r="AH1325" s="4"/>
      <c r="AI1325" s="1"/>
      <c r="AJ1325" s="3"/>
      <c r="AK1325" s="4"/>
      <c r="AL1325" s="6"/>
      <c r="AM1325" s="7"/>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row>
    <row r="1326" spans="1:64" ht="16.5" customHeight="1">
      <c r="A1326" s="1"/>
      <c r="B1326" s="139"/>
      <c r="C1326" s="1"/>
      <c r="D1326" s="1"/>
      <c r="E1326" s="1"/>
      <c r="F1326" s="1"/>
      <c r="G1326" s="1"/>
      <c r="H1326" s="4"/>
      <c r="I1326" s="4"/>
      <c r="J1326" s="4"/>
      <c r="K1326" s="4"/>
      <c r="L1326" s="4"/>
      <c r="M1326" s="4"/>
      <c r="N1326" s="3"/>
      <c r="O1326" s="1"/>
      <c r="P1326" s="1"/>
      <c r="Q1326" s="4"/>
      <c r="R1326" s="5"/>
      <c r="S1326" s="4"/>
      <c r="T1326" s="1"/>
      <c r="U1326" s="1"/>
      <c r="V1326" s="1"/>
      <c r="W1326" s="1"/>
      <c r="X1326" s="1"/>
      <c r="Y1326" s="6"/>
      <c r="Z1326" s="4"/>
      <c r="AA1326" s="4"/>
      <c r="AB1326" s="4"/>
      <c r="AC1326" s="1"/>
      <c r="AD1326" s="1"/>
      <c r="AE1326" s="1"/>
      <c r="AF1326" s="1"/>
      <c r="AG1326" s="1"/>
      <c r="AH1326" s="4"/>
      <c r="AI1326" s="1"/>
      <c r="AJ1326" s="3"/>
      <c r="AK1326" s="4"/>
      <c r="AL1326" s="6"/>
      <c r="AM1326" s="7"/>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row>
    <row r="1327" spans="1:64" ht="16.5" customHeight="1">
      <c r="A1327" s="1"/>
      <c r="B1327" s="139"/>
      <c r="C1327" s="1"/>
      <c r="D1327" s="1"/>
      <c r="E1327" s="1"/>
      <c r="F1327" s="1"/>
      <c r="G1327" s="1"/>
      <c r="H1327" s="4"/>
      <c r="I1327" s="4"/>
      <c r="J1327" s="4"/>
      <c r="K1327" s="4"/>
      <c r="L1327" s="4"/>
      <c r="M1327" s="4"/>
      <c r="N1327" s="3"/>
      <c r="O1327" s="1"/>
      <c r="P1327" s="1"/>
      <c r="Q1327" s="4"/>
      <c r="R1327" s="5"/>
      <c r="S1327" s="4"/>
      <c r="T1327" s="1"/>
      <c r="U1327" s="1"/>
      <c r="V1327" s="1"/>
      <c r="W1327" s="1"/>
      <c r="X1327" s="1"/>
      <c r="Y1327" s="6"/>
      <c r="Z1327" s="4"/>
      <c r="AA1327" s="4"/>
      <c r="AB1327" s="4"/>
      <c r="AC1327" s="1"/>
      <c r="AD1327" s="1"/>
      <c r="AE1327" s="1"/>
      <c r="AF1327" s="1"/>
      <c r="AG1327" s="1"/>
      <c r="AH1327" s="4"/>
      <c r="AI1327" s="1"/>
      <c r="AJ1327" s="3"/>
      <c r="AK1327" s="4"/>
      <c r="AL1327" s="6"/>
      <c r="AM1327" s="7"/>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row>
    <row r="1328" spans="1:64" ht="16.5" customHeight="1">
      <c r="A1328" s="1"/>
      <c r="B1328" s="139"/>
      <c r="C1328" s="1"/>
      <c r="D1328" s="1"/>
      <c r="E1328" s="1"/>
      <c r="F1328" s="1"/>
      <c r="G1328" s="1"/>
      <c r="H1328" s="4"/>
      <c r="I1328" s="4"/>
      <c r="J1328" s="4"/>
      <c r="K1328" s="4"/>
      <c r="L1328" s="4"/>
      <c r="M1328" s="4"/>
      <c r="N1328" s="3"/>
      <c r="O1328" s="1"/>
      <c r="P1328" s="1"/>
      <c r="Q1328" s="4"/>
      <c r="R1328" s="5"/>
      <c r="S1328" s="4"/>
      <c r="T1328" s="1"/>
      <c r="U1328" s="1"/>
      <c r="V1328" s="1"/>
      <c r="W1328" s="1"/>
      <c r="X1328" s="1"/>
      <c r="Y1328" s="6"/>
      <c r="Z1328" s="4"/>
      <c r="AA1328" s="4"/>
      <c r="AB1328" s="4"/>
      <c r="AC1328" s="1"/>
      <c r="AD1328" s="1"/>
      <c r="AE1328" s="1"/>
      <c r="AF1328" s="1"/>
      <c r="AG1328" s="1"/>
      <c r="AH1328" s="4"/>
      <c r="AI1328" s="1"/>
      <c r="AJ1328" s="3"/>
      <c r="AK1328" s="4"/>
      <c r="AL1328" s="6"/>
      <c r="AM1328" s="7"/>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row>
    <row r="1329" spans="1:64" ht="16.5" customHeight="1">
      <c r="A1329" s="1"/>
      <c r="B1329" s="139"/>
      <c r="C1329" s="1"/>
      <c r="D1329" s="1"/>
      <c r="E1329" s="1"/>
      <c r="F1329" s="1"/>
      <c r="G1329" s="1"/>
      <c r="H1329" s="4"/>
      <c r="I1329" s="4"/>
      <c r="J1329" s="4"/>
      <c r="K1329" s="4"/>
      <c r="L1329" s="4"/>
      <c r="M1329" s="4"/>
      <c r="N1329" s="3"/>
      <c r="O1329" s="1"/>
      <c r="P1329" s="1"/>
      <c r="Q1329" s="4"/>
      <c r="R1329" s="5"/>
      <c r="S1329" s="4"/>
      <c r="T1329" s="1"/>
      <c r="U1329" s="1"/>
      <c r="V1329" s="1"/>
      <c r="W1329" s="1"/>
      <c r="X1329" s="1"/>
      <c r="Y1329" s="6"/>
      <c r="Z1329" s="4"/>
      <c r="AA1329" s="4"/>
      <c r="AB1329" s="4"/>
      <c r="AC1329" s="1"/>
      <c r="AD1329" s="1"/>
      <c r="AE1329" s="1"/>
      <c r="AF1329" s="1"/>
      <c r="AG1329" s="1"/>
      <c r="AH1329" s="4"/>
      <c r="AI1329" s="1"/>
      <c r="AJ1329" s="3"/>
      <c r="AK1329" s="4"/>
      <c r="AL1329" s="6"/>
      <c r="AM1329" s="7"/>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row>
    <row r="1330" spans="1:64" ht="16.5" customHeight="1">
      <c r="A1330" s="1"/>
      <c r="B1330" s="139"/>
      <c r="C1330" s="1"/>
      <c r="D1330" s="1"/>
      <c r="E1330" s="1"/>
      <c r="F1330" s="1"/>
      <c r="G1330" s="1"/>
      <c r="H1330" s="4"/>
      <c r="I1330" s="4"/>
      <c r="J1330" s="4"/>
      <c r="K1330" s="4"/>
      <c r="L1330" s="4"/>
      <c r="M1330" s="4"/>
      <c r="N1330" s="3"/>
      <c r="O1330" s="1"/>
      <c r="P1330" s="1"/>
      <c r="Q1330" s="4"/>
      <c r="R1330" s="5"/>
      <c r="S1330" s="4"/>
      <c r="T1330" s="1"/>
      <c r="U1330" s="1"/>
      <c r="V1330" s="1"/>
      <c r="W1330" s="1"/>
      <c r="X1330" s="1"/>
      <c r="Y1330" s="6"/>
      <c r="Z1330" s="4"/>
      <c r="AA1330" s="4"/>
      <c r="AB1330" s="4"/>
      <c r="AC1330" s="1"/>
      <c r="AD1330" s="1"/>
      <c r="AE1330" s="1"/>
      <c r="AF1330" s="1"/>
      <c r="AG1330" s="1"/>
      <c r="AH1330" s="4"/>
      <c r="AI1330" s="1"/>
      <c r="AJ1330" s="3"/>
      <c r="AK1330" s="4"/>
      <c r="AL1330" s="6"/>
      <c r="AM1330" s="7"/>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row>
    <row r="1331" spans="1:64" ht="16.5" customHeight="1">
      <c r="A1331" s="1"/>
      <c r="B1331" s="139"/>
      <c r="C1331" s="1"/>
      <c r="D1331" s="1"/>
      <c r="E1331" s="1"/>
      <c r="F1331" s="1"/>
      <c r="G1331" s="1"/>
      <c r="H1331" s="4"/>
      <c r="I1331" s="4"/>
      <c r="J1331" s="4"/>
      <c r="K1331" s="4"/>
      <c r="L1331" s="4"/>
      <c r="M1331" s="4"/>
      <c r="N1331" s="3"/>
      <c r="O1331" s="1"/>
      <c r="P1331" s="1"/>
      <c r="Q1331" s="4"/>
      <c r="R1331" s="5"/>
      <c r="S1331" s="4"/>
      <c r="T1331" s="1"/>
      <c r="U1331" s="1"/>
      <c r="V1331" s="1"/>
      <c r="W1331" s="1"/>
      <c r="X1331" s="1"/>
      <c r="Y1331" s="6"/>
      <c r="Z1331" s="4"/>
      <c r="AA1331" s="4"/>
      <c r="AB1331" s="4"/>
      <c r="AC1331" s="1"/>
      <c r="AD1331" s="1"/>
      <c r="AE1331" s="1"/>
      <c r="AF1331" s="1"/>
      <c r="AG1331" s="1"/>
      <c r="AH1331" s="4"/>
      <c r="AI1331" s="1"/>
      <c r="AJ1331" s="3"/>
      <c r="AK1331" s="4"/>
      <c r="AL1331" s="6"/>
      <c r="AM1331" s="7"/>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row>
    <row r="1332" spans="1:64" ht="16.5" customHeight="1">
      <c r="A1332" s="1"/>
      <c r="B1332" s="139"/>
      <c r="C1332" s="1"/>
      <c r="D1332" s="1"/>
      <c r="E1332" s="1"/>
      <c r="F1332" s="1"/>
      <c r="G1332" s="1"/>
      <c r="H1332" s="4"/>
      <c r="I1332" s="4"/>
      <c r="J1332" s="4"/>
      <c r="K1332" s="4"/>
      <c r="L1332" s="4"/>
      <c r="M1332" s="4"/>
      <c r="N1332" s="3"/>
      <c r="O1332" s="1"/>
      <c r="P1332" s="1"/>
      <c r="Q1332" s="4"/>
      <c r="R1332" s="5"/>
      <c r="S1332" s="4"/>
      <c r="T1332" s="1"/>
      <c r="U1332" s="1"/>
      <c r="V1332" s="1"/>
      <c r="W1332" s="1"/>
      <c r="X1332" s="1"/>
      <c r="Y1332" s="6"/>
      <c r="Z1332" s="4"/>
      <c r="AA1332" s="4"/>
      <c r="AB1332" s="4"/>
      <c r="AC1332" s="1"/>
      <c r="AD1332" s="1"/>
      <c r="AE1332" s="1"/>
      <c r="AF1332" s="1"/>
      <c r="AG1332" s="1"/>
      <c r="AH1332" s="4"/>
      <c r="AI1332" s="1"/>
      <c r="AJ1332" s="3"/>
      <c r="AK1332" s="4"/>
      <c r="AL1332" s="6"/>
      <c r="AM1332" s="7"/>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row>
    <row r="1333" spans="1:64" ht="16.5" customHeight="1">
      <c r="A1333" s="1"/>
      <c r="B1333" s="260"/>
      <c r="C1333" s="47"/>
      <c r="D1333" s="47"/>
      <c r="E1333" s="47"/>
      <c r="F1333" s="47"/>
      <c r="G1333" s="47"/>
      <c r="H1333" s="47"/>
      <c r="I1333" s="47"/>
      <c r="J1333" s="47"/>
      <c r="K1333" s="47"/>
      <c r="L1333" s="47"/>
      <c r="M1333" s="47"/>
      <c r="N1333" s="47"/>
      <c r="O1333" s="47"/>
      <c r="P1333" s="47"/>
      <c r="Q1333" s="47"/>
      <c r="R1333" s="47"/>
      <c r="S1333" s="47"/>
      <c r="T1333" s="47"/>
      <c r="U1333" s="47"/>
      <c r="V1333" s="47"/>
      <c r="W1333" s="47"/>
      <c r="X1333" s="47"/>
      <c r="Y1333" s="47"/>
      <c r="Z1333" s="47"/>
      <c r="AA1333" s="47"/>
      <c r="AB1333" s="47"/>
      <c r="AC1333" s="47"/>
      <c r="AD1333" s="47"/>
      <c r="AE1333" s="47"/>
      <c r="AF1333" s="47"/>
      <c r="AG1333" s="47"/>
      <c r="AH1333" s="47"/>
      <c r="AI1333" s="47"/>
      <c r="AJ1333" s="3"/>
      <c r="AK1333" s="4"/>
      <c r="AL1333" s="6"/>
      <c r="AM1333" s="7"/>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row>
    <row r="1334" spans="1:64" ht="16.5" customHeight="1">
      <c r="A1334" s="1"/>
      <c r="B1334" s="260"/>
      <c r="C1334" s="47"/>
      <c r="D1334" s="47"/>
      <c r="E1334" s="47"/>
      <c r="F1334" s="47"/>
      <c r="G1334" s="47"/>
      <c r="H1334" s="47"/>
      <c r="I1334" s="47"/>
      <c r="J1334" s="47"/>
      <c r="K1334" s="47"/>
      <c r="L1334" s="47"/>
      <c r="M1334" s="47"/>
      <c r="N1334" s="47"/>
      <c r="O1334" s="47"/>
      <c r="P1334" s="47"/>
      <c r="Q1334" s="47"/>
      <c r="R1334" s="47"/>
      <c r="S1334" s="47"/>
      <c r="T1334" s="47"/>
      <c r="U1334" s="47"/>
      <c r="V1334" s="47"/>
      <c r="W1334" s="47"/>
      <c r="X1334" s="47"/>
      <c r="Y1334" s="47"/>
      <c r="Z1334" s="47"/>
      <c r="AA1334" s="47"/>
      <c r="AB1334" s="47"/>
      <c r="AC1334" s="47"/>
      <c r="AD1334" s="47"/>
      <c r="AE1334" s="47"/>
      <c r="AF1334" s="47"/>
      <c r="AG1334" s="47"/>
      <c r="AH1334" s="47"/>
      <c r="AI1334" s="47"/>
      <c r="AJ1334" s="3"/>
      <c r="AK1334" s="4"/>
      <c r="AL1334" s="6"/>
      <c r="AM1334" s="7"/>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row>
    <row r="1335" spans="1:64" ht="16.5" customHeight="1">
      <c r="A1335" s="1"/>
      <c r="B1335" s="260"/>
      <c r="C1335" s="47"/>
      <c r="D1335" s="47"/>
      <c r="E1335" s="47"/>
      <c r="F1335" s="47"/>
      <c r="G1335" s="47"/>
      <c r="H1335" s="47"/>
      <c r="I1335" s="47"/>
      <c r="J1335" s="47"/>
      <c r="K1335" s="47"/>
      <c r="L1335" s="47"/>
      <c r="M1335" s="47"/>
      <c r="N1335" s="47"/>
      <c r="O1335" s="47"/>
      <c r="P1335" s="47"/>
      <c r="Q1335" s="47"/>
      <c r="R1335" s="47"/>
      <c r="S1335" s="47"/>
      <c r="T1335" s="47"/>
      <c r="U1335" s="47"/>
      <c r="V1335" s="47"/>
      <c r="W1335" s="47"/>
      <c r="X1335" s="47"/>
      <c r="Y1335" s="47"/>
      <c r="Z1335" s="47"/>
      <c r="AA1335" s="47"/>
      <c r="AB1335" s="47"/>
      <c r="AC1335" s="47"/>
      <c r="AD1335" s="47"/>
      <c r="AE1335" s="47"/>
      <c r="AF1335" s="47"/>
      <c r="AG1335" s="47"/>
      <c r="AH1335" s="47"/>
      <c r="AI1335" s="47"/>
      <c r="AJ1335" s="3"/>
      <c r="AK1335" s="4"/>
      <c r="AL1335" s="6"/>
      <c r="AM1335" s="7"/>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row>
    <row r="1336" spans="1:64" ht="16.5" customHeight="1">
      <c r="A1336" s="1"/>
      <c r="B1336" s="260"/>
      <c r="C1336" s="47"/>
      <c r="D1336" s="47"/>
      <c r="E1336" s="47"/>
      <c r="F1336" s="47"/>
      <c r="G1336" s="47"/>
      <c r="H1336" s="47"/>
      <c r="I1336" s="47"/>
      <c r="J1336" s="47"/>
      <c r="K1336" s="47"/>
      <c r="L1336" s="47"/>
      <c r="M1336" s="47"/>
      <c r="N1336" s="47"/>
      <c r="O1336" s="47"/>
      <c r="P1336" s="47"/>
      <c r="Q1336" s="47"/>
      <c r="R1336" s="47"/>
      <c r="S1336" s="47"/>
      <c r="T1336" s="47"/>
      <c r="U1336" s="47"/>
      <c r="V1336" s="47"/>
      <c r="W1336" s="47"/>
      <c r="X1336" s="47"/>
      <c r="Y1336" s="47"/>
      <c r="Z1336" s="47"/>
      <c r="AA1336" s="47"/>
      <c r="AB1336" s="47"/>
      <c r="AC1336" s="47"/>
      <c r="AD1336" s="47"/>
      <c r="AE1336" s="47"/>
      <c r="AF1336" s="47"/>
      <c r="AG1336" s="47"/>
      <c r="AH1336" s="47"/>
      <c r="AI1336" s="47"/>
      <c r="AJ1336" s="3"/>
      <c r="AK1336" s="4"/>
      <c r="AL1336" s="6"/>
      <c r="AM1336" s="7"/>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row>
    <row r="1337" spans="1:64" ht="16.5" customHeight="1">
      <c r="A1337" s="1"/>
      <c r="B1337" s="260"/>
      <c r="C1337" s="47"/>
      <c r="D1337" s="47"/>
      <c r="E1337" s="47"/>
      <c r="F1337" s="47"/>
      <c r="G1337" s="47"/>
      <c r="H1337" s="47"/>
      <c r="I1337" s="47"/>
      <c r="J1337" s="47"/>
      <c r="K1337" s="47"/>
      <c r="L1337" s="47"/>
      <c r="M1337" s="47"/>
      <c r="N1337" s="47"/>
      <c r="O1337" s="47"/>
      <c r="P1337" s="47"/>
      <c r="Q1337" s="47"/>
      <c r="R1337" s="47"/>
      <c r="S1337" s="47"/>
      <c r="T1337" s="47"/>
      <c r="U1337" s="47"/>
      <c r="V1337" s="47"/>
      <c r="W1337" s="47"/>
      <c r="X1337" s="47"/>
      <c r="Y1337" s="47"/>
      <c r="Z1337" s="47"/>
      <c r="AA1337" s="47"/>
      <c r="AB1337" s="47"/>
      <c r="AC1337" s="47"/>
      <c r="AD1337" s="47"/>
      <c r="AE1337" s="47"/>
      <c r="AF1337" s="47"/>
      <c r="AG1337" s="47"/>
      <c r="AH1337" s="47"/>
      <c r="AI1337" s="47"/>
      <c r="AJ1337" s="3"/>
      <c r="AK1337" s="4"/>
      <c r="AL1337" s="6"/>
      <c r="AM1337" s="7"/>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row>
    <row r="1338" spans="1:64" ht="16.5" customHeight="1">
      <c r="A1338" s="1"/>
      <c r="B1338" s="260"/>
      <c r="C1338" s="47"/>
      <c r="D1338" s="47"/>
      <c r="E1338" s="47"/>
      <c r="F1338" s="47"/>
      <c r="G1338" s="47"/>
      <c r="H1338" s="47"/>
      <c r="I1338" s="47"/>
      <c r="J1338" s="47"/>
      <c r="K1338" s="47"/>
      <c r="L1338" s="47"/>
      <c r="M1338" s="47"/>
      <c r="N1338" s="47"/>
      <c r="O1338" s="47"/>
      <c r="P1338" s="47"/>
      <c r="Q1338" s="47"/>
      <c r="R1338" s="47"/>
      <c r="S1338" s="47"/>
      <c r="T1338" s="47"/>
      <c r="U1338" s="47"/>
      <c r="V1338" s="47"/>
      <c r="W1338" s="47"/>
      <c r="X1338" s="47"/>
      <c r="Y1338" s="47"/>
      <c r="Z1338" s="47"/>
      <c r="AA1338" s="47"/>
      <c r="AB1338" s="47"/>
      <c r="AC1338" s="47"/>
      <c r="AD1338" s="47"/>
      <c r="AE1338" s="47"/>
      <c r="AF1338" s="47"/>
      <c r="AG1338" s="47"/>
      <c r="AH1338" s="47"/>
      <c r="AI1338" s="47"/>
      <c r="AJ1338" s="3"/>
      <c r="AK1338" s="4"/>
      <c r="AL1338" s="6"/>
      <c r="AM1338" s="7"/>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row>
    <row r="1339" spans="1:64" ht="16.5" customHeight="1">
      <c r="A1339" s="1"/>
      <c r="B1339" s="260"/>
      <c r="C1339" s="47"/>
      <c r="D1339" s="47"/>
      <c r="E1339" s="47"/>
      <c r="F1339" s="47"/>
      <c r="G1339" s="47"/>
      <c r="H1339" s="47"/>
      <c r="I1339" s="47"/>
      <c r="J1339" s="47"/>
      <c r="K1339" s="47"/>
      <c r="L1339" s="47"/>
      <c r="M1339" s="47"/>
      <c r="N1339" s="47"/>
      <c r="O1339" s="47"/>
      <c r="P1339" s="47"/>
      <c r="Q1339" s="47"/>
      <c r="R1339" s="47"/>
      <c r="S1339" s="47"/>
      <c r="T1339" s="47"/>
      <c r="U1339" s="47"/>
      <c r="V1339" s="47"/>
      <c r="W1339" s="47"/>
      <c r="X1339" s="47"/>
      <c r="Y1339" s="47"/>
      <c r="Z1339" s="47"/>
      <c r="AA1339" s="47"/>
      <c r="AB1339" s="47"/>
      <c r="AC1339" s="47"/>
      <c r="AD1339" s="47"/>
      <c r="AE1339" s="47"/>
      <c r="AF1339" s="47"/>
      <c r="AG1339" s="47"/>
      <c r="AH1339" s="47"/>
      <c r="AI1339" s="47"/>
      <c r="AJ1339" s="3"/>
      <c r="AK1339" s="4"/>
      <c r="AL1339" s="6"/>
      <c r="AM1339" s="7"/>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row>
    <row r="1340" spans="1:64" ht="16.5" customHeight="1">
      <c r="A1340" s="1"/>
      <c r="B1340" s="260"/>
      <c r="C1340" s="47"/>
      <c r="D1340" s="47"/>
      <c r="E1340" s="47"/>
      <c r="F1340" s="47"/>
      <c r="G1340" s="47"/>
      <c r="H1340" s="47"/>
      <c r="I1340" s="47"/>
      <c r="J1340" s="47"/>
      <c r="K1340" s="47"/>
      <c r="L1340" s="47"/>
      <c r="M1340" s="47"/>
      <c r="N1340" s="47"/>
      <c r="O1340" s="47"/>
      <c r="P1340" s="47"/>
      <c r="Q1340" s="47"/>
      <c r="R1340" s="47"/>
      <c r="S1340" s="47"/>
      <c r="T1340" s="47"/>
      <c r="U1340" s="47"/>
      <c r="V1340" s="47"/>
      <c r="W1340" s="47"/>
      <c r="X1340" s="47"/>
      <c r="Y1340" s="47"/>
      <c r="Z1340" s="47"/>
      <c r="AA1340" s="47"/>
      <c r="AB1340" s="47"/>
      <c r="AC1340" s="47"/>
      <c r="AD1340" s="47"/>
      <c r="AE1340" s="47"/>
      <c r="AF1340" s="47"/>
      <c r="AG1340" s="47"/>
      <c r="AH1340" s="47"/>
      <c r="AI1340" s="47"/>
      <c r="AJ1340" s="3"/>
      <c r="AK1340" s="4"/>
      <c r="AL1340" s="6"/>
      <c r="AM1340" s="7"/>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row>
    <row r="1341" spans="1:64" ht="16.5" customHeight="1">
      <c r="A1341" s="1"/>
      <c r="B1341" s="260"/>
      <c r="C1341" s="47"/>
      <c r="D1341" s="47"/>
      <c r="E1341" s="47"/>
      <c r="F1341" s="47"/>
      <c r="G1341" s="47"/>
      <c r="H1341" s="47"/>
      <c r="I1341" s="47"/>
      <c r="J1341" s="47"/>
      <c r="K1341" s="47"/>
      <c r="L1341" s="47"/>
      <c r="M1341" s="47"/>
      <c r="N1341" s="47"/>
      <c r="O1341" s="47"/>
      <c r="P1341" s="47"/>
      <c r="Q1341" s="47"/>
      <c r="R1341" s="47"/>
      <c r="S1341" s="47"/>
      <c r="T1341" s="47"/>
      <c r="U1341" s="47"/>
      <c r="V1341" s="47"/>
      <c r="W1341" s="47"/>
      <c r="X1341" s="47"/>
      <c r="Y1341" s="47"/>
      <c r="Z1341" s="47"/>
      <c r="AA1341" s="47"/>
      <c r="AB1341" s="47"/>
      <c r="AC1341" s="47"/>
      <c r="AD1341" s="47"/>
      <c r="AE1341" s="47"/>
      <c r="AF1341" s="47"/>
      <c r="AG1341" s="47"/>
      <c r="AH1341" s="47"/>
      <c r="AI1341" s="47"/>
      <c r="AJ1341" s="3"/>
      <c r="AK1341" s="4"/>
      <c r="AL1341" s="6"/>
      <c r="AM1341" s="7"/>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row>
    <row r="1342" spans="1:64" ht="16.5" customHeight="1">
      <c r="A1342" s="1"/>
      <c r="B1342" s="260"/>
      <c r="C1342" s="47"/>
      <c r="D1342" s="47"/>
      <c r="E1342" s="47"/>
      <c r="F1342" s="47"/>
      <c r="G1342" s="47"/>
      <c r="H1342" s="47"/>
      <c r="I1342" s="47"/>
      <c r="J1342" s="47"/>
      <c r="K1342" s="47"/>
      <c r="L1342" s="47"/>
      <c r="M1342" s="47"/>
      <c r="N1342" s="47"/>
      <c r="O1342" s="47"/>
      <c r="P1342" s="47"/>
      <c r="Q1342" s="47"/>
      <c r="R1342" s="47"/>
      <c r="S1342" s="47"/>
      <c r="T1342" s="47"/>
      <c r="U1342" s="47"/>
      <c r="V1342" s="47"/>
      <c r="W1342" s="47"/>
      <c r="X1342" s="47"/>
      <c r="Y1342" s="47"/>
      <c r="Z1342" s="47"/>
      <c r="AA1342" s="47"/>
      <c r="AB1342" s="47"/>
      <c r="AC1342" s="47"/>
      <c r="AD1342" s="47"/>
      <c r="AE1342" s="47"/>
      <c r="AF1342" s="47"/>
      <c r="AG1342" s="47"/>
      <c r="AH1342" s="47"/>
      <c r="AI1342" s="47"/>
      <c r="AJ1342" s="3"/>
      <c r="AK1342" s="4"/>
      <c r="AL1342" s="6"/>
      <c r="AM1342" s="7"/>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row>
    <row r="1343" spans="1:64" ht="16.5" customHeight="1">
      <c r="A1343" s="1"/>
      <c r="B1343" s="260"/>
      <c r="C1343" s="47"/>
      <c r="D1343" s="47"/>
      <c r="E1343" s="47"/>
      <c r="F1343" s="47"/>
      <c r="G1343" s="47"/>
      <c r="H1343" s="47"/>
      <c r="I1343" s="47"/>
      <c r="J1343" s="47"/>
      <c r="K1343" s="47"/>
      <c r="L1343" s="47"/>
      <c r="M1343" s="47"/>
      <c r="N1343" s="47"/>
      <c r="O1343" s="47"/>
      <c r="P1343" s="47"/>
      <c r="Q1343" s="47"/>
      <c r="R1343" s="47"/>
      <c r="S1343" s="47"/>
      <c r="T1343" s="47"/>
      <c r="U1343" s="47"/>
      <c r="V1343" s="47"/>
      <c r="W1343" s="47"/>
      <c r="X1343" s="47"/>
      <c r="Y1343" s="47"/>
      <c r="Z1343" s="47"/>
      <c r="AA1343" s="47"/>
      <c r="AB1343" s="47"/>
      <c r="AC1343" s="47"/>
      <c r="AD1343" s="47"/>
      <c r="AE1343" s="47"/>
      <c r="AF1343" s="47"/>
      <c r="AG1343" s="47"/>
      <c r="AH1343" s="47"/>
      <c r="AI1343" s="47"/>
      <c r="AJ1343" s="3"/>
      <c r="AK1343" s="4"/>
      <c r="AL1343" s="6"/>
      <c r="AM1343" s="7"/>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row>
    <row r="1344" spans="1:64" ht="16.5" customHeight="1">
      <c r="A1344" s="1"/>
      <c r="B1344" s="260"/>
      <c r="C1344" s="47"/>
      <c r="D1344" s="47"/>
      <c r="E1344" s="47"/>
      <c r="F1344" s="47"/>
      <c r="G1344" s="47"/>
      <c r="H1344" s="47"/>
      <c r="I1344" s="47"/>
      <c r="J1344" s="47"/>
      <c r="K1344" s="47"/>
      <c r="L1344" s="47"/>
      <c r="M1344" s="47"/>
      <c r="N1344" s="47"/>
      <c r="O1344" s="47"/>
      <c r="P1344" s="47"/>
      <c r="Q1344" s="47"/>
      <c r="R1344" s="47"/>
      <c r="S1344" s="47"/>
      <c r="T1344" s="47"/>
      <c r="U1344" s="47"/>
      <c r="V1344" s="47"/>
      <c r="W1344" s="47"/>
      <c r="X1344" s="47"/>
      <c r="Y1344" s="47"/>
      <c r="Z1344" s="47"/>
      <c r="AA1344" s="47"/>
      <c r="AB1344" s="47"/>
      <c r="AC1344" s="47"/>
      <c r="AD1344" s="47"/>
      <c r="AE1344" s="47"/>
      <c r="AF1344" s="47"/>
      <c r="AG1344" s="47"/>
      <c r="AH1344" s="47"/>
      <c r="AI1344" s="47"/>
      <c r="AJ1344" s="3"/>
      <c r="AK1344" s="4"/>
      <c r="AL1344" s="6"/>
      <c r="AM1344" s="7"/>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row>
    <row r="1345" spans="1:64" ht="16.5" customHeight="1">
      <c r="A1345" s="1"/>
      <c r="B1345" s="260"/>
      <c r="C1345" s="47"/>
      <c r="D1345" s="47"/>
      <c r="E1345" s="47"/>
      <c r="F1345" s="47"/>
      <c r="G1345" s="47"/>
      <c r="H1345" s="47"/>
      <c r="I1345" s="47"/>
      <c r="J1345" s="47"/>
      <c r="K1345" s="47"/>
      <c r="L1345" s="47"/>
      <c r="M1345" s="47"/>
      <c r="N1345" s="47"/>
      <c r="O1345" s="47"/>
      <c r="P1345" s="47"/>
      <c r="Q1345" s="47"/>
      <c r="R1345" s="47"/>
      <c r="S1345" s="47"/>
      <c r="T1345" s="47"/>
      <c r="U1345" s="47"/>
      <c r="V1345" s="47"/>
      <c r="W1345" s="47"/>
      <c r="X1345" s="47"/>
      <c r="Y1345" s="47"/>
      <c r="Z1345" s="47"/>
      <c r="AA1345" s="47"/>
      <c r="AB1345" s="47"/>
      <c r="AC1345" s="47"/>
      <c r="AD1345" s="47"/>
      <c r="AE1345" s="47"/>
      <c r="AF1345" s="47"/>
      <c r="AG1345" s="47"/>
      <c r="AH1345" s="47"/>
      <c r="AI1345" s="47"/>
      <c r="AJ1345" s="3"/>
      <c r="AK1345" s="4"/>
      <c r="AL1345" s="6"/>
      <c r="AM1345" s="7"/>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row>
    <row r="1346" spans="1:64" ht="16.5" customHeight="1">
      <c r="A1346" s="1"/>
      <c r="B1346" s="260"/>
      <c r="C1346" s="47"/>
      <c r="D1346" s="47"/>
      <c r="E1346" s="47"/>
      <c r="F1346" s="47"/>
      <c r="G1346" s="47"/>
      <c r="H1346" s="47"/>
      <c r="I1346" s="47"/>
      <c r="J1346" s="47"/>
      <c r="K1346" s="47"/>
      <c r="L1346" s="47"/>
      <c r="M1346" s="47"/>
      <c r="N1346" s="47"/>
      <c r="O1346" s="47"/>
      <c r="P1346" s="47"/>
      <c r="Q1346" s="47"/>
      <c r="R1346" s="47"/>
      <c r="S1346" s="47"/>
      <c r="T1346" s="47"/>
      <c r="U1346" s="47"/>
      <c r="V1346" s="47"/>
      <c r="W1346" s="47"/>
      <c r="X1346" s="47"/>
      <c r="Y1346" s="47"/>
      <c r="Z1346" s="47"/>
      <c r="AA1346" s="47"/>
      <c r="AB1346" s="47"/>
      <c r="AC1346" s="47"/>
      <c r="AD1346" s="47"/>
      <c r="AE1346" s="47"/>
      <c r="AF1346" s="47"/>
      <c r="AG1346" s="47"/>
      <c r="AH1346" s="47"/>
      <c r="AI1346" s="47"/>
      <c r="AJ1346" s="3"/>
      <c r="AK1346" s="4"/>
      <c r="AL1346" s="6"/>
      <c r="AM1346" s="7"/>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row>
    <row r="1347" spans="1:64" ht="16.5" customHeight="1">
      <c r="A1347" s="1"/>
      <c r="B1347" s="260"/>
      <c r="C1347" s="47"/>
      <c r="D1347" s="47"/>
      <c r="E1347" s="47"/>
      <c r="F1347" s="47"/>
      <c r="G1347" s="47"/>
      <c r="H1347" s="47"/>
      <c r="I1347" s="47"/>
      <c r="J1347" s="47"/>
      <c r="K1347" s="47"/>
      <c r="L1347" s="47"/>
      <c r="M1347" s="47"/>
      <c r="N1347" s="47"/>
      <c r="O1347" s="47"/>
      <c r="P1347" s="47"/>
      <c r="Q1347" s="47"/>
      <c r="R1347" s="47"/>
      <c r="S1347" s="47"/>
      <c r="T1347" s="47"/>
      <c r="U1347" s="47"/>
      <c r="V1347" s="47"/>
      <c r="W1347" s="47"/>
      <c r="X1347" s="47"/>
      <c r="Y1347" s="47"/>
      <c r="Z1347" s="47"/>
      <c r="AA1347" s="47"/>
      <c r="AB1347" s="47"/>
      <c r="AC1347" s="47"/>
      <c r="AD1347" s="47"/>
      <c r="AE1347" s="47"/>
      <c r="AF1347" s="47"/>
      <c r="AG1347" s="47"/>
      <c r="AH1347" s="47"/>
      <c r="AI1347" s="47"/>
      <c r="AJ1347" s="3"/>
      <c r="AK1347" s="4"/>
      <c r="AL1347" s="6"/>
      <c r="AM1347" s="7"/>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row>
    <row r="1348" spans="1:64" ht="16.5" customHeight="1">
      <c r="A1348" s="1"/>
      <c r="B1348" s="260"/>
      <c r="C1348" s="47"/>
      <c r="D1348" s="47"/>
      <c r="E1348" s="47"/>
      <c r="F1348" s="47"/>
      <c r="G1348" s="47"/>
      <c r="H1348" s="47"/>
      <c r="I1348" s="47"/>
      <c r="J1348" s="47"/>
      <c r="K1348" s="47"/>
      <c r="L1348" s="47"/>
      <c r="M1348" s="47"/>
      <c r="N1348" s="47"/>
      <c r="O1348" s="47"/>
      <c r="P1348" s="47"/>
      <c r="Q1348" s="47"/>
      <c r="R1348" s="47"/>
      <c r="S1348" s="47"/>
      <c r="T1348" s="47"/>
      <c r="U1348" s="47"/>
      <c r="V1348" s="47"/>
      <c r="W1348" s="47"/>
      <c r="X1348" s="47"/>
      <c r="Y1348" s="47"/>
      <c r="Z1348" s="47"/>
      <c r="AA1348" s="47"/>
      <c r="AB1348" s="47"/>
      <c r="AC1348" s="47"/>
      <c r="AD1348" s="47"/>
      <c r="AE1348" s="47"/>
      <c r="AF1348" s="47"/>
      <c r="AG1348" s="47"/>
      <c r="AH1348" s="47"/>
      <c r="AI1348" s="47"/>
      <c r="AJ1348" s="3"/>
      <c r="AK1348" s="4"/>
      <c r="AL1348" s="6"/>
      <c r="AM1348" s="7"/>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row>
    <row r="1349" spans="1:64" ht="16.5" customHeight="1">
      <c r="A1349" s="1"/>
      <c r="B1349" s="260"/>
      <c r="C1349" s="47"/>
      <c r="D1349" s="47"/>
      <c r="E1349" s="47"/>
      <c r="F1349" s="47"/>
      <c r="G1349" s="47"/>
      <c r="H1349" s="47"/>
      <c r="I1349" s="47"/>
      <c r="J1349" s="47"/>
      <c r="K1349" s="47"/>
      <c r="L1349" s="47"/>
      <c r="M1349" s="47"/>
      <c r="N1349" s="47"/>
      <c r="O1349" s="47"/>
      <c r="P1349" s="47"/>
      <c r="Q1349" s="47"/>
      <c r="R1349" s="47"/>
      <c r="S1349" s="47"/>
      <c r="T1349" s="47"/>
      <c r="U1349" s="47"/>
      <c r="V1349" s="47"/>
      <c r="W1349" s="47"/>
      <c r="X1349" s="47"/>
      <c r="Y1349" s="47"/>
      <c r="Z1349" s="47"/>
      <c r="AA1349" s="47"/>
      <c r="AB1349" s="47"/>
      <c r="AC1349" s="47"/>
      <c r="AD1349" s="47"/>
      <c r="AE1349" s="47"/>
      <c r="AF1349" s="47"/>
      <c r="AG1349" s="47"/>
      <c r="AH1349" s="47"/>
      <c r="AI1349" s="47"/>
      <c r="AJ1349" s="3"/>
      <c r="AK1349" s="4"/>
      <c r="AL1349" s="6"/>
      <c r="AM1349" s="7"/>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row>
    <row r="1350" spans="1:64" ht="16.5" customHeight="1">
      <c r="A1350" s="1"/>
      <c r="B1350" s="260"/>
      <c r="C1350" s="47"/>
      <c r="D1350" s="47"/>
      <c r="E1350" s="47"/>
      <c r="F1350" s="47"/>
      <c r="G1350" s="47"/>
      <c r="H1350" s="47"/>
      <c r="I1350" s="47"/>
      <c r="J1350" s="47"/>
      <c r="K1350" s="47"/>
      <c r="L1350" s="47"/>
      <c r="M1350" s="47"/>
      <c r="N1350" s="47"/>
      <c r="O1350" s="47"/>
      <c r="P1350" s="47"/>
      <c r="Q1350" s="47"/>
      <c r="R1350" s="47"/>
      <c r="S1350" s="47"/>
      <c r="T1350" s="47"/>
      <c r="U1350" s="47"/>
      <c r="V1350" s="47"/>
      <c r="W1350" s="47"/>
      <c r="X1350" s="47"/>
      <c r="Y1350" s="47"/>
      <c r="Z1350" s="47"/>
      <c r="AA1350" s="47"/>
      <c r="AB1350" s="47"/>
      <c r="AC1350" s="47"/>
      <c r="AD1350" s="47"/>
      <c r="AE1350" s="47"/>
      <c r="AF1350" s="47"/>
      <c r="AG1350" s="47"/>
      <c r="AH1350" s="47"/>
      <c r="AI1350" s="47"/>
      <c r="AJ1350" s="3"/>
      <c r="AK1350" s="4"/>
      <c r="AL1350" s="6"/>
      <c r="AM1350" s="7"/>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row>
    <row r="1351" spans="1:64" ht="16.5" customHeight="1">
      <c r="A1351" s="1"/>
      <c r="B1351" s="260"/>
      <c r="C1351" s="47"/>
      <c r="D1351" s="47"/>
      <c r="E1351" s="47"/>
      <c r="F1351" s="47"/>
      <c r="G1351" s="47"/>
      <c r="H1351" s="47"/>
      <c r="I1351" s="47"/>
      <c r="J1351" s="47"/>
      <c r="K1351" s="47"/>
      <c r="L1351" s="47"/>
      <c r="M1351" s="47"/>
      <c r="N1351" s="47"/>
      <c r="O1351" s="47"/>
      <c r="P1351" s="47"/>
      <c r="Q1351" s="47"/>
      <c r="R1351" s="47"/>
      <c r="S1351" s="47"/>
      <c r="T1351" s="47"/>
      <c r="U1351" s="47"/>
      <c r="V1351" s="47"/>
      <c r="W1351" s="47"/>
      <c r="X1351" s="47"/>
      <c r="Y1351" s="47"/>
      <c r="Z1351" s="47"/>
      <c r="AA1351" s="47"/>
      <c r="AB1351" s="47"/>
      <c r="AC1351" s="47"/>
      <c r="AD1351" s="47"/>
      <c r="AE1351" s="47"/>
      <c r="AF1351" s="47"/>
      <c r="AG1351" s="47"/>
      <c r="AH1351" s="47"/>
      <c r="AI1351" s="47"/>
      <c r="AJ1351" s="3"/>
      <c r="AK1351" s="4"/>
      <c r="AL1351" s="6"/>
      <c r="AM1351" s="7"/>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row>
    <row r="1352" spans="1:64" ht="16.5" customHeight="1">
      <c r="A1352" s="1"/>
      <c r="B1352" s="260"/>
      <c r="C1352" s="47"/>
      <c r="D1352" s="47"/>
      <c r="E1352" s="47"/>
      <c r="F1352" s="47"/>
      <c r="G1352" s="47"/>
      <c r="H1352" s="47"/>
      <c r="I1352" s="47"/>
      <c r="J1352" s="47"/>
      <c r="K1352" s="47"/>
      <c r="L1352" s="47"/>
      <c r="M1352" s="47"/>
      <c r="N1352" s="47"/>
      <c r="O1352" s="47"/>
      <c r="P1352" s="47"/>
      <c r="Q1352" s="47"/>
      <c r="R1352" s="47"/>
      <c r="S1352" s="47"/>
      <c r="T1352" s="47"/>
      <c r="U1352" s="47"/>
      <c r="V1352" s="47"/>
      <c r="W1352" s="47"/>
      <c r="X1352" s="47"/>
      <c r="Y1352" s="47"/>
      <c r="Z1352" s="47"/>
      <c r="AA1352" s="47"/>
      <c r="AB1352" s="47"/>
      <c r="AC1352" s="47"/>
      <c r="AD1352" s="47"/>
      <c r="AE1352" s="47"/>
      <c r="AF1352" s="47"/>
      <c r="AG1352" s="47"/>
      <c r="AH1352" s="47"/>
      <c r="AI1352" s="47"/>
      <c r="AJ1352" s="3"/>
      <c r="AK1352" s="4"/>
      <c r="AL1352" s="6"/>
      <c r="AM1352" s="7"/>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row>
    <row r="1353" spans="1:64" ht="16.5" customHeight="1">
      <c r="A1353" s="1"/>
      <c r="B1353" s="260"/>
      <c r="C1353" s="47"/>
      <c r="D1353" s="47"/>
      <c r="E1353" s="47"/>
      <c r="F1353" s="47"/>
      <c r="G1353" s="47"/>
      <c r="H1353" s="47"/>
      <c r="I1353" s="47"/>
      <c r="J1353" s="47"/>
      <c r="K1353" s="47"/>
      <c r="L1353" s="47"/>
      <c r="M1353" s="47"/>
      <c r="N1353" s="47"/>
      <c r="O1353" s="47"/>
      <c r="P1353" s="47"/>
      <c r="Q1353" s="47"/>
      <c r="R1353" s="47"/>
      <c r="S1353" s="47"/>
      <c r="T1353" s="47"/>
      <c r="U1353" s="47"/>
      <c r="V1353" s="47"/>
      <c r="W1353" s="47"/>
      <c r="X1353" s="47"/>
      <c r="Y1353" s="47"/>
      <c r="Z1353" s="47"/>
      <c r="AA1353" s="47"/>
      <c r="AB1353" s="47"/>
      <c r="AC1353" s="47"/>
      <c r="AD1353" s="47"/>
      <c r="AE1353" s="47"/>
      <c r="AF1353" s="47"/>
      <c r="AG1353" s="47"/>
      <c r="AH1353" s="47"/>
      <c r="AI1353" s="47"/>
      <c r="AJ1353" s="3"/>
      <c r="AK1353" s="4"/>
      <c r="AL1353" s="6"/>
      <c r="AM1353" s="7"/>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row>
    <row r="1354" spans="1:64" ht="16.5" customHeight="1">
      <c r="A1354" s="1"/>
      <c r="B1354" s="260"/>
      <c r="C1354" s="47"/>
      <c r="D1354" s="47"/>
      <c r="E1354" s="47"/>
      <c r="F1354" s="47"/>
      <c r="G1354" s="47"/>
      <c r="H1354" s="47"/>
      <c r="I1354" s="47"/>
      <c r="J1354" s="47"/>
      <c r="K1354" s="47"/>
      <c r="L1354" s="47"/>
      <c r="M1354" s="47"/>
      <c r="N1354" s="47"/>
      <c r="O1354" s="47"/>
      <c r="P1354" s="47"/>
      <c r="Q1354" s="47"/>
      <c r="R1354" s="47"/>
      <c r="S1354" s="47"/>
      <c r="T1354" s="47"/>
      <c r="U1354" s="47"/>
      <c r="V1354" s="47"/>
      <c r="W1354" s="47"/>
      <c r="X1354" s="47"/>
      <c r="Y1354" s="47"/>
      <c r="Z1354" s="47"/>
      <c r="AA1354" s="47"/>
      <c r="AB1354" s="47"/>
      <c r="AC1354" s="47"/>
      <c r="AD1354" s="47"/>
      <c r="AE1354" s="47"/>
      <c r="AF1354" s="47"/>
      <c r="AG1354" s="47"/>
      <c r="AH1354" s="47"/>
      <c r="AI1354" s="47"/>
      <c r="AJ1354" s="3"/>
      <c r="AK1354" s="4"/>
      <c r="AL1354" s="6"/>
      <c r="AM1354" s="7"/>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row>
    <row r="1355" spans="1:64" ht="16.5" customHeight="1">
      <c r="A1355" s="1"/>
      <c r="B1355" s="260"/>
      <c r="C1355" s="47"/>
      <c r="D1355" s="47"/>
      <c r="E1355" s="47"/>
      <c r="F1355" s="47"/>
      <c r="G1355" s="47"/>
      <c r="H1355" s="47"/>
      <c r="I1355" s="47"/>
      <c r="J1355" s="47"/>
      <c r="K1355" s="47"/>
      <c r="L1355" s="47"/>
      <c r="M1355" s="47"/>
      <c r="N1355" s="47"/>
      <c r="O1355" s="47"/>
      <c r="P1355" s="47"/>
      <c r="Q1355" s="47"/>
      <c r="R1355" s="47"/>
      <c r="S1355" s="47"/>
      <c r="T1355" s="47"/>
      <c r="U1355" s="47"/>
      <c r="V1355" s="47"/>
      <c r="W1355" s="47"/>
      <c r="X1355" s="47"/>
      <c r="Y1355" s="47"/>
      <c r="Z1355" s="47"/>
      <c r="AA1355" s="47"/>
      <c r="AB1355" s="47"/>
      <c r="AC1355" s="47"/>
      <c r="AD1355" s="47"/>
      <c r="AE1355" s="47"/>
      <c r="AF1355" s="47"/>
      <c r="AG1355" s="47"/>
      <c r="AH1355" s="47"/>
      <c r="AI1355" s="47"/>
      <c r="AJ1355" s="3"/>
      <c r="AK1355" s="4"/>
      <c r="AL1355" s="6"/>
      <c r="AM1355" s="7"/>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row>
    <row r="1356" spans="1:64" ht="16.5" customHeight="1">
      <c r="A1356" s="1"/>
      <c r="B1356" s="260"/>
      <c r="C1356" s="47"/>
      <c r="D1356" s="47"/>
      <c r="E1356" s="47"/>
      <c r="F1356" s="47"/>
      <c r="G1356" s="47"/>
      <c r="H1356" s="47"/>
      <c r="I1356" s="47"/>
      <c r="J1356" s="47"/>
      <c r="K1356" s="47"/>
      <c r="L1356" s="47"/>
      <c r="M1356" s="47"/>
      <c r="N1356" s="47"/>
      <c r="O1356" s="47"/>
      <c r="P1356" s="47"/>
      <c r="Q1356" s="47"/>
      <c r="R1356" s="47"/>
      <c r="S1356" s="47"/>
      <c r="T1356" s="47"/>
      <c r="U1356" s="47"/>
      <c r="V1356" s="47"/>
      <c r="W1356" s="47"/>
      <c r="X1356" s="47"/>
      <c r="Y1356" s="47"/>
      <c r="Z1356" s="47"/>
      <c r="AA1356" s="47"/>
      <c r="AB1356" s="47"/>
      <c r="AC1356" s="47"/>
      <c r="AD1356" s="47"/>
      <c r="AE1356" s="47"/>
      <c r="AF1356" s="47"/>
      <c r="AG1356" s="47"/>
      <c r="AH1356" s="47"/>
      <c r="AI1356" s="47"/>
      <c r="AJ1356" s="3"/>
      <c r="AK1356" s="4"/>
      <c r="AL1356" s="6"/>
      <c r="AM1356" s="7"/>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row>
    <row r="1357" spans="1:64" ht="16.5" customHeight="1">
      <c r="A1357" s="1"/>
      <c r="B1357" s="260"/>
      <c r="C1357" s="47"/>
      <c r="D1357" s="47"/>
      <c r="E1357" s="47"/>
      <c r="F1357" s="47"/>
      <c r="G1357" s="47"/>
      <c r="H1357" s="47"/>
      <c r="I1357" s="47"/>
      <c r="J1357" s="47"/>
      <c r="K1357" s="47"/>
      <c r="L1357" s="47"/>
      <c r="M1357" s="47"/>
      <c r="N1357" s="47"/>
      <c r="O1357" s="47"/>
      <c r="P1357" s="47"/>
      <c r="Q1357" s="47"/>
      <c r="R1357" s="47"/>
      <c r="S1357" s="47"/>
      <c r="T1357" s="47"/>
      <c r="U1357" s="47"/>
      <c r="V1357" s="47"/>
      <c r="W1357" s="47"/>
      <c r="X1357" s="47"/>
      <c r="Y1357" s="47"/>
      <c r="Z1357" s="47"/>
      <c r="AA1357" s="47"/>
      <c r="AB1357" s="47"/>
      <c r="AC1357" s="47"/>
      <c r="AD1357" s="47"/>
      <c r="AE1357" s="47"/>
      <c r="AF1357" s="47"/>
      <c r="AG1357" s="47"/>
      <c r="AH1357" s="47"/>
      <c r="AI1357" s="47"/>
      <c r="AJ1357" s="3"/>
      <c r="AK1357" s="4"/>
      <c r="AL1357" s="6"/>
      <c r="AM1357" s="7"/>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row>
    <row r="1358" spans="1:64" ht="16.5" customHeight="1">
      <c r="A1358" s="1"/>
      <c r="B1358" s="260"/>
      <c r="C1358" s="47"/>
      <c r="D1358" s="47"/>
      <c r="E1358" s="47"/>
      <c r="F1358" s="47"/>
      <c r="G1358" s="47"/>
      <c r="H1358" s="47"/>
      <c r="I1358" s="47"/>
      <c r="J1358" s="47"/>
      <c r="K1358" s="47"/>
      <c r="L1358" s="47"/>
      <c r="M1358" s="47"/>
      <c r="N1358" s="47"/>
      <c r="O1358" s="47"/>
      <c r="P1358" s="47"/>
      <c r="Q1358" s="47"/>
      <c r="R1358" s="47"/>
      <c r="S1358" s="47"/>
      <c r="T1358" s="47"/>
      <c r="U1358" s="47"/>
      <c r="V1358" s="47"/>
      <c r="W1358" s="47"/>
      <c r="X1358" s="47"/>
      <c r="Y1358" s="47"/>
      <c r="Z1358" s="47"/>
      <c r="AA1358" s="47"/>
      <c r="AB1358" s="47"/>
      <c r="AC1358" s="47"/>
      <c r="AD1358" s="47"/>
      <c r="AE1358" s="47"/>
      <c r="AF1358" s="47"/>
      <c r="AG1358" s="47"/>
      <c r="AH1358" s="47"/>
      <c r="AI1358" s="47"/>
      <c r="AJ1358" s="3"/>
      <c r="AK1358" s="4"/>
      <c r="AL1358" s="6"/>
      <c r="AM1358" s="7"/>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row>
    <row r="1359" spans="1:64" ht="16.5" customHeight="1">
      <c r="A1359" s="1"/>
      <c r="B1359" s="260"/>
      <c r="C1359" s="47"/>
      <c r="D1359" s="47"/>
      <c r="E1359" s="47"/>
      <c r="F1359" s="47"/>
      <c r="G1359" s="47"/>
      <c r="H1359" s="47"/>
      <c r="I1359" s="47"/>
      <c r="J1359" s="47"/>
      <c r="K1359" s="47"/>
      <c r="L1359" s="47"/>
      <c r="M1359" s="47"/>
      <c r="N1359" s="47"/>
      <c r="O1359" s="47"/>
      <c r="P1359" s="47"/>
      <c r="Q1359" s="47"/>
      <c r="R1359" s="47"/>
      <c r="S1359" s="47"/>
      <c r="T1359" s="47"/>
      <c r="U1359" s="47"/>
      <c r="V1359" s="47"/>
      <c r="W1359" s="47"/>
      <c r="X1359" s="47"/>
      <c r="Y1359" s="47"/>
      <c r="Z1359" s="47"/>
      <c r="AA1359" s="47"/>
      <c r="AB1359" s="47"/>
      <c r="AC1359" s="47"/>
      <c r="AD1359" s="47"/>
      <c r="AE1359" s="47"/>
      <c r="AF1359" s="47"/>
      <c r="AG1359" s="47"/>
      <c r="AH1359" s="47"/>
      <c r="AI1359" s="47"/>
      <c r="AJ1359" s="3"/>
      <c r="AK1359" s="4"/>
      <c r="AL1359" s="6"/>
      <c r="AM1359" s="7"/>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row>
    <row r="1360" spans="1:64" ht="16.5" customHeight="1">
      <c r="A1360" s="1"/>
      <c r="B1360" s="260"/>
      <c r="C1360" s="47"/>
      <c r="D1360" s="47"/>
      <c r="E1360" s="47"/>
      <c r="F1360" s="47"/>
      <c r="G1360" s="47"/>
      <c r="H1360" s="47"/>
      <c r="I1360" s="47"/>
      <c r="J1360" s="47"/>
      <c r="K1360" s="47"/>
      <c r="L1360" s="47"/>
      <c r="M1360" s="47"/>
      <c r="N1360" s="47"/>
      <c r="O1360" s="47"/>
      <c r="P1360" s="47"/>
      <c r="Q1360" s="47"/>
      <c r="R1360" s="47"/>
      <c r="S1360" s="47"/>
      <c r="T1360" s="47"/>
      <c r="U1360" s="47"/>
      <c r="V1360" s="47"/>
      <c r="W1360" s="47"/>
      <c r="X1360" s="47"/>
      <c r="Y1360" s="47"/>
      <c r="Z1360" s="47"/>
      <c r="AA1360" s="47"/>
      <c r="AB1360" s="47"/>
      <c r="AC1360" s="47"/>
      <c r="AD1360" s="47"/>
      <c r="AE1360" s="47"/>
      <c r="AF1360" s="47"/>
      <c r="AG1360" s="47"/>
      <c r="AH1360" s="47"/>
      <c r="AI1360" s="47"/>
      <c r="AJ1360" s="3"/>
      <c r="AK1360" s="4"/>
      <c r="AL1360" s="6"/>
      <c r="AM1360" s="7"/>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row>
    <row r="1361" spans="1:64" ht="16.5" customHeight="1">
      <c r="A1361" s="1"/>
      <c r="B1361" s="260"/>
      <c r="C1361" s="47"/>
      <c r="D1361" s="47"/>
      <c r="E1361" s="47"/>
      <c r="F1361" s="47"/>
      <c r="G1361" s="47"/>
      <c r="H1361" s="47"/>
      <c r="I1361" s="47"/>
      <c r="J1361" s="47"/>
      <c r="K1361" s="47"/>
      <c r="L1361" s="47"/>
      <c r="M1361" s="47"/>
      <c r="N1361" s="47"/>
      <c r="O1361" s="47"/>
      <c r="P1361" s="47"/>
      <c r="Q1361" s="47"/>
      <c r="R1361" s="47"/>
      <c r="S1361" s="47"/>
      <c r="T1361" s="47"/>
      <c r="U1361" s="47"/>
      <c r="V1361" s="47"/>
      <c r="W1361" s="47"/>
      <c r="X1361" s="47"/>
      <c r="Y1361" s="47"/>
      <c r="Z1361" s="47"/>
      <c r="AA1361" s="47"/>
      <c r="AB1361" s="47"/>
      <c r="AC1361" s="47"/>
      <c r="AD1361" s="47"/>
      <c r="AE1361" s="47"/>
      <c r="AF1361" s="47"/>
      <c r="AG1361" s="47"/>
      <c r="AH1361" s="47"/>
      <c r="AI1361" s="47"/>
      <c r="AJ1361" s="3"/>
      <c r="AK1361" s="4"/>
      <c r="AL1361" s="6"/>
      <c r="AM1361" s="7"/>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row>
    <row r="1362" spans="1:64" ht="16.5" customHeight="1">
      <c r="A1362" s="1"/>
      <c r="B1362" s="260"/>
      <c r="C1362" s="47"/>
      <c r="D1362" s="47"/>
      <c r="E1362" s="47"/>
      <c r="F1362" s="47"/>
      <c r="G1362" s="47"/>
      <c r="H1362" s="47"/>
      <c r="I1362" s="47"/>
      <c r="J1362" s="47"/>
      <c r="K1362" s="47"/>
      <c r="L1362" s="47"/>
      <c r="M1362" s="47"/>
      <c r="N1362" s="47"/>
      <c r="O1362" s="47"/>
      <c r="P1362" s="47"/>
      <c r="Q1362" s="47"/>
      <c r="R1362" s="47"/>
      <c r="S1362" s="47"/>
      <c r="T1362" s="47"/>
      <c r="U1362" s="47"/>
      <c r="V1362" s="47"/>
      <c r="W1362" s="47"/>
      <c r="X1362" s="47"/>
      <c r="Y1362" s="47"/>
      <c r="Z1362" s="47"/>
      <c r="AA1362" s="47"/>
      <c r="AB1362" s="47"/>
      <c r="AC1362" s="47"/>
      <c r="AD1362" s="47"/>
      <c r="AE1362" s="47"/>
      <c r="AF1362" s="47"/>
      <c r="AG1362" s="47"/>
      <c r="AH1362" s="47"/>
      <c r="AI1362" s="47"/>
      <c r="AJ1362" s="3"/>
      <c r="AK1362" s="4"/>
      <c r="AL1362" s="6"/>
      <c r="AM1362" s="7"/>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row>
    <row r="1363" spans="1:64" ht="16.5" customHeight="1">
      <c r="A1363" s="1"/>
      <c r="B1363" s="260"/>
      <c r="C1363" s="47"/>
      <c r="D1363" s="47"/>
      <c r="E1363" s="47"/>
      <c r="F1363" s="47"/>
      <c r="G1363" s="47"/>
      <c r="H1363" s="47"/>
      <c r="I1363" s="47"/>
      <c r="J1363" s="47"/>
      <c r="K1363" s="47"/>
      <c r="L1363" s="47"/>
      <c r="M1363" s="47"/>
      <c r="N1363" s="47"/>
      <c r="O1363" s="47"/>
      <c r="P1363" s="47"/>
      <c r="Q1363" s="47"/>
      <c r="R1363" s="47"/>
      <c r="S1363" s="47"/>
      <c r="T1363" s="47"/>
      <c r="U1363" s="47"/>
      <c r="V1363" s="47"/>
      <c r="W1363" s="47"/>
      <c r="X1363" s="47"/>
      <c r="Y1363" s="47"/>
      <c r="Z1363" s="47"/>
      <c r="AA1363" s="47"/>
      <c r="AB1363" s="47"/>
      <c r="AC1363" s="47"/>
      <c r="AD1363" s="47"/>
      <c r="AE1363" s="47"/>
      <c r="AF1363" s="47"/>
      <c r="AG1363" s="47"/>
      <c r="AH1363" s="47"/>
      <c r="AI1363" s="47"/>
      <c r="AJ1363" s="3"/>
      <c r="AK1363" s="4"/>
      <c r="AL1363" s="6"/>
      <c r="AM1363" s="7"/>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row>
    <row r="1364" spans="1:64" ht="16.5" customHeight="1">
      <c r="A1364" s="1"/>
      <c r="B1364" s="260"/>
      <c r="C1364" s="47"/>
      <c r="D1364" s="47"/>
      <c r="E1364" s="47"/>
      <c r="F1364" s="47"/>
      <c r="G1364" s="47"/>
      <c r="H1364" s="47"/>
      <c r="I1364" s="47"/>
      <c r="J1364" s="47"/>
      <c r="K1364" s="47"/>
      <c r="L1364" s="47"/>
      <c r="M1364" s="47"/>
      <c r="N1364" s="47"/>
      <c r="O1364" s="47"/>
      <c r="P1364" s="47"/>
      <c r="Q1364" s="47"/>
      <c r="R1364" s="47"/>
      <c r="S1364" s="47"/>
      <c r="T1364" s="47"/>
      <c r="U1364" s="47"/>
      <c r="V1364" s="47"/>
      <c r="W1364" s="47"/>
      <c r="X1364" s="47"/>
      <c r="Y1364" s="47"/>
      <c r="Z1364" s="47"/>
      <c r="AA1364" s="47"/>
      <c r="AB1364" s="47"/>
      <c r="AC1364" s="47"/>
      <c r="AD1364" s="47"/>
      <c r="AE1364" s="47"/>
      <c r="AF1364" s="47"/>
      <c r="AG1364" s="47"/>
      <c r="AH1364" s="47"/>
      <c r="AI1364" s="47"/>
      <c r="AJ1364" s="3"/>
      <c r="AK1364" s="4"/>
      <c r="AL1364" s="6"/>
      <c r="AM1364" s="7"/>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row>
    <row r="1365" spans="1:64" ht="16.5" customHeight="1">
      <c r="A1365" s="1"/>
      <c r="B1365" s="260"/>
      <c r="C1365" s="47"/>
      <c r="D1365" s="47"/>
      <c r="E1365" s="47"/>
      <c r="F1365" s="47"/>
      <c r="G1365" s="47"/>
      <c r="H1365" s="47"/>
      <c r="I1365" s="47"/>
      <c r="J1365" s="47"/>
      <c r="K1365" s="47"/>
      <c r="L1365" s="47"/>
      <c r="M1365" s="47"/>
      <c r="N1365" s="47"/>
      <c r="O1365" s="47"/>
      <c r="P1365" s="47"/>
      <c r="Q1365" s="47"/>
      <c r="R1365" s="47"/>
      <c r="S1365" s="47"/>
      <c r="T1365" s="47"/>
      <c r="U1365" s="47"/>
      <c r="V1365" s="47"/>
      <c r="W1365" s="47"/>
      <c r="X1365" s="47"/>
      <c r="Y1365" s="47"/>
      <c r="Z1365" s="47"/>
      <c r="AA1365" s="47"/>
      <c r="AB1365" s="47"/>
      <c r="AC1365" s="47"/>
      <c r="AD1365" s="47"/>
      <c r="AE1365" s="47"/>
      <c r="AF1365" s="47"/>
      <c r="AG1365" s="47"/>
      <c r="AH1365" s="47"/>
      <c r="AI1365" s="47"/>
      <c r="AJ1365" s="3"/>
      <c r="AK1365" s="4"/>
      <c r="AL1365" s="6"/>
      <c r="AM1365" s="7"/>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row>
  </sheetData>
  <mergeCells count="248">
    <mergeCell ref="B270:B271"/>
    <mergeCell ref="B273:B274"/>
    <mergeCell ref="B285:B286"/>
    <mergeCell ref="B287:B288"/>
    <mergeCell ref="B290:B291"/>
    <mergeCell ref="B293:B294"/>
    <mergeCell ref="A250:A251"/>
    <mergeCell ref="B250:B251"/>
    <mergeCell ref="A253:A254"/>
    <mergeCell ref="B253:B254"/>
    <mergeCell ref="A258:A259"/>
    <mergeCell ref="B265:B266"/>
    <mergeCell ref="B267:B268"/>
    <mergeCell ref="A265:A266"/>
    <mergeCell ref="A270:A271"/>
    <mergeCell ref="A273:A274"/>
    <mergeCell ref="A278:A279"/>
    <mergeCell ref="A285:A286"/>
    <mergeCell ref="A290:A291"/>
    <mergeCell ref="A293:A294"/>
    <mergeCell ref="B227:B228"/>
    <mergeCell ref="B230:B231"/>
    <mergeCell ref="A230:A231"/>
    <mergeCell ref="A233:A234"/>
    <mergeCell ref="B233:B234"/>
    <mergeCell ref="A238:A239"/>
    <mergeCell ref="A245:A246"/>
    <mergeCell ref="B245:B246"/>
    <mergeCell ref="B247:B248"/>
    <mergeCell ref="A205:A206"/>
    <mergeCell ref="B205:B206"/>
    <mergeCell ref="B207:B208"/>
    <mergeCell ref="A210:A211"/>
    <mergeCell ref="B210:B211"/>
    <mergeCell ref="A213:A214"/>
    <mergeCell ref="B213:B214"/>
    <mergeCell ref="A218:A219"/>
    <mergeCell ref="A225:A226"/>
    <mergeCell ref="B225:B226"/>
    <mergeCell ref="A178:A179"/>
    <mergeCell ref="A185:A186"/>
    <mergeCell ref="B185:B186"/>
    <mergeCell ref="B187:B188"/>
    <mergeCell ref="A190:A191"/>
    <mergeCell ref="B190:B191"/>
    <mergeCell ref="B193:B194"/>
    <mergeCell ref="A193:A194"/>
    <mergeCell ref="A198:A199"/>
    <mergeCell ref="B385:B386"/>
    <mergeCell ref="A393:A394"/>
    <mergeCell ref="B393:B394"/>
    <mergeCell ref="A453:A454"/>
    <mergeCell ref="B453:B454"/>
    <mergeCell ref="B405:B406"/>
    <mergeCell ref="A413:A414"/>
    <mergeCell ref="B413:B414"/>
    <mergeCell ref="B425:B426"/>
    <mergeCell ref="A433:A434"/>
    <mergeCell ref="B433:B434"/>
    <mergeCell ref="B445:B446"/>
    <mergeCell ref="B325:B326"/>
    <mergeCell ref="A333:A334"/>
    <mergeCell ref="B333:B334"/>
    <mergeCell ref="B345:B346"/>
    <mergeCell ref="A353:A354"/>
    <mergeCell ref="B353:B354"/>
    <mergeCell ref="B365:B366"/>
    <mergeCell ref="A373:A374"/>
    <mergeCell ref="B373:B374"/>
    <mergeCell ref="A298:A299"/>
    <mergeCell ref="A305:A306"/>
    <mergeCell ref="B305:B306"/>
    <mergeCell ref="B307:B308"/>
    <mergeCell ref="A310:A311"/>
    <mergeCell ref="B310:B311"/>
    <mergeCell ref="B313:B314"/>
    <mergeCell ref="A313:A314"/>
    <mergeCell ref="A318:A319"/>
    <mergeCell ref="K193:K194"/>
    <mergeCell ref="K198:K199"/>
    <mergeCell ref="K205:K206"/>
    <mergeCell ref="K207:K208"/>
    <mergeCell ref="H210:H211"/>
    <mergeCell ref="K210:K211"/>
    <mergeCell ref="K265:K266"/>
    <mergeCell ref="K267:K268"/>
    <mergeCell ref="H270:H271"/>
    <mergeCell ref="K270:K271"/>
    <mergeCell ref="H170:H171"/>
    <mergeCell ref="K167:K168"/>
    <mergeCell ref="K170:K171"/>
    <mergeCell ref="K173:K174"/>
    <mergeCell ref="K178:K179"/>
    <mergeCell ref="K185:K186"/>
    <mergeCell ref="K187:K188"/>
    <mergeCell ref="H190:H191"/>
    <mergeCell ref="K190:K191"/>
    <mergeCell ref="K133:K134"/>
    <mergeCell ref="K138:K139"/>
    <mergeCell ref="K145:K146"/>
    <mergeCell ref="K147:K148"/>
    <mergeCell ref="H150:H151"/>
    <mergeCell ref="K150:K151"/>
    <mergeCell ref="K153:K154"/>
    <mergeCell ref="K158:K159"/>
    <mergeCell ref="K165:K166"/>
    <mergeCell ref="K98:K99"/>
    <mergeCell ref="K105:K106"/>
    <mergeCell ref="K107:K108"/>
    <mergeCell ref="H110:H111"/>
    <mergeCell ref="K110:K111"/>
    <mergeCell ref="K125:K126"/>
    <mergeCell ref="K127:K128"/>
    <mergeCell ref="H130:H131"/>
    <mergeCell ref="K130:K131"/>
    <mergeCell ref="K65:K66"/>
    <mergeCell ref="K67:K68"/>
    <mergeCell ref="H70:H71"/>
    <mergeCell ref="K70:K71"/>
    <mergeCell ref="K73:K74"/>
    <mergeCell ref="K78:K79"/>
    <mergeCell ref="K85:K86"/>
    <mergeCell ref="K87:K88"/>
    <mergeCell ref="K93:K94"/>
    <mergeCell ref="K298:K299"/>
    <mergeCell ref="K305:K306"/>
    <mergeCell ref="H310:H311"/>
    <mergeCell ref="K393:K394"/>
    <mergeCell ref="K413:K414"/>
    <mergeCell ref="K433:K434"/>
    <mergeCell ref="K453:K454"/>
    <mergeCell ref="K307:K308"/>
    <mergeCell ref="K310:K311"/>
    <mergeCell ref="K313:K314"/>
    <mergeCell ref="K318:K319"/>
    <mergeCell ref="K333:K334"/>
    <mergeCell ref="K353:K354"/>
    <mergeCell ref="K373:K374"/>
    <mergeCell ref="K247:K248"/>
    <mergeCell ref="H250:H251"/>
    <mergeCell ref="K250:K251"/>
    <mergeCell ref="K253:K254"/>
    <mergeCell ref="K258:K259"/>
    <mergeCell ref="K287:K288"/>
    <mergeCell ref="H290:H291"/>
    <mergeCell ref="K290:K291"/>
    <mergeCell ref="K293:K294"/>
    <mergeCell ref="K273:K274"/>
    <mergeCell ref="K278:K279"/>
    <mergeCell ref="K285:K286"/>
    <mergeCell ref="K213:K214"/>
    <mergeCell ref="K218:K219"/>
    <mergeCell ref="K225:K226"/>
    <mergeCell ref="K227:K228"/>
    <mergeCell ref="H230:H231"/>
    <mergeCell ref="K230:K231"/>
    <mergeCell ref="K233:K234"/>
    <mergeCell ref="K238:K239"/>
    <mergeCell ref="K245:K246"/>
    <mergeCell ref="A125:A126"/>
    <mergeCell ref="B125:B126"/>
    <mergeCell ref="B127:B128"/>
    <mergeCell ref="B150:B151"/>
    <mergeCell ref="B153:B154"/>
    <mergeCell ref="B165:B166"/>
    <mergeCell ref="B167:B168"/>
    <mergeCell ref="B170:B171"/>
    <mergeCell ref="B173:B174"/>
    <mergeCell ref="A130:A131"/>
    <mergeCell ref="B130:B131"/>
    <mergeCell ref="A133:A134"/>
    <mergeCell ref="B133:B134"/>
    <mergeCell ref="A138:A139"/>
    <mergeCell ref="B145:B146"/>
    <mergeCell ref="B147:B148"/>
    <mergeCell ref="A145:A146"/>
    <mergeCell ref="A150:A151"/>
    <mergeCell ref="A153:A154"/>
    <mergeCell ref="A158:A159"/>
    <mergeCell ref="A165:A166"/>
    <mergeCell ref="A170:A171"/>
    <mergeCell ref="A173:A174"/>
    <mergeCell ref="A98:A99"/>
    <mergeCell ref="A105:A106"/>
    <mergeCell ref="B105:B106"/>
    <mergeCell ref="B107:B108"/>
    <mergeCell ref="B110:B111"/>
    <mergeCell ref="A110:A111"/>
    <mergeCell ref="A113:A114"/>
    <mergeCell ref="B113:B114"/>
    <mergeCell ref="A118:A119"/>
    <mergeCell ref="K53:K54"/>
    <mergeCell ref="K58:K59"/>
    <mergeCell ref="A90:A91"/>
    <mergeCell ref="B90:B91"/>
    <mergeCell ref="H90:H91"/>
    <mergeCell ref="K90:K91"/>
    <mergeCell ref="K113:K114"/>
    <mergeCell ref="K118:K119"/>
    <mergeCell ref="A53:A54"/>
    <mergeCell ref="B53:B54"/>
    <mergeCell ref="A58:A59"/>
    <mergeCell ref="A65:A66"/>
    <mergeCell ref="B65:B66"/>
    <mergeCell ref="B67:B68"/>
    <mergeCell ref="B70:B71"/>
    <mergeCell ref="A70:A71"/>
    <mergeCell ref="A73:A74"/>
    <mergeCell ref="B73:B74"/>
    <mergeCell ref="A78:A79"/>
    <mergeCell ref="A85:A86"/>
    <mergeCell ref="B85:B86"/>
    <mergeCell ref="B87:B88"/>
    <mergeCell ref="A93:A94"/>
    <mergeCell ref="B93:B94"/>
    <mergeCell ref="A38:A39"/>
    <mergeCell ref="A45:A46"/>
    <mergeCell ref="B45:B46"/>
    <mergeCell ref="B47:B48"/>
    <mergeCell ref="A50:A51"/>
    <mergeCell ref="B50:B51"/>
    <mergeCell ref="L38:L39"/>
    <mergeCell ref="K45:K46"/>
    <mergeCell ref="K47:K48"/>
    <mergeCell ref="H50:H51"/>
    <mergeCell ref="K50:K51"/>
    <mergeCell ref="B27:B28"/>
    <mergeCell ref="A30:A31"/>
    <mergeCell ref="B30:B31"/>
    <mergeCell ref="H30:H31"/>
    <mergeCell ref="B33:B34"/>
    <mergeCell ref="L10:L11"/>
    <mergeCell ref="L13:L14"/>
    <mergeCell ref="L18:L19"/>
    <mergeCell ref="L25:L26"/>
    <mergeCell ref="L27:L28"/>
    <mergeCell ref="L30:L31"/>
    <mergeCell ref="L33:L34"/>
    <mergeCell ref="A33:A34"/>
    <mergeCell ref="B5:B6"/>
    <mergeCell ref="L5:L6"/>
    <mergeCell ref="B7:B8"/>
    <mergeCell ref="L7:L8"/>
    <mergeCell ref="B10:B11"/>
    <mergeCell ref="H10:H11"/>
    <mergeCell ref="B13:B14"/>
    <mergeCell ref="A25:A26"/>
    <mergeCell ref="B25:B26"/>
  </mergeCells>
  <phoneticPr fontId="23"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L997"/>
  <sheetViews>
    <sheetView workbookViewId="0">
      <pane xSplit="2" topLeftCell="C1" activePane="topRight" state="frozen"/>
      <selection pane="topRight" activeCell="C1" sqref="C1:AE2"/>
    </sheetView>
  </sheetViews>
  <sheetFormatPr defaultColWidth="14.42578125" defaultRowHeight="15" customHeight="1"/>
  <cols>
    <col min="2" max="2" width="16.42578125" customWidth="1"/>
  </cols>
  <sheetData>
    <row r="1" spans="1:38">
      <c r="A1" s="261"/>
      <c r="B1" s="64"/>
      <c r="C1" s="316" t="s">
        <v>34</v>
      </c>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65"/>
      <c r="AG1" s="66"/>
      <c r="AH1" s="67"/>
      <c r="AI1" s="66"/>
      <c r="AJ1" s="66"/>
      <c r="AK1" s="66"/>
      <c r="AL1" s="66"/>
    </row>
    <row r="2" spans="1:38">
      <c r="A2" s="70"/>
      <c r="B2" s="71"/>
      <c r="C2" s="318"/>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65"/>
      <c r="AG2" s="66"/>
      <c r="AH2" s="67"/>
      <c r="AI2" s="66"/>
      <c r="AJ2" s="66"/>
      <c r="AK2" s="66"/>
      <c r="AL2" s="66"/>
    </row>
    <row r="3" spans="1:38" ht="33">
      <c r="A3" s="262"/>
      <c r="B3" s="263"/>
      <c r="C3" s="330" t="s">
        <v>88</v>
      </c>
      <c r="D3" s="319"/>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68" t="s">
        <v>35</v>
      </c>
      <c r="AG3" s="69" t="s">
        <v>36</v>
      </c>
      <c r="AH3" s="67"/>
      <c r="AI3" s="66"/>
      <c r="AJ3" s="66"/>
      <c r="AK3" s="66"/>
      <c r="AL3" s="66"/>
    </row>
    <row r="4" spans="1:38" ht="16.5">
      <c r="A4" s="264"/>
      <c r="B4" s="265"/>
      <c r="C4" s="318"/>
      <c r="D4" s="311"/>
      <c r="E4" s="311"/>
      <c r="F4" s="311"/>
      <c r="G4" s="311"/>
      <c r="H4" s="311"/>
      <c r="I4" s="311"/>
      <c r="J4" s="311"/>
      <c r="K4" s="311"/>
      <c r="L4" s="311"/>
      <c r="M4" s="311"/>
      <c r="N4" s="311"/>
      <c r="O4" s="311"/>
      <c r="P4" s="311"/>
      <c r="Q4" s="311"/>
      <c r="R4" s="311"/>
      <c r="S4" s="311"/>
      <c r="T4" s="311"/>
      <c r="U4" s="311"/>
      <c r="V4" s="311"/>
      <c r="W4" s="311"/>
      <c r="X4" s="311"/>
      <c r="Y4" s="311"/>
      <c r="Z4" s="311"/>
      <c r="AA4" s="311"/>
      <c r="AB4" s="311"/>
      <c r="AC4" s="311"/>
      <c r="AD4" s="311"/>
      <c r="AE4" s="311"/>
      <c r="AF4" s="68">
        <v>192.41</v>
      </c>
      <c r="AG4" s="72">
        <v>1385</v>
      </c>
      <c r="AH4" s="67"/>
      <c r="AI4" s="66"/>
      <c r="AJ4" s="66"/>
      <c r="AK4" s="66"/>
      <c r="AL4" s="66"/>
    </row>
    <row r="5" spans="1:38" ht="16.5">
      <c r="A5" s="266"/>
      <c r="B5" s="266"/>
      <c r="C5" s="267" t="s">
        <v>37</v>
      </c>
      <c r="D5" s="331" t="s">
        <v>38</v>
      </c>
      <c r="E5" s="321"/>
      <c r="F5" s="322"/>
      <c r="G5" s="332" t="s">
        <v>37</v>
      </c>
      <c r="H5" s="321"/>
      <c r="I5" s="321"/>
      <c r="J5" s="321"/>
      <c r="K5" s="321"/>
      <c r="L5" s="321"/>
      <c r="M5" s="322"/>
      <c r="N5" s="331" t="s">
        <v>38</v>
      </c>
      <c r="O5" s="321"/>
      <c r="P5" s="322"/>
      <c r="Q5" s="320" t="s">
        <v>37</v>
      </c>
      <c r="R5" s="321"/>
      <c r="S5" s="321"/>
      <c r="T5" s="321"/>
      <c r="U5" s="321"/>
      <c r="V5" s="322"/>
      <c r="W5" s="331" t="s">
        <v>38</v>
      </c>
      <c r="X5" s="321"/>
      <c r="Y5" s="321"/>
      <c r="Z5" s="322"/>
      <c r="AA5" s="329" t="s">
        <v>37</v>
      </c>
      <c r="AB5" s="321"/>
      <c r="AC5" s="321"/>
      <c r="AD5" s="321"/>
      <c r="AE5" s="322"/>
      <c r="AF5" s="313" t="s">
        <v>39</v>
      </c>
      <c r="AG5" s="314"/>
      <c r="AH5" s="314"/>
      <c r="AI5" s="314"/>
      <c r="AJ5" s="314"/>
      <c r="AK5" s="314"/>
      <c r="AL5" s="315"/>
    </row>
    <row r="6" spans="1:38" ht="30" customHeight="1">
      <c r="A6" s="73" t="s">
        <v>40</v>
      </c>
      <c r="B6" s="74" t="s">
        <v>41</v>
      </c>
      <c r="C6" s="75" t="s">
        <v>42</v>
      </c>
      <c r="D6" s="76" t="s">
        <v>43</v>
      </c>
      <c r="E6" s="76" t="s">
        <v>44</v>
      </c>
      <c r="F6" s="76" t="s">
        <v>45</v>
      </c>
      <c r="G6" s="75" t="s">
        <v>46</v>
      </c>
      <c r="H6" s="75" t="s">
        <v>47</v>
      </c>
      <c r="I6" s="77" t="s">
        <v>48</v>
      </c>
      <c r="J6" s="77" t="s">
        <v>49</v>
      </c>
      <c r="K6" s="268" t="s">
        <v>28</v>
      </c>
      <c r="L6" s="269" t="s">
        <v>29</v>
      </c>
      <c r="M6" s="78" t="s">
        <v>50</v>
      </c>
      <c r="N6" s="270" t="s">
        <v>30</v>
      </c>
      <c r="O6" s="79" t="s">
        <v>39</v>
      </c>
      <c r="P6" s="74" t="s">
        <v>51</v>
      </c>
      <c r="Q6" s="78" t="s">
        <v>52</v>
      </c>
      <c r="R6" s="271" t="s">
        <v>53</v>
      </c>
      <c r="S6" s="271" t="s">
        <v>54</v>
      </c>
      <c r="T6" s="272" t="s">
        <v>144</v>
      </c>
      <c r="U6" s="273" t="s">
        <v>145</v>
      </c>
      <c r="V6" s="271" t="s">
        <v>25</v>
      </c>
      <c r="W6" s="74" t="s">
        <v>55</v>
      </c>
      <c r="X6" s="74" t="s">
        <v>56</v>
      </c>
      <c r="Y6" s="74" t="s">
        <v>57</v>
      </c>
      <c r="Z6" s="74" t="s">
        <v>58</v>
      </c>
      <c r="AA6" s="80" t="s">
        <v>59</v>
      </c>
      <c r="AB6" s="80" t="s">
        <v>60</v>
      </c>
      <c r="AC6" s="80" t="s">
        <v>24</v>
      </c>
      <c r="AD6" s="80" t="s">
        <v>26</v>
      </c>
      <c r="AE6" s="81" t="s">
        <v>61</v>
      </c>
      <c r="AF6" s="82" t="s">
        <v>62</v>
      </c>
      <c r="AG6" s="83" t="s">
        <v>63</v>
      </c>
      <c r="AH6" s="84" t="s">
        <v>64</v>
      </c>
      <c r="AI6" s="85"/>
      <c r="AJ6" s="85"/>
      <c r="AK6" s="85"/>
      <c r="AL6" s="85"/>
    </row>
    <row r="7" spans="1:38" ht="30" customHeight="1">
      <c r="A7" s="86"/>
      <c r="B7" s="42" t="s">
        <v>107</v>
      </c>
      <c r="C7" s="87" t="s">
        <v>65</v>
      </c>
      <c r="D7" s="88">
        <v>13</v>
      </c>
      <c r="E7" s="88">
        <v>23</v>
      </c>
      <c r="F7" s="88">
        <v>8</v>
      </c>
      <c r="G7" s="88">
        <f t="shared" ref="G7:G24" si="0">PRODUCT(D7*E7*F7)</f>
        <v>2392</v>
      </c>
      <c r="H7" s="89">
        <f t="shared" ref="H7:H24" si="1">G7/1000000</f>
        <v>2.392E-3</v>
      </c>
      <c r="I7" s="90">
        <f t="shared" ref="I7:I24" si="2">1/H7</f>
        <v>418.0602006688963</v>
      </c>
      <c r="J7" s="91">
        <f t="shared" ref="J7:J24" si="3">80/I7</f>
        <v>0.19136</v>
      </c>
      <c r="K7" s="92">
        <f t="shared" ref="K7:K24" si="4">27000/I7</f>
        <v>64.584000000000003</v>
      </c>
      <c r="L7" s="92">
        <f t="shared" ref="L7:L24" si="5">(J7*$AG$4)+K7</f>
        <v>329.61759999999998</v>
      </c>
      <c r="M7" s="117">
        <f t="shared" ref="M7:M24" si="6">T7/R7</f>
        <v>7.2969180396029315E-3</v>
      </c>
      <c r="N7" s="93"/>
      <c r="O7" s="93"/>
      <c r="P7" s="274">
        <v>40</v>
      </c>
      <c r="Q7" s="274">
        <f t="shared" ref="Q7:Q24" si="7">P7*1.15</f>
        <v>46</v>
      </c>
      <c r="R7" s="94">
        <f t="shared" ref="R7:R24" si="8">Q7*$AF$4</f>
        <v>8850.86</v>
      </c>
      <c r="S7" s="94">
        <f t="shared" ref="S7:S24" si="9">R7*O7</f>
        <v>0</v>
      </c>
      <c r="T7" s="94">
        <f t="shared" ref="T7:U7" si="10">K7</f>
        <v>64.584000000000003</v>
      </c>
      <c r="U7" s="94">
        <f t="shared" si="10"/>
        <v>329.61759999999998</v>
      </c>
      <c r="V7" s="94">
        <f t="shared" ref="V7:V8" si="11">R7+S7+T7+U7</f>
        <v>9245.0616000000009</v>
      </c>
      <c r="W7" s="43">
        <v>29900</v>
      </c>
      <c r="X7" s="97">
        <v>0.1</v>
      </c>
      <c r="Y7" s="95"/>
      <c r="Z7" s="94">
        <v>3050</v>
      </c>
      <c r="AA7" s="97">
        <f t="shared" ref="AA7:AA24" si="12">X7+(Z7/W7)</f>
        <v>0.20200668896321072</v>
      </c>
      <c r="AB7" s="98">
        <f t="shared" ref="AB7:AB24" si="13">W7*AA7</f>
        <v>6040.0000000000009</v>
      </c>
      <c r="AC7" s="98">
        <f t="shared" ref="AC7:AC8" si="14">(W7)/1.1*10%-(R7+AB7+K7+S7+N7+Y7)*10%</f>
        <v>1222.6374181818178</v>
      </c>
      <c r="AD7" s="98">
        <f t="shared" ref="AD7:AD24" si="15">W7-(V7+Y7+AB7+AC7+N7)</f>
        <v>13392.300981818182</v>
      </c>
      <c r="AE7" s="99">
        <f t="shared" ref="AE7:AE24" si="16">AD7/W7</f>
        <v>0.4479030428701733</v>
      </c>
      <c r="AF7" s="100" t="s">
        <v>66</v>
      </c>
      <c r="AG7" s="101" t="s">
        <v>67</v>
      </c>
      <c r="AH7" s="102">
        <v>0.08</v>
      </c>
      <c r="AI7" s="103"/>
      <c r="AJ7" s="103"/>
      <c r="AK7" s="85"/>
      <c r="AL7" s="85"/>
    </row>
    <row r="8" spans="1:38" ht="30" customHeight="1">
      <c r="A8" s="86"/>
      <c r="B8" s="42" t="s">
        <v>108</v>
      </c>
      <c r="C8" s="87" t="s">
        <v>65</v>
      </c>
      <c r="D8" s="88">
        <v>15</v>
      </c>
      <c r="E8" s="88">
        <v>20</v>
      </c>
      <c r="F8" s="88">
        <v>6</v>
      </c>
      <c r="G8" s="88">
        <f t="shared" si="0"/>
        <v>1800</v>
      </c>
      <c r="H8" s="89">
        <f t="shared" si="1"/>
        <v>1.8E-3</v>
      </c>
      <c r="I8" s="90">
        <f t="shared" si="2"/>
        <v>555.55555555555554</v>
      </c>
      <c r="J8" s="91">
        <f t="shared" si="3"/>
        <v>0.14400000000000002</v>
      </c>
      <c r="K8" s="92">
        <f t="shared" si="4"/>
        <v>48.6</v>
      </c>
      <c r="L8" s="92">
        <f t="shared" si="5"/>
        <v>248.04000000000002</v>
      </c>
      <c r="M8" s="117">
        <f t="shared" si="6"/>
        <v>6.8637397947770053E-3</v>
      </c>
      <c r="N8" s="93"/>
      <c r="O8" s="93"/>
      <c r="P8" s="274">
        <v>32</v>
      </c>
      <c r="Q8" s="274">
        <f t="shared" si="7"/>
        <v>36.799999999999997</v>
      </c>
      <c r="R8" s="94">
        <f t="shared" si="8"/>
        <v>7080.6879999999992</v>
      </c>
      <c r="S8" s="94">
        <f t="shared" si="9"/>
        <v>0</v>
      </c>
      <c r="T8" s="94">
        <f t="shared" ref="T8:U8" si="17">K8</f>
        <v>48.6</v>
      </c>
      <c r="U8" s="94">
        <f t="shared" si="17"/>
        <v>248.04000000000002</v>
      </c>
      <c r="V8" s="94">
        <f t="shared" si="11"/>
        <v>7377.3279999999995</v>
      </c>
      <c r="W8" s="43">
        <v>23900</v>
      </c>
      <c r="X8" s="97">
        <v>0.1</v>
      </c>
      <c r="Y8" s="95"/>
      <c r="Z8" s="94">
        <v>2950</v>
      </c>
      <c r="AA8" s="97">
        <f t="shared" si="12"/>
        <v>0.22343096234309623</v>
      </c>
      <c r="AB8" s="98">
        <f t="shared" si="13"/>
        <v>5340</v>
      </c>
      <c r="AC8" s="98">
        <f t="shared" si="14"/>
        <v>925.79847272727261</v>
      </c>
      <c r="AD8" s="98">
        <f t="shared" si="15"/>
        <v>10256.873527272728</v>
      </c>
      <c r="AE8" s="99">
        <f t="shared" si="16"/>
        <v>0.42915788817040701</v>
      </c>
      <c r="AF8" s="100" t="s">
        <v>68</v>
      </c>
      <c r="AG8" s="101" t="s">
        <v>69</v>
      </c>
      <c r="AH8" s="102">
        <v>2.1000000000000001E-2</v>
      </c>
      <c r="AI8" s="103"/>
      <c r="AJ8" s="103"/>
      <c r="AK8" s="85"/>
      <c r="AL8" s="85"/>
    </row>
    <row r="9" spans="1:38" ht="30" customHeight="1">
      <c r="A9" s="86"/>
      <c r="B9" s="42" t="s">
        <v>109</v>
      </c>
      <c r="C9" s="87" t="s">
        <v>65</v>
      </c>
      <c r="D9" s="88">
        <v>25</v>
      </c>
      <c r="E9" s="88">
        <v>30</v>
      </c>
      <c r="F9" s="88">
        <v>8</v>
      </c>
      <c r="G9" s="88">
        <f t="shared" si="0"/>
        <v>6000</v>
      </c>
      <c r="H9" s="89">
        <f t="shared" si="1"/>
        <v>6.0000000000000001E-3</v>
      </c>
      <c r="I9" s="90">
        <f t="shared" si="2"/>
        <v>166.66666666666666</v>
      </c>
      <c r="J9" s="91">
        <f t="shared" si="3"/>
        <v>0.48000000000000004</v>
      </c>
      <c r="K9" s="92">
        <f t="shared" si="4"/>
        <v>162</v>
      </c>
      <c r="L9" s="92">
        <f t="shared" si="5"/>
        <v>826.80000000000007</v>
      </c>
      <c r="M9" s="117">
        <f t="shared" si="6"/>
        <v>1.6215553594157561E-2</v>
      </c>
      <c r="N9" s="93"/>
      <c r="O9" s="117">
        <v>0.08</v>
      </c>
      <c r="P9" s="274">
        <v>45.15</v>
      </c>
      <c r="Q9" s="274">
        <f t="shared" si="7"/>
        <v>51.922499999999992</v>
      </c>
      <c r="R9" s="94">
        <f t="shared" si="8"/>
        <v>9990.4082249999992</v>
      </c>
      <c r="S9" s="94">
        <f t="shared" si="9"/>
        <v>799.2326579999999</v>
      </c>
      <c r="T9" s="94">
        <f t="shared" ref="T9:U9" si="18">K9</f>
        <v>162</v>
      </c>
      <c r="U9" s="94">
        <f t="shared" si="18"/>
        <v>826.80000000000007</v>
      </c>
      <c r="V9" s="94" t="e">
        <f>(R9+S9+T9+U9)+#REF!+#REF!+#REF!</f>
        <v>#REF!</v>
      </c>
      <c r="W9" s="43">
        <v>45800</v>
      </c>
      <c r="X9" s="97">
        <v>0.11</v>
      </c>
      <c r="Y9" s="95"/>
      <c r="Z9" s="94">
        <v>4150</v>
      </c>
      <c r="AA9" s="97">
        <f t="shared" si="12"/>
        <v>0.2006113537117904</v>
      </c>
      <c r="AB9" s="98">
        <f t="shared" si="13"/>
        <v>9188</v>
      </c>
      <c r="AC9" s="98" t="e">
        <f t="shared" ref="AC9:AC12" si="19">(W9)/1.1*10%-(V9+AB9+N9+Y9-L9)*10%</f>
        <v>#REF!</v>
      </c>
      <c r="AD9" s="98" t="e">
        <f t="shared" si="15"/>
        <v>#REF!</v>
      </c>
      <c r="AE9" s="99" t="e">
        <f t="shared" si="16"/>
        <v>#REF!</v>
      </c>
      <c r="AF9" s="100" t="s">
        <v>70</v>
      </c>
      <c r="AG9" s="101" t="s">
        <v>71</v>
      </c>
      <c r="AH9" s="102">
        <v>1.7000000000000001E-2</v>
      </c>
      <c r="AI9" s="103"/>
      <c r="AJ9" s="103"/>
      <c r="AK9" s="85"/>
      <c r="AL9" s="85"/>
    </row>
    <row r="10" spans="1:38" ht="30" customHeight="1">
      <c r="A10" s="86"/>
      <c r="B10" s="42" t="s">
        <v>110</v>
      </c>
      <c r="C10" s="87" t="s">
        <v>65</v>
      </c>
      <c r="D10" s="88">
        <v>25</v>
      </c>
      <c r="E10" s="88">
        <v>30</v>
      </c>
      <c r="F10" s="88">
        <v>8</v>
      </c>
      <c r="G10" s="88">
        <f t="shared" si="0"/>
        <v>6000</v>
      </c>
      <c r="H10" s="89">
        <f t="shared" si="1"/>
        <v>6.0000000000000001E-3</v>
      </c>
      <c r="I10" s="90">
        <f t="shared" si="2"/>
        <v>166.66666666666666</v>
      </c>
      <c r="J10" s="91">
        <f t="shared" si="3"/>
        <v>0.48000000000000004</v>
      </c>
      <c r="K10" s="92">
        <f t="shared" si="4"/>
        <v>162</v>
      </c>
      <c r="L10" s="92">
        <f t="shared" si="5"/>
        <v>826.80000000000007</v>
      </c>
      <c r="M10" s="117">
        <f t="shared" si="6"/>
        <v>1.6215553594157561E-2</v>
      </c>
      <c r="N10" s="93"/>
      <c r="O10" s="117">
        <v>0.08</v>
      </c>
      <c r="P10" s="274">
        <v>45.15</v>
      </c>
      <c r="Q10" s="274">
        <f t="shared" si="7"/>
        <v>51.922499999999992</v>
      </c>
      <c r="R10" s="94">
        <f t="shared" si="8"/>
        <v>9990.4082249999992</v>
      </c>
      <c r="S10" s="94">
        <f t="shared" si="9"/>
        <v>799.2326579999999</v>
      </c>
      <c r="T10" s="94">
        <f t="shared" ref="T10:U10" si="20">K10</f>
        <v>162</v>
      </c>
      <c r="U10" s="94">
        <f t="shared" si="20"/>
        <v>826.80000000000007</v>
      </c>
      <c r="V10" s="94" t="e">
        <f>(R10+S10+T10+U10)+#REF!+#REF!+#REF!+#REF!</f>
        <v>#REF!</v>
      </c>
      <c r="W10" s="43">
        <v>46800</v>
      </c>
      <c r="X10" s="97">
        <v>0.11</v>
      </c>
      <c r="Y10" s="95"/>
      <c r="Z10" s="94">
        <v>4150</v>
      </c>
      <c r="AA10" s="97">
        <f t="shared" si="12"/>
        <v>0.19867521367521368</v>
      </c>
      <c r="AB10" s="98">
        <f t="shared" si="13"/>
        <v>9298</v>
      </c>
      <c r="AC10" s="98" t="e">
        <f t="shared" si="19"/>
        <v>#REF!</v>
      </c>
      <c r="AD10" s="98" t="e">
        <f t="shared" si="15"/>
        <v>#REF!</v>
      </c>
      <c r="AE10" s="99" t="e">
        <f t="shared" si="16"/>
        <v>#REF!</v>
      </c>
      <c r="AF10" s="100" t="s">
        <v>72</v>
      </c>
      <c r="AG10" s="101" t="s">
        <v>73</v>
      </c>
      <c r="AH10" s="106">
        <v>1.7000000000000001E-2</v>
      </c>
      <c r="AI10" s="103"/>
      <c r="AJ10" s="103"/>
      <c r="AK10" s="85"/>
      <c r="AL10" s="85"/>
    </row>
    <row r="11" spans="1:38" ht="30" customHeight="1">
      <c r="A11" s="86"/>
      <c r="B11" s="42" t="s">
        <v>32</v>
      </c>
      <c r="C11" s="87" t="s">
        <v>65</v>
      </c>
      <c r="D11" s="88">
        <v>10</v>
      </c>
      <c r="E11" s="88">
        <v>86</v>
      </c>
      <c r="F11" s="88">
        <v>16</v>
      </c>
      <c r="G11" s="88">
        <f t="shared" si="0"/>
        <v>13760</v>
      </c>
      <c r="H11" s="89">
        <f t="shared" si="1"/>
        <v>1.376E-2</v>
      </c>
      <c r="I11" s="90">
        <f t="shared" si="2"/>
        <v>72.674418604651166</v>
      </c>
      <c r="J11" s="91">
        <f t="shared" si="3"/>
        <v>1.1008</v>
      </c>
      <c r="K11" s="92">
        <f t="shared" si="4"/>
        <v>371.52</v>
      </c>
      <c r="L11" s="92">
        <f t="shared" si="5"/>
        <v>1896.1279999999999</v>
      </c>
      <c r="M11" s="117">
        <f t="shared" si="6"/>
        <v>2.7983721355890841E-2</v>
      </c>
      <c r="N11" s="93"/>
      <c r="O11" s="93"/>
      <c r="P11" s="274">
        <v>60</v>
      </c>
      <c r="Q11" s="274">
        <f t="shared" si="7"/>
        <v>69</v>
      </c>
      <c r="R11" s="94">
        <f t="shared" si="8"/>
        <v>13276.289999999999</v>
      </c>
      <c r="S11" s="94">
        <f t="shared" si="9"/>
        <v>0</v>
      </c>
      <c r="T11" s="94">
        <f t="shared" ref="T11:U11" si="21">K11</f>
        <v>371.52</v>
      </c>
      <c r="U11" s="94">
        <f t="shared" si="21"/>
        <v>1896.1279999999999</v>
      </c>
      <c r="V11" s="94" t="e">
        <f>(R11+S11+T11+U11)+#REF!+#REF!</f>
        <v>#REF!</v>
      </c>
      <c r="W11" s="43">
        <v>56230</v>
      </c>
      <c r="X11" s="97">
        <v>0.108</v>
      </c>
      <c r="Y11" s="95"/>
      <c r="Z11" s="94">
        <v>4825</v>
      </c>
      <c r="AA11" s="97">
        <f t="shared" si="12"/>
        <v>0.19380828739107236</v>
      </c>
      <c r="AB11" s="98">
        <f t="shared" si="13"/>
        <v>10897.839999999998</v>
      </c>
      <c r="AC11" s="98" t="e">
        <f t="shared" si="19"/>
        <v>#REF!</v>
      </c>
      <c r="AD11" s="98" t="e">
        <f t="shared" si="15"/>
        <v>#REF!</v>
      </c>
      <c r="AE11" s="99" t="e">
        <f t="shared" si="16"/>
        <v>#REF!</v>
      </c>
      <c r="AF11" s="100" t="s">
        <v>74</v>
      </c>
      <c r="AG11" s="101" t="s">
        <v>146</v>
      </c>
      <c r="AH11" s="106">
        <v>1.7000000000000001E-2</v>
      </c>
      <c r="AI11" s="103"/>
      <c r="AJ11" s="103"/>
      <c r="AK11" s="85"/>
      <c r="AL11" s="85"/>
    </row>
    <row r="12" spans="1:38" ht="30" customHeight="1">
      <c r="A12" s="86"/>
      <c r="B12" s="42" t="s">
        <v>33</v>
      </c>
      <c r="C12" s="87" t="s">
        <v>65</v>
      </c>
      <c r="D12" s="88">
        <v>10</v>
      </c>
      <c r="E12" s="88">
        <v>86</v>
      </c>
      <c r="F12" s="88">
        <v>16</v>
      </c>
      <c r="G12" s="88">
        <f t="shared" si="0"/>
        <v>13760</v>
      </c>
      <c r="H12" s="89">
        <f t="shared" si="1"/>
        <v>1.376E-2</v>
      </c>
      <c r="I12" s="90">
        <f t="shared" si="2"/>
        <v>72.674418604651166</v>
      </c>
      <c r="J12" s="91">
        <f t="shared" si="3"/>
        <v>1.1008</v>
      </c>
      <c r="K12" s="92">
        <f t="shared" si="4"/>
        <v>371.52</v>
      </c>
      <c r="L12" s="92">
        <f t="shared" si="5"/>
        <v>1896.1279999999999</v>
      </c>
      <c r="M12" s="117">
        <f t="shared" si="6"/>
        <v>2.7983721355890841E-2</v>
      </c>
      <c r="N12" s="93"/>
      <c r="O12" s="93"/>
      <c r="P12" s="274">
        <v>60</v>
      </c>
      <c r="Q12" s="274">
        <f t="shared" si="7"/>
        <v>69</v>
      </c>
      <c r="R12" s="94">
        <f t="shared" si="8"/>
        <v>13276.289999999999</v>
      </c>
      <c r="S12" s="94">
        <f t="shared" si="9"/>
        <v>0</v>
      </c>
      <c r="T12" s="94">
        <f t="shared" ref="T12:U12" si="22">K12</f>
        <v>371.52</v>
      </c>
      <c r="U12" s="94">
        <f t="shared" si="22"/>
        <v>1896.1279999999999</v>
      </c>
      <c r="V12" s="94" t="e">
        <f>(R12+S12+T12+U12)+#REF!+#REF!+#REF!</f>
        <v>#REF!</v>
      </c>
      <c r="W12" s="43">
        <v>69780</v>
      </c>
      <c r="X12" s="97">
        <v>0.108</v>
      </c>
      <c r="Y12" s="95"/>
      <c r="Z12" s="94">
        <v>4825</v>
      </c>
      <c r="AA12" s="97">
        <f t="shared" si="12"/>
        <v>0.17714588707366008</v>
      </c>
      <c r="AB12" s="98">
        <f t="shared" si="13"/>
        <v>12361.24</v>
      </c>
      <c r="AC12" s="98" t="e">
        <f t="shared" si="19"/>
        <v>#REF!</v>
      </c>
      <c r="AD12" s="98" t="e">
        <f t="shared" si="15"/>
        <v>#REF!</v>
      </c>
      <c r="AE12" s="99" t="e">
        <f t="shared" si="16"/>
        <v>#REF!</v>
      </c>
      <c r="AF12" s="100" t="s">
        <v>75</v>
      </c>
      <c r="AG12" s="101" t="s">
        <v>73</v>
      </c>
      <c r="AH12" s="106">
        <v>2.1000000000000001E-2</v>
      </c>
      <c r="AI12" s="103"/>
      <c r="AJ12" s="103"/>
      <c r="AK12" s="85"/>
      <c r="AL12" s="85"/>
    </row>
    <row r="13" spans="1:38" ht="30" customHeight="1">
      <c r="A13" s="86"/>
      <c r="B13" s="42" t="s">
        <v>111</v>
      </c>
      <c r="C13" s="87" t="s">
        <v>65</v>
      </c>
      <c r="D13" s="88">
        <v>15</v>
      </c>
      <c r="E13" s="88">
        <v>5</v>
      </c>
      <c r="F13" s="88">
        <v>3</v>
      </c>
      <c r="G13" s="88">
        <f t="shared" si="0"/>
        <v>225</v>
      </c>
      <c r="H13" s="89">
        <f t="shared" si="1"/>
        <v>2.2499999999999999E-4</v>
      </c>
      <c r="I13" s="90">
        <f t="shared" si="2"/>
        <v>4444.4444444444443</v>
      </c>
      <c r="J13" s="91">
        <f t="shared" si="3"/>
        <v>1.8000000000000002E-2</v>
      </c>
      <c r="K13" s="92">
        <f t="shared" si="4"/>
        <v>6.0750000000000002</v>
      </c>
      <c r="L13" s="92">
        <f t="shared" si="5"/>
        <v>31.005000000000003</v>
      </c>
      <c r="M13" s="117">
        <f t="shared" si="6"/>
        <v>1.1936938773525227E-3</v>
      </c>
      <c r="N13" s="93"/>
      <c r="O13" s="93"/>
      <c r="P13" s="274">
        <v>23</v>
      </c>
      <c r="Q13" s="274">
        <f t="shared" si="7"/>
        <v>26.45</v>
      </c>
      <c r="R13" s="94">
        <f t="shared" si="8"/>
        <v>5089.2444999999998</v>
      </c>
      <c r="S13" s="94">
        <f t="shared" si="9"/>
        <v>0</v>
      </c>
      <c r="T13" s="94">
        <f t="shared" ref="T13:U13" si="23">K13</f>
        <v>6.0750000000000002</v>
      </c>
      <c r="U13" s="94">
        <f t="shared" si="23"/>
        <v>31.005000000000003</v>
      </c>
      <c r="V13" s="94">
        <f>R13+S13+T13+U13</f>
        <v>5126.3244999999997</v>
      </c>
      <c r="W13" s="43">
        <v>16120</v>
      </c>
      <c r="X13" s="97"/>
      <c r="Y13" s="95"/>
      <c r="Z13" s="94">
        <v>1900</v>
      </c>
      <c r="AA13" s="97">
        <f t="shared" si="12"/>
        <v>0.11786600496277916</v>
      </c>
      <c r="AB13" s="98">
        <f t="shared" si="13"/>
        <v>1900</v>
      </c>
      <c r="AC13" s="98">
        <f>(W13)/1.1*10%-(R13+AB13+K13+S13+N13+Y13)*10%</f>
        <v>765.92259545454544</v>
      </c>
      <c r="AD13" s="98">
        <f t="shared" si="15"/>
        <v>8327.7529045454539</v>
      </c>
      <c r="AE13" s="99">
        <f t="shared" si="16"/>
        <v>0.51660998167155425</v>
      </c>
      <c r="AF13" s="100" t="s">
        <v>76</v>
      </c>
      <c r="AG13" s="101" t="s">
        <v>77</v>
      </c>
      <c r="AH13" s="106">
        <v>2.1000000000000001E-2</v>
      </c>
      <c r="AI13" s="103"/>
      <c r="AJ13" s="103"/>
      <c r="AK13" s="85"/>
      <c r="AL13" s="85"/>
    </row>
    <row r="14" spans="1:38" ht="30" customHeight="1">
      <c r="A14" s="86"/>
      <c r="B14" s="42" t="s">
        <v>112</v>
      </c>
      <c r="C14" s="87" t="s">
        <v>65</v>
      </c>
      <c r="D14" s="88">
        <v>22</v>
      </c>
      <c r="E14" s="88">
        <v>27</v>
      </c>
      <c r="F14" s="88">
        <v>11</v>
      </c>
      <c r="G14" s="88">
        <f t="shared" si="0"/>
        <v>6534</v>
      </c>
      <c r="H14" s="89">
        <f t="shared" si="1"/>
        <v>6.5339999999999999E-3</v>
      </c>
      <c r="I14" s="90">
        <f t="shared" si="2"/>
        <v>153.04560759106215</v>
      </c>
      <c r="J14" s="91">
        <f t="shared" si="3"/>
        <v>0.52271999999999996</v>
      </c>
      <c r="K14" s="92">
        <f t="shared" si="4"/>
        <v>176.41799999999998</v>
      </c>
      <c r="L14" s="92">
        <f t="shared" si="5"/>
        <v>900.38519999999994</v>
      </c>
      <c r="M14" s="117">
        <f t="shared" si="6"/>
        <v>2.2458929987642165E-2</v>
      </c>
      <c r="N14" s="275">
        <f t="shared" ref="N14:N15" si="24">(2300/5)+450</f>
        <v>910</v>
      </c>
      <c r="O14" s="93"/>
      <c r="P14" s="274">
        <v>35.5</v>
      </c>
      <c r="Q14" s="274">
        <f t="shared" si="7"/>
        <v>40.824999999999996</v>
      </c>
      <c r="R14" s="94">
        <f t="shared" si="8"/>
        <v>7855.1382499999991</v>
      </c>
      <c r="S14" s="94">
        <f t="shared" si="9"/>
        <v>0</v>
      </c>
      <c r="T14" s="94">
        <f t="shared" ref="T14:U14" si="25">K14</f>
        <v>176.41799999999998</v>
      </c>
      <c r="U14" s="94">
        <f t="shared" si="25"/>
        <v>900.38519999999994</v>
      </c>
      <c r="V14" s="94" t="e">
        <f>R14+S14+T14+U14+#REF!+#REF!+N14</f>
        <v>#REF!</v>
      </c>
      <c r="W14" s="43">
        <v>39800</v>
      </c>
      <c r="X14" s="97">
        <v>0.08</v>
      </c>
      <c r="Y14" s="95"/>
      <c r="Z14" s="94">
        <v>4150</v>
      </c>
      <c r="AA14" s="97">
        <f t="shared" si="12"/>
        <v>0.18427135678391959</v>
      </c>
      <c r="AB14" s="98">
        <f t="shared" si="13"/>
        <v>7334</v>
      </c>
      <c r="AC14" s="98" t="e">
        <f t="shared" ref="AC14:AC15" si="26">(W14)/1.1*10%-(V14+AB14+N14+Y14-L14)*10%</f>
        <v>#REF!</v>
      </c>
      <c r="AD14" s="98" t="e">
        <f t="shared" si="15"/>
        <v>#REF!</v>
      </c>
      <c r="AE14" s="99" t="e">
        <f t="shared" si="16"/>
        <v>#REF!</v>
      </c>
      <c r="AF14" s="100" t="s">
        <v>78</v>
      </c>
      <c r="AG14" s="101" t="s">
        <v>79</v>
      </c>
      <c r="AH14" s="106">
        <v>7.0000000000000007E-2</v>
      </c>
      <c r="AI14" s="103"/>
      <c r="AJ14" s="103"/>
      <c r="AK14" s="85"/>
      <c r="AL14" s="85"/>
    </row>
    <row r="15" spans="1:38" ht="30" customHeight="1">
      <c r="A15" s="86"/>
      <c r="B15" s="42" t="s">
        <v>113</v>
      </c>
      <c r="C15" s="87" t="s">
        <v>65</v>
      </c>
      <c r="D15" s="88">
        <v>22</v>
      </c>
      <c r="E15" s="88">
        <v>27</v>
      </c>
      <c r="F15" s="88">
        <v>11</v>
      </c>
      <c r="G15" s="88">
        <f t="shared" si="0"/>
        <v>6534</v>
      </c>
      <c r="H15" s="89">
        <f t="shared" si="1"/>
        <v>6.5339999999999999E-3</v>
      </c>
      <c r="I15" s="90">
        <f t="shared" si="2"/>
        <v>153.04560759106215</v>
      </c>
      <c r="J15" s="91">
        <f t="shared" si="3"/>
        <v>0.52271999999999996</v>
      </c>
      <c r="K15" s="92">
        <f t="shared" si="4"/>
        <v>176.41799999999998</v>
      </c>
      <c r="L15" s="92">
        <f t="shared" si="5"/>
        <v>900.38519999999994</v>
      </c>
      <c r="M15" s="117">
        <f t="shared" si="6"/>
        <v>2.2458929987642165E-2</v>
      </c>
      <c r="N15" s="275">
        <f t="shared" si="24"/>
        <v>910</v>
      </c>
      <c r="O15" s="93"/>
      <c r="P15" s="274">
        <v>35.5</v>
      </c>
      <c r="Q15" s="274">
        <f t="shared" si="7"/>
        <v>40.824999999999996</v>
      </c>
      <c r="R15" s="94">
        <f t="shared" si="8"/>
        <v>7855.1382499999991</v>
      </c>
      <c r="S15" s="94">
        <f t="shared" si="9"/>
        <v>0</v>
      </c>
      <c r="T15" s="94">
        <f t="shared" ref="T15:U15" si="27">K15</f>
        <v>176.41799999999998</v>
      </c>
      <c r="U15" s="94">
        <f t="shared" si="27"/>
        <v>900.38519999999994</v>
      </c>
      <c r="V15" s="94" t="e">
        <f>R15+S15+T15+U15+#REF!+#REF!+#REF!+N15</f>
        <v>#REF!</v>
      </c>
      <c r="W15" s="43">
        <v>42900</v>
      </c>
      <c r="X15" s="97">
        <v>7.8E-2</v>
      </c>
      <c r="Y15" s="95"/>
      <c r="Z15" s="94">
        <v>4150</v>
      </c>
      <c r="AA15" s="97">
        <f t="shared" si="12"/>
        <v>0.17473659673659675</v>
      </c>
      <c r="AB15" s="98">
        <f t="shared" si="13"/>
        <v>7496.2000000000007</v>
      </c>
      <c r="AC15" s="98" t="e">
        <f t="shared" si="26"/>
        <v>#REF!</v>
      </c>
      <c r="AD15" s="98" t="e">
        <f t="shared" si="15"/>
        <v>#REF!</v>
      </c>
      <c r="AE15" s="99" t="e">
        <f t="shared" si="16"/>
        <v>#REF!</v>
      </c>
      <c r="AF15" s="100" t="s">
        <v>80</v>
      </c>
      <c r="AG15" s="101" t="s">
        <v>81</v>
      </c>
      <c r="AH15" s="106">
        <v>0.08</v>
      </c>
      <c r="AI15" s="103"/>
      <c r="AJ15" s="103"/>
      <c r="AK15" s="85"/>
      <c r="AL15" s="85"/>
    </row>
    <row r="16" spans="1:38" ht="30" customHeight="1">
      <c r="A16" s="86"/>
      <c r="B16" s="42" t="s">
        <v>114</v>
      </c>
      <c r="C16" s="87" t="s">
        <v>65</v>
      </c>
      <c r="D16" s="88">
        <v>20</v>
      </c>
      <c r="E16" s="88">
        <v>11</v>
      </c>
      <c r="F16" s="88">
        <v>11</v>
      </c>
      <c r="G16" s="88">
        <f t="shared" si="0"/>
        <v>2420</v>
      </c>
      <c r="H16" s="89">
        <f t="shared" si="1"/>
        <v>2.4199999999999998E-3</v>
      </c>
      <c r="I16" s="90">
        <f t="shared" si="2"/>
        <v>413.22314049586777</v>
      </c>
      <c r="J16" s="91">
        <f t="shared" si="3"/>
        <v>0.19359999999999999</v>
      </c>
      <c r="K16" s="92">
        <f t="shared" si="4"/>
        <v>65.34</v>
      </c>
      <c r="L16" s="92">
        <f t="shared" si="5"/>
        <v>333.476</v>
      </c>
      <c r="M16" s="117">
        <f t="shared" si="6"/>
        <v>1.0253240928000219E-2</v>
      </c>
      <c r="N16" s="93"/>
      <c r="O16" s="93"/>
      <c r="P16" s="274">
        <v>28.8</v>
      </c>
      <c r="Q16" s="274">
        <f t="shared" si="7"/>
        <v>33.119999999999997</v>
      </c>
      <c r="R16" s="94">
        <f t="shared" si="8"/>
        <v>6372.6191999999992</v>
      </c>
      <c r="S16" s="94">
        <f t="shared" si="9"/>
        <v>0</v>
      </c>
      <c r="T16" s="94">
        <f t="shared" ref="T16:U16" si="28">K16</f>
        <v>65.34</v>
      </c>
      <c r="U16" s="94">
        <f t="shared" si="28"/>
        <v>333.476</v>
      </c>
      <c r="V16" s="94">
        <f>R16+S16+T16+U16</f>
        <v>6771.435199999999</v>
      </c>
      <c r="W16" s="43">
        <v>19900</v>
      </c>
      <c r="X16" s="97">
        <v>0.08</v>
      </c>
      <c r="Y16" s="95"/>
      <c r="Z16" s="94">
        <v>3350</v>
      </c>
      <c r="AA16" s="97">
        <f t="shared" si="12"/>
        <v>0.24834170854271359</v>
      </c>
      <c r="AB16" s="98">
        <f t="shared" si="13"/>
        <v>4942</v>
      </c>
      <c r="AC16" s="98">
        <f>(W16)/1.1*10%-(R16+AB16+K16+S16+N16+Y16)*10%</f>
        <v>671.09498909090894</v>
      </c>
      <c r="AD16" s="98">
        <f t="shared" si="15"/>
        <v>7515.4698109090914</v>
      </c>
      <c r="AE16" s="99">
        <f t="shared" si="16"/>
        <v>0.37766179954317042</v>
      </c>
      <c r="AF16" s="100" t="s">
        <v>82</v>
      </c>
      <c r="AG16" s="101" t="s">
        <v>83</v>
      </c>
      <c r="AH16" s="106">
        <v>2.1000000000000001E-2</v>
      </c>
      <c r="AI16" s="103"/>
      <c r="AJ16" s="103"/>
      <c r="AK16" s="85"/>
      <c r="AL16" s="85"/>
    </row>
    <row r="17" spans="1:38" ht="30" customHeight="1">
      <c r="A17" s="86"/>
      <c r="B17" s="42" t="s">
        <v>115</v>
      </c>
      <c r="C17" s="87" t="s">
        <v>65</v>
      </c>
      <c r="D17" s="88">
        <v>24</v>
      </c>
      <c r="E17" s="88">
        <v>35</v>
      </c>
      <c r="F17" s="88">
        <v>8</v>
      </c>
      <c r="G17" s="88">
        <f t="shared" si="0"/>
        <v>6720</v>
      </c>
      <c r="H17" s="89">
        <f t="shared" si="1"/>
        <v>6.7200000000000003E-3</v>
      </c>
      <c r="I17" s="90">
        <f t="shared" si="2"/>
        <v>148.8095238095238</v>
      </c>
      <c r="J17" s="91">
        <f t="shared" si="3"/>
        <v>0.53760000000000008</v>
      </c>
      <c r="K17" s="92">
        <f t="shared" si="4"/>
        <v>181.44000000000003</v>
      </c>
      <c r="L17" s="92">
        <f t="shared" si="5"/>
        <v>926.01600000000019</v>
      </c>
      <c r="M17" s="117">
        <f t="shared" si="6"/>
        <v>1.4908874802715631E-2</v>
      </c>
      <c r="N17" s="93"/>
      <c r="O17" s="93"/>
      <c r="P17" s="274">
        <v>55</v>
      </c>
      <c r="Q17" s="274">
        <f t="shared" si="7"/>
        <v>63.249999999999993</v>
      </c>
      <c r="R17" s="94">
        <f t="shared" si="8"/>
        <v>12169.932499999999</v>
      </c>
      <c r="S17" s="94">
        <f t="shared" si="9"/>
        <v>0</v>
      </c>
      <c r="T17" s="94">
        <f t="shared" ref="T17:U17" si="29">K17</f>
        <v>181.44000000000003</v>
      </c>
      <c r="U17" s="94">
        <f t="shared" si="29"/>
        <v>926.01600000000019</v>
      </c>
      <c r="V17" s="94" t="e">
        <f>(R17+S17+T17+U17)+#REF!+#REF!</f>
        <v>#REF!</v>
      </c>
      <c r="W17" s="43">
        <v>49890</v>
      </c>
      <c r="X17" s="97">
        <v>7.8E-2</v>
      </c>
      <c r="Y17" s="95"/>
      <c r="Z17" s="94">
        <v>4825</v>
      </c>
      <c r="AA17" s="97">
        <f t="shared" si="12"/>
        <v>0.17471276808979755</v>
      </c>
      <c r="AB17" s="98">
        <f t="shared" si="13"/>
        <v>8716.42</v>
      </c>
      <c r="AC17" s="98" t="e">
        <f t="shared" ref="AC17:AC18" si="30">(W17)/1.1*10%-(V17+AB17+N17+Y17-L17)*10%</f>
        <v>#REF!</v>
      </c>
      <c r="AD17" s="98" t="e">
        <f t="shared" si="15"/>
        <v>#REF!</v>
      </c>
      <c r="AE17" s="99" t="e">
        <f t="shared" si="16"/>
        <v>#REF!</v>
      </c>
      <c r="AF17" s="100" t="s">
        <v>84</v>
      </c>
      <c r="AG17" s="101" t="s">
        <v>85</v>
      </c>
      <c r="AH17" s="106">
        <v>0.08</v>
      </c>
      <c r="AI17" s="103"/>
      <c r="AJ17" s="103"/>
      <c r="AK17" s="85"/>
      <c r="AL17" s="85"/>
    </row>
    <row r="18" spans="1:38" ht="30" customHeight="1">
      <c r="A18" s="86"/>
      <c r="B18" s="42" t="s">
        <v>116</v>
      </c>
      <c r="C18" s="87" t="s">
        <v>65</v>
      </c>
      <c r="D18" s="88">
        <v>24</v>
      </c>
      <c r="E18" s="88">
        <v>35</v>
      </c>
      <c r="F18" s="88">
        <v>8</v>
      </c>
      <c r="G18" s="88">
        <f t="shared" si="0"/>
        <v>6720</v>
      </c>
      <c r="H18" s="89">
        <f t="shared" si="1"/>
        <v>6.7200000000000003E-3</v>
      </c>
      <c r="I18" s="90">
        <f t="shared" si="2"/>
        <v>148.8095238095238</v>
      </c>
      <c r="J18" s="91">
        <f t="shared" si="3"/>
        <v>0.53760000000000008</v>
      </c>
      <c r="K18" s="92">
        <f t="shared" si="4"/>
        <v>181.44000000000003</v>
      </c>
      <c r="L18" s="92">
        <f t="shared" si="5"/>
        <v>926.01600000000019</v>
      </c>
      <c r="M18" s="117">
        <f t="shared" si="6"/>
        <v>1.4908874802715631E-2</v>
      </c>
      <c r="N18" s="93"/>
      <c r="O18" s="93"/>
      <c r="P18" s="274">
        <v>55</v>
      </c>
      <c r="Q18" s="274">
        <f t="shared" si="7"/>
        <v>63.249999999999993</v>
      </c>
      <c r="R18" s="94">
        <f t="shared" si="8"/>
        <v>12169.932499999999</v>
      </c>
      <c r="S18" s="94">
        <f t="shared" si="9"/>
        <v>0</v>
      </c>
      <c r="T18" s="94">
        <f t="shared" ref="T18:U18" si="31">K18</f>
        <v>181.44000000000003</v>
      </c>
      <c r="U18" s="94">
        <f t="shared" si="31"/>
        <v>926.01600000000019</v>
      </c>
      <c r="V18" s="94" t="e">
        <f>(R18+S18+T18+U18)+#REF!+#REF!+#REF!</f>
        <v>#REF!</v>
      </c>
      <c r="W18" s="43">
        <v>57980</v>
      </c>
      <c r="X18" s="97">
        <v>7.8E-2</v>
      </c>
      <c r="Y18" s="95"/>
      <c r="Z18" s="94">
        <v>4825</v>
      </c>
      <c r="AA18" s="97">
        <f t="shared" si="12"/>
        <v>0.16121835115557087</v>
      </c>
      <c r="AB18" s="98">
        <f t="shared" si="13"/>
        <v>9347.4399999999987</v>
      </c>
      <c r="AC18" s="98" t="e">
        <f t="shared" si="30"/>
        <v>#REF!</v>
      </c>
      <c r="AD18" s="98" t="e">
        <f t="shared" si="15"/>
        <v>#REF!</v>
      </c>
      <c r="AE18" s="99" t="e">
        <f t="shared" si="16"/>
        <v>#REF!</v>
      </c>
      <c r="AF18" s="100" t="s">
        <v>86</v>
      </c>
      <c r="AG18" s="101" t="s">
        <v>87</v>
      </c>
      <c r="AH18" s="106">
        <v>1.7000000000000001E-2</v>
      </c>
      <c r="AI18" s="103"/>
      <c r="AJ18" s="103"/>
      <c r="AK18" s="85"/>
      <c r="AL18" s="85"/>
    </row>
    <row r="19" spans="1:38" ht="30" customHeight="1">
      <c r="A19" s="86"/>
      <c r="B19" s="42" t="s">
        <v>117</v>
      </c>
      <c r="C19" s="87" t="s">
        <v>65</v>
      </c>
      <c r="D19" s="88">
        <v>24</v>
      </c>
      <c r="E19" s="88">
        <v>9</v>
      </c>
      <c r="F19" s="88">
        <v>24</v>
      </c>
      <c r="G19" s="88">
        <f t="shared" si="0"/>
        <v>5184</v>
      </c>
      <c r="H19" s="89">
        <f t="shared" si="1"/>
        <v>5.1840000000000002E-3</v>
      </c>
      <c r="I19" s="90">
        <f t="shared" si="2"/>
        <v>192.90123456790121</v>
      </c>
      <c r="J19" s="91">
        <f t="shared" si="3"/>
        <v>0.41472000000000003</v>
      </c>
      <c r="K19" s="92">
        <f t="shared" si="4"/>
        <v>139.96800000000002</v>
      </c>
      <c r="L19" s="92">
        <f t="shared" si="5"/>
        <v>714.35519999999997</v>
      </c>
      <c r="M19" s="117">
        <f t="shared" si="6"/>
        <v>3.5142347749258271E-2</v>
      </c>
      <c r="N19" s="93"/>
      <c r="O19" s="93"/>
      <c r="P19" s="274">
        <v>18</v>
      </c>
      <c r="Q19" s="274">
        <f t="shared" si="7"/>
        <v>20.7</v>
      </c>
      <c r="R19" s="94">
        <f t="shared" si="8"/>
        <v>3982.8869999999997</v>
      </c>
      <c r="S19" s="94">
        <f t="shared" si="9"/>
        <v>0</v>
      </c>
      <c r="T19" s="94">
        <f t="shared" ref="T19:U19" si="32">K19</f>
        <v>139.96800000000002</v>
      </c>
      <c r="U19" s="94">
        <f t="shared" si="32"/>
        <v>714.35519999999997</v>
      </c>
      <c r="V19" s="94">
        <f t="shared" ref="V19:V24" si="33">R19+S19+T19+U19</f>
        <v>4837.2101999999995</v>
      </c>
      <c r="W19" s="43">
        <v>16920</v>
      </c>
      <c r="X19" s="97">
        <v>7.8E-2</v>
      </c>
      <c r="Y19" s="95"/>
      <c r="Z19" s="94">
        <v>3100</v>
      </c>
      <c r="AA19" s="97">
        <f t="shared" si="12"/>
        <v>0.26121513002364066</v>
      </c>
      <c r="AB19" s="98">
        <f t="shared" si="13"/>
        <v>4419.76</v>
      </c>
      <c r="AC19" s="98">
        <f t="shared" ref="AC19:AC24" si="34">(W19)/1.1*10%-(R19+AB19+K19+S19+N19+Y19)*10%</f>
        <v>683.92031818181783</v>
      </c>
      <c r="AD19" s="98">
        <f t="shared" si="15"/>
        <v>6979.1094818181828</v>
      </c>
      <c r="AE19" s="99">
        <f t="shared" si="16"/>
        <v>0.41247691972920703</v>
      </c>
      <c r="AF19" s="103"/>
      <c r="AG19" s="105"/>
      <c r="AH19" s="105"/>
      <c r="AI19" s="103"/>
      <c r="AJ19" s="103"/>
      <c r="AK19" s="85"/>
      <c r="AL19" s="85"/>
    </row>
    <row r="20" spans="1:38" ht="30" customHeight="1">
      <c r="A20" s="86"/>
      <c r="B20" s="42" t="s">
        <v>31</v>
      </c>
      <c r="C20" s="87" t="s">
        <v>65</v>
      </c>
      <c r="D20" s="88">
        <v>12</v>
      </c>
      <c r="E20" s="88">
        <v>8</v>
      </c>
      <c r="F20" s="88">
        <v>3</v>
      </c>
      <c r="G20" s="88">
        <f t="shared" si="0"/>
        <v>288</v>
      </c>
      <c r="H20" s="89">
        <f t="shared" si="1"/>
        <v>2.8800000000000001E-4</v>
      </c>
      <c r="I20" s="90">
        <f t="shared" si="2"/>
        <v>3472.2222222222222</v>
      </c>
      <c r="J20" s="91">
        <f t="shared" si="3"/>
        <v>2.3040000000000001E-2</v>
      </c>
      <c r="K20" s="92">
        <f t="shared" si="4"/>
        <v>7.7759999999999998</v>
      </c>
      <c r="L20" s="92">
        <f t="shared" si="5"/>
        <v>39.686400000000006</v>
      </c>
      <c r="M20" s="117">
        <f t="shared" si="6"/>
        <v>1.1714115916419423E-3</v>
      </c>
      <c r="N20" s="93"/>
      <c r="O20" s="93"/>
      <c r="P20" s="274">
        <v>30</v>
      </c>
      <c r="Q20" s="274">
        <f t="shared" si="7"/>
        <v>34.5</v>
      </c>
      <c r="R20" s="94">
        <f t="shared" si="8"/>
        <v>6638.1449999999995</v>
      </c>
      <c r="S20" s="94">
        <f t="shared" si="9"/>
        <v>0</v>
      </c>
      <c r="T20" s="94">
        <f t="shared" ref="T20:U20" si="35">K20</f>
        <v>7.7759999999999998</v>
      </c>
      <c r="U20" s="94">
        <f t="shared" si="35"/>
        <v>39.686400000000006</v>
      </c>
      <c r="V20" s="94">
        <f t="shared" si="33"/>
        <v>6685.607399999999</v>
      </c>
      <c r="W20" s="43">
        <v>19800</v>
      </c>
      <c r="X20" s="97">
        <v>0.08</v>
      </c>
      <c r="Y20" s="95"/>
      <c r="Z20" s="94">
        <v>3400</v>
      </c>
      <c r="AA20" s="97">
        <f t="shared" si="12"/>
        <v>0.25171717171717173</v>
      </c>
      <c r="AB20" s="98">
        <f t="shared" si="13"/>
        <v>4984</v>
      </c>
      <c r="AC20" s="98">
        <f t="shared" si="34"/>
        <v>637.00789999999984</v>
      </c>
      <c r="AD20" s="98">
        <f t="shared" si="15"/>
        <v>7493.3847000000005</v>
      </c>
      <c r="AE20" s="99">
        <f t="shared" si="16"/>
        <v>0.37845377272727276</v>
      </c>
      <c r="AF20" s="103"/>
      <c r="AG20" s="105"/>
      <c r="AH20" s="105"/>
      <c r="AI20" s="103"/>
      <c r="AJ20" s="103"/>
      <c r="AK20" s="85"/>
      <c r="AL20" s="85"/>
    </row>
    <row r="21" spans="1:38" ht="30" customHeight="1">
      <c r="A21" s="86"/>
      <c r="B21" s="42" t="s">
        <v>118</v>
      </c>
      <c r="C21" s="87" t="s">
        <v>65</v>
      </c>
      <c r="D21" s="88">
        <v>13</v>
      </c>
      <c r="E21" s="88">
        <v>8</v>
      </c>
      <c r="F21" s="88">
        <v>10</v>
      </c>
      <c r="G21" s="88">
        <f t="shared" si="0"/>
        <v>1040</v>
      </c>
      <c r="H21" s="89">
        <f t="shared" si="1"/>
        <v>1.0399999999999999E-3</v>
      </c>
      <c r="I21" s="90">
        <f t="shared" si="2"/>
        <v>961.53846153846166</v>
      </c>
      <c r="J21" s="91">
        <f t="shared" si="3"/>
        <v>8.3199999999999996E-2</v>
      </c>
      <c r="K21" s="92">
        <f t="shared" si="4"/>
        <v>28.079999999999995</v>
      </c>
      <c r="L21" s="92">
        <f t="shared" si="5"/>
        <v>143.31199999999998</v>
      </c>
      <c r="M21" s="117">
        <f t="shared" si="6"/>
        <v>3.3395505902072907E-3</v>
      </c>
      <c r="N21" s="93"/>
      <c r="O21" s="93"/>
      <c r="P21" s="274">
        <v>38</v>
      </c>
      <c r="Q21" s="274">
        <f t="shared" si="7"/>
        <v>43.699999999999996</v>
      </c>
      <c r="R21" s="94">
        <f t="shared" si="8"/>
        <v>8408.3169999999991</v>
      </c>
      <c r="S21" s="94">
        <f t="shared" si="9"/>
        <v>0</v>
      </c>
      <c r="T21" s="94">
        <f t="shared" ref="T21:U21" si="36">K21</f>
        <v>28.079999999999995</v>
      </c>
      <c r="U21" s="94">
        <f t="shared" si="36"/>
        <v>143.31199999999998</v>
      </c>
      <c r="V21" s="94">
        <f t="shared" si="33"/>
        <v>8579.7089999999989</v>
      </c>
      <c r="W21" s="43">
        <v>23800</v>
      </c>
      <c r="X21" s="97">
        <v>0.1</v>
      </c>
      <c r="Y21" s="95"/>
      <c r="Z21" s="94">
        <v>1900</v>
      </c>
      <c r="AA21" s="97">
        <f t="shared" si="12"/>
        <v>0.17983193277310924</v>
      </c>
      <c r="AB21" s="98">
        <f t="shared" si="13"/>
        <v>4280</v>
      </c>
      <c r="AC21" s="98">
        <f t="shared" si="34"/>
        <v>891.99666363636356</v>
      </c>
      <c r="AD21" s="98">
        <f t="shared" si="15"/>
        <v>10048.294336363637</v>
      </c>
      <c r="AE21" s="99">
        <f t="shared" si="16"/>
        <v>0.42219724102368222</v>
      </c>
      <c r="AF21" s="103"/>
      <c r="AG21" s="105"/>
      <c r="AH21" s="105"/>
      <c r="AI21" s="103"/>
      <c r="AJ21" s="103"/>
      <c r="AK21" s="85"/>
      <c r="AL21" s="85"/>
    </row>
    <row r="22" spans="1:38" ht="30" customHeight="1">
      <c r="A22" s="86"/>
      <c r="B22" s="239" t="s">
        <v>141</v>
      </c>
      <c r="C22" s="87" t="s">
        <v>65</v>
      </c>
      <c r="D22" s="88">
        <v>13</v>
      </c>
      <c r="E22" s="88">
        <v>8</v>
      </c>
      <c r="F22" s="88">
        <v>10</v>
      </c>
      <c r="G22" s="88">
        <f t="shared" si="0"/>
        <v>1040</v>
      </c>
      <c r="H22" s="89">
        <f t="shared" si="1"/>
        <v>1.0399999999999999E-3</v>
      </c>
      <c r="I22" s="90">
        <f t="shared" si="2"/>
        <v>961.53846153846166</v>
      </c>
      <c r="J22" s="91">
        <f t="shared" si="3"/>
        <v>8.3199999999999996E-2</v>
      </c>
      <c r="K22" s="92">
        <f t="shared" si="4"/>
        <v>28.079999999999995</v>
      </c>
      <c r="L22" s="92">
        <f t="shared" si="5"/>
        <v>143.31199999999998</v>
      </c>
      <c r="M22" s="117">
        <f t="shared" si="6"/>
        <v>9.6872459868608445E-4</v>
      </c>
      <c r="N22" s="93"/>
      <c r="O22" s="93"/>
      <c r="P22" s="274">
        <v>131</v>
      </c>
      <c r="Q22" s="274">
        <f t="shared" si="7"/>
        <v>150.64999999999998</v>
      </c>
      <c r="R22" s="94">
        <f t="shared" si="8"/>
        <v>28986.566499999994</v>
      </c>
      <c r="S22" s="94">
        <f t="shared" si="9"/>
        <v>0</v>
      </c>
      <c r="T22" s="94">
        <f t="shared" ref="T22:U22" si="37">K22</f>
        <v>28.079999999999995</v>
      </c>
      <c r="U22" s="94">
        <f t="shared" si="37"/>
        <v>143.31199999999998</v>
      </c>
      <c r="V22" s="94">
        <f t="shared" si="33"/>
        <v>29157.958499999997</v>
      </c>
      <c r="W22" s="43">
        <v>75900</v>
      </c>
      <c r="X22" s="97">
        <v>0.1</v>
      </c>
      <c r="Y22" s="95"/>
      <c r="Z22" s="94">
        <v>1900</v>
      </c>
      <c r="AA22" s="97">
        <f t="shared" si="12"/>
        <v>0.12503293807641636</v>
      </c>
      <c r="AB22" s="98">
        <f t="shared" si="13"/>
        <v>9490.0000000000018</v>
      </c>
      <c r="AC22" s="98">
        <f t="shared" si="34"/>
        <v>3049.5353500000001</v>
      </c>
      <c r="AD22" s="98">
        <f t="shared" si="15"/>
        <v>34202.506150000001</v>
      </c>
      <c r="AE22" s="99">
        <f t="shared" si="16"/>
        <v>0.4506259044795784</v>
      </c>
      <c r="AF22" s="103"/>
      <c r="AG22" s="105"/>
      <c r="AH22" s="105"/>
      <c r="AI22" s="103"/>
      <c r="AJ22" s="103"/>
      <c r="AK22" s="85"/>
      <c r="AL22" s="85"/>
    </row>
    <row r="23" spans="1:38" ht="30" customHeight="1">
      <c r="A23" s="86"/>
      <c r="B23" s="42" t="s">
        <v>119</v>
      </c>
      <c r="C23" s="87" t="s">
        <v>65</v>
      </c>
      <c r="D23" s="88">
        <v>23</v>
      </c>
      <c r="E23" s="88">
        <v>13</v>
      </c>
      <c r="F23" s="88">
        <v>8</v>
      </c>
      <c r="G23" s="88">
        <f t="shared" si="0"/>
        <v>2392</v>
      </c>
      <c r="H23" s="89">
        <f t="shared" si="1"/>
        <v>2.392E-3</v>
      </c>
      <c r="I23" s="90">
        <f t="shared" si="2"/>
        <v>418.0602006688963</v>
      </c>
      <c r="J23" s="91">
        <f t="shared" si="3"/>
        <v>0.19136</v>
      </c>
      <c r="K23" s="92">
        <f t="shared" si="4"/>
        <v>64.584000000000003</v>
      </c>
      <c r="L23" s="92">
        <f t="shared" si="5"/>
        <v>329.61759999999998</v>
      </c>
      <c r="M23" s="117">
        <f t="shared" si="6"/>
        <v>9.4153781156166867E-3</v>
      </c>
      <c r="N23" s="93"/>
      <c r="O23" s="93"/>
      <c r="P23" s="274">
        <v>31</v>
      </c>
      <c r="Q23" s="274">
        <f t="shared" si="7"/>
        <v>35.65</v>
      </c>
      <c r="R23" s="94">
        <f t="shared" si="8"/>
        <v>6859.4164999999994</v>
      </c>
      <c r="S23" s="94">
        <f t="shared" si="9"/>
        <v>0</v>
      </c>
      <c r="T23" s="94">
        <f t="shared" ref="T23:U23" si="38">K23</f>
        <v>64.584000000000003</v>
      </c>
      <c r="U23" s="94">
        <f t="shared" si="38"/>
        <v>329.61759999999998</v>
      </c>
      <c r="V23" s="94">
        <f t="shared" si="33"/>
        <v>7253.6180999999988</v>
      </c>
      <c r="W23" s="43">
        <v>24800</v>
      </c>
      <c r="X23" s="97">
        <v>0.108</v>
      </c>
      <c r="Y23" s="95"/>
      <c r="Z23" s="94">
        <v>3150</v>
      </c>
      <c r="AA23" s="97">
        <f t="shared" si="12"/>
        <v>0.23501612903225805</v>
      </c>
      <c r="AB23" s="98">
        <f t="shared" si="13"/>
        <v>5828.4</v>
      </c>
      <c r="AC23" s="98">
        <f t="shared" si="34"/>
        <v>979.30540454545439</v>
      </c>
      <c r="AD23" s="98">
        <f t="shared" si="15"/>
        <v>10738.676495454549</v>
      </c>
      <c r="AE23" s="99">
        <f t="shared" si="16"/>
        <v>0.43301114901026405</v>
      </c>
      <c r="AF23" s="103"/>
      <c r="AG23" s="105"/>
      <c r="AH23" s="105"/>
      <c r="AI23" s="103"/>
      <c r="AJ23" s="103"/>
      <c r="AK23" s="85"/>
      <c r="AL23" s="85"/>
    </row>
    <row r="24" spans="1:38" ht="30" customHeight="1">
      <c r="A24" s="86"/>
      <c r="B24" s="239" t="s">
        <v>120</v>
      </c>
      <c r="C24" s="87" t="s">
        <v>65</v>
      </c>
      <c r="D24" s="88">
        <v>23</v>
      </c>
      <c r="E24" s="88">
        <v>13</v>
      </c>
      <c r="F24" s="88">
        <v>8</v>
      </c>
      <c r="G24" s="88">
        <f t="shared" si="0"/>
        <v>2392</v>
      </c>
      <c r="H24" s="89">
        <f t="shared" si="1"/>
        <v>2.392E-3</v>
      </c>
      <c r="I24" s="90">
        <f t="shared" si="2"/>
        <v>418.0602006688963</v>
      </c>
      <c r="J24" s="91">
        <f t="shared" si="3"/>
        <v>0.19136</v>
      </c>
      <c r="K24" s="92">
        <f t="shared" si="4"/>
        <v>64.584000000000003</v>
      </c>
      <c r="L24" s="92">
        <f t="shared" si="5"/>
        <v>329.61759999999998</v>
      </c>
      <c r="M24" s="117">
        <f t="shared" si="6"/>
        <v>4.7076890578083433E-3</v>
      </c>
      <c r="N24" s="93"/>
      <c r="O24" s="93"/>
      <c r="P24" s="274">
        <v>62</v>
      </c>
      <c r="Q24" s="274">
        <f t="shared" si="7"/>
        <v>71.3</v>
      </c>
      <c r="R24" s="94">
        <f t="shared" si="8"/>
        <v>13718.832999999999</v>
      </c>
      <c r="S24" s="94">
        <f t="shared" si="9"/>
        <v>0</v>
      </c>
      <c r="T24" s="94">
        <f t="shared" ref="T24:U24" si="39">K24</f>
        <v>64.584000000000003</v>
      </c>
      <c r="U24" s="94">
        <f t="shared" si="39"/>
        <v>329.61759999999998</v>
      </c>
      <c r="V24" s="94">
        <f t="shared" si="33"/>
        <v>14113.034599999999</v>
      </c>
      <c r="W24" s="43">
        <v>39800</v>
      </c>
      <c r="X24" s="97">
        <v>0.108</v>
      </c>
      <c r="Y24" s="95"/>
      <c r="Z24" s="94">
        <v>3550</v>
      </c>
      <c r="AA24" s="97">
        <f t="shared" si="12"/>
        <v>0.1971959798994975</v>
      </c>
      <c r="AB24" s="98">
        <f t="shared" si="13"/>
        <v>7848.4000000000005</v>
      </c>
      <c r="AC24" s="98">
        <f t="shared" si="34"/>
        <v>1455.0001181818179</v>
      </c>
      <c r="AD24" s="98">
        <f t="shared" si="15"/>
        <v>16383.565281818181</v>
      </c>
      <c r="AE24" s="99">
        <f t="shared" si="16"/>
        <v>0.41164736888990405</v>
      </c>
      <c r="AF24" s="103"/>
      <c r="AG24" s="105"/>
      <c r="AH24" s="105"/>
      <c r="AI24" s="103"/>
      <c r="AJ24" s="103"/>
      <c r="AK24" s="85"/>
      <c r="AL24" s="85"/>
    </row>
    <row r="25" spans="1:38" ht="30" customHeight="1">
      <c r="A25" s="86"/>
      <c r="B25" s="107"/>
      <c r="C25" s="86"/>
      <c r="D25" s="86"/>
      <c r="E25" s="86"/>
      <c r="F25" s="86"/>
      <c r="G25" s="86"/>
      <c r="H25" s="86"/>
      <c r="I25" s="86"/>
      <c r="J25" s="86"/>
      <c r="K25" s="108"/>
      <c r="L25" s="86"/>
      <c r="M25" s="86"/>
      <c r="N25" s="86"/>
      <c r="O25" s="93"/>
      <c r="P25" s="86"/>
      <c r="Q25" s="86"/>
      <c r="R25" s="95"/>
      <c r="S25" s="95"/>
      <c r="T25" s="95">
        <f t="shared" ref="T25:U25" si="40">K25</f>
        <v>0</v>
      </c>
      <c r="U25" s="95">
        <f t="shared" si="40"/>
        <v>0</v>
      </c>
      <c r="V25" s="95"/>
      <c r="W25" s="95"/>
      <c r="X25" s="96"/>
      <c r="Y25" s="95"/>
      <c r="Z25" s="95"/>
      <c r="AA25" s="96"/>
      <c r="AB25" s="109"/>
      <c r="AC25" s="109"/>
      <c r="AD25" s="109"/>
      <c r="AE25" s="110"/>
      <c r="AF25" s="103"/>
      <c r="AG25" s="105"/>
      <c r="AH25" s="105"/>
      <c r="AI25" s="103"/>
      <c r="AJ25" s="103"/>
      <c r="AK25" s="85"/>
      <c r="AL25" s="85"/>
    </row>
    <row r="26" spans="1:38" ht="30" customHeight="1">
      <c r="A26" s="86"/>
      <c r="B26" s="107"/>
      <c r="C26" s="104"/>
      <c r="D26" s="276"/>
      <c r="E26" s="276"/>
      <c r="F26" s="276"/>
      <c r="G26" s="276"/>
      <c r="H26" s="277"/>
      <c r="I26" s="278"/>
      <c r="J26" s="279"/>
      <c r="K26" s="280"/>
      <c r="L26" s="280"/>
      <c r="M26" s="93"/>
      <c r="N26" s="93"/>
      <c r="O26" s="93"/>
      <c r="P26" s="86"/>
      <c r="Q26" s="86"/>
      <c r="R26" s="95"/>
      <c r="S26" s="95"/>
      <c r="T26" s="95"/>
      <c r="U26" s="95"/>
      <c r="V26" s="95"/>
      <c r="W26" s="95"/>
      <c r="X26" s="96"/>
      <c r="Y26" s="95"/>
      <c r="Z26" s="95"/>
      <c r="AA26" s="96"/>
      <c r="AB26" s="109"/>
      <c r="AC26" s="109"/>
      <c r="AD26" s="109"/>
      <c r="AE26" s="110"/>
      <c r="AF26" s="103"/>
      <c r="AG26" s="105"/>
      <c r="AH26" s="105"/>
      <c r="AI26" s="103"/>
      <c r="AJ26" s="103"/>
      <c r="AK26" s="85"/>
      <c r="AL26" s="85"/>
    </row>
    <row r="27" spans="1:38" ht="30" customHeight="1">
      <c r="A27" s="86"/>
      <c r="B27" s="107"/>
      <c r="C27" s="86"/>
      <c r="D27" s="86"/>
      <c r="E27" s="86"/>
      <c r="F27" s="86"/>
      <c r="G27" s="86"/>
      <c r="H27" s="86"/>
      <c r="I27" s="86"/>
      <c r="J27" s="86"/>
      <c r="K27" s="108"/>
      <c r="L27" s="86"/>
      <c r="M27" s="86"/>
      <c r="N27" s="86"/>
      <c r="O27" s="93"/>
      <c r="P27" s="86"/>
      <c r="Q27" s="86"/>
      <c r="R27" s="95"/>
      <c r="S27" s="95"/>
      <c r="T27" s="95"/>
      <c r="U27" s="95"/>
      <c r="V27" s="95"/>
      <c r="W27" s="95"/>
      <c r="X27" s="96"/>
      <c r="Y27" s="95"/>
      <c r="Z27" s="95"/>
      <c r="AA27" s="96"/>
      <c r="AB27" s="109"/>
      <c r="AC27" s="109"/>
      <c r="AD27" s="109"/>
      <c r="AE27" s="110"/>
      <c r="AF27" s="103"/>
      <c r="AG27" s="105"/>
      <c r="AH27" s="105"/>
      <c r="AI27" s="103"/>
      <c r="AJ27" s="103"/>
      <c r="AK27" s="85"/>
      <c r="AL27" s="85"/>
    </row>
    <row r="28" spans="1:38" ht="30" customHeight="1">
      <c r="A28" s="86"/>
      <c r="B28" s="107"/>
      <c r="C28" s="86"/>
      <c r="D28" s="86"/>
      <c r="E28" s="86"/>
      <c r="F28" s="86"/>
      <c r="G28" s="86"/>
      <c r="H28" s="86"/>
      <c r="I28" s="86"/>
      <c r="J28" s="86"/>
      <c r="K28" s="108"/>
      <c r="L28" s="86"/>
      <c r="M28" s="86"/>
      <c r="N28" s="86"/>
      <c r="O28" s="93"/>
      <c r="P28" s="86"/>
      <c r="Q28" s="86"/>
      <c r="R28" s="95"/>
      <c r="S28" s="95"/>
      <c r="T28" s="95"/>
      <c r="U28" s="95"/>
      <c r="V28" s="95"/>
      <c r="W28" s="95"/>
      <c r="X28" s="96"/>
      <c r="Y28" s="95"/>
      <c r="Z28" s="95"/>
      <c r="AA28" s="96"/>
      <c r="AB28" s="109"/>
      <c r="AC28" s="109"/>
      <c r="AD28" s="109"/>
      <c r="AE28" s="110"/>
      <c r="AF28" s="103"/>
      <c r="AG28" s="105"/>
      <c r="AH28" s="105"/>
      <c r="AI28" s="103"/>
      <c r="AJ28" s="103"/>
      <c r="AK28" s="85"/>
      <c r="AL28" s="85"/>
    </row>
    <row r="29" spans="1:38" ht="30" customHeight="1">
      <c r="A29" s="86"/>
      <c r="B29" s="107"/>
      <c r="C29" s="86"/>
      <c r="D29" s="86"/>
      <c r="E29" s="86"/>
      <c r="F29" s="86"/>
      <c r="G29" s="86"/>
      <c r="H29" s="86"/>
      <c r="I29" s="86"/>
      <c r="J29" s="86"/>
      <c r="K29" s="108"/>
      <c r="L29" s="86"/>
      <c r="M29" s="86"/>
      <c r="N29" s="86"/>
      <c r="O29" s="93"/>
      <c r="P29" s="86"/>
      <c r="Q29" s="86"/>
      <c r="R29" s="95"/>
      <c r="S29" s="95"/>
      <c r="T29" s="95"/>
      <c r="U29" s="95"/>
      <c r="V29" s="95"/>
      <c r="W29" s="95"/>
      <c r="X29" s="96"/>
      <c r="Y29" s="95"/>
      <c r="Z29" s="95"/>
      <c r="AA29" s="96"/>
      <c r="AB29" s="109"/>
      <c r="AC29" s="109"/>
      <c r="AD29" s="109"/>
      <c r="AE29" s="110"/>
      <c r="AF29" s="103"/>
      <c r="AG29" s="105"/>
      <c r="AH29" s="105"/>
      <c r="AI29" s="103"/>
      <c r="AJ29" s="103"/>
      <c r="AK29" s="85"/>
      <c r="AL29" s="85"/>
    </row>
    <row r="30" spans="1:38" ht="30" customHeight="1">
      <c r="A30" s="86"/>
      <c r="B30" s="107"/>
      <c r="C30" s="86"/>
      <c r="D30" s="86"/>
      <c r="E30" s="86"/>
      <c r="F30" s="86"/>
      <c r="G30" s="86"/>
      <c r="H30" s="86"/>
      <c r="I30" s="86"/>
      <c r="J30" s="86"/>
      <c r="K30" s="108"/>
      <c r="L30" s="86"/>
      <c r="M30" s="86"/>
      <c r="N30" s="86"/>
      <c r="O30" s="93"/>
      <c r="P30" s="86"/>
      <c r="Q30" s="86"/>
      <c r="R30" s="95"/>
      <c r="S30" s="95"/>
      <c r="T30" s="95"/>
      <c r="U30" s="95"/>
      <c r="V30" s="95"/>
      <c r="W30" s="95"/>
      <c r="X30" s="96"/>
      <c r="Y30" s="95"/>
      <c r="Z30" s="95"/>
      <c r="AA30" s="96"/>
      <c r="AB30" s="109"/>
      <c r="AC30" s="109"/>
      <c r="AD30" s="109"/>
      <c r="AE30" s="110"/>
      <c r="AF30" s="103"/>
      <c r="AG30" s="105"/>
      <c r="AH30" s="105"/>
      <c r="AI30" s="103"/>
      <c r="AJ30" s="103"/>
      <c r="AK30" s="85"/>
      <c r="AL30" s="85"/>
    </row>
    <row r="31" spans="1:38" ht="30" customHeight="1">
      <c r="A31" s="86"/>
      <c r="B31" s="107"/>
      <c r="C31" s="86"/>
      <c r="D31" s="86"/>
      <c r="E31" s="86"/>
      <c r="F31" s="86"/>
      <c r="G31" s="86"/>
      <c r="H31" s="86"/>
      <c r="I31" s="86"/>
      <c r="J31" s="86"/>
      <c r="K31" s="108"/>
      <c r="L31" s="86"/>
      <c r="M31" s="86"/>
      <c r="N31" s="86"/>
      <c r="O31" s="93"/>
      <c r="P31" s="86"/>
      <c r="Q31" s="86"/>
      <c r="R31" s="95"/>
      <c r="S31" s="95"/>
      <c r="T31" s="95"/>
      <c r="U31" s="95"/>
      <c r="V31" s="95"/>
      <c r="W31" s="95"/>
      <c r="X31" s="96"/>
      <c r="Y31" s="95"/>
      <c r="Z31" s="95"/>
      <c r="AA31" s="96"/>
      <c r="AB31" s="109"/>
      <c r="AC31" s="109"/>
      <c r="AD31" s="109"/>
      <c r="AE31" s="110"/>
      <c r="AF31" s="103"/>
      <c r="AG31" s="105"/>
      <c r="AH31" s="105"/>
      <c r="AI31" s="103"/>
      <c r="AJ31" s="103"/>
      <c r="AK31" s="85"/>
      <c r="AL31" s="85"/>
    </row>
    <row r="32" spans="1:38" ht="30" customHeight="1">
      <c r="A32" s="86"/>
      <c r="B32" s="107"/>
      <c r="C32" s="86"/>
      <c r="D32" s="86"/>
      <c r="E32" s="86"/>
      <c r="F32" s="86"/>
      <c r="G32" s="86"/>
      <c r="H32" s="86"/>
      <c r="I32" s="86"/>
      <c r="J32" s="86"/>
      <c r="K32" s="108"/>
      <c r="L32" s="86"/>
      <c r="M32" s="86"/>
      <c r="N32" s="86"/>
      <c r="O32" s="93"/>
      <c r="P32" s="86"/>
      <c r="Q32" s="86"/>
      <c r="R32" s="95"/>
      <c r="S32" s="95"/>
      <c r="T32" s="95"/>
      <c r="U32" s="95"/>
      <c r="V32" s="95"/>
      <c r="W32" s="95"/>
      <c r="X32" s="96"/>
      <c r="Y32" s="95"/>
      <c r="Z32" s="95"/>
      <c r="AA32" s="96"/>
      <c r="AB32" s="109"/>
      <c r="AC32" s="109"/>
      <c r="AD32" s="109"/>
      <c r="AE32" s="110"/>
      <c r="AF32" s="103"/>
      <c r="AG32" s="105"/>
      <c r="AH32" s="105"/>
      <c r="AI32" s="103"/>
      <c r="AJ32" s="103"/>
      <c r="AK32" s="85"/>
      <c r="AL32" s="85"/>
    </row>
    <row r="33" spans="1:38">
      <c r="A33" s="26"/>
      <c r="B33" s="111"/>
      <c r="C33" s="26"/>
      <c r="D33" s="26"/>
      <c r="E33" s="26"/>
      <c r="F33" s="26"/>
      <c r="G33" s="26"/>
      <c r="H33" s="26"/>
      <c r="I33" s="26"/>
      <c r="J33" s="26"/>
      <c r="K33" s="112"/>
      <c r="L33" s="26"/>
      <c r="M33" s="26"/>
      <c r="N33" s="26"/>
      <c r="O33" s="113"/>
      <c r="P33" s="26"/>
      <c r="Q33" s="26"/>
      <c r="R33" s="281"/>
      <c r="S33" s="281"/>
      <c r="T33" s="281"/>
      <c r="U33" s="281"/>
      <c r="V33" s="281"/>
      <c r="W33" s="281"/>
      <c r="X33" s="116"/>
      <c r="Y33" s="281"/>
      <c r="Z33" s="281"/>
      <c r="AA33" s="116"/>
      <c r="AB33" s="281"/>
      <c r="AC33" s="281"/>
      <c r="AD33" s="281"/>
      <c r="AE33" s="114"/>
      <c r="AF33" s="85"/>
      <c r="AG33" s="67"/>
      <c r="AH33" s="67"/>
      <c r="AI33" s="85"/>
      <c r="AJ33" s="85"/>
      <c r="AK33" s="85"/>
      <c r="AL33" s="85"/>
    </row>
    <row r="34" spans="1:38">
      <c r="A34" s="26"/>
      <c r="B34" s="111"/>
      <c r="C34" s="26"/>
      <c r="D34" s="26"/>
      <c r="E34" s="26"/>
      <c r="F34" s="26"/>
      <c r="G34" s="26"/>
      <c r="H34" s="26"/>
      <c r="I34" s="26"/>
      <c r="J34" s="26"/>
      <c r="K34" s="112"/>
      <c r="L34" s="26"/>
      <c r="M34" s="26"/>
      <c r="N34" s="26"/>
      <c r="O34" s="113"/>
      <c r="P34" s="26"/>
      <c r="Q34" s="26"/>
      <c r="R34" s="26"/>
      <c r="S34" s="26"/>
      <c r="T34" s="26"/>
      <c r="U34" s="26"/>
      <c r="V34" s="26"/>
      <c r="W34" s="26"/>
      <c r="X34" s="26"/>
      <c r="Y34" s="26"/>
      <c r="Z34" s="26"/>
      <c r="AA34" s="26"/>
      <c r="AB34" s="26"/>
      <c r="AC34" s="26"/>
      <c r="AD34" s="26"/>
      <c r="AE34" s="114"/>
      <c r="AF34" s="85"/>
      <c r="AG34" s="67"/>
      <c r="AH34" s="67"/>
      <c r="AI34" s="85"/>
      <c r="AJ34" s="85"/>
      <c r="AK34" s="85"/>
      <c r="AL34" s="85"/>
    </row>
    <row r="35" spans="1:38">
      <c r="A35" s="26"/>
      <c r="B35" s="111"/>
      <c r="C35" s="26"/>
      <c r="D35" s="26"/>
      <c r="E35" s="26"/>
      <c r="F35" s="26"/>
      <c r="G35" s="26"/>
      <c r="H35" s="26"/>
      <c r="I35" s="26"/>
      <c r="J35" s="26"/>
      <c r="K35" s="112"/>
      <c r="L35" s="26"/>
      <c r="M35" s="26"/>
      <c r="N35" s="26"/>
      <c r="O35" s="113"/>
      <c r="P35" s="26"/>
      <c r="Q35" s="26"/>
      <c r="R35" s="26"/>
      <c r="S35" s="26"/>
      <c r="T35" s="26"/>
      <c r="U35" s="26"/>
      <c r="V35" s="26"/>
      <c r="W35" s="26"/>
      <c r="X35" s="26"/>
      <c r="Y35" s="26"/>
      <c r="Z35" s="26"/>
      <c r="AA35" s="26"/>
      <c r="AB35" s="26"/>
      <c r="AC35" s="26"/>
      <c r="AD35" s="26"/>
      <c r="AE35" s="114"/>
      <c r="AF35" s="85"/>
      <c r="AG35" s="67"/>
      <c r="AH35" s="67"/>
      <c r="AI35" s="85"/>
      <c r="AJ35" s="85"/>
      <c r="AK35" s="85"/>
      <c r="AL35" s="85"/>
    </row>
    <row r="36" spans="1:38">
      <c r="A36" s="26"/>
      <c r="B36" s="111"/>
      <c r="C36" s="26"/>
      <c r="D36" s="26"/>
      <c r="E36" s="26"/>
      <c r="F36" s="26"/>
      <c r="G36" s="26"/>
      <c r="H36" s="26"/>
      <c r="I36" s="26"/>
      <c r="J36" s="26"/>
      <c r="K36" s="112"/>
      <c r="L36" s="26"/>
      <c r="M36" s="26"/>
      <c r="N36" s="26"/>
      <c r="O36" s="113"/>
      <c r="P36" s="26"/>
      <c r="Q36" s="26"/>
      <c r="R36" s="26"/>
      <c r="S36" s="26"/>
      <c r="T36" s="26"/>
      <c r="U36" s="26"/>
      <c r="V36" s="26"/>
      <c r="W36" s="26"/>
      <c r="X36" s="26"/>
      <c r="Y36" s="26"/>
      <c r="Z36" s="26"/>
      <c r="AA36" s="26"/>
      <c r="AB36" s="26"/>
      <c r="AC36" s="26"/>
      <c r="AD36" s="26"/>
      <c r="AE36" s="114"/>
      <c r="AF36" s="85"/>
      <c r="AG36" s="67"/>
      <c r="AH36" s="67"/>
      <c r="AI36" s="85"/>
      <c r="AJ36" s="85"/>
      <c r="AK36" s="85"/>
      <c r="AL36" s="85"/>
    </row>
    <row r="37" spans="1:38">
      <c r="A37" s="26"/>
      <c r="B37" s="111"/>
      <c r="C37" s="26"/>
      <c r="D37" s="26"/>
      <c r="E37" s="26"/>
      <c r="F37" s="26"/>
      <c r="G37" s="26"/>
      <c r="H37" s="26"/>
      <c r="I37" s="26"/>
      <c r="J37" s="26"/>
      <c r="K37" s="112"/>
      <c r="L37" s="26"/>
      <c r="M37" s="26"/>
      <c r="N37" s="26"/>
      <c r="O37" s="113"/>
      <c r="P37" s="26"/>
      <c r="Q37" s="26"/>
      <c r="R37" s="26"/>
      <c r="S37" s="26"/>
      <c r="T37" s="26"/>
      <c r="U37" s="26"/>
      <c r="V37" s="26"/>
      <c r="W37" s="26"/>
      <c r="X37" s="26"/>
      <c r="Y37" s="26"/>
      <c r="Z37" s="26"/>
      <c r="AA37" s="26"/>
      <c r="AB37" s="26"/>
      <c r="AC37" s="26"/>
      <c r="AD37" s="26"/>
      <c r="AE37" s="114"/>
      <c r="AF37" s="85"/>
      <c r="AG37" s="67"/>
      <c r="AH37" s="67"/>
      <c r="AI37" s="85"/>
      <c r="AJ37" s="85"/>
      <c r="AK37" s="85"/>
      <c r="AL37" s="85"/>
    </row>
    <row r="38" spans="1:38">
      <c r="A38" s="26"/>
      <c r="B38" s="111"/>
      <c r="C38" s="26"/>
      <c r="D38" s="26"/>
      <c r="E38" s="26"/>
      <c r="F38" s="26"/>
      <c r="G38" s="26"/>
      <c r="H38" s="26"/>
      <c r="I38" s="26"/>
      <c r="J38" s="26"/>
      <c r="K38" s="112"/>
      <c r="L38" s="26"/>
      <c r="M38" s="26"/>
      <c r="N38" s="26"/>
      <c r="O38" s="113"/>
      <c r="P38" s="26"/>
      <c r="Q38" s="26"/>
      <c r="R38" s="26"/>
      <c r="S38" s="26"/>
      <c r="T38" s="26"/>
      <c r="U38" s="26"/>
      <c r="V38" s="26"/>
      <c r="W38" s="26"/>
      <c r="X38" s="26"/>
      <c r="Y38" s="26"/>
      <c r="Z38" s="26"/>
      <c r="AA38" s="26"/>
      <c r="AB38" s="26"/>
      <c r="AC38" s="26"/>
      <c r="AD38" s="26"/>
      <c r="AE38" s="114"/>
      <c r="AF38" s="85"/>
      <c r="AG38" s="67"/>
      <c r="AH38" s="67"/>
      <c r="AI38" s="85"/>
      <c r="AJ38" s="85"/>
      <c r="AK38" s="85"/>
      <c r="AL38" s="85"/>
    </row>
    <row r="39" spans="1:38">
      <c r="A39" s="26"/>
      <c r="B39" s="111"/>
      <c r="C39" s="26"/>
      <c r="D39" s="26"/>
      <c r="E39" s="26"/>
      <c r="F39" s="26"/>
      <c r="G39" s="26"/>
      <c r="H39" s="26"/>
      <c r="I39" s="26"/>
      <c r="J39" s="26"/>
      <c r="K39" s="112"/>
      <c r="L39" s="26"/>
      <c r="M39" s="26"/>
      <c r="N39" s="26"/>
      <c r="O39" s="113"/>
      <c r="P39" s="26"/>
      <c r="Q39" s="26"/>
      <c r="R39" s="26"/>
      <c r="S39" s="26"/>
      <c r="T39" s="26"/>
      <c r="U39" s="26"/>
      <c r="V39" s="26"/>
      <c r="W39" s="26"/>
      <c r="X39" s="26"/>
      <c r="Y39" s="26"/>
      <c r="Z39" s="26"/>
      <c r="AA39" s="26"/>
      <c r="AB39" s="26"/>
      <c r="AC39" s="26"/>
      <c r="AD39" s="26"/>
      <c r="AE39" s="114"/>
      <c r="AF39" s="85"/>
      <c r="AG39" s="67"/>
      <c r="AH39" s="67"/>
      <c r="AI39" s="85"/>
      <c r="AJ39" s="85"/>
      <c r="AK39" s="85"/>
      <c r="AL39" s="85"/>
    </row>
    <row r="40" spans="1:38">
      <c r="A40" s="26"/>
      <c r="B40" s="111"/>
      <c r="C40" s="26"/>
      <c r="D40" s="26"/>
      <c r="E40" s="26"/>
      <c r="F40" s="26"/>
      <c r="G40" s="26"/>
      <c r="H40" s="26"/>
      <c r="I40" s="26"/>
      <c r="J40" s="26"/>
      <c r="K40" s="112"/>
      <c r="L40" s="26"/>
      <c r="M40" s="26"/>
      <c r="N40" s="26"/>
      <c r="O40" s="113"/>
      <c r="P40" s="26"/>
      <c r="Q40" s="26"/>
      <c r="R40" s="26"/>
      <c r="S40" s="26"/>
      <c r="T40" s="26"/>
      <c r="U40" s="26"/>
      <c r="V40" s="26"/>
      <c r="W40" s="26"/>
      <c r="X40" s="26"/>
      <c r="Y40" s="26"/>
      <c r="Z40" s="26"/>
      <c r="AA40" s="26"/>
      <c r="AB40" s="26"/>
      <c r="AC40" s="26"/>
      <c r="AD40" s="26"/>
      <c r="AE40" s="114"/>
      <c r="AF40" s="85"/>
      <c r="AG40" s="67"/>
      <c r="AH40" s="67"/>
      <c r="AI40" s="85"/>
      <c r="AJ40" s="85"/>
      <c r="AK40" s="85"/>
      <c r="AL40" s="85"/>
    </row>
    <row r="41" spans="1:38">
      <c r="A41" s="26"/>
      <c r="B41" s="111"/>
      <c r="C41" s="26"/>
      <c r="D41" s="26"/>
      <c r="E41" s="26"/>
      <c r="F41" s="26"/>
      <c r="G41" s="26"/>
      <c r="H41" s="26"/>
      <c r="I41" s="26"/>
      <c r="J41" s="26"/>
      <c r="K41" s="112"/>
      <c r="L41" s="26"/>
      <c r="M41" s="26"/>
      <c r="N41" s="26"/>
      <c r="O41" s="113"/>
      <c r="P41" s="26"/>
      <c r="Q41" s="26"/>
      <c r="R41" s="26"/>
      <c r="S41" s="26"/>
      <c r="T41" s="26"/>
      <c r="U41" s="26"/>
      <c r="V41" s="26"/>
      <c r="W41" s="26"/>
      <c r="X41" s="26"/>
      <c r="Y41" s="26"/>
      <c r="Z41" s="26"/>
      <c r="AA41" s="26"/>
      <c r="AB41" s="26"/>
      <c r="AC41" s="26"/>
      <c r="AD41" s="26"/>
      <c r="AE41" s="114"/>
      <c r="AF41" s="85"/>
      <c r="AG41" s="67"/>
      <c r="AH41" s="67"/>
      <c r="AI41" s="85"/>
      <c r="AJ41" s="85"/>
      <c r="AK41" s="85"/>
      <c r="AL41" s="85"/>
    </row>
    <row r="42" spans="1:38">
      <c r="A42" s="26"/>
      <c r="B42" s="111"/>
      <c r="C42" s="26"/>
      <c r="D42" s="26"/>
      <c r="E42" s="26"/>
      <c r="F42" s="26"/>
      <c r="G42" s="26"/>
      <c r="H42" s="26"/>
      <c r="I42" s="26"/>
      <c r="J42" s="26"/>
      <c r="K42" s="112"/>
      <c r="L42" s="26"/>
      <c r="M42" s="26"/>
      <c r="N42" s="26"/>
      <c r="O42" s="113"/>
      <c r="P42" s="26"/>
      <c r="Q42" s="26"/>
      <c r="R42" s="26"/>
      <c r="S42" s="26"/>
      <c r="T42" s="26"/>
      <c r="U42" s="26"/>
      <c r="V42" s="26"/>
      <c r="W42" s="26"/>
      <c r="X42" s="26"/>
      <c r="Y42" s="26"/>
      <c r="Z42" s="26"/>
      <c r="AA42" s="26"/>
      <c r="AB42" s="26"/>
      <c r="AC42" s="26"/>
      <c r="AD42" s="26"/>
      <c r="AE42" s="114"/>
      <c r="AF42" s="85"/>
      <c r="AG42" s="67"/>
      <c r="AH42" s="67"/>
      <c r="AI42" s="85"/>
      <c r="AJ42" s="85"/>
      <c r="AK42" s="85"/>
      <c r="AL42" s="85"/>
    </row>
    <row r="43" spans="1:38">
      <c r="A43" s="26"/>
      <c r="B43" s="111"/>
      <c r="C43" s="26"/>
      <c r="D43" s="26"/>
      <c r="E43" s="26"/>
      <c r="F43" s="26"/>
      <c r="G43" s="26"/>
      <c r="H43" s="26"/>
      <c r="I43" s="26"/>
      <c r="J43" s="26"/>
      <c r="K43" s="112"/>
      <c r="L43" s="26"/>
      <c r="M43" s="26"/>
      <c r="N43" s="26"/>
      <c r="O43" s="113"/>
      <c r="P43" s="26"/>
      <c r="Q43" s="26"/>
      <c r="R43" s="26"/>
      <c r="S43" s="26"/>
      <c r="T43" s="26"/>
      <c r="U43" s="26"/>
      <c r="V43" s="26"/>
      <c r="W43" s="26"/>
      <c r="X43" s="26"/>
      <c r="Y43" s="26"/>
      <c r="Z43" s="26"/>
      <c r="AA43" s="26"/>
      <c r="AB43" s="26"/>
      <c r="AC43" s="26"/>
      <c r="AD43" s="26"/>
      <c r="AE43" s="114"/>
      <c r="AF43" s="85"/>
      <c r="AG43" s="67"/>
      <c r="AH43" s="67"/>
      <c r="AI43" s="85"/>
      <c r="AJ43" s="85"/>
      <c r="AK43" s="85"/>
      <c r="AL43" s="85"/>
    </row>
    <row r="44" spans="1:38">
      <c r="A44" s="26"/>
      <c r="B44" s="111"/>
      <c r="C44" s="26"/>
      <c r="D44" s="26"/>
      <c r="E44" s="26"/>
      <c r="F44" s="26"/>
      <c r="G44" s="26"/>
      <c r="H44" s="26"/>
      <c r="I44" s="26"/>
      <c r="J44" s="26"/>
      <c r="K44" s="112"/>
      <c r="L44" s="26"/>
      <c r="M44" s="26"/>
      <c r="N44" s="26"/>
      <c r="O44" s="113"/>
      <c r="P44" s="26"/>
      <c r="Q44" s="26"/>
      <c r="R44" s="26"/>
      <c r="S44" s="26"/>
      <c r="T44" s="26"/>
      <c r="U44" s="26"/>
      <c r="V44" s="26"/>
      <c r="W44" s="26"/>
      <c r="X44" s="26"/>
      <c r="Y44" s="26"/>
      <c r="Z44" s="26"/>
      <c r="AA44" s="26"/>
      <c r="AB44" s="26"/>
      <c r="AC44" s="26"/>
      <c r="AD44" s="26"/>
      <c r="AE44" s="114"/>
      <c r="AF44" s="85"/>
      <c r="AG44" s="67"/>
      <c r="AH44" s="67"/>
      <c r="AI44" s="85"/>
      <c r="AJ44" s="85"/>
      <c r="AK44" s="85"/>
      <c r="AL44" s="85"/>
    </row>
    <row r="45" spans="1:38">
      <c r="A45" s="26"/>
      <c r="B45" s="111"/>
      <c r="C45" s="26"/>
      <c r="D45" s="26"/>
      <c r="E45" s="26"/>
      <c r="F45" s="26"/>
      <c r="G45" s="26"/>
      <c r="H45" s="26"/>
      <c r="I45" s="26"/>
      <c r="J45" s="26"/>
      <c r="K45" s="112"/>
      <c r="L45" s="26"/>
      <c r="M45" s="26"/>
      <c r="N45" s="26"/>
      <c r="O45" s="113"/>
      <c r="P45" s="26"/>
      <c r="Q45" s="26"/>
      <c r="R45" s="26"/>
      <c r="S45" s="26"/>
      <c r="T45" s="26"/>
      <c r="U45" s="26"/>
      <c r="V45" s="26"/>
      <c r="W45" s="26"/>
      <c r="X45" s="26"/>
      <c r="Y45" s="26"/>
      <c r="Z45" s="26"/>
      <c r="AA45" s="26"/>
      <c r="AB45" s="26"/>
      <c r="AC45" s="26"/>
      <c r="AD45" s="26"/>
      <c r="AE45" s="114"/>
      <c r="AF45" s="85"/>
      <c r="AG45" s="67"/>
      <c r="AH45" s="67"/>
      <c r="AI45" s="85"/>
      <c r="AJ45" s="85"/>
      <c r="AK45" s="85"/>
      <c r="AL45" s="85"/>
    </row>
    <row r="46" spans="1:38">
      <c r="A46" s="26"/>
      <c r="B46" s="111"/>
      <c r="C46" s="26"/>
      <c r="D46" s="26"/>
      <c r="E46" s="26"/>
      <c r="F46" s="26"/>
      <c r="G46" s="26"/>
      <c r="H46" s="26"/>
      <c r="I46" s="26"/>
      <c r="J46" s="26"/>
      <c r="K46" s="112"/>
      <c r="L46" s="26"/>
      <c r="M46" s="26"/>
      <c r="N46" s="26"/>
      <c r="O46" s="113"/>
      <c r="P46" s="26"/>
      <c r="Q46" s="26"/>
      <c r="R46" s="26"/>
      <c r="S46" s="26"/>
      <c r="T46" s="26"/>
      <c r="U46" s="26"/>
      <c r="V46" s="26"/>
      <c r="W46" s="26"/>
      <c r="X46" s="26"/>
      <c r="Y46" s="26"/>
      <c r="Z46" s="26"/>
      <c r="AA46" s="26"/>
      <c r="AB46" s="26"/>
      <c r="AC46" s="26"/>
      <c r="AD46" s="26"/>
      <c r="AE46" s="114"/>
      <c r="AF46" s="85"/>
      <c r="AG46" s="67"/>
      <c r="AH46" s="67"/>
      <c r="AI46" s="85"/>
      <c r="AJ46" s="85"/>
      <c r="AK46" s="85"/>
      <c r="AL46" s="85"/>
    </row>
    <row r="47" spans="1:38">
      <c r="A47" s="26"/>
      <c r="B47" s="111"/>
      <c r="C47" s="26"/>
      <c r="D47" s="26"/>
      <c r="E47" s="26"/>
      <c r="F47" s="26"/>
      <c r="G47" s="26"/>
      <c r="H47" s="26"/>
      <c r="I47" s="26"/>
      <c r="J47" s="26"/>
      <c r="K47" s="112"/>
      <c r="L47" s="26"/>
      <c r="M47" s="26"/>
      <c r="N47" s="26"/>
      <c r="O47" s="113"/>
      <c r="P47" s="26"/>
      <c r="Q47" s="26"/>
      <c r="R47" s="26"/>
      <c r="S47" s="26"/>
      <c r="T47" s="26"/>
      <c r="U47" s="26"/>
      <c r="V47" s="26"/>
      <c r="W47" s="26"/>
      <c r="X47" s="26"/>
      <c r="Y47" s="26"/>
      <c r="Z47" s="26"/>
      <c r="AA47" s="26"/>
      <c r="AB47" s="26"/>
      <c r="AC47" s="26"/>
      <c r="AD47" s="26"/>
      <c r="AE47" s="114"/>
      <c r="AF47" s="85"/>
      <c r="AG47" s="67"/>
      <c r="AH47" s="67"/>
      <c r="AI47" s="85"/>
      <c r="AJ47" s="85"/>
      <c r="AK47" s="85"/>
      <c r="AL47" s="85"/>
    </row>
    <row r="48" spans="1:38">
      <c r="A48" s="26"/>
      <c r="B48" s="111"/>
      <c r="C48" s="26"/>
      <c r="D48" s="26"/>
      <c r="E48" s="26"/>
      <c r="F48" s="26"/>
      <c r="G48" s="26"/>
      <c r="H48" s="26"/>
      <c r="I48" s="26"/>
      <c r="J48" s="26"/>
      <c r="K48" s="112"/>
      <c r="L48" s="26"/>
      <c r="M48" s="26"/>
      <c r="N48" s="26"/>
      <c r="O48" s="113"/>
      <c r="P48" s="26"/>
      <c r="Q48" s="26"/>
      <c r="R48" s="26"/>
      <c r="S48" s="26"/>
      <c r="T48" s="26"/>
      <c r="U48" s="26"/>
      <c r="V48" s="26"/>
      <c r="W48" s="26"/>
      <c r="X48" s="26"/>
      <c r="Y48" s="26"/>
      <c r="Z48" s="26"/>
      <c r="AA48" s="26"/>
      <c r="AB48" s="26"/>
      <c r="AC48" s="26"/>
      <c r="AD48" s="26"/>
      <c r="AE48" s="114"/>
      <c r="AF48" s="85"/>
      <c r="AG48" s="67"/>
      <c r="AH48" s="67"/>
      <c r="AI48" s="85"/>
      <c r="AJ48" s="85"/>
      <c r="AK48" s="85"/>
      <c r="AL48" s="85"/>
    </row>
    <row r="49" spans="1:38">
      <c r="A49" s="26"/>
      <c r="B49" s="111"/>
      <c r="C49" s="26"/>
      <c r="D49" s="26"/>
      <c r="E49" s="26"/>
      <c r="F49" s="26"/>
      <c r="G49" s="26"/>
      <c r="H49" s="26"/>
      <c r="I49" s="26"/>
      <c r="J49" s="26"/>
      <c r="K49" s="112"/>
      <c r="L49" s="26"/>
      <c r="M49" s="26"/>
      <c r="N49" s="26"/>
      <c r="O49" s="113"/>
      <c r="P49" s="26"/>
      <c r="Q49" s="26"/>
      <c r="R49" s="26"/>
      <c r="S49" s="26"/>
      <c r="T49" s="26"/>
      <c r="U49" s="26"/>
      <c r="V49" s="26"/>
      <c r="W49" s="26"/>
      <c r="X49" s="26"/>
      <c r="Y49" s="26"/>
      <c r="Z49" s="26"/>
      <c r="AA49" s="26"/>
      <c r="AB49" s="26"/>
      <c r="AC49" s="26"/>
      <c r="AD49" s="26"/>
      <c r="AE49" s="114"/>
      <c r="AF49" s="85"/>
      <c r="AG49" s="67"/>
      <c r="AH49" s="67"/>
      <c r="AI49" s="85"/>
      <c r="AJ49" s="85"/>
      <c r="AK49" s="85"/>
      <c r="AL49" s="85"/>
    </row>
    <row r="50" spans="1:38">
      <c r="A50" s="26"/>
      <c r="B50" s="111"/>
      <c r="C50" s="26"/>
      <c r="D50" s="26"/>
      <c r="E50" s="26"/>
      <c r="F50" s="26"/>
      <c r="G50" s="26"/>
      <c r="H50" s="26"/>
      <c r="I50" s="26"/>
      <c r="J50" s="26"/>
      <c r="K50" s="112"/>
      <c r="L50" s="26"/>
      <c r="M50" s="26"/>
      <c r="N50" s="26"/>
      <c r="O50" s="113"/>
      <c r="P50" s="26"/>
      <c r="Q50" s="26"/>
      <c r="R50" s="26"/>
      <c r="S50" s="26"/>
      <c r="T50" s="26"/>
      <c r="U50" s="26"/>
      <c r="V50" s="26"/>
      <c r="W50" s="26"/>
      <c r="X50" s="26"/>
      <c r="Y50" s="26"/>
      <c r="Z50" s="26"/>
      <c r="AA50" s="26"/>
      <c r="AB50" s="26"/>
      <c r="AC50" s="26"/>
      <c r="AD50" s="26"/>
      <c r="AE50" s="114"/>
      <c r="AF50" s="85"/>
      <c r="AG50" s="67"/>
      <c r="AH50" s="67"/>
      <c r="AI50" s="85"/>
      <c r="AJ50" s="85"/>
      <c r="AK50" s="85"/>
      <c r="AL50" s="85"/>
    </row>
    <row r="51" spans="1:38">
      <c r="A51" s="26"/>
      <c r="B51" s="111"/>
      <c r="C51" s="26"/>
      <c r="D51" s="26"/>
      <c r="E51" s="26"/>
      <c r="F51" s="26"/>
      <c r="G51" s="26"/>
      <c r="H51" s="26"/>
      <c r="I51" s="26"/>
      <c r="J51" s="26"/>
      <c r="K51" s="112"/>
      <c r="L51" s="26"/>
      <c r="M51" s="26"/>
      <c r="N51" s="26"/>
      <c r="O51" s="113"/>
      <c r="P51" s="26"/>
      <c r="Q51" s="26"/>
      <c r="R51" s="26"/>
      <c r="S51" s="26"/>
      <c r="T51" s="26"/>
      <c r="U51" s="26"/>
      <c r="V51" s="26"/>
      <c r="W51" s="26"/>
      <c r="X51" s="26"/>
      <c r="Y51" s="26"/>
      <c r="Z51" s="26"/>
      <c r="AA51" s="26"/>
      <c r="AB51" s="26"/>
      <c r="AC51" s="26"/>
      <c r="AD51" s="26"/>
      <c r="AE51" s="114"/>
      <c r="AF51" s="85"/>
      <c r="AG51" s="67"/>
      <c r="AH51" s="67"/>
      <c r="AI51" s="85"/>
      <c r="AJ51" s="85"/>
      <c r="AK51" s="85"/>
      <c r="AL51" s="85"/>
    </row>
    <row r="52" spans="1:38">
      <c r="A52" s="26"/>
      <c r="B52" s="111"/>
      <c r="C52" s="26"/>
      <c r="D52" s="26"/>
      <c r="E52" s="26"/>
      <c r="F52" s="26"/>
      <c r="G52" s="26"/>
      <c r="H52" s="26"/>
      <c r="I52" s="26"/>
      <c r="J52" s="26"/>
      <c r="K52" s="112"/>
      <c r="L52" s="26"/>
      <c r="M52" s="26"/>
      <c r="N52" s="26"/>
      <c r="O52" s="113"/>
      <c r="P52" s="26"/>
      <c r="Q52" s="26"/>
      <c r="R52" s="26"/>
      <c r="S52" s="26"/>
      <c r="T52" s="26"/>
      <c r="U52" s="26"/>
      <c r="V52" s="26"/>
      <c r="W52" s="26"/>
      <c r="X52" s="26"/>
      <c r="Y52" s="26"/>
      <c r="Z52" s="26"/>
      <c r="AA52" s="26"/>
      <c r="AB52" s="26"/>
      <c r="AC52" s="26"/>
      <c r="AD52" s="26"/>
      <c r="AE52" s="114"/>
      <c r="AF52" s="85"/>
      <c r="AG52" s="67"/>
      <c r="AH52" s="67"/>
      <c r="AI52" s="85"/>
      <c r="AJ52" s="85"/>
      <c r="AK52" s="85"/>
      <c r="AL52" s="85"/>
    </row>
    <row r="53" spans="1:38">
      <c r="A53" s="26"/>
      <c r="B53" s="111"/>
      <c r="C53" s="26"/>
      <c r="D53" s="26"/>
      <c r="E53" s="26"/>
      <c r="F53" s="26"/>
      <c r="G53" s="26"/>
      <c r="H53" s="26"/>
      <c r="I53" s="26"/>
      <c r="J53" s="26"/>
      <c r="K53" s="112"/>
      <c r="L53" s="26"/>
      <c r="M53" s="26"/>
      <c r="N53" s="26"/>
      <c r="O53" s="113"/>
      <c r="P53" s="26"/>
      <c r="Q53" s="26"/>
      <c r="R53" s="26"/>
      <c r="S53" s="26"/>
      <c r="T53" s="26"/>
      <c r="U53" s="26"/>
      <c r="V53" s="26"/>
      <c r="W53" s="26"/>
      <c r="X53" s="26"/>
      <c r="Y53" s="26"/>
      <c r="Z53" s="26"/>
      <c r="AA53" s="26"/>
      <c r="AB53" s="26"/>
      <c r="AC53" s="26"/>
      <c r="AD53" s="26"/>
      <c r="AE53" s="114"/>
      <c r="AF53" s="85"/>
      <c r="AG53" s="67"/>
      <c r="AH53" s="67"/>
      <c r="AI53" s="85"/>
      <c r="AJ53" s="85"/>
      <c r="AK53" s="85"/>
      <c r="AL53" s="85"/>
    </row>
    <row r="54" spans="1:38">
      <c r="A54" s="26"/>
      <c r="B54" s="111"/>
      <c r="C54" s="26"/>
      <c r="D54" s="26"/>
      <c r="E54" s="26"/>
      <c r="F54" s="26"/>
      <c r="G54" s="26"/>
      <c r="H54" s="26"/>
      <c r="I54" s="26"/>
      <c r="J54" s="26"/>
      <c r="K54" s="112"/>
      <c r="L54" s="26"/>
      <c r="M54" s="26"/>
      <c r="N54" s="26"/>
      <c r="O54" s="113"/>
      <c r="P54" s="26"/>
      <c r="Q54" s="26"/>
      <c r="R54" s="26"/>
      <c r="S54" s="26"/>
      <c r="T54" s="26"/>
      <c r="U54" s="26"/>
      <c r="V54" s="26"/>
      <c r="W54" s="26"/>
      <c r="X54" s="26"/>
      <c r="Y54" s="26"/>
      <c r="Z54" s="26"/>
      <c r="AA54" s="26"/>
      <c r="AB54" s="26"/>
      <c r="AC54" s="26"/>
      <c r="AD54" s="26"/>
      <c r="AE54" s="114"/>
      <c r="AF54" s="85"/>
      <c r="AG54" s="67"/>
      <c r="AH54" s="67"/>
      <c r="AI54" s="85"/>
      <c r="AJ54" s="85"/>
      <c r="AK54" s="85"/>
      <c r="AL54" s="85"/>
    </row>
    <row r="55" spans="1:38">
      <c r="A55" s="26"/>
      <c r="B55" s="111"/>
      <c r="C55" s="26"/>
      <c r="D55" s="26"/>
      <c r="E55" s="26"/>
      <c r="F55" s="26"/>
      <c r="G55" s="26"/>
      <c r="H55" s="26"/>
      <c r="I55" s="26"/>
      <c r="J55" s="26"/>
      <c r="K55" s="112"/>
      <c r="L55" s="26"/>
      <c r="M55" s="26"/>
      <c r="N55" s="26"/>
      <c r="O55" s="113"/>
      <c r="P55" s="26"/>
      <c r="Q55" s="26"/>
      <c r="R55" s="26"/>
      <c r="S55" s="26"/>
      <c r="T55" s="26"/>
      <c r="U55" s="26"/>
      <c r="V55" s="26"/>
      <c r="W55" s="26"/>
      <c r="X55" s="26"/>
      <c r="Y55" s="26"/>
      <c r="Z55" s="26"/>
      <c r="AA55" s="26"/>
      <c r="AB55" s="26"/>
      <c r="AC55" s="26"/>
      <c r="AD55" s="26"/>
      <c r="AE55" s="114"/>
      <c r="AF55" s="85"/>
      <c r="AG55" s="67"/>
      <c r="AH55" s="67"/>
      <c r="AI55" s="85"/>
      <c r="AJ55" s="85"/>
      <c r="AK55" s="85"/>
      <c r="AL55" s="85"/>
    </row>
    <row r="56" spans="1:38">
      <c r="A56" s="26"/>
      <c r="B56" s="111"/>
      <c r="C56" s="26"/>
      <c r="D56" s="26"/>
      <c r="E56" s="26"/>
      <c r="F56" s="26"/>
      <c r="G56" s="26"/>
      <c r="H56" s="26"/>
      <c r="I56" s="26"/>
      <c r="J56" s="26"/>
      <c r="K56" s="112"/>
      <c r="L56" s="26"/>
      <c r="M56" s="26"/>
      <c r="N56" s="26"/>
      <c r="O56" s="113"/>
      <c r="P56" s="26"/>
      <c r="Q56" s="26"/>
      <c r="R56" s="26"/>
      <c r="S56" s="26"/>
      <c r="T56" s="26"/>
      <c r="U56" s="26"/>
      <c r="V56" s="26"/>
      <c r="W56" s="26"/>
      <c r="X56" s="26"/>
      <c r="Y56" s="26"/>
      <c r="Z56" s="26"/>
      <c r="AA56" s="26"/>
      <c r="AB56" s="26"/>
      <c r="AC56" s="26"/>
      <c r="AD56" s="26"/>
      <c r="AE56" s="114"/>
      <c r="AF56" s="85"/>
      <c r="AG56" s="67"/>
      <c r="AH56" s="67"/>
      <c r="AI56" s="85"/>
      <c r="AJ56" s="85"/>
      <c r="AK56" s="85"/>
      <c r="AL56" s="85"/>
    </row>
    <row r="57" spans="1:38">
      <c r="A57" s="26"/>
      <c r="B57" s="111"/>
      <c r="C57" s="26"/>
      <c r="D57" s="26"/>
      <c r="E57" s="26"/>
      <c r="F57" s="26"/>
      <c r="G57" s="26"/>
      <c r="H57" s="26"/>
      <c r="I57" s="26"/>
      <c r="J57" s="26"/>
      <c r="K57" s="112"/>
      <c r="L57" s="26"/>
      <c r="M57" s="26"/>
      <c r="N57" s="26"/>
      <c r="O57" s="113"/>
      <c r="P57" s="26"/>
      <c r="Q57" s="26"/>
      <c r="R57" s="26"/>
      <c r="S57" s="26"/>
      <c r="T57" s="26"/>
      <c r="U57" s="26"/>
      <c r="V57" s="26"/>
      <c r="W57" s="26"/>
      <c r="X57" s="26"/>
      <c r="Y57" s="26"/>
      <c r="Z57" s="26"/>
      <c r="AA57" s="26"/>
      <c r="AB57" s="26"/>
      <c r="AC57" s="26"/>
      <c r="AD57" s="26"/>
      <c r="AE57" s="114"/>
      <c r="AF57" s="85"/>
      <c r="AG57" s="67"/>
      <c r="AH57" s="67"/>
      <c r="AI57" s="85"/>
      <c r="AJ57" s="85"/>
      <c r="AK57" s="85"/>
      <c r="AL57" s="85"/>
    </row>
    <row r="58" spans="1:38">
      <c r="A58" s="26"/>
      <c r="B58" s="111"/>
      <c r="C58" s="26"/>
      <c r="D58" s="26"/>
      <c r="E58" s="26"/>
      <c r="F58" s="26"/>
      <c r="G58" s="26"/>
      <c r="H58" s="26"/>
      <c r="I58" s="26"/>
      <c r="J58" s="26"/>
      <c r="K58" s="112"/>
      <c r="L58" s="26"/>
      <c r="M58" s="26"/>
      <c r="N58" s="26"/>
      <c r="O58" s="113"/>
      <c r="P58" s="26"/>
      <c r="Q58" s="26"/>
      <c r="R58" s="26"/>
      <c r="S58" s="26"/>
      <c r="T58" s="26"/>
      <c r="U58" s="26"/>
      <c r="V58" s="26"/>
      <c r="W58" s="26"/>
      <c r="X58" s="26"/>
      <c r="Y58" s="26"/>
      <c r="Z58" s="26"/>
      <c r="AA58" s="26"/>
      <c r="AB58" s="26"/>
      <c r="AC58" s="26"/>
      <c r="AD58" s="26"/>
      <c r="AE58" s="114"/>
      <c r="AF58" s="85"/>
      <c r="AG58" s="67"/>
      <c r="AH58" s="67"/>
      <c r="AI58" s="85"/>
      <c r="AJ58" s="85"/>
      <c r="AK58" s="85"/>
      <c r="AL58" s="85"/>
    </row>
    <row r="59" spans="1:38">
      <c r="A59" s="26"/>
      <c r="B59" s="111"/>
      <c r="C59" s="26"/>
      <c r="D59" s="26"/>
      <c r="E59" s="26"/>
      <c r="F59" s="26"/>
      <c r="G59" s="26"/>
      <c r="H59" s="26"/>
      <c r="I59" s="26"/>
      <c r="J59" s="26"/>
      <c r="K59" s="112"/>
      <c r="L59" s="26"/>
      <c r="M59" s="26"/>
      <c r="N59" s="26"/>
      <c r="O59" s="113"/>
      <c r="P59" s="26"/>
      <c r="Q59" s="26"/>
      <c r="R59" s="26"/>
      <c r="S59" s="26"/>
      <c r="T59" s="26"/>
      <c r="U59" s="26"/>
      <c r="V59" s="26"/>
      <c r="W59" s="26"/>
      <c r="X59" s="26"/>
      <c r="Y59" s="26"/>
      <c r="Z59" s="26"/>
      <c r="AA59" s="26"/>
      <c r="AB59" s="26"/>
      <c r="AC59" s="26"/>
      <c r="AD59" s="26"/>
      <c r="AE59" s="114"/>
      <c r="AF59" s="85"/>
      <c r="AG59" s="67"/>
      <c r="AH59" s="67"/>
      <c r="AI59" s="85"/>
      <c r="AJ59" s="85"/>
      <c r="AK59" s="85"/>
      <c r="AL59" s="85"/>
    </row>
    <row r="60" spans="1:38">
      <c r="A60" s="26"/>
      <c r="B60" s="111"/>
      <c r="C60" s="26"/>
      <c r="D60" s="26"/>
      <c r="E60" s="26"/>
      <c r="F60" s="26"/>
      <c r="G60" s="26"/>
      <c r="H60" s="26"/>
      <c r="I60" s="26"/>
      <c r="J60" s="26"/>
      <c r="K60" s="112"/>
      <c r="L60" s="26"/>
      <c r="M60" s="26"/>
      <c r="N60" s="26"/>
      <c r="O60" s="113"/>
      <c r="P60" s="26"/>
      <c r="Q60" s="26"/>
      <c r="R60" s="26"/>
      <c r="S60" s="26"/>
      <c r="T60" s="26"/>
      <c r="U60" s="26"/>
      <c r="V60" s="26"/>
      <c r="W60" s="26"/>
      <c r="X60" s="26"/>
      <c r="Y60" s="26"/>
      <c r="Z60" s="26"/>
      <c r="AA60" s="26"/>
      <c r="AB60" s="26"/>
      <c r="AC60" s="26"/>
      <c r="AD60" s="26"/>
      <c r="AE60" s="114"/>
      <c r="AF60" s="85"/>
      <c r="AG60" s="67"/>
      <c r="AH60" s="67"/>
      <c r="AI60" s="85"/>
      <c r="AJ60" s="85"/>
      <c r="AK60" s="85"/>
      <c r="AL60" s="85"/>
    </row>
    <row r="61" spans="1:38">
      <c r="A61" s="26"/>
      <c r="B61" s="111"/>
      <c r="C61" s="26"/>
      <c r="D61" s="26"/>
      <c r="E61" s="26"/>
      <c r="F61" s="26"/>
      <c r="G61" s="26"/>
      <c r="H61" s="26"/>
      <c r="I61" s="26"/>
      <c r="J61" s="26"/>
      <c r="K61" s="112"/>
      <c r="L61" s="26"/>
      <c r="M61" s="26"/>
      <c r="N61" s="26"/>
      <c r="O61" s="113"/>
      <c r="P61" s="26"/>
      <c r="Q61" s="26"/>
      <c r="R61" s="26"/>
      <c r="S61" s="26"/>
      <c r="T61" s="26"/>
      <c r="U61" s="26"/>
      <c r="V61" s="26"/>
      <c r="W61" s="26"/>
      <c r="X61" s="26"/>
      <c r="Y61" s="26"/>
      <c r="Z61" s="26"/>
      <c r="AA61" s="26"/>
      <c r="AB61" s="26"/>
      <c r="AC61" s="26"/>
      <c r="AD61" s="26"/>
      <c r="AE61" s="114"/>
      <c r="AF61" s="85"/>
      <c r="AG61" s="67"/>
      <c r="AH61" s="67"/>
      <c r="AI61" s="85"/>
      <c r="AJ61" s="85"/>
      <c r="AK61" s="85"/>
      <c r="AL61" s="85"/>
    </row>
    <row r="62" spans="1:38">
      <c r="A62" s="26"/>
      <c r="B62" s="111"/>
      <c r="C62" s="26"/>
      <c r="D62" s="26"/>
      <c r="E62" s="26"/>
      <c r="F62" s="26"/>
      <c r="G62" s="26"/>
      <c r="H62" s="26"/>
      <c r="I62" s="26"/>
      <c r="J62" s="26"/>
      <c r="K62" s="112"/>
      <c r="L62" s="26"/>
      <c r="M62" s="26"/>
      <c r="N62" s="26"/>
      <c r="O62" s="113"/>
      <c r="P62" s="26"/>
      <c r="Q62" s="26"/>
      <c r="R62" s="26"/>
      <c r="S62" s="26"/>
      <c r="T62" s="26"/>
      <c r="U62" s="26"/>
      <c r="V62" s="26"/>
      <c r="W62" s="26"/>
      <c r="X62" s="26"/>
      <c r="Y62" s="26"/>
      <c r="Z62" s="26"/>
      <c r="AA62" s="26"/>
      <c r="AB62" s="26"/>
      <c r="AC62" s="26"/>
      <c r="AD62" s="26"/>
      <c r="AE62" s="114"/>
      <c r="AF62" s="85"/>
      <c r="AG62" s="67"/>
      <c r="AH62" s="67"/>
      <c r="AI62" s="85"/>
      <c r="AJ62" s="85"/>
      <c r="AK62" s="85"/>
      <c r="AL62" s="85"/>
    </row>
    <row r="63" spans="1:38">
      <c r="A63" s="26"/>
      <c r="B63" s="111"/>
      <c r="C63" s="26"/>
      <c r="D63" s="26"/>
      <c r="E63" s="26"/>
      <c r="F63" s="26"/>
      <c r="G63" s="26"/>
      <c r="H63" s="26"/>
      <c r="I63" s="26"/>
      <c r="J63" s="26"/>
      <c r="K63" s="112"/>
      <c r="L63" s="26"/>
      <c r="M63" s="26"/>
      <c r="N63" s="26"/>
      <c r="O63" s="113"/>
      <c r="P63" s="26"/>
      <c r="Q63" s="26"/>
      <c r="R63" s="26"/>
      <c r="S63" s="26"/>
      <c r="T63" s="26"/>
      <c r="U63" s="26"/>
      <c r="V63" s="26"/>
      <c r="W63" s="26"/>
      <c r="X63" s="26"/>
      <c r="Y63" s="26"/>
      <c r="Z63" s="26"/>
      <c r="AA63" s="26"/>
      <c r="AB63" s="26"/>
      <c r="AC63" s="26"/>
      <c r="AD63" s="26"/>
      <c r="AE63" s="114"/>
      <c r="AF63" s="85"/>
      <c r="AG63" s="67"/>
      <c r="AH63" s="67"/>
      <c r="AI63" s="85"/>
      <c r="AJ63" s="85"/>
      <c r="AK63" s="85"/>
      <c r="AL63" s="85"/>
    </row>
    <row r="64" spans="1:38">
      <c r="A64" s="26"/>
      <c r="B64" s="111"/>
      <c r="C64" s="26"/>
      <c r="D64" s="26"/>
      <c r="E64" s="26"/>
      <c r="F64" s="26"/>
      <c r="G64" s="26"/>
      <c r="H64" s="26"/>
      <c r="I64" s="26"/>
      <c r="J64" s="26"/>
      <c r="K64" s="112"/>
      <c r="L64" s="26"/>
      <c r="M64" s="26"/>
      <c r="N64" s="26"/>
      <c r="O64" s="113"/>
      <c r="P64" s="26"/>
      <c r="Q64" s="26"/>
      <c r="R64" s="26"/>
      <c r="S64" s="26"/>
      <c r="T64" s="26"/>
      <c r="U64" s="26"/>
      <c r="V64" s="26"/>
      <c r="W64" s="26"/>
      <c r="X64" s="26"/>
      <c r="Y64" s="26"/>
      <c r="Z64" s="26"/>
      <c r="AA64" s="26"/>
      <c r="AB64" s="26"/>
      <c r="AC64" s="26"/>
      <c r="AD64" s="26"/>
      <c r="AE64" s="114"/>
      <c r="AF64" s="85"/>
      <c r="AG64" s="67"/>
      <c r="AH64" s="67"/>
      <c r="AI64" s="85"/>
      <c r="AJ64" s="85"/>
      <c r="AK64" s="85"/>
      <c r="AL64" s="85"/>
    </row>
    <row r="65" spans="1:38">
      <c r="A65" s="26"/>
      <c r="B65" s="111"/>
      <c r="C65" s="26"/>
      <c r="D65" s="26"/>
      <c r="E65" s="26"/>
      <c r="F65" s="26"/>
      <c r="G65" s="26"/>
      <c r="H65" s="26"/>
      <c r="I65" s="26"/>
      <c r="J65" s="26"/>
      <c r="K65" s="112"/>
      <c r="L65" s="26"/>
      <c r="M65" s="26"/>
      <c r="N65" s="26"/>
      <c r="O65" s="113"/>
      <c r="P65" s="26"/>
      <c r="Q65" s="26"/>
      <c r="R65" s="26"/>
      <c r="S65" s="26"/>
      <c r="T65" s="26"/>
      <c r="U65" s="26"/>
      <c r="V65" s="26"/>
      <c r="W65" s="26"/>
      <c r="X65" s="26"/>
      <c r="Y65" s="26"/>
      <c r="Z65" s="26"/>
      <c r="AA65" s="26"/>
      <c r="AB65" s="26"/>
      <c r="AC65" s="26"/>
      <c r="AD65" s="26"/>
      <c r="AE65" s="114"/>
      <c r="AF65" s="85"/>
      <c r="AG65" s="67"/>
      <c r="AH65" s="67"/>
      <c r="AI65" s="85"/>
      <c r="AJ65" s="85"/>
      <c r="AK65" s="85"/>
      <c r="AL65" s="85"/>
    </row>
    <row r="66" spans="1:38">
      <c r="A66" s="26"/>
      <c r="B66" s="111"/>
      <c r="C66" s="26"/>
      <c r="D66" s="26"/>
      <c r="E66" s="26"/>
      <c r="F66" s="26"/>
      <c r="G66" s="26"/>
      <c r="H66" s="26"/>
      <c r="I66" s="26"/>
      <c r="J66" s="26"/>
      <c r="K66" s="112"/>
      <c r="L66" s="26"/>
      <c r="M66" s="26"/>
      <c r="N66" s="26"/>
      <c r="O66" s="113"/>
      <c r="P66" s="26"/>
      <c r="Q66" s="26"/>
      <c r="R66" s="26"/>
      <c r="S66" s="26"/>
      <c r="T66" s="26"/>
      <c r="U66" s="26"/>
      <c r="V66" s="26"/>
      <c r="W66" s="26"/>
      <c r="X66" s="26"/>
      <c r="Y66" s="26"/>
      <c r="Z66" s="26"/>
      <c r="AA66" s="26"/>
      <c r="AB66" s="26"/>
      <c r="AC66" s="26"/>
      <c r="AD66" s="26"/>
      <c r="AE66" s="114"/>
      <c r="AF66" s="85"/>
      <c r="AG66" s="67"/>
      <c r="AH66" s="67"/>
      <c r="AI66" s="85"/>
      <c r="AJ66" s="85"/>
      <c r="AK66" s="85"/>
      <c r="AL66" s="85"/>
    </row>
    <row r="67" spans="1:38">
      <c r="A67" s="26"/>
      <c r="B67" s="111"/>
      <c r="C67" s="26"/>
      <c r="D67" s="26"/>
      <c r="E67" s="26"/>
      <c r="F67" s="26"/>
      <c r="G67" s="26"/>
      <c r="H67" s="26"/>
      <c r="I67" s="26"/>
      <c r="J67" s="26"/>
      <c r="K67" s="112"/>
      <c r="L67" s="26"/>
      <c r="M67" s="26"/>
      <c r="N67" s="26"/>
      <c r="O67" s="113"/>
      <c r="P67" s="26"/>
      <c r="Q67" s="26"/>
      <c r="R67" s="26"/>
      <c r="S67" s="26"/>
      <c r="T67" s="26"/>
      <c r="U67" s="26"/>
      <c r="V67" s="26"/>
      <c r="W67" s="26"/>
      <c r="X67" s="26"/>
      <c r="Y67" s="26"/>
      <c r="Z67" s="26"/>
      <c r="AA67" s="26"/>
      <c r="AB67" s="26"/>
      <c r="AC67" s="26"/>
      <c r="AD67" s="26"/>
      <c r="AE67" s="114"/>
      <c r="AF67" s="85"/>
      <c r="AG67" s="67"/>
      <c r="AH67" s="67"/>
      <c r="AI67" s="85"/>
      <c r="AJ67" s="85"/>
      <c r="AK67" s="85"/>
      <c r="AL67" s="85"/>
    </row>
    <row r="68" spans="1:38">
      <c r="A68" s="26"/>
      <c r="B68" s="111"/>
      <c r="C68" s="26"/>
      <c r="D68" s="26"/>
      <c r="E68" s="26"/>
      <c r="F68" s="26"/>
      <c r="G68" s="26"/>
      <c r="H68" s="26"/>
      <c r="I68" s="26"/>
      <c r="J68" s="26"/>
      <c r="K68" s="112"/>
      <c r="L68" s="26"/>
      <c r="M68" s="26"/>
      <c r="N68" s="26"/>
      <c r="O68" s="113"/>
      <c r="P68" s="26"/>
      <c r="Q68" s="26"/>
      <c r="R68" s="26"/>
      <c r="S68" s="26"/>
      <c r="T68" s="26"/>
      <c r="U68" s="26"/>
      <c r="V68" s="26"/>
      <c r="W68" s="26"/>
      <c r="X68" s="26"/>
      <c r="Y68" s="26"/>
      <c r="Z68" s="26"/>
      <c r="AA68" s="26"/>
      <c r="AB68" s="26"/>
      <c r="AC68" s="26"/>
      <c r="AD68" s="26"/>
      <c r="AE68" s="114"/>
      <c r="AF68" s="85"/>
      <c r="AG68" s="67"/>
      <c r="AH68" s="67"/>
      <c r="AI68" s="85"/>
      <c r="AJ68" s="85"/>
      <c r="AK68" s="85"/>
      <c r="AL68" s="85"/>
    </row>
    <row r="69" spans="1:38">
      <c r="A69" s="26"/>
      <c r="B69" s="111"/>
      <c r="C69" s="26"/>
      <c r="D69" s="26"/>
      <c r="E69" s="26"/>
      <c r="F69" s="26"/>
      <c r="G69" s="26"/>
      <c r="H69" s="26"/>
      <c r="I69" s="26"/>
      <c r="J69" s="26"/>
      <c r="K69" s="112"/>
      <c r="L69" s="26"/>
      <c r="M69" s="26"/>
      <c r="N69" s="26"/>
      <c r="O69" s="113"/>
      <c r="P69" s="26"/>
      <c r="Q69" s="26"/>
      <c r="R69" s="26"/>
      <c r="S69" s="26"/>
      <c r="T69" s="26"/>
      <c r="U69" s="26"/>
      <c r="V69" s="26"/>
      <c r="W69" s="26"/>
      <c r="X69" s="26"/>
      <c r="Y69" s="26"/>
      <c r="Z69" s="26"/>
      <c r="AA69" s="26"/>
      <c r="AB69" s="26"/>
      <c r="AC69" s="26"/>
      <c r="AD69" s="26"/>
      <c r="AE69" s="114"/>
      <c r="AF69" s="85"/>
      <c r="AG69" s="67"/>
      <c r="AH69" s="67"/>
      <c r="AI69" s="85"/>
      <c r="AJ69" s="85"/>
      <c r="AK69" s="85"/>
      <c r="AL69" s="85"/>
    </row>
    <row r="70" spans="1:38">
      <c r="A70" s="26"/>
      <c r="B70" s="111"/>
      <c r="C70" s="26"/>
      <c r="D70" s="26"/>
      <c r="E70" s="26"/>
      <c r="F70" s="26"/>
      <c r="G70" s="26"/>
      <c r="H70" s="26"/>
      <c r="I70" s="26"/>
      <c r="J70" s="26"/>
      <c r="K70" s="112"/>
      <c r="L70" s="26"/>
      <c r="M70" s="26"/>
      <c r="N70" s="26"/>
      <c r="O70" s="113"/>
      <c r="P70" s="26"/>
      <c r="Q70" s="26"/>
      <c r="R70" s="26"/>
      <c r="S70" s="26"/>
      <c r="T70" s="26"/>
      <c r="U70" s="26"/>
      <c r="V70" s="26"/>
      <c r="W70" s="26"/>
      <c r="X70" s="26"/>
      <c r="Y70" s="26"/>
      <c r="Z70" s="26"/>
      <c r="AA70" s="26"/>
      <c r="AB70" s="26"/>
      <c r="AC70" s="26"/>
      <c r="AD70" s="26"/>
      <c r="AE70" s="114"/>
      <c r="AF70" s="85"/>
      <c r="AG70" s="67"/>
      <c r="AH70" s="67"/>
      <c r="AI70" s="85"/>
      <c r="AJ70" s="85"/>
      <c r="AK70" s="85"/>
      <c r="AL70" s="85"/>
    </row>
    <row r="71" spans="1:38">
      <c r="A71" s="26"/>
      <c r="B71" s="111"/>
      <c r="C71" s="26"/>
      <c r="D71" s="26"/>
      <c r="E71" s="26"/>
      <c r="F71" s="26"/>
      <c r="G71" s="26"/>
      <c r="H71" s="26"/>
      <c r="I71" s="26"/>
      <c r="J71" s="26"/>
      <c r="K71" s="112"/>
      <c r="L71" s="26"/>
      <c r="M71" s="26"/>
      <c r="N71" s="26"/>
      <c r="O71" s="113"/>
      <c r="P71" s="26"/>
      <c r="Q71" s="26"/>
      <c r="R71" s="26"/>
      <c r="S71" s="26"/>
      <c r="T71" s="26"/>
      <c r="U71" s="26"/>
      <c r="V71" s="26"/>
      <c r="W71" s="26"/>
      <c r="X71" s="26"/>
      <c r="Y71" s="26"/>
      <c r="Z71" s="26"/>
      <c r="AA71" s="26"/>
      <c r="AB71" s="26"/>
      <c r="AC71" s="26"/>
      <c r="AD71" s="26"/>
      <c r="AE71" s="114"/>
      <c r="AF71" s="85"/>
      <c r="AG71" s="67"/>
      <c r="AH71" s="67"/>
      <c r="AI71" s="85"/>
      <c r="AJ71" s="85"/>
      <c r="AK71" s="85"/>
      <c r="AL71" s="85"/>
    </row>
    <row r="72" spans="1:38">
      <c r="A72" s="26"/>
      <c r="B72" s="111"/>
      <c r="C72" s="26"/>
      <c r="D72" s="26"/>
      <c r="E72" s="26"/>
      <c r="F72" s="26"/>
      <c r="G72" s="26"/>
      <c r="H72" s="26"/>
      <c r="I72" s="26"/>
      <c r="J72" s="26"/>
      <c r="K72" s="112"/>
      <c r="L72" s="26"/>
      <c r="M72" s="26"/>
      <c r="N72" s="26"/>
      <c r="O72" s="113"/>
      <c r="P72" s="26"/>
      <c r="Q72" s="26"/>
      <c r="R72" s="26"/>
      <c r="S72" s="26"/>
      <c r="T72" s="26"/>
      <c r="U72" s="26"/>
      <c r="V72" s="26"/>
      <c r="W72" s="26"/>
      <c r="X72" s="26"/>
      <c r="Y72" s="26"/>
      <c r="Z72" s="26"/>
      <c r="AA72" s="26"/>
      <c r="AB72" s="26"/>
      <c r="AC72" s="26"/>
      <c r="AD72" s="26"/>
      <c r="AE72" s="114"/>
      <c r="AF72" s="85"/>
      <c r="AG72" s="67"/>
      <c r="AH72" s="67"/>
      <c r="AI72" s="85"/>
      <c r="AJ72" s="85"/>
      <c r="AK72" s="85"/>
      <c r="AL72" s="85"/>
    </row>
    <row r="73" spans="1:38">
      <c r="A73" s="26"/>
      <c r="B73" s="111"/>
      <c r="C73" s="26"/>
      <c r="D73" s="26"/>
      <c r="E73" s="26"/>
      <c r="F73" s="26"/>
      <c r="G73" s="26"/>
      <c r="H73" s="26"/>
      <c r="I73" s="26"/>
      <c r="J73" s="26"/>
      <c r="K73" s="112"/>
      <c r="L73" s="26"/>
      <c r="M73" s="26"/>
      <c r="N73" s="26"/>
      <c r="O73" s="113"/>
      <c r="P73" s="26"/>
      <c r="Q73" s="26"/>
      <c r="R73" s="26"/>
      <c r="S73" s="26"/>
      <c r="T73" s="26"/>
      <c r="U73" s="26"/>
      <c r="V73" s="26"/>
      <c r="W73" s="26"/>
      <c r="X73" s="26"/>
      <c r="Y73" s="26"/>
      <c r="Z73" s="26"/>
      <c r="AA73" s="26"/>
      <c r="AB73" s="26"/>
      <c r="AC73" s="26"/>
      <c r="AD73" s="26"/>
      <c r="AE73" s="114"/>
      <c r="AF73" s="85"/>
      <c r="AG73" s="67"/>
      <c r="AH73" s="67"/>
      <c r="AI73" s="85"/>
      <c r="AJ73" s="85"/>
      <c r="AK73" s="85"/>
      <c r="AL73" s="85"/>
    </row>
    <row r="74" spans="1:38">
      <c r="A74" s="26"/>
      <c r="B74" s="111"/>
      <c r="C74" s="26"/>
      <c r="D74" s="26"/>
      <c r="E74" s="26"/>
      <c r="F74" s="26"/>
      <c r="G74" s="26"/>
      <c r="H74" s="26"/>
      <c r="I74" s="26"/>
      <c r="J74" s="26"/>
      <c r="K74" s="112"/>
      <c r="L74" s="26"/>
      <c r="M74" s="26"/>
      <c r="N74" s="26"/>
      <c r="O74" s="113"/>
      <c r="P74" s="26"/>
      <c r="Q74" s="26"/>
      <c r="R74" s="26"/>
      <c r="S74" s="26"/>
      <c r="T74" s="26"/>
      <c r="U74" s="26"/>
      <c r="V74" s="26"/>
      <c r="W74" s="26"/>
      <c r="X74" s="26"/>
      <c r="Y74" s="26"/>
      <c r="Z74" s="26"/>
      <c r="AA74" s="26"/>
      <c r="AB74" s="26"/>
      <c r="AC74" s="26"/>
      <c r="AD74" s="26"/>
      <c r="AE74" s="114"/>
      <c r="AF74" s="85"/>
      <c r="AG74" s="67"/>
      <c r="AH74" s="67"/>
      <c r="AI74" s="85"/>
      <c r="AJ74" s="85"/>
      <c r="AK74" s="85"/>
      <c r="AL74" s="85"/>
    </row>
    <row r="75" spans="1:38">
      <c r="A75" s="26"/>
      <c r="B75" s="111"/>
      <c r="C75" s="26"/>
      <c r="D75" s="26"/>
      <c r="E75" s="26"/>
      <c r="F75" s="26"/>
      <c r="G75" s="26"/>
      <c r="H75" s="26"/>
      <c r="I75" s="26"/>
      <c r="J75" s="26"/>
      <c r="K75" s="112"/>
      <c r="L75" s="26"/>
      <c r="M75" s="26"/>
      <c r="N75" s="26"/>
      <c r="O75" s="113"/>
      <c r="P75" s="26"/>
      <c r="Q75" s="26"/>
      <c r="R75" s="26"/>
      <c r="S75" s="26"/>
      <c r="T75" s="26"/>
      <c r="U75" s="26"/>
      <c r="V75" s="26"/>
      <c r="W75" s="26"/>
      <c r="X75" s="26"/>
      <c r="Y75" s="26"/>
      <c r="Z75" s="26"/>
      <c r="AA75" s="26"/>
      <c r="AB75" s="26"/>
      <c r="AC75" s="26"/>
      <c r="AD75" s="26"/>
      <c r="AE75" s="114"/>
      <c r="AF75" s="85"/>
      <c r="AG75" s="67"/>
      <c r="AH75" s="67"/>
      <c r="AI75" s="85"/>
      <c r="AJ75" s="85"/>
      <c r="AK75" s="85"/>
      <c r="AL75" s="85"/>
    </row>
    <row r="76" spans="1:38">
      <c r="A76" s="26"/>
      <c r="B76" s="111"/>
      <c r="C76" s="26"/>
      <c r="D76" s="26"/>
      <c r="E76" s="26"/>
      <c r="F76" s="26"/>
      <c r="G76" s="26"/>
      <c r="H76" s="26"/>
      <c r="I76" s="26"/>
      <c r="J76" s="26"/>
      <c r="K76" s="112"/>
      <c r="L76" s="26"/>
      <c r="M76" s="26"/>
      <c r="N76" s="26"/>
      <c r="O76" s="113"/>
      <c r="P76" s="26"/>
      <c r="Q76" s="26"/>
      <c r="R76" s="26"/>
      <c r="S76" s="26"/>
      <c r="T76" s="26"/>
      <c r="U76" s="26"/>
      <c r="V76" s="26"/>
      <c r="W76" s="26"/>
      <c r="X76" s="26"/>
      <c r="Y76" s="26"/>
      <c r="Z76" s="26"/>
      <c r="AA76" s="26"/>
      <c r="AB76" s="26"/>
      <c r="AC76" s="26"/>
      <c r="AD76" s="26"/>
      <c r="AE76" s="114"/>
      <c r="AF76" s="85"/>
      <c r="AG76" s="67"/>
      <c r="AH76" s="67"/>
      <c r="AI76" s="85"/>
      <c r="AJ76" s="85"/>
      <c r="AK76" s="85"/>
      <c r="AL76" s="85"/>
    </row>
    <row r="77" spans="1:38">
      <c r="A77" s="26"/>
      <c r="B77" s="111"/>
      <c r="C77" s="26"/>
      <c r="D77" s="26"/>
      <c r="E77" s="26"/>
      <c r="F77" s="26"/>
      <c r="G77" s="26"/>
      <c r="H77" s="26"/>
      <c r="I77" s="26"/>
      <c r="J77" s="26"/>
      <c r="K77" s="112"/>
      <c r="L77" s="26"/>
      <c r="M77" s="26"/>
      <c r="N77" s="26"/>
      <c r="O77" s="113"/>
      <c r="P77" s="26"/>
      <c r="Q77" s="26"/>
      <c r="R77" s="26"/>
      <c r="S77" s="26"/>
      <c r="T77" s="26"/>
      <c r="U77" s="26"/>
      <c r="V77" s="26"/>
      <c r="W77" s="26"/>
      <c r="X77" s="26"/>
      <c r="Y77" s="26"/>
      <c r="Z77" s="26"/>
      <c r="AA77" s="26"/>
      <c r="AB77" s="26"/>
      <c r="AC77" s="26"/>
      <c r="AD77" s="26"/>
      <c r="AE77" s="114"/>
      <c r="AF77" s="85"/>
      <c r="AG77" s="67"/>
      <c r="AH77" s="67"/>
      <c r="AI77" s="85"/>
      <c r="AJ77" s="85"/>
      <c r="AK77" s="85"/>
      <c r="AL77" s="85"/>
    </row>
    <row r="78" spans="1:38">
      <c r="A78" s="26"/>
      <c r="B78" s="111"/>
      <c r="C78" s="26"/>
      <c r="D78" s="26"/>
      <c r="E78" s="26"/>
      <c r="F78" s="26"/>
      <c r="G78" s="26"/>
      <c r="H78" s="26"/>
      <c r="I78" s="26"/>
      <c r="J78" s="26"/>
      <c r="K78" s="112"/>
      <c r="L78" s="26"/>
      <c r="M78" s="26"/>
      <c r="N78" s="26"/>
      <c r="O78" s="113"/>
      <c r="P78" s="26"/>
      <c r="Q78" s="26"/>
      <c r="R78" s="26"/>
      <c r="S78" s="26"/>
      <c r="T78" s="26"/>
      <c r="U78" s="26"/>
      <c r="V78" s="26"/>
      <c r="W78" s="26"/>
      <c r="X78" s="26"/>
      <c r="Y78" s="26"/>
      <c r="Z78" s="26"/>
      <c r="AA78" s="26"/>
      <c r="AB78" s="26"/>
      <c r="AC78" s="26"/>
      <c r="AD78" s="26"/>
      <c r="AE78" s="114"/>
      <c r="AF78" s="85"/>
      <c r="AG78" s="67"/>
      <c r="AH78" s="67"/>
      <c r="AI78" s="85"/>
      <c r="AJ78" s="85"/>
      <c r="AK78" s="85"/>
      <c r="AL78" s="85"/>
    </row>
    <row r="79" spans="1:38">
      <c r="A79" s="26"/>
      <c r="B79" s="111"/>
      <c r="C79" s="26"/>
      <c r="D79" s="26"/>
      <c r="E79" s="26"/>
      <c r="F79" s="26"/>
      <c r="G79" s="26"/>
      <c r="H79" s="26"/>
      <c r="I79" s="26"/>
      <c r="J79" s="26"/>
      <c r="K79" s="112"/>
      <c r="L79" s="26"/>
      <c r="M79" s="26"/>
      <c r="N79" s="26"/>
      <c r="O79" s="113"/>
      <c r="P79" s="26"/>
      <c r="Q79" s="26"/>
      <c r="R79" s="26"/>
      <c r="S79" s="26"/>
      <c r="T79" s="26"/>
      <c r="U79" s="26"/>
      <c r="V79" s="26"/>
      <c r="W79" s="26"/>
      <c r="X79" s="26"/>
      <c r="Y79" s="26"/>
      <c r="Z79" s="26"/>
      <c r="AA79" s="26"/>
      <c r="AB79" s="26"/>
      <c r="AC79" s="26"/>
      <c r="AD79" s="26"/>
      <c r="AE79" s="114"/>
      <c r="AF79" s="85"/>
      <c r="AG79" s="67"/>
      <c r="AH79" s="67"/>
      <c r="AI79" s="85"/>
      <c r="AJ79" s="85"/>
      <c r="AK79" s="85"/>
      <c r="AL79" s="85"/>
    </row>
    <row r="80" spans="1:38">
      <c r="A80" s="26"/>
      <c r="B80" s="111"/>
      <c r="C80" s="26"/>
      <c r="D80" s="26"/>
      <c r="E80" s="26"/>
      <c r="F80" s="26"/>
      <c r="G80" s="26"/>
      <c r="H80" s="26"/>
      <c r="I80" s="26"/>
      <c r="J80" s="26"/>
      <c r="K80" s="112"/>
      <c r="L80" s="26"/>
      <c r="M80" s="26"/>
      <c r="N80" s="26"/>
      <c r="O80" s="113"/>
      <c r="P80" s="26"/>
      <c r="Q80" s="26"/>
      <c r="R80" s="26"/>
      <c r="S80" s="26"/>
      <c r="T80" s="26"/>
      <c r="U80" s="26"/>
      <c r="V80" s="26"/>
      <c r="W80" s="26"/>
      <c r="X80" s="26"/>
      <c r="Y80" s="26"/>
      <c r="Z80" s="26"/>
      <c r="AA80" s="26"/>
      <c r="AB80" s="26"/>
      <c r="AC80" s="26"/>
      <c r="AD80" s="26"/>
      <c r="AE80" s="114"/>
      <c r="AF80" s="85"/>
      <c r="AG80" s="67"/>
      <c r="AH80" s="67"/>
      <c r="AI80" s="85"/>
      <c r="AJ80" s="85"/>
      <c r="AK80" s="85"/>
      <c r="AL80" s="85"/>
    </row>
    <row r="81" spans="1:38">
      <c r="A81" s="26"/>
      <c r="B81" s="111"/>
      <c r="C81" s="26"/>
      <c r="D81" s="26"/>
      <c r="E81" s="26"/>
      <c r="F81" s="26"/>
      <c r="G81" s="26"/>
      <c r="H81" s="26"/>
      <c r="I81" s="26"/>
      <c r="J81" s="26"/>
      <c r="K81" s="112"/>
      <c r="L81" s="26"/>
      <c r="M81" s="26"/>
      <c r="N81" s="26"/>
      <c r="O81" s="113"/>
      <c r="P81" s="26"/>
      <c r="Q81" s="26"/>
      <c r="R81" s="26"/>
      <c r="S81" s="26"/>
      <c r="T81" s="26"/>
      <c r="U81" s="26"/>
      <c r="V81" s="26"/>
      <c r="W81" s="26"/>
      <c r="X81" s="26"/>
      <c r="Y81" s="26"/>
      <c r="Z81" s="26"/>
      <c r="AA81" s="26"/>
      <c r="AB81" s="26"/>
      <c r="AC81" s="26"/>
      <c r="AD81" s="26"/>
      <c r="AE81" s="114"/>
      <c r="AF81" s="85"/>
      <c r="AG81" s="67"/>
      <c r="AH81" s="67"/>
      <c r="AI81" s="85"/>
      <c r="AJ81" s="85"/>
      <c r="AK81" s="85"/>
      <c r="AL81" s="85"/>
    </row>
    <row r="82" spans="1:38">
      <c r="A82" s="26"/>
      <c r="B82" s="111"/>
      <c r="C82" s="26"/>
      <c r="D82" s="26"/>
      <c r="E82" s="26"/>
      <c r="F82" s="26"/>
      <c r="G82" s="26"/>
      <c r="H82" s="26"/>
      <c r="I82" s="26"/>
      <c r="J82" s="26"/>
      <c r="K82" s="112"/>
      <c r="L82" s="26"/>
      <c r="M82" s="26"/>
      <c r="N82" s="26"/>
      <c r="O82" s="113"/>
      <c r="P82" s="26"/>
      <c r="Q82" s="26"/>
      <c r="R82" s="26"/>
      <c r="S82" s="26"/>
      <c r="T82" s="26"/>
      <c r="U82" s="26"/>
      <c r="V82" s="26"/>
      <c r="W82" s="26"/>
      <c r="X82" s="26"/>
      <c r="Y82" s="26"/>
      <c r="Z82" s="26"/>
      <c r="AA82" s="26"/>
      <c r="AB82" s="26"/>
      <c r="AC82" s="26"/>
      <c r="AD82" s="26"/>
      <c r="AE82" s="114"/>
      <c r="AF82" s="85"/>
      <c r="AG82" s="67"/>
      <c r="AH82" s="67"/>
      <c r="AI82" s="85"/>
      <c r="AJ82" s="85"/>
      <c r="AK82" s="85"/>
      <c r="AL82" s="85"/>
    </row>
    <row r="83" spans="1:38">
      <c r="A83" s="26"/>
      <c r="B83" s="111"/>
      <c r="C83" s="26"/>
      <c r="D83" s="26"/>
      <c r="E83" s="26"/>
      <c r="F83" s="26"/>
      <c r="G83" s="26"/>
      <c r="H83" s="26"/>
      <c r="I83" s="26"/>
      <c r="J83" s="26"/>
      <c r="K83" s="112"/>
      <c r="L83" s="26"/>
      <c r="M83" s="26"/>
      <c r="N83" s="26"/>
      <c r="O83" s="113"/>
      <c r="P83" s="26"/>
      <c r="Q83" s="26"/>
      <c r="R83" s="26"/>
      <c r="S83" s="26"/>
      <c r="T83" s="26"/>
      <c r="U83" s="26"/>
      <c r="V83" s="26"/>
      <c r="W83" s="26"/>
      <c r="X83" s="26"/>
      <c r="Y83" s="26"/>
      <c r="Z83" s="26"/>
      <c r="AA83" s="26"/>
      <c r="AB83" s="26"/>
      <c r="AC83" s="26"/>
      <c r="AD83" s="26"/>
      <c r="AE83" s="114"/>
      <c r="AF83" s="85"/>
      <c r="AG83" s="67"/>
      <c r="AH83" s="67"/>
      <c r="AI83" s="85"/>
      <c r="AJ83" s="85"/>
      <c r="AK83" s="85"/>
      <c r="AL83" s="85"/>
    </row>
    <row r="84" spans="1:38">
      <c r="A84" s="26"/>
      <c r="B84" s="111"/>
      <c r="C84" s="26"/>
      <c r="D84" s="26"/>
      <c r="E84" s="26"/>
      <c r="F84" s="26"/>
      <c r="G84" s="26"/>
      <c r="H84" s="26"/>
      <c r="I84" s="26"/>
      <c r="J84" s="26"/>
      <c r="K84" s="112"/>
      <c r="L84" s="26"/>
      <c r="M84" s="26"/>
      <c r="N84" s="26"/>
      <c r="O84" s="113"/>
      <c r="P84" s="26"/>
      <c r="Q84" s="26"/>
      <c r="R84" s="26"/>
      <c r="S84" s="26"/>
      <c r="T84" s="26"/>
      <c r="U84" s="26"/>
      <c r="V84" s="26"/>
      <c r="W84" s="26"/>
      <c r="X84" s="26"/>
      <c r="Y84" s="26"/>
      <c r="Z84" s="26"/>
      <c r="AA84" s="26"/>
      <c r="AB84" s="26"/>
      <c r="AC84" s="26"/>
      <c r="AD84" s="26"/>
      <c r="AE84" s="114"/>
      <c r="AF84" s="85"/>
      <c r="AG84" s="67"/>
      <c r="AH84" s="67"/>
      <c r="AI84" s="85"/>
      <c r="AJ84" s="85"/>
      <c r="AK84" s="85"/>
      <c r="AL84" s="85"/>
    </row>
    <row r="85" spans="1:38">
      <c r="A85" s="26"/>
      <c r="B85" s="111"/>
      <c r="C85" s="26"/>
      <c r="D85" s="26"/>
      <c r="E85" s="26"/>
      <c r="F85" s="26"/>
      <c r="G85" s="26"/>
      <c r="H85" s="26"/>
      <c r="I85" s="26"/>
      <c r="J85" s="26"/>
      <c r="K85" s="112"/>
      <c r="L85" s="26"/>
      <c r="M85" s="26"/>
      <c r="N85" s="26"/>
      <c r="O85" s="113"/>
      <c r="P85" s="26"/>
      <c r="Q85" s="26"/>
      <c r="R85" s="26"/>
      <c r="S85" s="26"/>
      <c r="T85" s="26"/>
      <c r="U85" s="26"/>
      <c r="V85" s="26"/>
      <c r="W85" s="26"/>
      <c r="X85" s="26"/>
      <c r="Y85" s="26"/>
      <c r="Z85" s="26"/>
      <c r="AA85" s="26"/>
      <c r="AB85" s="26"/>
      <c r="AC85" s="26"/>
      <c r="AD85" s="26"/>
      <c r="AE85" s="114"/>
      <c r="AF85" s="85"/>
      <c r="AG85" s="67"/>
      <c r="AH85" s="67"/>
      <c r="AI85" s="85"/>
      <c r="AJ85" s="85"/>
      <c r="AK85" s="85"/>
      <c r="AL85" s="85"/>
    </row>
    <row r="86" spans="1:38">
      <c r="A86" s="26"/>
      <c r="B86" s="111"/>
      <c r="C86" s="26"/>
      <c r="D86" s="26"/>
      <c r="E86" s="26"/>
      <c r="F86" s="26"/>
      <c r="G86" s="26"/>
      <c r="H86" s="26"/>
      <c r="I86" s="26"/>
      <c r="J86" s="26"/>
      <c r="K86" s="112"/>
      <c r="L86" s="26"/>
      <c r="M86" s="26"/>
      <c r="N86" s="26"/>
      <c r="O86" s="113"/>
      <c r="P86" s="26"/>
      <c r="Q86" s="26"/>
      <c r="R86" s="26"/>
      <c r="S86" s="26"/>
      <c r="T86" s="26"/>
      <c r="U86" s="26"/>
      <c r="V86" s="26"/>
      <c r="W86" s="26"/>
      <c r="X86" s="26"/>
      <c r="Y86" s="26"/>
      <c r="Z86" s="26"/>
      <c r="AA86" s="26"/>
      <c r="AB86" s="26"/>
      <c r="AC86" s="26"/>
      <c r="AD86" s="26"/>
      <c r="AE86" s="114"/>
      <c r="AF86" s="85"/>
      <c r="AG86" s="67"/>
      <c r="AH86" s="67"/>
      <c r="AI86" s="85"/>
      <c r="AJ86" s="85"/>
      <c r="AK86" s="85"/>
      <c r="AL86" s="85"/>
    </row>
    <row r="87" spans="1:38">
      <c r="A87" s="26"/>
      <c r="B87" s="111"/>
      <c r="C87" s="26"/>
      <c r="D87" s="26"/>
      <c r="E87" s="26"/>
      <c r="F87" s="26"/>
      <c r="G87" s="26"/>
      <c r="H87" s="26"/>
      <c r="I87" s="26"/>
      <c r="J87" s="26"/>
      <c r="K87" s="112"/>
      <c r="L87" s="26"/>
      <c r="M87" s="26"/>
      <c r="N87" s="26"/>
      <c r="O87" s="113"/>
      <c r="P87" s="26"/>
      <c r="Q87" s="26"/>
      <c r="R87" s="26"/>
      <c r="S87" s="26"/>
      <c r="T87" s="26"/>
      <c r="U87" s="26"/>
      <c r="V87" s="26"/>
      <c r="W87" s="26"/>
      <c r="X87" s="26"/>
      <c r="Y87" s="26"/>
      <c r="Z87" s="26"/>
      <c r="AA87" s="26"/>
      <c r="AB87" s="26"/>
      <c r="AC87" s="26"/>
      <c r="AD87" s="26"/>
      <c r="AE87" s="114"/>
      <c r="AF87" s="85"/>
      <c r="AG87" s="67"/>
      <c r="AH87" s="67"/>
      <c r="AI87" s="85"/>
      <c r="AJ87" s="85"/>
      <c r="AK87" s="85"/>
      <c r="AL87" s="85"/>
    </row>
    <row r="88" spans="1:38">
      <c r="A88" s="26"/>
      <c r="B88" s="111"/>
      <c r="C88" s="26"/>
      <c r="D88" s="26"/>
      <c r="E88" s="26"/>
      <c r="F88" s="26"/>
      <c r="G88" s="26"/>
      <c r="H88" s="26"/>
      <c r="I88" s="26"/>
      <c r="J88" s="26"/>
      <c r="K88" s="112"/>
      <c r="L88" s="26"/>
      <c r="M88" s="26"/>
      <c r="N88" s="26"/>
      <c r="O88" s="113"/>
      <c r="P88" s="26"/>
      <c r="Q88" s="26"/>
      <c r="R88" s="26"/>
      <c r="S88" s="26"/>
      <c r="T88" s="26"/>
      <c r="U88" s="26"/>
      <c r="V88" s="26"/>
      <c r="W88" s="26"/>
      <c r="X88" s="26"/>
      <c r="Y88" s="26"/>
      <c r="Z88" s="26"/>
      <c r="AA88" s="26"/>
      <c r="AB88" s="26"/>
      <c r="AC88" s="26"/>
      <c r="AD88" s="26"/>
      <c r="AE88" s="114"/>
      <c r="AF88" s="85"/>
      <c r="AG88" s="67"/>
      <c r="AH88" s="67"/>
      <c r="AI88" s="85"/>
      <c r="AJ88" s="85"/>
      <c r="AK88" s="85"/>
      <c r="AL88" s="85"/>
    </row>
    <row r="89" spans="1:38">
      <c r="A89" s="26"/>
      <c r="B89" s="111"/>
      <c r="C89" s="26"/>
      <c r="D89" s="26"/>
      <c r="E89" s="26"/>
      <c r="F89" s="26"/>
      <c r="G89" s="26"/>
      <c r="H89" s="26"/>
      <c r="I89" s="26"/>
      <c r="J89" s="26"/>
      <c r="K89" s="112"/>
      <c r="L89" s="26"/>
      <c r="M89" s="26"/>
      <c r="N89" s="26"/>
      <c r="O89" s="113"/>
      <c r="P89" s="26"/>
      <c r="Q89" s="26"/>
      <c r="R89" s="26"/>
      <c r="S89" s="26"/>
      <c r="T89" s="26"/>
      <c r="U89" s="26"/>
      <c r="V89" s="26"/>
      <c r="W89" s="26"/>
      <c r="X89" s="26"/>
      <c r="Y89" s="26"/>
      <c r="Z89" s="26"/>
      <c r="AA89" s="26"/>
      <c r="AB89" s="26"/>
      <c r="AC89" s="26"/>
      <c r="AD89" s="26"/>
      <c r="AE89" s="114"/>
      <c r="AF89" s="85"/>
      <c r="AG89" s="67"/>
      <c r="AH89" s="67"/>
      <c r="AI89" s="85"/>
      <c r="AJ89" s="85"/>
      <c r="AK89" s="85"/>
      <c r="AL89" s="85"/>
    </row>
    <row r="90" spans="1:38">
      <c r="A90" s="26"/>
      <c r="B90" s="111"/>
      <c r="C90" s="26"/>
      <c r="D90" s="26"/>
      <c r="E90" s="26"/>
      <c r="F90" s="26"/>
      <c r="G90" s="26"/>
      <c r="H90" s="26"/>
      <c r="I90" s="26"/>
      <c r="J90" s="26"/>
      <c r="K90" s="112"/>
      <c r="L90" s="26"/>
      <c r="M90" s="26"/>
      <c r="N90" s="26"/>
      <c r="O90" s="113"/>
      <c r="P90" s="26"/>
      <c r="Q90" s="26"/>
      <c r="R90" s="26"/>
      <c r="S90" s="26"/>
      <c r="T90" s="26"/>
      <c r="U90" s="26"/>
      <c r="V90" s="26"/>
      <c r="W90" s="26"/>
      <c r="X90" s="26"/>
      <c r="Y90" s="26"/>
      <c r="Z90" s="26"/>
      <c r="AA90" s="26"/>
      <c r="AB90" s="26"/>
      <c r="AC90" s="26"/>
      <c r="AD90" s="26"/>
      <c r="AE90" s="114"/>
      <c r="AF90" s="85"/>
      <c r="AG90" s="67"/>
      <c r="AH90" s="67"/>
      <c r="AI90" s="85"/>
      <c r="AJ90" s="85"/>
      <c r="AK90" s="85"/>
      <c r="AL90" s="85"/>
    </row>
    <row r="91" spans="1:38">
      <c r="A91" s="26"/>
      <c r="B91" s="111"/>
      <c r="C91" s="26"/>
      <c r="D91" s="26"/>
      <c r="E91" s="26"/>
      <c r="F91" s="26"/>
      <c r="G91" s="26"/>
      <c r="H91" s="26"/>
      <c r="I91" s="26"/>
      <c r="J91" s="26"/>
      <c r="K91" s="112"/>
      <c r="L91" s="26"/>
      <c r="M91" s="26"/>
      <c r="N91" s="26"/>
      <c r="O91" s="113"/>
      <c r="P91" s="26"/>
      <c r="Q91" s="26"/>
      <c r="R91" s="26"/>
      <c r="S91" s="26"/>
      <c r="T91" s="26"/>
      <c r="U91" s="26"/>
      <c r="V91" s="26"/>
      <c r="W91" s="26"/>
      <c r="X91" s="26"/>
      <c r="Y91" s="26"/>
      <c r="Z91" s="26"/>
      <c r="AA91" s="26"/>
      <c r="AB91" s="26"/>
      <c r="AC91" s="26"/>
      <c r="AD91" s="26"/>
      <c r="AE91" s="114"/>
      <c r="AF91" s="85"/>
      <c r="AG91" s="67"/>
      <c r="AH91" s="67"/>
      <c r="AI91" s="85"/>
      <c r="AJ91" s="85"/>
      <c r="AK91" s="85"/>
      <c r="AL91" s="85"/>
    </row>
    <row r="92" spans="1:38">
      <c r="A92" s="26"/>
      <c r="B92" s="111"/>
      <c r="C92" s="26"/>
      <c r="D92" s="26"/>
      <c r="E92" s="26"/>
      <c r="F92" s="26"/>
      <c r="G92" s="26"/>
      <c r="H92" s="26"/>
      <c r="I92" s="26"/>
      <c r="J92" s="26"/>
      <c r="K92" s="112"/>
      <c r="L92" s="26"/>
      <c r="M92" s="26"/>
      <c r="N92" s="26"/>
      <c r="O92" s="113"/>
      <c r="P92" s="26"/>
      <c r="Q92" s="26"/>
      <c r="R92" s="26"/>
      <c r="S92" s="26"/>
      <c r="T92" s="26"/>
      <c r="U92" s="26"/>
      <c r="V92" s="26"/>
      <c r="W92" s="26"/>
      <c r="X92" s="26"/>
      <c r="Y92" s="26"/>
      <c r="Z92" s="26"/>
      <c r="AA92" s="26"/>
      <c r="AB92" s="26"/>
      <c r="AC92" s="26"/>
      <c r="AD92" s="26"/>
      <c r="AE92" s="114"/>
      <c r="AF92" s="85"/>
      <c r="AG92" s="67"/>
      <c r="AH92" s="67"/>
      <c r="AI92" s="85"/>
      <c r="AJ92" s="85"/>
      <c r="AK92" s="85"/>
      <c r="AL92" s="85"/>
    </row>
    <row r="93" spans="1:38">
      <c r="A93" s="26"/>
      <c r="B93" s="111"/>
      <c r="C93" s="26"/>
      <c r="D93" s="26"/>
      <c r="E93" s="26"/>
      <c r="F93" s="26"/>
      <c r="G93" s="26"/>
      <c r="H93" s="26"/>
      <c r="I93" s="26"/>
      <c r="J93" s="26"/>
      <c r="K93" s="112"/>
      <c r="L93" s="26"/>
      <c r="M93" s="26"/>
      <c r="N93" s="26"/>
      <c r="O93" s="113"/>
      <c r="P93" s="26"/>
      <c r="Q93" s="26"/>
      <c r="R93" s="26"/>
      <c r="S93" s="26"/>
      <c r="T93" s="26"/>
      <c r="U93" s="26"/>
      <c r="V93" s="26"/>
      <c r="W93" s="26"/>
      <c r="X93" s="26"/>
      <c r="Y93" s="26"/>
      <c r="Z93" s="26"/>
      <c r="AA93" s="26"/>
      <c r="AB93" s="26"/>
      <c r="AC93" s="26"/>
      <c r="AD93" s="26"/>
      <c r="AE93" s="114"/>
      <c r="AF93" s="85"/>
      <c r="AG93" s="67"/>
      <c r="AH93" s="67"/>
      <c r="AI93" s="85"/>
      <c r="AJ93" s="85"/>
      <c r="AK93" s="85"/>
      <c r="AL93" s="85"/>
    </row>
    <row r="94" spans="1:38">
      <c r="A94" s="26"/>
      <c r="B94" s="111"/>
      <c r="C94" s="26"/>
      <c r="D94" s="26"/>
      <c r="E94" s="26"/>
      <c r="F94" s="26"/>
      <c r="G94" s="26"/>
      <c r="H94" s="26"/>
      <c r="I94" s="26"/>
      <c r="J94" s="26"/>
      <c r="K94" s="112"/>
      <c r="L94" s="26"/>
      <c r="M94" s="26"/>
      <c r="N94" s="26"/>
      <c r="O94" s="113"/>
      <c r="P94" s="26"/>
      <c r="Q94" s="26"/>
      <c r="R94" s="26"/>
      <c r="S94" s="26"/>
      <c r="T94" s="26"/>
      <c r="U94" s="26"/>
      <c r="V94" s="26"/>
      <c r="W94" s="26"/>
      <c r="X94" s="26"/>
      <c r="Y94" s="26"/>
      <c r="Z94" s="26"/>
      <c r="AA94" s="26"/>
      <c r="AB94" s="26"/>
      <c r="AC94" s="26"/>
      <c r="AD94" s="26"/>
      <c r="AE94" s="114"/>
      <c r="AF94" s="85"/>
      <c r="AG94" s="67"/>
      <c r="AH94" s="67"/>
      <c r="AI94" s="85"/>
      <c r="AJ94" s="85"/>
      <c r="AK94" s="85"/>
      <c r="AL94" s="85"/>
    </row>
    <row r="95" spans="1:38">
      <c r="A95" s="26"/>
      <c r="B95" s="111"/>
      <c r="C95" s="26"/>
      <c r="D95" s="26"/>
      <c r="E95" s="26"/>
      <c r="F95" s="26"/>
      <c r="G95" s="26"/>
      <c r="H95" s="26"/>
      <c r="I95" s="26"/>
      <c r="J95" s="26"/>
      <c r="K95" s="112"/>
      <c r="L95" s="26"/>
      <c r="M95" s="26"/>
      <c r="N95" s="26"/>
      <c r="O95" s="113"/>
      <c r="P95" s="26"/>
      <c r="Q95" s="26"/>
      <c r="R95" s="26"/>
      <c r="S95" s="26"/>
      <c r="T95" s="26"/>
      <c r="U95" s="26"/>
      <c r="V95" s="26"/>
      <c r="W95" s="26"/>
      <c r="X95" s="26"/>
      <c r="Y95" s="26"/>
      <c r="Z95" s="26"/>
      <c r="AA95" s="26"/>
      <c r="AB95" s="26"/>
      <c r="AC95" s="26"/>
      <c r="AD95" s="26"/>
      <c r="AE95" s="114"/>
      <c r="AF95" s="85"/>
      <c r="AG95" s="67"/>
      <c r="AH95" s="67"/>
      <c r="AI95" s="85"/>
      <c r="AJ95" s="85"/>
      <c r="AK95" s="85"/>
      <c r="AL95" s="85"/>
    </row>
    <row r="96" spans="1:38">
      <c r="A96" s="26"/>
      <c r="B96" s="111"/>
      <c r="C96" s="26"/>
      <c r="D96" s="26"/>
      <c r="E96" s="26"/>
      <c r="F96" s="26"/>
      <c r="G96" s="26"/>
      <c r="H96" s="26"/>
      <c r="I96" s="26"/>
      <c r="J96" s="26"/>
      <c r="K96" s="112"/>
      <c r="L96" s="26"/>
      <c r="M96" s="26"/>
      <c r="N96" s="26"/>
      <c r="O96" s="113"/>
      <c r="P96" s="26"/>
      <c r="Q96" s="26"/>
      <c r="R96" s="26"/>
      <c r="S96" s="26"/>
      <c r="T96" s="26"/>
      <c r="U96" s="26"/>
      <c r="V96" s="26"/>
      <c r="W96" s="26"/>
      <c r="X96" s="26"/>
      <c r="Y96" s="26"/>
      <c r="Z96" s="26"/>
      <c r="AA96" s="26"/>
      <c r="AB96" s="26"/>
      <c r="AC96" s="26"/>
      <c r="AD96" s="26"/>
      <c r="AE96" s="114"/>
      <c r="AF96" s="85"/>
      <c r="AG96" s="67"/>
      <c r="AH96" s="67"/>
      <c r="AI96" s="85"/>
      <c r="AJ96" s="85"/>
      <c r="AK96" s="85"/>
      <c r="AL96" s="85"/>
    </row>
    <row r="97" spans="1:38">
      <c r="A97" s="26"/>
      <c r="B97" s="111"/>
      <c r="C97" s="26"/>
      <c r="D97" s="26"/>
      <c r="E97" s="26"/>
      <c r="F97" s="26"/>
      <c r="G97" s="26"/>
      <c r="H97" s="26"/>
      <c r="I97" s="26"/>
      <c r="J97" s="26"/>
      <c r="K97" s="112"/>
      <c r="L97" s="26"/>
      <c r="M97" s="26"/>
      <c r="N97" s="26"/>
      <c r="O97" s="113"/>
      <c r="P97" s="26"/>
      <c r="Q97" s="26"/>
      <c r="R97" s="26"/>
      <c r="S97" s="26"/>
      <c r="T97" s="26"/>
      <c r="U97" s="26"/>
      <c r="V97" s="26"/>
      <c r="W97" s="26"/>
      <c r="X97" s="26"/>
      <c r="Y97" s="26"/>
      <c r="Z97" s="26"/>
      <c r="AA97" s="26"/>
      <c r="AB97" s="26"/>
      <c r="AC97" s="26"/>
      <c r="AD97" s="26"/>
      <c r="AE97" s="114"/>
      <c r="AF97" s="85"/>
      <c r="AG97" s="67"/>
      <c r="AH97" s="67"/>
      <c r="AI97" s="85"/>
      <c r="AJ97" s="85"/>
      <c r="AK97" s="85"/>
      <c r="AL97" s="85"/>
    </row>
    <row r="98" spans="1:38">
      <c r="A98" s="26"/>
      <c r="B98" s="111"/>
      <c r="C98" s="26"/>
      <c r="D98" s="26"/>
      <c r="E98" s="26"/>
      <c r="F98" s="26"/>
      <c r="G98" s="26"/>
      <c r="H98" s="26"/>
      <c r="I98" s="26"/>
      <c r="J98" s="26"/>
      <c r="K98" s="112"/>
      <c r="L98" s="26"/>
      <c r="M98" s="26"/>
      <c r="N98" s="26"/>
      <c r="O98" s="113"/>
      <c r="P98" s="26"/>
      <c r="Q98" s="26"/>
      <c r="R98" s="26"/>
      <c r="S98" s="26"/>
      <c r="T98" s="26"/>
      <c r="U98" s="26"/>
      <c r="V98" s="26"/>
      <c r="W98" s="26"/>
      <c r="X98" s="26"/>
      <c r="Y98" s="26"/>
      <c r="Z98" s="26"/>
      <c r="AA98" s="26"/>
      <c r="AB98" s="26"/>
      <c r="AC98" s="26"/>
      <c r="AD98" s="26"/>
      <c r="AE98" s="114"/>
      <c r="AF98" s="85"/>
      <c r="AG98" s="67"/>
      <c r="AH98" s="67"/>
      <c r="AI98" s="85"/>
      <c r="AJ98" s="85"/>
      <c r="AK98" s="85"/>
      <c r="AL98" s="85"/>
    </row>
    <row r="99" spans="1:38">
      <c r="A99" s="26"/>
      <c r="B99" s="111"/>
      <c r="C99" s="26"/>
      <c r="D99" s="26"/>
      <c r="E99" s="26"/>
      <c r="F99" s="26"/>
      <c r="G99" s="26"/>
      <c r="H99" s="26"/>
      <c r="I99" s="26"/>
      <c r="J99" s="26"/>
      <c r="K99" s="112"/>
      <c r="L99" s="26"/>
      <c r="M99" s="26"/>
      <c r="N99" s="26"/>
      <c r="O99" s="113"/>
      <c r="P99" s="26"/>
      <c r="Q99" s="26"/>
      <c r="R99" s="26"/>
      <c r="S99" s="26"/>
      <c r="T99" s="26"/>
      <c r="U99" s="26"/>
      <c r="V99" s="26"/>
      <c r="W99" s="26"/>
      <c r="X99" s="26"/>
      <c r="Y99" s="26"/>
      <c r="Z99" s="26"/>
      <c r="AA99" s="26"/>
      <c r="AB99" s="26"/>
      <c r="AC99" s="26"/>
      <c r="AD99" s="26"/>
      <c r="AE99" s="114"/>
      <c r="AF99" s="85"/>
      <c r="AG99" s="67"/>
      <c r="AH99" s="67"/>
      <c r="AI99" s="85"/>
      <c r="AJ99" s="85"/>
      <c r="AK99" s="85"/>
      <c r="AL99" s="85"/>
    </row>
    <row r="100" spans="1:38">
      <c r="A100" s="26"/>
      <c r="B100" s="111"/>
      <c r="C100" s="26"/>
      <c r="D100" s="26"/>
      <c r="E100" s="26"/>
      <c r="F100" s="26"/>
      <c r="G100" s="26"/>
      <c r="H100" s="26"/>
      <c r="I100" s="26"/>
      <c r="J100" s="26"/>
      <c r="K100" s="112"/>
      <c r="L100" s="26"/>
      <c r="M100" s="26"/>
      <c r="N100" s="26"/>
      <c r="O100" s="113"/>
      <c r="P100" s="26"/>
      <c r="Q100" s="26"/>
      <c r="R100" s="26"/>
      <c r="S100" s="26"/>
      <c r="T100" s="26"/>
      <c r="U100" s="26"/>
      <c r="V100" s="26"/>
      <c r="W100" s="26"/>
      <c r="X100" s="26"/>
      <c r="Y100" s="26"/>
      <c r="Z100" s="26"/>
      <c r="AA100" s="26"/>
      <c r="AB100" s="26"/>
      <c r="AC100" s="26"/>
      <c r="AD100" s="26"/>
      <c r="AE100" s="114"/>
      <c r="AF100" s="85"/>
      <c r="AG100" s="67"/>
      <c r="AH100" s="67"/>
      <c r="AI100" s="85"/>
      <c r="AJ100" s="85"/>
      <c r="AK100" s="85"/>
      <c r="AL100" s="85"/>
    </row>
    <row r="101" spans="1:38">
      <c r="A101" s="26"/>
      <c r="B101" s="111"/>
      <c r="C101" s="26"/>
      <c r="D101" s="26"/>
      <c r="E101" s="26"/>
      <c r="F101" s="26"/>
      <c r="G101" s="26"/>
      <c r="H101" s="26"/>
      <c r="I101" s="26"/>
      <c r="J101" s="26"/>
      <c r="K101" s="112"/>
      <c r="L101" s="26"/>
      <c r="M101" s="26"/>
      <c r="N101" s="26"/>
      <c r="O101" s="113"/>
      <c r="P101" s="26"/>
      <c r="Q101" s="26"/>
      <c r="R101" s="26"/>
      <c r="S101" s="26"/>
      <c r="T101" s="26"/>
      <c r="U101" s="26"/>
      <c r="V101" s="26"/>
      <c r="W101" s="26"/>
      <c r="X101" s="26"/>
      <c r="Y101" s="26"/>
      <c r="Z101" s="26"/>
      <c r="AA101" s="26"/>
      <c r="AB101" s="26"/>
      <c r="AC101" s="26"/>
      <c r="AD101" s="26"/>
      <c r="AE101" s="114"/>
      <c r="AF101" s="85"/>
      <c r="AG101" s="67"/>
      <c r="AH101" s="67"/>
      <c r="AI101" s="85"/>
      <c r="AJ101" s="85"/>
      <c r="AK101" s="85"/>
      <c r="AL101" s="85"/>
    </row>
    <row r="102" spans="1:38">
      <c r="A102" s="26"/>
      <c r="B102" s="111"/>
      <c r="C102" s="26"/>
      <c r="D102" s="26"/>
      <c r="E102" s="26"/>
      <c r="F102" s="26"/>
      <c r="G102" s="26"/>
      <c r="H102" s="26"/>
      <c r="I102" s="26"/>
      <c r="J102" s="26"/>
      <c r="K102" s="112"/>
      <c r="L102" s="26"/>
      <c r="M102" s="26"/>
      <c r="N102" s="26"/>
      <c r="O102" s="113"/>
      <c r="P102" s="26"/>
      <c r="Q102" s="26"/>
      <c r="R102" s="26"/>
      <c r="S102" s="26"/>
      <c r="T102" s="26"/>
      <c r="U102" s="26"/>
      <c r="V102" s="26"/>
      <c r="W102" s="26"/>
      <c r="X102" s="26"/>
      <c r="Y102" s="26"/>
      <c r="Z102" s="26"/>
      <c r="AA102" s="26"/>
      <c r="AB102" s="26"/>
      <c r="AC102" s="26"/>
      <c r="AD102" s="26"/>
      <c r="AE102" s="114"/>
      <c r="AF102" s="85"/>
      <c r="AG102" s="67"/>
      <c r="AH102" s="67"/>
      <c r="AI102" s="85"/>
      <c r="AJ102" s="85"/>
      <c r="AK102" s="85"/>
      <c r="AL102" s="85"/>
    </row>
    <row r="103" spans="1:38">
      <c r="A103" s="26"/>
      <c r="B103" s="111"/>
      <c r="C103" s="26"/>
      <c r="D103" s="26"/>
      <c r="E103" s="26"/>
      <c r="F103" s="26"/>
      <c r="G103" s="26"/>
      <c r="H103" s="26"/>
      <c r="I103" s="26"/>
      <c r="J103" s="26"/>
      <c r="K103" s="112"/>
      <c r="L103" s="26"/>
      <c r="M103" s="26"/>
      <c r="N103" s="26"/>
      <c r="O103" s="113"/>
      <c r="P103" s="26"/>
      <c r="Q103" s="26"/>
      <c r="R103" s="26"/>
      <c r="S103" s="26"/>
      <c r="T103" s="26"/>
      <c r="U103" s="26"/>
      <c r="V103" s="26"/>
      <c r="W103" s="26"/>
      <c r="X103" s="26"/>
      <c r="Y103" s="26"/>
      <c r="Z103" s="26"/>
      <c r="AA103" s="26"/>
      <c r="AB103" s="26"/>
      <c r="AC103" s="26"/>
      <c r="AD103" s="26"/>
      <c r="AE103" s="114"/>
      <c r="AF103" s="85"/>
      <c r="AG103" s="67"/>
      <c r="AH103" s="67"/>
      <c r="AI103" s="85"/>
      <c r="AJ103" s="85"/>
      <c r="AK103" s="85"/>
      <c r="AL103" s="85"/>
    </row>
    <row r="104" spans="1:38">
      <c r="A104" s="26"/>
      <c r="B104" s="111"/>
      <c r="C104" s="26"/>
      <c r="D104" s="26"/>
      <c r="E104" s="26"/>
      <c r="F104" s="26"/>
      <c r="G104" s="26"/>
      <c r="H104" s="26"/>
      <c r="I104" s="26"/>
      <c r="J104" s="26"/>
      <c r="K104" s="112"/>
      <c r="L104" s="26"/>
      <c r="M104" s="26"/>
      <c r="N104" s="26"/>
      <c r="O104" s="113"/>
      <c r="P104" s="26"/>
      <c r="Q104" s="26"/>
      <c r="R104" s="26"/>
      <c r="S104" s="26"/>
      <c r="T104" s="26"/>
      <c r="U104" s="26"/>
      <c r="V104" s="26"/>
      <c r="W104" s="26"/>
      <c r="X104" s="26"/>
      <c r="Y104" s="26"/>
      <c r="Z104" s="26"/>
      <c r="AA104" s="26"/>
      <c r="AB104" s="26"/>
      <c r="AC104" s="26"/>
      <c r="AD104" s="26"/>
      <c r="AE104" s="114"/>
      <c r="AF104" s="85"/>
      <c r="AG104" s="67"/>
      <c r="AH104" s="67"/>
      <c r="AI104" s="85"/>
      <c r="AJ104" s="85"/>
      <c r="AK104" s="85"/>
      <c r="AL104" s="85"/>
    </row>
    <row r="105" spans="1:38">
      <c r="A105" s="26"/>
      <c r="B105" s="111"/>
      <c r="C105" s="26"/>
      <c r="D105" s="26"/>
      <c r="E105" s="26"/>
      <c r="F105" s="26"/>
      <c r="G105" s="26"/>
      <c r="H105" s="26"/>
      <c r="I105" s="26"/>
      <c r="J105" s="26"/>
      <c r="K105" s="112"/>
      <c r="L105" s="26"/>
      <c r="M105" s="26"/>
      <c r="N105" s="26"/>
      <c r="O105" s="113"/>
      <c r="P105" s="26"/>
      <c r="Q105" s="26"/>
      <c r="R105" s="26"/>
      <c r="S105" s="26"/>
      <c r="T105" s="26"/>
      <c r="U105" s="26"/>
      <c r="V105" s="26"/>
      <c r="W105" s="26"/>
      <c r="X105" s="26"/>
      <c r="Y105" s="26"/>
      <c r="Z105" s="26"/>
      <c r="AA105" s="26"/>
      <c r="AB105" s="26"/>
      <c r="AC105" s="26"/>
      <c r="AD105" s="26"/>
      <c r="AE105" s="114"/>
      <c r="AF105" s="85"/>
      <c r="AG105" s="67"/>
      <c r="AH105" s="67"/>
      <c r="AI105" s="85"/>
      <c r="AJ105" s="85"/>
      <c r="AK105" s="85"/>
      <c r="AL105" s="85"/>
    </row>
    <row r="106" spans="1:38">
      <c r="A106" s="26"/>
      <c r="B106" s="111"/>
      <c r="C106" s="26"/>
      <c r="D106" s="26"/>
      <c r="E106" s="26"/>
      <c r="F106" s="26"/>
      <c r="G106" s="26"/>
      <c r="H106" s="26"/>
      <c r="I106" s="26"/>
      <c r="J106" s="26"/>
      <c r="K106" s="112"/>
      <c r="L106" s="26"/>
      <c r="M106" s="26"/>
      <c r="N106" s="26"/>
      <c r="O106" s="113"/>
      <c r="P106" s="26"/>
      <c r="Q106" s="26"/>
      <c r="R106" s="26"/>
      <c r="S106" s="26"/>
      <c r="T106" s="26"/>
      <c r="U106" s="26"/>
      <c r="V106" s="26"/>
      <c r="W106" s="26"/>
      <c r="X106" s="26"/>
      <c r="Y106" s="26"/>
      <c r="Z106" s="26"/>
      <c r="AA106" s="26"/>
      <c r="AB106" s="26"/>
      <c r="AC106" s="26"/>
      <c r="AD106" s="26"/>
      <c r="AE106" s="114"/>
      <c r="AF106" s="85"/>
      <c r="AG106" s="67"/>
      <c r="AH106" s="67"/>
      <c r="AI106" s="85"/>
      <c r="AJ106" s="85"/>
      <c r="AK106" s="85"/>
      <c r="AL106" s="85"/>
    </row>
    <row r="107" spans="1:38">
      <c r="A107" s="26"/>
      <c r="B107" s="111"/>
      <c r="C107" s="26"/>
      <c r="D107" s="26"/>
      <c r="E107" s="26"/>
      <c r="F107" s="26"/>
      <c r="G107" s="26"/>
      <c r="H107" s="26"/>
      <c r="I107" s="26"/>
      <c r="J107" s="26"/>
      <c r="K107" s="112"/>
      <c r="L107" s="26"/>
      <c r="M107" s="26"/>
      <c r="N107" s="26"/>
      <c r="O107" s="113"/>
      <c r="P107" s="26"/>
      <c r="Q107" s="26"/>
      <c r="R107" s="26"/>
      <c r="S107" s="26"/>
      <c r="T107" s="26"/>
      <c r="U107" s="26"/>
      <c r="V107" s="26"/>
      <c r="W107" s="26"/>
      <c r="X107" s="26"/>
      <c r="Y107" s="26"/>
      <c r="Z107" s="26"/>
      <c r="AA107" s="26"/>
      <c r="AB107" s="26"/>
      <c r="AC107" s="26"/>
      <c r="AD107" s="26"/>
      <c r="AE107" s="114"/>
      <c r="AF107" s="85"/>
      <c r="AG107" s="67"/>
      <c r="AH107" s="67"/>
      <c r="AI107" s="85"/>
      <c r="AJ107" s="85"/>
      <c r="AK107" s="85"/>
      <c r="AL107" s="85"/>
    </row>
    <row r="108" spans="1:38">
      <c r="A108" s="26"/>
      <c r="B108" s="111"/>
      <c r="C108" s="26"/>
      <c r="D108" s="26"/>
      <c r="E108" s="26"/>
      <c r="F108" s="26"/>
      <c r="G108" s="26"/>
      <c r="H108" s="26"/>
      <c r="I108" s="26"/>
      <c r="J108" s="26"/>
      <c r="K108" s="112"/>
      <c r="L108" s="26"/>
      <c r="M108" s="26"/>
      <c r="N108" s="26"/>
      <c r="O108" s="113"/>
      <c r="P108" s="26"/>
      <c r="Q108" s="26"/>
      <c r="R108" s="26"/>
      <c r="S108" s="26"/>
      <c r="T108" s="26"/>
      <c r="U108" s="26"/>
      <c r="V108" s="26"/>
      <c r="W108" s="26"/>
      <c r="X108" s="26"/>
      <c r="Y108" s="26"/>
      <c r="Z108" s="26"/>
      <c r="AA108" s="26"/>
      <c r="AB108" s="26"/>
      <c r="AC108" s="26"/>
      <c r="AD108" s="26"/>
      <c r="AE108" s="114"/>
      <c r="AF108" s="85"/>
      <c r="AG108" s="67"/>
      <c r="AH108" s="67"/>
      <c r="AI108" s="85"/>
      <c r="AJ108" s="85"/>
      <c r="AK108" s="85"/>
      <c r="AL108" s="85"/>
    </row>
    <row r="109" spans="1:38">
      <c r="A109" s="26"/>
      <c r="B109" s="111"/>
      <c r="C109" s="26"/>
      <c r="D109" s="26"/>
      <c r="E109" s="26"/>
      <c r="F109" s="26"/>
      <c r="G109" s="26"/>
      <c r="H109" s="26"/>
      <c r="I109" s="26"/>
      <c r="J109" s="26"/>
      <c r="K109" s="112"/>
      <c r="L109" s="26"/>
      <c r="M109" s="26"/>
      <c r="N109" s="26"/>
      <c r="O109" s="113"/>
      <c r="P109" s="26"/>
      <c r="Q109" s="26"/>
      <c r="R109" s="26"/>
      <c r="S109" s="26"/>
      <c r="T109" s="26"/>
      <c r="U109" s="26"/>
      <c r="V109" s="26"/>
      <c r="W109" s="26"/>
      <c r="X109" s="26"/>
      <c r="Y109" s="26"/>
      <c r="Z109" s="26"/>
      <c r="AA109" s="26"/>
      <c r="AB109" s="26"/>
      <c r="AC109" s="26"/>
      <c r="AD109" s="26"/>
      <c r="AE109" s="114"/>
      <c r="AF109" s="85"/>
      <c r="AG109" s="67"/>
      <c r="AH109" s="67"/>
      <c r="AI109" s="85"/>
      <c r="AJ109" s="85"/>
      <c r="AK109" s="85"/>
      <c r="AL109" s="85"/>
    </row>
    <row r="110" spans="1:38">
      <c r="A110" s="26"/>
      <c r="B110" s="111"/>
      <c r="C110" s="26"/>
      <c r="D110" s="26"/>
      <c r="E110" s="26"/>
      <c r="F110" s="26"/>
      <c r="G110" s="26"/>
      <c r="H110" s="26"/>
      <c r="I110" s="26"/>
      <c r="J110" s="26"/>
      <c r="K110" s="112"/>
      <c r="L110" s="26"/>
      <c r="M110" s="26"/>
      <c r="N110" s="26"/>
      <c r="O110" s="113"/>
      <c r="P110" s="26"/>
      <c r="Q110" s="26"/>
      <c r="R110" s="26"/>
      <c r="S110" s="26"/>
      <c r="T110" s="26"/>
      <c r="U110" s="26"/>
      <c r="V110" s="26"/>
      <c r="W110" s="26"/>
      <c r="X110" s="26"/>
      <c r="Y110" s="26"/>
      <c r="Z110" s="26"/>
      <c r="AA110" s="26"/>
      <c r="AB110" s="26"/>
      <c r="AC110" s="26"/>
      <c r="AD110" s="26"/>
      <c r="AE110" s="114"/>
      <c r="AF110" s="85"/>
      <c r="AG110" s="67"/>
      <c r="AH110" s="67"/>
      <c r="AI110" s="85"/>
      <c r="AJ110" s="85"/>
      <c r="AK110" s="85"/>
      <c r="AL110" s="85"/>
    </row>
    <row r="111" spans="1:38">
      <c r="A111" s="26"/>
      <c r="B111" s="111"/>
      <c r="C111" s="26"/>
      <c r="D111" s="26"/>
      <c r="E111" s="26"/>
      <c r="F111" s="26"/>
      <c r="G111" s="26"/>
      <c r="H111" s="26"/>
      <c r="I111" s="26"/>
      <c r="J111" s="26"/>
      <c r="K111" s="112"/>
      <c r="L111" s="26"/>
      <c r="M111" s="26"/>
      <c r="N111" s="26"/>
      <c r="O111" s="113"/>
      <c r="P111" s="26"/>
      <c r="Q111" s="26"/>
      <c r="R111" s="26"/>
      <c r="S111" s="26"/>
      <c r="T111" s="26"/>
      <c r="U111" s="26"/>
      <c r="V111" s="26"/>
      <c r="W111" s="26"/>
      <c r="X111" s="26"/>
      <c r="Y111" s="26"/>
      <c r="Z111" s="26"/>
      <c r="AA111" s="26"/>
      <c r="AB111" s="26"/>
      <c r="AC111" s="26"/>
      <c r="AD111" s="26"/>
      <c r="AE111" s="114"/>
      <c r="AF111" s="85"/>
      <c r="AG111" s="67"/>
      <c r="AH111" s="67"/>
      <c r="AI111" s="85"/>
      <c r="AJ111" s="85"/>
      <c r="AK111" s="85"/>
      <c r="AL111" s="85"/>
    </row>
    <row r="112" spans="1:38">
      <c r="A112" s="26"/>
      <c r="B112" s="111"/>
      <c r="C112" s="26"/>
      <c r="D112" s="26"/>
      <c r="E112" s="26"/>
      <c r="F112" s="26"/>
      <c r="G112" s="26"/>
      <c r="H112" s="26"/>
      <c r="I112" s="26"/>
      <c r="J112" s="26"/>
      <c r="K112" s="112"/>
      <c r="L112" s="26"/>
      <c r="M112" s="26"/>
      <c r="N112" s="26"/>
      <c r="O112" s="113"/>
      <c r="P112" s="26"/>
      <c r="Q112" s="26"/>
      <c r="R112" s="26"/>
      <c r="S112" s="26"/>
      <c r="T112" s="26"/>
      <c r="U112" s="26"/>
      <c r="V112" s="26"/>
      <c r="W112" s="26"/>
      <c r="X112" s="26"/>
      <c r="Y112" s="26"/>
      <c r="Z112" s="26"/>
      <c r="AA112" s="26"/>
      <c r="AB112" s="26"/>
      <c r="AC112" s="26"/>
      <c r="AD112" s="26"/>
      <c r="AE112" s="114"/>
      <c r="AF112" s="85"/>
      <c r="AG112" s="67"/>
      <c r="AH112" s="67"/>
      <c r="AI112" s="85"/>
      <c r="AJ112" s="85"/>
      <c r="AK112" s="85"/>
      <c r="AL112" s="85"/>
    </row>
    <row r="113" spans="1:38">
      <c r="A113" s="26"/>
      <c r="B113" s="111"/>
      <c r="C113" s="26"/>
      <c r="D113" s="26"/>
      <c r="E113" s="26"/>
      <c r="F113" s="26"/>
      <c r="G113" s="26"/>
      <c r="H113" s="26"/>
      <c r="I113" s="26"/>
      <c r="J113" s="26"/>
      <c r="K113" s="112"/>
      <c r="L113" s="26"/>
      <c r="M113" s="26"/>
      <c r="N113" s="26"/>
      <c r="O113" s="113"/>
      <c r="P113" s="26"/>
      <c r="Q113" s="26"/>
      <c r="R113" s="26"/>
      <c r="S113" s="26"/>
      <c r="T113" s="26"/>
      <c r="U113" s="26"/>
      <c r="V113" s="26"/>
      <c r="W113" s="26"/>
      <c r="X113" s="26"/>
      <c r="Y113" s="26"/>
      <c r="Z113" s="26"/>
      <c r="AA113" s="26"/>
      <c r="AB113" s="26"/>
      <c r="AC113" s="26"/>
      <c r="AD113" s="26"/>
      <c r="AE113" s="114"/>
      <c r="AF113" s="85"/>
      <c r="AG113" s="67"/>
      <c r="AH113" s="67"/>
      <c r="AI113" s="85"/>
      <c r="AJ113" s="85"/>
      <c r="AK113" s="85"/>
      <c r="AL113" s="85"/>
    </row>
    <row r="114" spans="1:38">
      <c r="A114" s="26"/>
      <c r="B114" s="111"/>
      <c r="C114" s="26"/>
      <c r="D114" s="26"/>
      <c r="E114" s="26"/>
      <c r="F114" s="26"/>
      <c r="G114" s="26"/>
      <c r="H114" s="26"/>
      <c r="I114" s="26"/>
      <c r="J114" s="26"/>
      <c r="K114" s="112"/>
      <c r="L114" s="26"/>
      <c r="M114" s="26"/>
      <c r="N114" s="26"/>
      <c r="O114" s="113"/>
      <c r="P114" s="26"/>
      <c r="Q114" s="26"/>
      <c r="R114" s="26"/>
      <c r="S114" s="26"/>
      <c r="T114" s="26"/>
      <c r="U114" s="26"/>
      <c r="V114" s="26"/>
      <c r="W114" s="26"/>
      <c r="X114" s="26"/>
      <c r="Y114" s="26"/>
      <c r="Z114" s="26"/>
      <c r="AA114" s="26"/>
      <c r="AB114" s="26"/>
      <c r="AC114" s="26"/>
      <c r="AD114" s="26"/>
      <c r="AE114" s="114"/>
      <c r="AF114" s="85"/>
      <c r="AG114" s="67"/>
      <c r="AH114" s="67"/>
      <c r="AI114" s="85"/>
      <c r="AJ114" s="85"/>
      <c r="AK114" s="85"/>
      <c r="AL114" s="85"/>
    </row>
    <row r="115" spans="1:38">
      <c r="A115" s="26"/>
      <c r="B115" s="111"/>
      <c r="C115" s="26"/>
      <c r="D115" s="26"/>
      <c r="E115" s="26"/>
      <c r="F115" s="26"/>
      <c r="G115" s="26"/>
      <c r="H115" s="26"/>
      <c r="I115" s="26"/>
      <c r="J115" s="26"/>
      <c r="K115" s="112"/>
      <c r="L115" s="26"/>
      <c r="M115" s="26"/>
      <c r="N115" s="26"/>
      <c r="O115" s="113"/>
      <c r="P115" s="26"/>
      <c r="Q115" s="26"/>
      <c r="R115" s="26"/>
      <c r="S115" s="26"/>
      <c r="T115" s="26"/>
      <c r="U115" s="26"/>
      <c r="V115" s="26"/>
      <c r="W115" s="26"/>
      <c r="X115" s="26"/>
      <c r="Y115" s="26"/>
      <c r="Z115" s="26"/>
      <c r="AA115" s="26"/>
      <c r="AB115" s="26"/>
      <c r="AC115" s="26"/>
      <c r="AD115" s="26"/>
      <c r="AE115" s="114"/>
      <c r="AF115" s="85"/>
      <c r="AG115" s="67"/>
      <c r="AH115" s="67"/>
      <c r="AI115" s="85"/>
      <c r="AJ115" s="85"/>
      <c r="AK115" s="85"/>
      <c r="AL115" s="85"/>
    </row>
    <row r="116" spans="1:38">
      <c r="A116" s="26"/>
      <c r="B116" s="111"/>
      <c r="C116" s="26"/>
      <c r="D116" s="26"/>
      <c r="E116" s="26"/>
      <c r="F116" s="26"/>
      <c r="G116" s="26"/>
      <c r="H116" s="26"/>
      <c r="I116" s="26"/>
      <c r="J116" s="26"/>
      <c r="K116" s="112"/>
      <c r="L116" s="26"/>
      <c r="M116" s="26"/>
      <c r="N116" s="26"/>
      <c r="O116" s="113"/>
      <c r="P116" s="26"/>
      <c r="Q116" s="26"/>
      <c r="R116" s="26"/>
      <c r="S116" s="26"/>
      <c r="T116" s="26"/>
      <c r="U116" s="26"/>
      <c r="V116" s="26"/>
      <c r="W116" s="26"/>
      <c r="X116" s="26"/>
      <c r="Y116" s="26"/>
      <c r="Z116" s="26"/>
      <c r="AA116" s="26"/>
      <c r="AB116" s="26"/>
      <c r="AC116" s="26"/>
      <c r="AD116" s="26"/>
      <c r="AE116" s="114"/>
      <c r="AF116" s="85"/>
      <c r="AG116" s="67"/>
      <c r="AH116" s="67"/>
      <c r="AI116" s="85"/>
      <c r="AJ116" s="85"/>
      <c r="AK116" s="85"/>
      <c r="AL116" s="85"/>
    </row>
    <row r="117" spans="1:38">
      <c r="A117" s="26"/>
      <c r="B117" s="111"/>
      <c r="C117" s="26"/>
      <c r="D117" s="26"/>
      <c r="E117" s="26"/>
      <c r="F117" s="26"/>
      <c r="G117" s="26"/>
      <c r="H117" s="26"/>
      <c r="I117" s="26"/>
      <c r="J117" s="26"/>
      <c r="K117" s="112"/>
      <c r="L117" s="26"/>
      <c r="M117" s="26"/>
      <c r="N117" s="26"/>
      <c r="O117" s="113"/>
      <c r="P117" s="26"/>
      <c r="Q117" s="26"/>
      <c r="R117" s="26"/>
      <c r="S117" s="26"/>
      <c r="T117" s="26"/>
      <c r="U117" s="26"/>
      <c r="V117" s="26"/>
      <c r="W117" s="26"/>
      <c r="X117" s="26"/>
      <c r="Y117" s="26"/>
      <c r="Z117" s="26"/>
      <c r="AA117" s="26"/>
      <c r="AB117" s="26"/>
      <c r="AC117" s="26"/>
      <c r="AD117" s="26"/>
      <c r="AE117" s="114"/>
      <c r="AF117" s="85"/>
      <c r="AG117" s="67"/>
      <c r="AH117" s="67"/>
      <c r="AI117" s="85"/>
      <c r="AJ117" s="85"/>
      <c r="AK117" s="85"/>
      <c r="AL117" s="85"/>
    </row>
    <row r="118" spans="1:38">
      <c r="A118" s="26"/>
      <c r="B118" s="111"/>
      <c r="C118" s="26"/>
      <c r="D118" s="26"/>
      <c r="E118" s="26"/>
      <c r="F118" s="26"/>
      <c r="G118" s="26"/>
      <c r="H118" s="26"/>
      <c r="I118" s="26"/>
      <c r="J118" s="26"/>
      <c r="K118" s="112"/>
      <c r="L118" s="26"/>
      <c r="M118" s="26"/>
      <c r="N118" s="26"/>
      <c r="O118" s="113"/>
      <c r="P118" s="26"/>
      <c r="Q118" s="26"/>
      <c r="R118" s="26"/>
      <c r="S118" s="26"/>
      <c r="T118" s="26"/>
      <c r="U118" s="26"/>
      <c r="V118" s="26"/>
      <c r="W118" s="26"/>
      <c r="X118" s="26"/>
      <c r="Y118" s="26"/>
      <c r="Z118" s="26"/>
      <c r="AA118" s="26"/>
      <c r="AB118" s="26"/>
      <c r="AC118" s="26"/>
      <c r="AD118" s="26"/>
      <c r="AE118" s="114"/>
      <c r="AF118" s="85"/>
      <c r="AG118" s="67"/>
      <c r="AH118" s="67"/>
      <c r="AI118" s="85"/>
      <c r="AJ118" s="85"/>
      <c r="AK118" s="85"/>
      <c r="AL118" s="85"/>
    </row>
    <row r="119" spans="1:38">
      <c r="A119" s="26"/>
      <c r="B119" s="111"/>
      <c r="C119" s="26"/>
      <c r="D119" s="26"/>
      <c r="E119" s="26"/>
      <c r="F119" s="26"/>
      <c r="G119" s="26"/>
      <c r="H119" s="26"/>
      <c r="I119" s="26"/>
      <c r="J119" s="26"/>
      <c r="K119" s="112"/>
      <c r="L119" s="26"/>
      <c r="M119" s="26"/>
      <c r="N119" s="26"/>
      <c r="O119" s="113"/>
      <c r="P119" s="26"/>
      <c r="Q119" s="26"/>
      <c r="R119" s="26"/>
      <c r="S119" s="26"/>
      <c r="T119" s="26"/>
      <c r="U119" s="26"/>
      <c r="V119" s="26"/>
      <c r="W119" s="26"/>
      <c r="X119" s="26"/>
      <c r="Y119" s="26"/>
      <c r="Z119" s="26"/>
      <c r="AA119" s="26"/>
      <c r="AB119" s="26"/>
      <c r="AC119" s="26"/>
      <c r="AD119" s="26"/>
      <c r="AE119" s="114"/>
      <c r="AF119" s="85"/>
      <c r="AG119" s="67"/>
      <c r="AH119" s="67"/>
      <c r="AI119" s="85"/>
      <c r="AJ119" s="85"/>
      <c r="AK119" s="85"/>
      <c r="AL119" s="85"/>
    </row>
    <row r="120" spans="1:38">
      <c r="A120" s="26"/>
      <c r="B120" s="111"/>
      <c r="C120" s="26"/>
      <c r="D120" s="26"/>
      <c r="E120" s="26"/>
      <c r="F120" s="26"/>
      <c r="G120" s="26"/>
      <c r="H120" s="26"/>
      <c r="I120" s="26"/>
      <c r="J120" s="26"/>
      <c r="K120" s="112"/>
      <c r="L120" s="26"/>
      <c r="M120" s="26"/>
      <c r="N120" s="26"/>
      <c r="O120" s="113"/>
      <c r="P120" s="26"/>
      <c r="Q120" s="26"/>
      <c r="R120" s="26"/>
      <c r="S120" s="26"/>
      <c r="T120" s="26"/>
      <c r="U120" s="26"/>
      <c r="V120" s="26"/>
      <c r="W120" s="26"/>
      <c r="X120" s="26"/>
      <c r="Y120" s="26"/>
      <c r="Z120" s="26"/>
      <c r="AA120" s="26"/>
      <c r="AB120" s="26"/>
      <c r="AC120" s="26"/>
      <c r="AD120" s="26"/>
      <c r="AE120" s="114"/>
      <c r="AF120" s="85"/>
      <c r="AG120" s="67"/>
      <c r="AH120" s="67"/>
      <c r="AI120" s="85"/>
      <c r="AJ120" s="85"/>
      <c r="AK120" s="85"/>
      <c r="AL120" s="85"/>
    </row>
    <row r="121" spans="1:38">
      <c r="A121" s="26"/>
      <c r="B121" s="111"/>
      <c r="C121" s="26"/>
      <c r="D121" s="26"/>
      <c r="E121" s="26"/>
      <c r="F121" s="26"/>
      <c r="G121" s="26"/>
      <c r="H121" s="26"/>
      <c r="I121" s="26"/>
      <c r="J121" s="26"/>
      <c r="K121" s="112"/>
      <c r="L121" s="26"/>
      <c r="M121" s="26"/>
      <c r="N121" s="26"/>
      <c r="O121" s="113"/>
      <c r="P121" s="26"/>
      <c r="Q121" s="26"/>
      <c r="R121" s="26"/>
      <c r="S121" s="26"/>
      <c r="T121" s="26"/>
      <c r="U121" s="26"/>
      <c r="V121" s="26"/>
      <c r="W121" s="26"/>
      <c r="X121" s="26"/>
      <c r="Y121" s="26"/>
      <c r="Z121" s="26"/>
      <c r="AA121" s="26"/>
      <c r="AB121" s="26"/>
      <c r="AC121" s="26"/>
      <c r="AD121" s="26"/>
      <c r="AE121" s="114"/>
      <c r="AF121" s="85"/>
      <c r="AG121" s="67"/>
      <c r="AH121" s="67"/>
      <c r="AI121" s="85"/>
      <c r="AJ121" s="85"/>
      <c r="AK121" s="85"/>
      <c r="AL121" s="85"/>
    </row>
    <row r="122" spans="1:38">
      <c r="A122" s="26"/>
      <c r="B122" s="111"/>
      <c r="C122" s="26"/>
      <c r="D122" s="26"/>
      <c r="E122" s="26"/>
      <c r="F122" s="26"/>
      <c r="G122" s="26"/>
      <c r="H122" s="26"/>
      <c r="I122" s="26"/>
      <c r="J122" s="26"/>
      <c r="K122" s="112"/>
      <c r="L122" s="26"/>
      <c r="M122" s="26"/>
      <c r="N122" s="26"/>
      <c r="O122" s="113"/>
      <c r="P122" s="26"/>
      <c r="Q122" s="26"/>
      <c r="R122" s="26"/>
      <c r="S122" s="26"/>
      <c r="T122" s="26"/>
      <c r="U122" s="26"/>
      <c r="V122" s="26"/>
      <c r="W122" s="26"/>
      <c r="X122" s="26"/>
      <c r="Y122" s="26"/>
      <c r="Z122" s="26"/>
      <c r="AA122" s="26"/>
      <c r="AB122" s="26"/>
      <c r="AC122" s="26"/>
      <c r="AD122" s="26"/>
      <c r="AE122" s="114"/>
      <c r="AF122" s="85"/>
      <c r="AG122" s="67"/>
      <c r="AH122" s="67"/>
      <c r="AI122" s="85"/>
      <c r="AJ122" s="85"/>
      <c r="AK122" s="85"/>
      <c r="AL122" s="85"/>
    </row>
    <row r="123" spans="1:38">
      <c r="A123" s="26"/>
      <c r="B123" s="111"/>
      <c r="C123" s="26"/>
      <c r="D123" s="26"/>
      <c r="E123" s="26"/>
      <c r="F123" s="26"/>
      <c r="G123" s="26"/>
      <c r="H123" s="26"/>
      <c r="I123" s="26"/>
      <c r="J123" s="26"/>
      <c r="K123" s="112"/>
      <c r="L123" s="26"/>
      <c r="M123" s="26"/>
      <c r="N123" s="26"/>
      <c r="O123" s="113"/>
      <c r="P123" s="26"/>
      <c r="Q123" s="26"/>
      <c r="R123" s="26"/>
      <c r="S123" s="26"/>
      <c r="T123" s="26"/>
      <c r="U123" s="26"/>
      <c r="V123" s="26"/>
      <c r="W123" s="26"/>
      <c r="X123" s="26"/>
      <c r="Y123" s="26"/>
      <c r="Z123" s="26"/>
      <c r="AA123" s="26"/>
      <c r="AB123" s="26"/>
      <c r="AC123" s="26"/>
      <c r="AD123" s="26"/>
      <c r="AE123" s="114"/>
      <c r="AF123" s="85"/>
      <c r="AG123" s="67"/>
      <c r="AH123" s="67"/>
      <c r="AI123" s="85"/>
      <c r="AJ123" s="85"/>
      <c r="AK123" s="85"/>
      <c r="AL123" s="85"/>
    </row>
    <row r="124" spans="1:38">
      <c r="A124" s="26"/>
      <c r="B124" s="111"/>
      <c r="C124" s="26"/>
      <c r="D124" s="26"/>
      <c r="E124" s="26"/>
      <c r="F124" s="26"/>
      <c r="G124" s="26"/>
      <c r="H124" s="26"/>
      <c r="I124" s="26"/>
      <c r="J124" s="26"/>
      <c r="K124" s="112"/>
      <c r="L124" s="26"/>
      <c r="M124" s="26"/>
      <c r="N124" s="26"/>
      <c r="O124" s="113"/>
      <c r="P124" s="26"/>
      <c r="Q124" s="26"/>
      <c r="R124" s="26"/>
      <c r="S124" s="26"/>
      <c r="T124" s="26"/>
      <c r="U124" s="26"/>
      <c r="V124" s="26"/>
      <c r="W124" s="26"/>
      <c r="X124" s="26"/>
      <c r="Y124" s="26"/>
      <c r="Z124" s="26"/>
      <c r="AA124" s="26"/>
      <c r="AB124" s="26"/>
      <c r="AC124" s="26"/>
      <c r="AD124" s="26"/>
      <c r="AE124" s="114"/>
      <c r="AF124" s="85"/>
      <c r="AG124" s="67"/>
      <c r="AH124" s="67"/>
      <c r="AI124" s="85"/>
      <c r="AJ124" s="85"/>
      <c r="AK124" s="85"/>
      <c r="AL124" s="85"/>
    </row>
    <row r="125" spans="1:38">
      <c r="A125" s="26"/>
      <c r="B125" s="111"/>
      <c r="C125" s="26"/>
      <c r="D125" s="26"/>
      <c r="E125" s="26"/>
      <c r="F125" s="26"/>
      <c r="G125" s="26"/>
      <c r="H125" s="26"/>
      <c r="I125" s="26"/>
      <c r="J125" s="26"/>
      <c r="K125" s="112"/>
      <c r="L125" s="26"/>
      <c r="M125" s="26"/>
      <c r="N125" s="26"/>
      <c r="O125" s="113"/>
      <c r="P125" s="26"/>
      <c r="Q125" s="26"/>
      <c r="R125" s="26"/>
      <c r="S125" s="26"/>
      <c r="T125" s="26"/>
      <c r="U125" s="26"/>
      <c r="V125" s="26"/>
      <c r="W125" s="26"/>
      <c r="X125" s="26"/>
      <c r="Y125" s="26"/>
      <c r="Z125" s="26"/>
      <c r="AA125" s="26"/>
      <c r="AB125" s="26"/>
      <c r="AC125" s="26"/>
      <c r="AD125" s="26"/>
      <c r="AE125" s="114"/>
      <c r="AF125" s="85"/>
      <c r="AG125" s="67"/>
      <c r="AH125" s="67"/>
      <c r="AI125" s="85"/>
      <c r="AJ125" s="85"/>
      <c r="AK125" s="85"/>
      <c r="AL125" s="85"/>
    </row>
    <row r="126" spans="1:38">
      <c r="A126" s="26"/>
      <c r="B126" s="111"/>
      <c r="C126" s="26"/>
      <c r="D126" s="26"/>
      <c r="E126" s="26"/>
      <c r="F126" s="26"/>
      <c r="G126" s="26"/>
      <c r="H126" s="26"/>
      <c r="I126" s="26"/>
      <c r="J126" s="26"/>
      <c r="K126" s="112"/>
      <c r="L126" s="26"/>
      <c r="M126" s="26"/>
      <c r="N126" s="26"/>
      <c r="O126" s="113"/>
      <c r="P126" s="26"/>
      <c r="Q126" s="26"/>
      <c r="R126" s="26"/>
      <c r="S126" s="26"/>
      <c r="T126" s="26"/>
      <c r="U126" s="26"/>
      <c r="V126" s="26"/>
      <c r="W126" s="26"/>
      <c r="X126" s="26"/>
      <c r="Y126" s="26"/>
      <c r="Z126" s="26"/>
      <c r="AA126" s="26"/>
      <c r="AB126" s="26"/>
      <c r="AC126" s="26"/>
      <c r="AD126" s="26"/>
      <c r="AE126" s="114"/>
      <c r="AF126" s="85"/>
      <c r="AG126" s="67"/>
      <c r="AH126" s="67"/>
      <c r="AI126" s="85"/>
      <c r="AJ126" s="85"/>
      <c r="AK126" s="85"/>
      <c r="AL126" s="85"/>
    </row>
    <row r="127" spans="1:38">
      <c r="A127" s="26"/>
      <c r="B127" s="111"/>
      <c r="C127" s="26"/>
      <c r="D127" s="26"/>
      <c r="E127" s="26"/>
      <c r="F127" s="26"/>
      <c r="G127" s="26"/>
      <c r="H127" s="26"/>
      <c r="I127" s="26"/>
      <c r="J127" s="26"/>
      <c r="K127" s="112"/>
      <c r="L127" s="26"/>
      <c r="M127" s="26"/>
      <c r="N127" s="26"/>
      <c r="O127" s="113"/>
      <c r="P127" s="26"/>
      <c r="Q127" s="26"/>
      <c r="R127" s="26"/>
      <c r="S127" s="26"/>
      <c r="T127" s="26"/>
      <c r="U127" s="26"/>
      <c r="V127" s="26"/>
      <c r="W127" s="26"/>
      <c r="X127" s="26"/>
      <c r="Y127" s="26"/>
      <c r="Z127" s="26"/>
      <c r="AA127" s="26"/>
      <c r="AB127" s="26"/>
      <c r="AC127" s="26"/>
      <c r="AD127" s="26"/>
      <c r="AE127" s="114"/>
      <c r="AF127" s="85"/>
      <c r="AG127" s="67"/>
      <c r="AH127" s="67"/>
      <c r="AI127" s="85"/>
      <c r="AJ127" s="85"/>
      <c r="AK127" s="85"/>
      <c r="AL127" s="85"/>
    </row>
    <row r="128" spans="1:38">
      <c r="A128" s="26"/>
      <c r="B128" s="111"/>
      <c r="C128" s="26"/>
      <c r="D128" s="26"/>
      <c r="E128" s="26"/>
      <c r="F128" s="26"/>
      <c r="G128" s="26"/>
      <c r="H128" s="26"/>
      <c r="I128" s="26"/>
      <c r="J128" s="26"/>
      <c r="K128" s="112"/>
      <c r="L128" s="26"/>
      <c r="M128" s="26"/>
      <c r="N128" s="26"/>
      <c r="O128" s="113"/>
      <c r="P128" s="26"/>
      <c r="Q128" s="26"/>
      <c r="R128" s="26"/>
      <c r="S128" s="26"/>
      <c r="T128" s="26"/>
      <c r="U128" s="26"/>
      <c r="V128" s="26"/>
      <c r="W128" s="26"/>
      <c r="X128" s="26"/>
      <c r="Y128" s="26"/>
      <c r="Z128" s="26"/>
      <c r="AA128" s="26"/>
      <c r="AB128" s="26"/>
      <c r="AC128" s="26"/>
      <c r="AD128" s="26"/>
      <c r="AE128" s="114"/>
      <c r="AF128" s="85"/>
      <c r="AG128" s="67"/>
      <c r="AH128" s="67"/>
      <c r="AI128" s="85"/>
      <c r="AJ128" s="85"/>
      <c r="AK128" s="85"/>
      <c r="AL128" s="85"/>
    </row>
    <row r="129" spans="1:38">
      <c r="A129" s="26"/>
      <c r="B129" s="111"/>
      <c r="C129" s="26"/>
      <c r="D129" s="26"/>
      <c r="E129" s="26"/>
      <c r="F129" s="26"/>
      <c r="G129" s="26"/>
      <c r="H129" s="26"/>
      <c r="I129" s="26"/>
      <c r="J129" s="26"/>
      <c r="K129" s="112"/>
      <c r="L129" s="26"/>
      <c r="M129" s="26"/>
      <c r="N129" s="26"/>
      <c r="O129" s="113"/>
      <c r="P129" s="26"/>
      <c r="Q129" s="26"/>
      <c r="R129" s="26"/>
      <c r="S129" s="26"/>
      <c r="T129" s="26"/>
      <c r="U129" s="26"/>
      <c r="V129" s="26"/>
      <c r="W129" s="26"/>
      <c r="X129" s="26"/>
      <c r="Y129" s="26"/>
      <c r="Z129" s="26"/>
      <c r="AA129" s="26"/>
      <c r="AB129" s="26"/>
      <c r="AC129" s="26"/>
      <c r="AD129" s="26"/>
      <c r="AE129" s="114"/>
      <c r="AF129" s="85"/>
      <c r="AG129" s="67"/>
      <c r="AH129" s="67"/>
      <c r="AI129" s="85"/>
      <c r="AJ129" s="85"/>
      <c r="AK129" s="85"/>
      <c r="AL129" s="85"/>
    </row>
    <row r="130" spans="1:38">
      <c r="A130" s="26"/>
      <c r="B130" s="111"/>
      <c r="C130" s="26"/>
      <c r="D130" s="26"/>
      <c r="E130" s="26"/>
      <c r="F130" s="26"/>
      <c r="G130" s="26"/>
      <c r="H130" s="26"/>
      <c r="I130" s="26"/>
      <c r="J130" s="26"/>
      <c r="K130" s="112"/>
      <c r="L130" s="26"/>
      <c r="M130" s="26"/>
      <c r="N130" s="26"/>
      <c r="O130" s="113"/>
      <c r="P130" s="26"/>
      <c r="Q130" s="26"/>
      <c r="R130" s="26"/>
      <c r="S130" s="26"/>
      <c r="T130" s="26"/>
      <c r="U130" s="26"/>
      <c r="V130" s="26"/>
      <c r="W130" s="26"/>
      <c r="X130" s="26"/>
      <c r="Y130" s="26"/>
      <c r="Z130" s="26"/>
      <c r="AA130" s="26"/>
      <c r="AB130" s="26"/>
      <c r="AC130" s="26"/>
      <c r="AD130" s="26"/>
      <c r="AE130" s="114"/>
      <c r="AF130" s="85"/>
      <c r="AG130" s="67"/>
      <c r="AH130" s="67"/>
      <c r="AI130" s="85"/>
      <c r="AJ130" s="85"/>
      <c r="AK130" s="85"/>
      <c r="AL130" s="85"/>
    </row>
    <row r="131" spans="1:38">
      <c r="A131" s="26"/>
      <c r="B131" s="111"/>
      <c r="C131" s="26"/>
      <c r="D131" s="26"/>
      <c r="E131" s="26"/>
      <c r="F131" s="26"/>
      <c r="G131" s="26"/>
      <c r="H131" s="26"/>
      <c r="I131" s="26"/>
      <c r="J131" s="26"/>
      <c r="K131" s="112"/>
      <c r="L131" s="26"/>
      <c r="M131" s="26"/>
      <c r="N131" s="26"/>
      <c r="O131" s="113"/>
      <c r="P131" s="26"/>
      <c r="Q131" s="26"/>
      <c r="R131" s="26"/>
      <c r="S131" s="26"/>
      <c r="T131" s="26"/>
      <c r="U131" s="26"/>
      <c r="V131" s="26"/>
      <c r="W131" s="26"/>
      <c r="X131" s="26"/>
      <c r="Y131" s="26"/>
      <c r="Z131" s="26"/>
      <c r="AA131" s="26"/>
      <c r="AB131" s="26"/>
      <c r="AC131" s="26"/>
      <c r="AD131" s="26"/>
      <c r="AE131" s="114"/>
      <c r="AF131" s="85"/>
      <c r="AG131" s="67"/>
      <c r="AH131" s="67"/>
      <c r="AI131" s="85"/>
      <c r="AJ131" s="85"/>
      <c r="AK131" s="85"/>
      <c r="AL131" s="85"/>
    </row>
    <row r="132" spans="1:38">
      <c r="A132" s="26"/>
      <c r="B132" s="111"/>
      <c r="C132" s="26"/>
      <c r="D132" s="26"/>
      <c r="E132" s="26"/>
      <c r="F132" s="26"/>
      <c r="G132" s="26"/>
      <c r="H132" s="26"/>
      <c r="I132" s="26"/>
      <c r="J132" s="26"/>
      <c r="K132" s="112"/>
      <c r="L132" s="26"/>
      <c r="M132" s="26"/>
      <c r="N132" s="26"/>
      <c r="O132" s="113"/>
      <c r="P132" s="26"/>
      <c r="Q132" s="26"/>
      <c r="R132" s="26"/>
      <c r="S132" s="26"/>
      <c r="T132" s="26"/>
      <c r="U132" s="26"/>
      <c r="V132" s="26"/>
      <c r="W132" s="26"/>
      <c r="X132" s="26"/>
      <c r="Y132" s="26"/>
      <c r="Z132" s="26"/>
      <c r="AA132" s="26"/>
      <c r="AB132" s="26"/>
      <c r="AC132" s="26"/>
      <c r="AD132" s="26"/>
      <c r="AE132" s="114"/>
      <c r="AF132" s="85"/>
      <c r="AG132" s="67"/>
      <c r="AH132" s="67"/>
      <c r="AI132" s="85"/>
      <c r="AJ132" s="85"/>
      <c r="AK132" s="85"/>
      <c r="AL132" s="85"/>
    </row>
    <row r="133" spans="1:38">
      <c r="A133" s="26"/>
      <c r="B133" s="111"/>
      <c r="C133" s="26"/>
      <c r="D133" s="26"/>
      <c r="E133" s="26"/>
      <c r="F133" s="26"/>
      <c r="G133" s="26"/>
      <c r="H133" s="26"/>
      <c r="I133" s="26"/>
      <c r="J133" s="26"/>
      <c r="K133" s="112"/>
      <c r="L133" s="26"/>
      <c r="M133" s="26"/>
      <c r="N133" s="26"/>
      <c r="O133" s="113"/>
      <c r="P133" s="26"/>
      <c r="Q133" s="26"/>
      <c r="R133" s="26"/>
      <c r="S133" s="26"/>
      <c r="T133" s="26"/>
      <c r="U133" s="26"/>
      <c r="V133" s="26"/>
      <c r="W133" s="26"/>
      <c r="X133" s="26"/>
      <c r="Y133" s="26"/>
      <c r="Z133" s="26"/>
      <c r="AA133" s="26"/>
      <c r="AB133" s="26"/>
      <c r="AC133" s="26"/>
      <c r="AD133" s="26"/>
      <c r="AE133" s="114"/>
      <c r="AF133" s="85"/>
      <c r="AG133" s="67"/>
      <c r="AH133" s="67"/>
      <c r="AI133" s="85"/>
      <c r="AJ133" s="85"/>
      <c r="AK133" s="85"/>
      <c r="AL133" s="85"/>
    </row>
    <row r="134" spans="1:38">
      <c r="A134" s="26"/>
      <c r="B134" s="111"/>
      <c r="C134" s="26"/>
      <c r="D134" s="26"/>
      <c r="E134" s="26"/>
      <c r="F134" s="26"/>
      <c r="G134" s="26"/>
      <c r="H134" s="26"/>
      <c r="I134" s="26"/>
      <c r="J134" s="26"/>
      <c r="K134" s="112"/>
      <c r="L134" s="26"/>
      <c r="M134" s="26"/>
      <c r="N134" s="26"/>
      <c r="O134" s="113"/>
      <c r="P134" s="26"/>
      <c r="Q134" s="26"/>
      <c r="R134" s="26"/>
      <c r="S134" s="26"/>
      <c r="T134" s="26"/>
      <c r="U134" s="26"/>
      <c r="V134" s="26"/>
      <c r="W134" s="26"/>
      <c r="X134" s="26"/>
      <c r="Y134" s="26"/>
      <c r="Z134" s="26"/>
      <c r="AA134" s="26"/>
      <c r="AB134" s="26"/>
      <c r="AC134" s="26"/>
      <c r="AD134" s="26"/>
      <c r="AE134" s="114"/>
      <c r="AF134" s="85"/>
      <c r="AG134" s="67"/>
      <c r="AH134" s="67"/>
      <c r="AI134" s="85"/>
      <c r="AJ134" s="85"/>
      <c r="AK134" s="85"/>
      <c r="AL134" s="85"/>
    </row>
    <row r="135" spans="1:38">
      <c r="A135" s="26"/>
      <c r="B135" s="111"/>
      <c r="C135" s="26"/>
      <c r="D135" s="26"/>
      <c r="E135" s="26"/>
      <c r="F135" s="26"/>
      <c r="G135" s="26"/>
      <c r="H135" s="26"/>
      <c r="I135" s="26"/>
      <c r="J135" s="26"/>
      <c r="K135" s="112"/>
      <c r="L135" s="26"/>
      <c r="M135" s="26"/>
      <c r="N135" s="26"/>
      <c r="O135" s="113"/>
      <c r="P135" s="26"/>
      <c r="Q135" s="26"/>
      <c r="R135" s="26"/>
      <c r="S135" s="26"/>
      <c r="T135" s="26"/>
      <c r="U135" s="26"/>
      <c r="V135" s="26"/>
      <c r="W135" s="26"/>
      <c r="X135" s="26"/>
      <c r="Y135" s="26"/>
      <c r="Z135" s="26"/>
      <c r="AA135" s="26"/>
      <c r="AB135" s="26"/>
      <c r="AC135" s="26"/>
      <c r="AD135" s="26"/>
      <c r="AE135" s="114"/>
      <c r="AF135" s="85"/>
      <c r="AG135" s="67"/>
      <c r="AH135" s="67"/>
      <c r="AI135" s="85"/>
      <c r="AJ135" s="85"/>
      <c r="AK135" s="85"/>
      <c r="AL135" s="85"/>
    </row>
    <row r="136" spans="1:38">
      <c r="A136" s="26"/>
      <c r="B136" s="111"/>
      <c r="C136" s="26"/>
      <c r="D136" s="26"/>
      <c r="E136" s="26"/>
      <c r="F136" s="26"/>
      <c r="G136" s="26"/>
      <c r="H136" s="26"/>
      <c r="I136" s="26"/>
      <c r="J136" s="26"/>
      <c r="K136" s="112"/>
      <c r="L136" s="26"/>
      <c r="M136" s="26"/>
      <c r="N136" s="26"/>
      <c r="O136" s="113"/>
      <c r="P136" s="26"/>
      <c r="Q136" s="26"/>
      <c r="R136" s="26"/>
      <c r="S136" s="26"/>
      <c r="T136" s="26"/>
      <c r="U136" s="26"/>
      <c r="V136" s="26"/>
      <c r="W136" s="26"/>
      <c r="X136" s="26"/>
      <c r="Y136" s="26"/>
      <c r="Z136" s="26"/>
      <c r="AA136" s="26"/>
      <c r="AB136" s="26"/>
      <c r="AC136" s="26"/>
      <c r="AD136" s="26"/>
      <c r="AE136" s="114"/>
      <c r="AF136" s="85"/>
      <c r="AG136" s="67"/>
      <c r="AH136" s="67"/>
      <c r="AI136" s="85"/>
      <c r="AJ136" s="85"/>
      <c r="AK136" s="85"/>
      <c r="AL136" s="85"/>
    </row>
    <row r="137" spans="1:38">
      <c r="A137" s="26"/>
      <c r="B137" s="111"/>
      <c r="C137" s="26"/>
      <c r="D137" s="26"/>
      <c r="E137" s="26"/>
      <c r="F137" s="26"/>
      <c r="G137" s="26"/>
      <c r="H137" s="26"/>
      <c r="I137" s="26"/>
      <c r="J137" s="26"/>
      <c r="K137" s="112"/>
      <c r="L137" s="26"/>
      <c r="M137" s="26"/>
      <c r="N137" s="26"/>
      <c r="O137" s="113"/>
      <c r="P137" s="26"/>
      <c r="Q137" s="26"/>
      <c r="R137" s="26"/>
      <c r="S137" s="26"/>
      <c r="T137" s="26"/>
      <c r="U137" s="26"/>
      <c r="V137" s="26"/>
      <c r="W137" s="26"/>
      <c r="X137" s="26"/>
      <c r="Y137" s="26"/>
      <c r="Z137" s="26"/>
      <c r="AA137" s="26"/>
      <c r="AB137" s="26"/>
      <c r="AC137" s="26"/>
      <c r="AD137" s="26"/>
      <c r="AE137" s="114"/>
      <c r="AF137" s="85"/>
      <c r="AG137" s="67"/>
      <c r="AH137" s="67"/>
      <c r="AI137" s="85"/>
      <c r="AJ137" s="85"/>
      <c r="AK137" s="85"/>
      <c r="AL137" s="85"/>
    </row>
    <row r="138" spans="1:38">
      <c r="A138" s="26"/>
      <c r="B138" s="111"/>
      <c r="C138" s="26"/>
      <c r="D138" s="26"/>
      <c r="E138" s="26"/>
      <c r="F138" s="26"/>
      <c r="G138" s="26"/>
      <c r="H138" s="26"/>
      <c r="I138" s="26"/>
      <c r="J138" s="26"/>
      <c r="K138" s="112"/>
      <c r="L138" s="26"/>
      <c r="M138" s="26"/>
      <c r="N138" s="26"/>
      <c r="O138" s="113"/>
      <c r="P138" s="26"/>
      <c r="Q138" s="26"/>
      <c r="R138" s="26"/>
      <c r="S138" s="26"/>
      <c r="T138" s="26"/>
      <c r="U138" s="26"/>
      <c r="V138" s="26"/>
      <c r="W138" s="26"/>
      <c r="X138" s="26"/>
      <c r="Y138" s="26"/>
      <c r="Z138" s="26"/>
      <c r="AA138" s="26"/>
      <c r="AB138" s="26"/>
      <c r="AC138" s="26"/>
      <c r="AD138" s="26"/>
      <c r="AE138" s="114"/>
      <c r="AF138" s="85"/>
      <c r="AG138" s="67"/>
      <c r="AH138" s="67"/>
      <c r="AI138" s="85"/>
      <c r="AJ138" s="85"/>
      <c r="AK138" s="85"/>
      <c r="AL138" s="85"/>
    </row>
    <row r="139" spans="1:38">
      <c r="A139" s="26"/>
      <c r="B139" s="111"/>
      <c r="C139" s="26"/>
      <c r="D139" s="26"/>
      <c r="E139" s="26"/>
      <c r="F139" s="26"/>
      <c r="G139" s="26"/>
      <c r="H139" s="26"/>
      <c r="I139" s="26"/>
      <c r="J139" s="26"/>
      <c r="K139" s="112"/>
      <c r="L139" s="26"/>
      <c r="M139" s="26"/>
      <c r="N139" s="26"/>
      <c r="O139" s="113"/>
      <c r="P139" s="26"/>
      <c r="Q139" s="26"/>
      <c r="R139" s="26"/>
      <c r="S139" s="26"/>
      <c r="T139" s="26"/>
      <c r="U139" s="26"/>
      <c r="V139" s="26"/>
      <c r="W139" s="26"/>
      <c r="X139" s="26"/>
      <c r="Y139" s="26"/>
      <c r="Z139" s="26"/>
      <c r="AA139" s="26"/>
      <c r="AB139" s="26"/>
      <c r="AC139" s="26"/>
      <c r="AD139" s="26"/>
      <c r="AE139" s="114"/>
      <c r="AF139" s="85"/>
      <c r="AG139" s="67"/>
      <c r="AH139" s="67"/>
      <c r="AI139" s="85"/>
      <c r="AJ139" s="85"/>
      <c r="AK139" s="85"/>
      <c r="AL139" s="85"/>
    </row>
    <row r="140" spans="1:38">
      <c r="A140" s="26"/>
      <c r="B140" s="111"/>
      <c r="C140" s="26"/>
      <c r="D140" s="26"/>
      <c r="E140" s="26"/>
      <c r="F140" s="26"/>
      <c r="G140" s="26"/>
      <c r="H140" s="26"/>
      <c r="I140" s="26"/>
      <c r="J140" s="26"/>
      <c r="K140" s="112"/>
      <c r="L140" s="26"/>
      <c r="M140" s="26"/>
      <c r="N140" s="26"/>
      <c r="O140" s="113"/>
      <c r="P140" s="26"/>
      <c r="Q140" s="26"/>
      <c r="R140" s="26"/>
      <c r="S140" s="26"/>
      <c r="T140" s="26"/>
      <c r="U140" s="26"/>
      <c r="V140" s="26"/>
      <c r="W140" s="26"/>
      <c r="X140" s="26"/>
      <c r="Y140" s="26"/>
      <c r="Z140" s="26"/>
      <c r="AA140" s="26"/>
      <c r="AB140" s="26"/>
      <c r="AC140" s="26"/>
      <c r="AD140" s="26"/>
      <c r="AE140" s="114"/>
      <c r="AF140" s="85"/>
      <c r="AG140" s="67"/>
      <c r="AH140" s="67"/>
      <c r="AI140" s="85"/>
      <c r="AJ140" s="85"/>
      <c r="AK140" s="85"/>
      <c r="AL140" s="85"/>
    </row>
    <row r="141" spans="1:38">
      <c r="A141" s="26"/>
      <c r="B141" s="111"/>
      <c r="C141" s="26"/>
      <c r="D141" s="26"/>
      <c r="E141" s="26"/>
      <c r="F141" s="26"/>
      <c r="G141" s="26"/>
      <c r="H141" s="26"/>
      <c r="I141" s="26"/>
      <c r="J141" s="26"/>
      <c r="K141" s="112"/>
      <c r="L141" s="26"/>
      <c r="M141" s="26"/>
      <c r="N141" s="26"/>
      <c r="O141" s="113"/>
      <c r="P141" s="26"/>
      <c r="Q141" s="26"/>
      <c r="R141" s="26"/>
      <c r="S141" s="26"/>
      <c r="T141" s="26"/>
      <c r="U141" s="26"/>
      <c r="V141" s="26"/>
      <c r="W141" s="26"/>
      <c r="X141" s="26"/>
      <c r="Y141" s="26"/>
      <c r="Z141" s="26"/>
      <c r="AA141" s="26"/>
      <c r="AB141" s="26"/>
      <c r="AC141" s="26"/>
      <c r="AD141" s="26"/>
      <c r="AE141" s="114"/>
      <c r="AF141" s="85"/>
      <c r="AG141" s="67"/>
      <c r="AH141" s="67"/>
      <c r="AI141" s="85"/>
      <c r="AJ141" s="85"/>
      <c r="AK141" s="85"/>
      <c r="AL141" s="85"/>
    </row>
    <row r="142" spans="1:38">
      <c r="A142" s="26"/>
      <c r="B142" s="111"/>
      <c r="C142" s="26"/>
      <c r="D142" s="26"/>
      <c r="E142" s="26"/>
      <c r="F142" s="26"/>
      <c r="G142" s="26"/>
      <c r="H142" s="26"/>
      <c r="I142" s="26"/>
      <c r="J142" s="26"/>
      <c r="K142" s="112"/>
      <c r="L142" s="26"/>
      <c r="M142" s="26"/>
      <c r="N142" s="26"/>
      <c r="O142" s="113"/>
      <c r="P142" s="26"/>
      <c r="Q142" s="26"/>
      <c r="R142" s="26"/>
      <c r="S142" s="26"/>
      <c r="T142" s="26"/>
      <c r="U142" s="26"/>
      <c r="V142" s="26"/>
      <c r="W142" s="26"/>
      <c r="X142" s="26"/>
      <c r="Y142" s="26"/>
      <c r="Z142" s="26"/>
      <c r="AA142" s="26"/>
      <c r="AB142" s="26"/>
      <c r="AC142" s="26"/>
      <c r="AD142" s="26"/>
      <c r="AE142" s="114"/>
      <c r="AF142" s="85"/>
      <c r="AG142" s="67"/>
      <c r="AH142" s="67"/>
      <c r="AI142" s="85"/>
      <c r="AJ142" s="85"/>
      <c r="AK142" s="85"/>
      <c r="AL142" s="85"/>
    </row>
    <row r="143" spans="1:38">
      <c r="A143" s="26"/>
      <c r="B143" s="111"/>
      <c r="C143" s="26"/>
      <c r="D143" s="26"/>
      <c r="E143" s="26"/>
      <c r="F143" s="26"/>
      <c r="G143" s="26"/>
      <c r="H143" s="26"/>
      <c r="I143" s="26"/>
      <c r="J143" s="26"/>
      <c r="K143" s="112"/>
      <c r="L143" s="26"/>
      <c r="M143" s="26"/>
      <c r="N143" s="26"/>
      <c r="O143" s="113"/>
      <c r="P143" s="26"/>
      <c r="Q143" s="26"/>
      <c r="R143" s="26"/>
      <c r="S143" s="26"/>
      <c r="T143" s="26"/>
      <c r="U143" s="26"/>
      <c r="V143" s="26"/>
      <c r="W143" s="26"/>
      <c r="X143" s="26"/>
      <c r="Y143" s="26"/>
      <c r="Z143" s="26"/>
      <c r="AA143" s="26"/>
      <c r="AB143" s="26"/>
      <c r="AC143" s="26"/>
      <c r="AD143" s="26"/>
      <c r="AE143" s="114"/>
      <c r="AF143" s="85"/>
      <c r="AG143" s="67"/>
      <c r="AH143" s="67"/>
      <c r="AI143" s="85"/>
      <c r="AJ143" s="85"/>
      <c r="AK143" s="85"/>
      <c r="AL143" s="85"/>
    </row>
    <row r="144" spans="1:38">
      <c r="A144" s="26"/>
      <c r="B144" s="111"/>
      <c r="C144" s="26"/>
      <c r="D144" s="26"/>
      <c r="E144" s="26"/>
      <c r="F144" s="26"/>
      <c r="G144" s="26"/>
      <c r="H144" s="26"/>
      <c r="I144" s="26"/>
      <c r="J144" s="26"/>
      <c r="K144" s="112"/>
      <c r="L144" s="26"/>
      <c r="M144" s="26"/>
      <c r="N144" s="26"/>
      <c r="O144" s="113"/>
      <c r="P144" s="26"/>
      <c r="Q144" s="26"/>
      <c r="R144" s="26"/>
      <c r="S144" s="26"/>
      <c r="T144" s="26"/>
      <c r="U144" s="26"/>
      <c r="V144" s="26"/>
      <c r="W144" s="26"/>
      <c r="X144" s="26"/>
      <c r="Y144" s="26"/>
      <c r="Z144" s="26"/>
      <c r="AA144" s="26"/>
      <c r="AB144" s="26"/>
      <c r="AC144" s="26"/>
      <c r="AD144" s="26"/>
      <c r="AE144" s="114"/>
      <c r="AF144" s="85"/>
      <c r="AG144" s="67"/>
      <c r="AH144" s="67"/>
      <c r="AI144" s="85"/>
      <c r="AJ144" s="85"/>
      <c r="AK144" s="85"/>
      <c r="AL144" s="85"/>
    </row>
    <row r="145" spans="1:38">
      <c r="A145" s="26"/>
      <c r="B145" s="111"/>
      <c r="C145" s="26"/>
      <c r="D145" s="26"/>
      <c r="E145" s="26"/>
      <c r="F145" s="26"/>
      <c r="G145" s="26"/>
      <c r="H145" s="26"/>
      <c r="I145" s="26"/>
      <c r="J145" s="26"/>
      <c r="K145" s="112"/>
      <c r="L145" s="26"/>
      <c r="M145" s="26"/>
      <c r="N145" s="26"/>
      <c r="O145" s="113"/>
      <c r="P145" s="26"/>
      <c r="Q145" s="26"/>
      <c r="R145" s="26"/>
      <c r="S145" s="26"/>
      <c r="T145" s="26"/>
      <c r="U145" s="26"/>
      <c r="V145" s="26"/>
      <c r="W145" s="26"/>
      <c r="X145" s="26"/>
      <c r="Y145" s="26"/>
      <c r="Z145" s="26"/>
      <c r="AA145" s="26"/>
      <c r="AB145" s="26"/>
      <c r="AC145" s="26"/>
      <c r="AD145" s="26"/>
      <c r="AE145" s="114"/>
      <c r="AF145" s="85"/>
      <c r="AG145" s="67"/>
      <c r="AH145" s="67"/>
      <c r="AI145" s="85"/>
      <c r="AJ145" s="85"/>
      <c r="AK145" s="85"/>
      <c r="AL145" s="85"/>
    </row>
    <row r="146" spans="1:38">
      <c r="A146" s="26"/>
      <c r="B146" s="111"/>
      <c r="C146" s="26"/>
      <c r="D146" s="26"/>
      <c r="E146" s="26"/>
      <c r="F146" s="26"/>
      <c r="G146" s="26"/>
      <c r="H146" s="26"/>
      <c r="I146" s="26"/>
      <c r="J146" s="26"/>
      <c r="K146" s="112"/>
      <c r="L146" s="26"/>
      <c r="M146" s="26"/>
      <c r="N146" s="26"/>
      <c r="O146" s="113"/>
      <c r="P146" s="26"/>
      <c r="Q146" s="26"/>
      <c r="R146" s="26"/>
      <c r="S146" s="26"/>
      <c r="T146" s="26"/>
      <c r="U146" s="26"/>
      <c r="V146" s="26"/>
      <c r="W146" s="26"/>
      <c r="X146" s="26"/>
      <c r="Y146" s="26"/>
      <c r="Z146" s="26"/>
      <c r="AA146" s="26"/>
      <c r="AB146" s="26"/>
      <c r="AC146" s="26"/>
      <c r="AD146" s="26"/>
      <c r="AE146" s="114"/>
      <c r="AF146" s="85"/>
      <c r="AG146" s="67"/>
      <c r="AH146" s="67"/>
      <c r="AI146" s="85"/>
      <c r="AJ146" s="85"/>
      <c r="AK146" s="85"/>
      <c r="AL146" s="85"/>
    </row>
    <row r="147" spans="1:38">
      <c r="A147" s="26"/>
      <c r="B147" s="111"/>
      <c r="C147" s="26"/>
      <c r="D147" s="26"/>
      <c r="E147" s="26"/>
      <c r="F147" s="26"/>
      <c r="G147" s="26"/>
      <c r="H147" s="26"/>
      <c r="I147" s="26"/>
      <c r="J147" s="26"/>
      <c r="K147" s="112"/>
      <c r="L147" s="26"/>
      <c r="M147" s="26"/>
      <c r="N147" s="26"/>
      <c r="O147" s="113"/>
      <c r="P147" s="26"/>
      <c r="Q147" s="26"/>
      <c r="R147" s="26"/>
      <c r="S147" s="26"/>
      <c r="T147" s="26"/>
      <c r="U147" s="26"/>
      <c r="V147" s="26"/>
      <c r="W147" s="26"/>
      <c r="X147" s="26"/>
      <c r="Y147" s="26"/>
      <c r="Z147" s="26"/>
      <c r="AA147" s="26"/>
      <c r="AB147" s="26"/>
      <c r="AC147" s="26"/>
      <c r="AD147" s="26"/>
      <c r="AE147" s="114"/>
      <c r="AF147" s="85"/>
      <c r="AG147" s="67"/>
      <c r="AH147" s="67"/>
      <c r="AI147" s="85"/>
      <c r="AJ147" s="85"/>
      <c r="AK147" s="85"/>
      <c r="AL147" s="85"/>
    </row>
    <row r="148" spans="1:38">
      <c r="A148" s="26"/>
      <c r="B148" s="111"/>
      <c r="C148" s="26"/>
      <c r="D148" s="26"/>
      <c r="E148" s="26"/>
      <c r="F148" s="26"/>
      <c r="G148" s="26"/>
      <c r="H148" s="26"/>
      <c r="I148" s="26"/>
      <c r="J148" s="26"/>
      <c r="K148" s="112"/>
      <c r="L148" s="26"/>
      <c r="M148" s="26"/>
      <c r="N148" s="26"/>
      <c r="O148" s="113"/>
      <c r="P148" s="26"/>
      <c r="Q148" s="26"/>
      <c r="R148" s="26"/>
      <c r="S148" s="26"/>
      <c r="T148" s="26"/>
      <c r="U148" s="26"/>
      <c r="V148" s="26"/>
      <c r="W148" s="26"/>
      <c r="X148" s="26"/>
      <c r="Y148" s="26"/>
      <c r="Z148" s="26"/>
      <c r="AA148" s="26"/>
      <c r="AB148" s="26"/>
      <c r="AC148" s="26"/>
      <c r="AD148" s="26"/>
      <c r="AE148" s="114"/>
      <c r="AF148" s="85"/>
      <c r="AG148" s="67"/>
      <c r="AH148" s="67"/>
      <c r="AI148" s="85"/>
      <c r="AJ148" s="85"/>
      <c r="AK148" s="85"/>
      <c r="AL148" s="85"/>
    </row>
    <row r="149" spans="1:38">
      <c r="A149" s="26"/>
      <c r="B149" s="111"/>
      <c r="C149" s="26"/>
      <c r="D149" s="26"/>
      <c r="E149" s="26"/>
      <c r="F149" s="26"/>
      <c r="G149" s="26"/>
      <c r="H149" s="26"/>
      <c r="I149" s="26"/>
      <c r="J149" s="26"/>
      <c r="K149" s="112"/>
      <c r="L149" s="26"/>
      <c r="M149" s="26"/>
      <c r="N149" s="26"/>
      <c r="O149" s="113"/>
      <c r="P149" s="26"/>
      <c r="Q149" s="26"/>
      <c r="R149" s="26"/>
      <c r="S149" s="26"/>
      <c r="T149" s="26"/>
      <c r="U149" s="26"/>
      <c r="V149" s="26"/>
      <c r="W149" s="26"/>
      <c r="X149" s="26"/>
      <c r="Y149" s="26"/>
      <c r="Z149" s="26"/>
      <c r="AA149" s="26"/>
      <c r="AB149" s="26"/>
      <c r="AC149" s="26"/>
      <c r="AD149" s="26"/>
      <c r="AE149" s="114"/>
      <c r="AF149" s="85"/>
      <c r="AG149" s="67"/>
      <c r="AH149" s="67"/>
      <c r="AI149" s="85"/>
      <c r="AJ149" s="85"/>
      <c r="AK149" s="85"/>
      <c r="AL149" s="85"/>
    </row>
    <row r="150" spans="1:38">
      <c r="A150" s="26"/>
      <c r="B150" s="111"/>
      <c r="C150" s="26"/>
      <c r="D150" s="26"/>
      <c r="E150" s="26"/>
      <c r="F150" s="26"/>
      <c r="G150" s="26"/>
      <c r="H150" s="26"/>
      <c r="I150" s="26"/>
      <c r="J150" s="26"/>
      <c r="K150" s="112"/>
      <c r="L150" s="26"/>
      <c r="M150" s="26"/>
      <c r="N150" s="26"/>
      <c r="O150" s="113"/>
      <c r="P150" s="26"/>
      <c r="Q150" s="26"/>
      <c r="R150" s="26"/>
      <c r="S150" s="26"/>
      <c r="T150" s="26"/>
      <c r="U150" s="26"/>
      <c r="V150" s="26"/>
      <c r="W150" s="26"/>
      <c r="X150" s="26"/>
      <c r="Y150" s="26"/>
      <c r="Z150" s="26"/>
      <c r="AA150" s="26"/>
      <c r="AB150" s="26"/>
      <c r="AC150" s="26"/>
      <c r="AD150" s="26"/>
      <c r="AE150" s="114"/>
      <c r="AF150" s="85"/>
      <c r="AG150" s="67"/>
      <c r="AH150" s="67"/>
      <c r="AI150" s="85"/>
      <c r="AJ150" s="85"/>
      <c r="AK150" s="85"/>
      <c r="AL150" s="85"/>
    </row>
    <row r="151" spans="1:38">
      <c r="A151" s="26"/>
      <c r="B151" s="111"/>
      <c r="C151" s="26"/>
      <c r="D151" s="26"/>
      <c r="E151" s="26"/>
      <c r="F151" s="26"/>
      <c r="G151" s="26"/>
      <c r="H151" s="26"/>
      <c r="I151" s="26"/>
      <c r="J151" s="26"/>
      <c r="K151" s="112"/>
      <c r="L151" s="26"/>
      <c r="M151" s="26"/>
      <c r="N151" s="26"/>
      <c r="O151" s="113"/>
      <c r="P151" s="26"/>
      <c r="Q151" s="26"/>
      <c r="R151" s="26"/>
      <c r="S151" s="26"/>
      <c r="T151" s="26"/>
      <c r="U151" s="26"/>
      <c r="V151" s="26"/>
      <c r="W151" s="26"/>
      <c r="X151" s="26"/>
      <c r="Y151" s="26"/>
      <c r="Z151" s="26"/>
      <c r="AA151" s="26"/>
      <c r="AB151" s="26"/>
      <c r="AC151" s="26"/>
      <c r="AD151" s="26"/>
      <c r="AE151" s="114"/>
      <c r="AF151" s="85"/>
      <c r="AG151" s="67"/>
      <c r="AH151" s="67"/>
      <c r="AI151" s="85"/>
      <c r="AJ151" s="85"/>
      <c r="AK151" s="85"/>
      <c r="AL151" s="85"/>
    </row>
    <row r="152" spans="1:38">
      <c r="A152" s="26"/>
      <c r="B152" s="111"/>
      <c r="C152" s="26"/>
      <c r="D152" s="26"/>
      <c r="E152" s="26"/>
      <c r="F152" s="26"/>
      <c r="G152" s="26"/>
      <c r="H152" s="26"/>
      <c r="I152" s="26"/>
      <c r="J152" s="26"/>
      <c r="K152" s="112"/>
      <c r="L152" s="26"/>
      <c r="M152" s="26"/>
      <c r="N152" s="26"/>
      <c r="O152" s="113"/>
      <c r="P152" s="26"/>
      <c r="Q152" s="26"/>
      <c r="R152" s="26"/>
      <c r="S152" s="26"/>
      <c r="T152" s="26"/>
      <c r="U152" s="26"/>
      <c r="V152" s="26"/>
      <c r="W152" s="26"/>
      <c r="X152" s="26"/>
      <c r="Y152" s="26"/>
      <c r="Z152" s="26"/>
      <c r="AA152" s="26"/>
      <c r="AB152" s="26"/>
      <c r="AC152" s="26"/>
      <c r="AD152" s="26"/>
      <c r="AE152" s="114"/>
      <c r="AF152" s="85"/>
      <c r="AG152" s="67"/>
      <c r="AH152" s="67"/>
      <c r="AI152" s="85"/>
      <c r="AJ152" s="85"/>
      <c r="AK152" s="85"/>
      <c r="AL152" s="85"/>
    </row>
    <row r="153" spans="1:38">
      <c r="A153" s="26"/>
      <c r="B153" s="111"/>
      <c r="C153" s="26"/>
      <c r="D153" s="26"/>
      <c r="E153" s="26"/>
      <c r="F153" s="26"/>
      <c r="G153" s="26"/>
      <c r="H153" s="26"/>
      <c r="I153" s="26"/>
      <c r="J153" s="26"/>
      <c r="K153" s="112"/>
      <c r="L153" s="26"/>
      <c r="M153" s="26"/>
      <c r="N153" s="26"/>
      <c r="O153" s="113"/>
      <c r="P153" s="26"/>
      <c r="Q153" s="26"/>
      <c r="R153" s="26"/>
      <c r="S153" s="26"/>
      <c r="T153" s="26"/>
      <c r="U153" s="26"/>
      <c r="V153" s="26"/>
      <c r="W153" s="26"/>
      <c r="X153" s="26"/>
      <c r="Y153" s="26"/>
      <c r="Z153" s="26"/>
      <c r="AA153" s="26"/>
      <c r="AB153" s="26"/>
      <c r="AC153" s="26"/>
      <c r="AD153" s="26"/>
      <c r="AE153" s="114"/>
      <c r="AF153" s="85"/>
      <c r="AG153" s="67"/>
      <c r="AH153" s="67"/>
      <c r="AI153" s="85"/>
      <c r="AJ153" s="85"/>
      <c r="AK153" s="85"/>
      <c r="AL153" s="85"/>
    </row>
    <row r="154" spans="1:38">
      <c r="A154" s="26"/>
      <c r="B154" s="111"/>
      <c r="C154" s="26"/>
      <c r="D154" s="26"/>
      <c r="E154" s="26"/>
      <c r="F154" s="26"/>
      <c r="G154" s="26"/>
      <c r="H154" s="26"/>
      <c r="I154" s="26"/>
      <c r="J154" s="26"/>
      <c r="K154" s="112"/>
      <c r="L154" s="26"/>
      <c r="M154" s="26"/>
      <c r="N154" s="26"/>
      <c r="O154" s="113"/>
      <c r="P154" s="26"/>
      <c r="Q154" s="26"/>
      <c r="R154" s="26"/>
      <c r="S154" s="26"/>
      <c r="T154" s="26"/>
      <c r="U154" s="26"/>
      <c r="V154" s="26"/>
      <c r="W154" s="26"/>
      <c r="X154" s="26"/>
      <c r="Y154" s="26"/>
      <c r="Z154" s="26"/>
      <c r="AA154" s="26"/>
      <c r="AB154" s="26"/>
      <c r="AC154" s="26"/>
      <c r="AD154" s="26"/>
      <c r="AE154" s="114"/>
      <c r="AF154" s="85"/>
      <c r="AG154" s="67"/>
      <c r="AH154" s="67"/>
      <c r="AI154" s="85"/>
      <c r="AJ154" s="85"/>
      <c r="AK154" s="85"/>
      <c r="AL154" s="85"/>
    </row>
    <row r="155" spans="1:38">
      <c r="A155" s="26"/>
      <c r="B155" s="111"/>
      <c r="C155" s="26"/>
      <c r="D155" s="26"/>
      <c r="E155" s="26"/>
      <c r="F155" s="26"/>
      <c r="G155" s="26"/>
      <c r="H155" s="26"/>
      <c r="I155" s="26"/>
      <c r="J155" s="26"/>
      <c r="K155" s="112"/>
      <c r="L155" s="26"/>
      <c r="M155" s="26"/>
      <c r="N155" s="26"/>
      <c r="O155" s="113"/>
      <c r="P155" s="26"/>
      <c r="Q155" s="26"/>
      <c r="R155" s="26"/>
      <c r="S155" s="26"/>
      <c r="T155" s="26"/>
      <c r="U155" s="26"/>
      <c r="V155" s="26"/>
      <c r="W155" s="26"/>
      <c r="X155" s="26"/>
      <c r="Y155" s="26"/>
      <c r="Z155" s="26"/>
      <c r="AA155" s="26"/>
      <c r="AB155" s="26"/>
      <c r="AC155" s="26"/>
      <c r="AD155" s="26"/>
      <c r="AE155" s="114"/>
      <c r="AF155" s="85"/>
      <c r="AG155" s="67"/>
      <c r="AH155" s="67"/>
      <c r="AI155" s="85"/>
      <c r="AJ155" s="85"/>
      <c r="AK155" s="85"/>
      <c r="AL155" s="85"/>
    </row>
    <row r="156" spans="1:38">
      <c r="A156" s="26"/>
      <c r="B156" s="111"/>
      <c r="C156" s="26"/>
      <c r="D156" s="26"/>
      <c r="E156" s="26"/>
      <c r="F156" s="26"/>
      <c r="G156" s="26"/>
      <c r="H156" s="26"/>
      <c r="I156" s="26"/>
      <c r="J156" s="26"/>
      <c r="K156" s="112"/>
      <c r="L156" s="26"/>
      <c r="M156" s="26"/>
      <c r="N156" s="26"/>
      <c r="O156" s="113"/>
      <c r="P156" s="26"/>
      <c r="Q156" s="26"/>
      <c r="R156" s="26"/>
      <c r="S156" s="26"/>
      <c r="T156" s="26"/>
      <c r="U156" s="26"/>
      <c r="V156" s="26"/>
      <c r="W156" s="26"/>
      <c r="X156" s="26"/>
      <c r="Y156" s="26"/>
      <c r="Z156" s="26"/>
      <c r="AA156" s="26"/>
      <c r="AB156" s="26"/>
      <c r="AC156" s="26"/>
      <c r="AD156" s="26"/>
      <c r="AE156" s="114"/>
      <c r="AF156" s="85"/>
      <c r="AG156" s="67"/>
      <c r="AH156" s="67"/>
      <c r="AI156" s="85"/>
      <c r="AJ156" s="85"/>
      <c r="AK156" s="85"/>
      <c r="AL156" s="85"/>
    </row>
    <row r="157" spans="1:38">
      <c r="A157" s="26"/>
      <c r="B157" s="111"/>
      <c r="C157" s="26"/>
      <c r="D157" s="26"/>
      <c r="E157" s="26"/>
      <c r="F157" s="26"/>
      <c r="G157" s="26"/>
      <c r="H157" s="26"/>
      <c r="I157" s="26"/>
      <c r="J157" s="26"/>
      <c r="K157" s="112"/>
      <c r="L157" s="26"/>
      <c r="M157" s="26"/>
      <c r="N157" s="26"/>
      <c r="O157" s="113"/>
      <c r="P157" s="26"/>
      <c r="Q157" s="26"/>
      <c r="R157" s="26"/>
      <c r="S157" s="26"/>
      <c r="T157" s="26"/>
      <c r="U157" s="26"/>
      <c r="V157" s="26"/>
      <c r="W157" s="26"/>
      <c r="X157" s="26"/>
      <c r="Y157" s="26"/>
      <c r="Z157" s="26"/>
      <c r="AA157" s="26"/>
      <c r="AB157" s="26"/>
      <c r="AC157" s="26"/>
      <c r="AD157" s="26"/>
      <c r="AE157" s="114"/>
      <c r="AF157" s="85"/>
      <c r="AG157" s="67"/>
      <c r="AH157" s="67"/>
      <c r="AI157" s="85"/>
      <c r="AJ157" s="85"/>
      <c r="AK157" s="85"/>
      <c r="AL157" s="85"/>
    </row>
    <row r="158" spans="1:38">
      <c r="A158" s="26"/>
      <c r="B158" s="111"/>
      <c r="C158" s="26"/>
      <c r="D158" s="26"/>
      <c r="E158" s="26"/>
      <c r="F158" s="26"/>
      <c r="G158" s="26"/>
      <c r="H158" s="26"/>
      <c r="I158" s="26"/>
      <c r="J158" s="26"/>
      <c r="K158" s="112"/>
      <c r="L158" s="26"/>
      <c r="M158" s="26"/>
      <c r="N158" s="26"/>
      <c r="O158" s="113"/>
      <c r="P158" s="26"/>
      <c r="Q158" s="26"/>
      <c r="R158" s="26"/>
      <c r="S158" s="26"/>
      <c r="T158" s="26"/>
      <c r="U158" s="26"/>
      <c r="V158" s="26"/>
      <c r="W158" s="26"/>
      <c r="X158" s="26"/>
      <c r="Y158" s="26"/>
      <c r="Z158" s="26"/>
      <c r="AA158" s="26"/>
      <c r="AB158" s="26"/>
      <c r="AC158" s="26"/>
      <c r="AD158" s="26"/>
      <c r="AE158" s="114"/>
      <c r="AF158" s="85"/>
      <c r="AG158" s="67"/>
      <c r="AH158" s="67"/>
      <c r="AI158" s="85"/>
      <c r="AJ158" s="85"/>
      <c r="AK158" s="85"/>
      <c r="AL158" s="85"/>
    </row>
    <row r="159" spans="1:38">
      <c r="A159" s="26"/>
      <c r="B159" s="111"/>
      <c r="C159" s="26"/>
      <c r="D159" s="26"/>
      <c r="E159" s="26"/>
      <c r="F159" s="26"/>
      <c r="G159" s="26"/>
      <c r="H159" s="26"/>
      <c r="I159" s="26"/>
      <c r="J159" s="26"/>
      <c r="K159" s="112"/>
      <c r="L159" s="26"/>
      <c r="M159" s="26"/>
      <c r="N159" s="26"/>
      <c r="O159" s="113"/>
      <c r="P159" s="26"/>
      <c r="Q159" s="26"/>
      <c r="R159" s="26"/>
      <c r="S159" s="26"/>
      <c r="T159" s="26"/>
      <c r="U159" s="26"/>
      <c r="V159" s="26"/>
      <c r="W159" s="26"/>
      <c r="X159" s="26"/>
      <c r="Y159" s="26"/>
      <c r="Z159" s="26"/>
      <c r="AA159" s="26"/>
      <c r="AB159" s="26"/>
      <c r="AC159" s="26"/>
      <c r="AD159" s="26"/>
      <c r="AE159" s="114"/>
      <c r="AF159" s="85"/>
      <c r="AG159" s="67"/>
      <c r="AH159" s="67"/>
      <c r="AI159" s="85"/>
      <c r="AJ159" s="85"/>
      <c r="AK159" s="85"/>
      <c r="AL159" s="85"/>
    </row>
    <row r="160" spans="1:38">
      <c r="A160" s="26"/>
      <c r="B160" s="111"/>
      <c r="C160" s="26"/>
      <c r="D160" s="26"/>
      <c r="E160" s="26"/>
      <c r="F160" s="26"/>
      <c r="G160" s="26"/>
      <c r="H160" s="26"/>
      <c r="I160" s="26"/>
      <c r="J160" s="26"/>
      <c r="K160" s="112"/>
      <c r="L160" s="26"/>
      <c r="M160" s="26"/>
      <c r="N160" s="26"/>
      <c r="O160" s="113"/>
      <c r="P160" s="26"/>
      <c r="Q160" s="26"/>
      <c r="R160" s="26"/>
      <c r="S160" s="26"/>
      <c r="T160" s="26"/>
      <c r="U160" s="26"/>
      <c r="V160" s="26"/>
      <c r="W160" s="26"/>
      <c r="X160" s="26"/>
      <c r="Y160" s="26"/>
      <c r="Z160" s="26"/>
      <c r="AA160" s="26"/>
      <c r="AB160" s="26"/>
      <c r="AC160" s="26"/>
      <c r="AD160" s="26"/>
      <c r="AE160" s="114"/>
      <c r="AF160" s="85"/>
      <c r="AG160" s="67"/>
      <c r="AH160" s="67"/>
      <c r="AI160" s="85"/>
      <c r="AJ160" s="85"/>
      <c r="AK160" s="85"/>
      <c r="AL160" s="85"/>
    </row>
    <row r="161" spans="1:38">
      <c r="A161" s="26"/>
      <c r="B161" s="111"/>
      <c r="C161" s="26"/>
      <c r="D161" s="26"/>
      <c r="E161" s="26"/>
      <c r="F161" s="26"/>
      <c r="G161" s="26"/>
      <c r="H161" s="26"/>
      <c r="I161" s="26"/>
      <c r="J161" s="26"/>
      <c r="K161" s="112"/>
      <c r="L161" s="26"/>
      <c r="M161" s="26"/>
      <c r="N161" s="26"/>
      <c r="O161" s="113"/>
      <c r="P161" s="26"/>
      <c r="Q161" s="26"/>
      <c r="R161" s="26"/>
      <c r="S161" s="26"/>
      <c r="T161" s="26"/>
      <c r="U161" s="26"/>
      <c r="V161" s="26"/>
      <c r="W161" s="26"/>
      <c r="X161" s="26"/>
      <c r="Y161" s="26"/>
      <c r="Z161" s="26"/>
      <c r="AA161" s="26"/>
      <c r="AB161" s="26"/>
      <c r="AC161" s="26"/>
      <c r="AD161" s="26"/>
      <c r="AE161" s="114"/>
      <c r="AF161" s="85"/>
      <c r="AG161" s="67"/>
      <c r="AH161" s="67"/>
      <c r="AI161" s="85"/>
      <c r="AJ161" s="85"/>
      <c r="AK161" s="85"/>
      <c r="AL161" s="85"/>
    </row>
    <row r="162" spans="1:38">
      <c r="A162" s="26"/>
      <c r="B162" s="111"/>
      <c r="C162" s="26"/>
      <c r="D162" s="26"/>
      <c r="E162" s="26"/>
      <c r="F162" s="26"/>
      <c r="G162" s="26"/>
      <c r="H162" s="26"/>
      <c r="I162" s="26"/>
      <c r="J162" s="26"/>
      <c r="K162" s="112"/>
      <c r="L162" s="26"/>
      <c r="M162" s="26"/>
      <c r="N162" s="26"/>
      <c r="O162" s="113"/>
      <c r="P162" s="26"/>
      <c r="Q162" s="26"/>
      <c r="R162" s="26"/>
      <c r="S162" s="26"/>
      <c r="T162" s="26"/>
      <c r="U162" s="26"/>
      <c r="V162" s="26"/>
      <c r="W162" s="26"/>
      <c r="X162" s="26"/>
      <c r="Y162" s="26"/>
      <c r="Z162" s="26"/>
      <c r="AA162" s="26"/>
      <c r="AB162" s="26"/>
      <c r="AC162" s="26"/>
      <c r="AD162" s="26"/>
      <c r="AE162" s="114"/>
      <c r="AF162" s="85"/>
      <c r="AG162" s="67"/>
      <c r="AH162" s="67"/>
      <c r="AI162" s="85"/>
      <c r="AJ162" s="85"/>
      <c r="AK162" s="85"/>
      <c r="AL162" s="85"/>
    </row>
    <row r="163" spans="1:38">
      <c r="A163" s="26"/>
      <c r="B163" s="111"/>
      <c r="C163" s="26"/>
      <c r="D163" s="26"/>
      <c r="E163" s="26"/>
      <c r="F163" s="26"/>
      <c r="G163" s="26"/>
      <c r="H163" s="26"/>
      <c r="I163" s="26"/>
      <c r="J163" s="26"/>
      <c r="K163" s="112"/>
      <c r="L163" s="26"/>
      <c r="M163" s="26"/>
      <c r="N163" s="26"/>
      <c r="O163" s="113"/>
      <c r="P163" s="26"/>
      <c r="Q163" s="26"/>
      <c r="R163" s="26"/>
      <c r="S163" s="26"/>
      <c r="T163" s="26"/>
      <c r="U163" s="26"/>
      <c r="V163" s="26"/>
      <c r="W163" s="26"/>
      <c r="X163" s="26"/>
      <c r="Y163" s="26"/>
      <c r="Z163" s="26"/>
      <c r="AA163" s="26"/>
      <c r="AB163" s="26"/>
      <c r="AC163" s="26"/>
      <c r="AD163" s="26"/>
      <c r="AE163" s="114"/>
      <c r="AF163" s="85"/>
      <c r="AG163" s="67"/>
      <c r="AH163" s="67"/>
      <c r="AI163" s="85"/>
      <c r="AJ163" s="85"/>
      <c r="AK163" s="85"/>
      <c r="AL163" s="85"/>
    </row>
    <row r="164" spans="1:38">
      <c r="A164" s="26"/>
      <c r="B164" s="111"/>
      <c r="C164" s="26"/>
      <c r="D164" s="26"/>
      <c r="E164" s="26"/>
      <c r="F164" s="26"/>
      <c r="G164" s="26"/>
      <c r="H164" s="26"/>
      <c r="I164" s="26"/>
      <c r="J164" s="26"/>
      <c r="K164" s="112"/>
      <c r="L164" s="26"/>
      <c r="M164" s="26"/>
      <c r="N164" s="26"/>
      <c r="O164" s="113"/>
      <c r="P164" s="26"/>
      <c r="Q164" s="26"/>
      <c r="R164" s="26"/>
      <c r="S164" s="26"/>
      <c r="T164" s="26"/>
      <c r="U164" s="26"/>
      <c r="V164" s="26"/>
      <c r="W164" s="26"/>
      <c r="X164" s="26"/>
      <c r="Y164" s="26"/>
      <c r="Z164" s="26"/>
      <c r="AA164" s="26"/>
      <c r="AB164" s="26"/>
      <c r="AC164" s="26"/>
      <c r="AD164" s="26"/>
      <c r="AE164" s="114"/>
      <c r="AF164" s="85"/>
      <c r="AG164" s="67"/>
      <c r="AH164" s="67"/>
      <c r="AI164" s="85"/>
      <c r="AJ164" s="85"/>
      <c r="AK164" s="85"/>
      <c r="AL164" s="85"/>
    </row>
    <row r="165" spans="1:38">
      <c r="A165" s="26"/>
      <c r="B165" s="111"/>
      <c r="C165" s="26"/>
      <c r="D165" s="26"/>
      <c r="E165" s="26"/>
      <c r="F165" s="26"/>
      <c r="G165" s="26"/>
      <c r="H165" s="26"/>
      <c r="I165" s="26"/>
      <c r="J165" s="26"/>
      <c r="K165" s="112"/>
      <c r="L165" s="26"/>
      <c r="M165" s="26"/>
      <c r="N165" s="26"/>
      <c r="O165" s="113"/>
      <c r="P165" s="26"/>
      <c r="Q165" s="26"/>
      <c r="R165" s="26"/>
      <c r="S165" s="26"/>
      <c r="T165" s="26"/>
      <c r="U165" s="26"/>
      <c r="V165" s="26"/>
      <c r="W165" s="26"/>
      <c r="X165" s="26"/>
      <c r="Y165" s="26"/>
      <c r="Z165" s="26"/>
      <c r="AA165" s="26"/>
      <c r="AB165" s="26"/>
      <c r="AC165" s="26"/>
      <c r="AD165" s="26"/>
      <c r="AE165" s="114"/>
      <c r="AF165" s="85"/>
      <c r="AG165" s="67"/>
      <c r="AH165" s="67"/>
      <c r="AI165" s="85"/>
      <c r="AJ165" s="85"/>
      <c r="AK165" s="85"/>
      <c r="AL165" s="85"/>
    </row>
    <row r="166" spans="1:38">
      <c r="A166" s="26"/>
      <c r="B166" s="111"/>
      <c r="C166" s="26"/>
      <c r="D166" s="26"/>
      <c r="E166" s="26"/>
      <c r="F166" s="26"/>
      <c r="G166" s="26"/>
      <c r="H166" s="26"/>
      <c r="I166" s="26"/>
      <c r="J166" s="26"/>
      <c r="K166" s="112"/>
      <c r="L166" s="26"/>
      <c r="M166" s="26"/>
      <c r="N166" s="26"/>
      <c r="O166" s="113"/>
      <c r="P166" s="26"/>
      <c r="Q166" s="26"/>
      <c r="R166" s="26"/>
      <c r="S166" s="26"/>
      <c r="T166" s="26"/>
      <c r="U166" s="26"/>
      <c r="V166" s="26"/>
      <c r="W166" s="26"/>
      <c r="X166" s="26"/>
      <c r="Y166" s="26"/>
      <c r="Z166" s="26"/>
      <c r="AA166" s="26"/>
      <c r="AB166" s="26"/>
      <c r="AC166" s="26"/>
      <c r="AD166" s="26"/>
      <c r="AE166" s="114"/>
      <c r="AF166" s="85"/>
      <c r="AG166" s="67"/>
      <c r="AH166" s="67"/>
      <c r="AI166" s="85"/>
      <c r="AJ166" s="85"/>
      <c r="AK166" s="85"/>
      <c r="AL166" s="85"/>
    </row>
    <row r="167" spans="1:38">
      <c r="A167" s="26"/>
      <c r="B167" s="111"/>
      <c r="C167" s="26"/>
      <c r="D167" s="26"/>
      <c r="E167" s="26"/>
      <c r="F167" s="26"/>
      <c r="G167" s="26"/>
      <c r="H167" s="26"/>
      <c r="I167" s="26"/>
      <c r="J167" s="26"/>
      <c r="K167" s="112"/>
      <c r="L167" s="26"/>
      <c r="M167" s="26"/>
      <c r="N167" s="26"/>
      <c r="O167" s="113"/>
      <c r="P167" s="26"/>
      <c r="Q167" s="26"/>
      <c r="R167" s="26"/>
      <c r="S167" s="26"/>
      <c r="T167" s="26"/>
      <c r="U167" s="26"/>
      <c r="V167" s="26"/>
      <c r="W167" s="26"/>
      <c r="X167" s="26"/>
      <c r="Y167" s="26"/>
      <c r="Z167" s="26"/>
      <c r="AA167" s="26"/>
      <c r="AB167" s="26"/>
      <c r="AC167" s="26"/>
      <c r="AD167" s="26"/>
      <c r="AE167" s="114"/>
      <c r="AF167" s="85"/>
      <c r="AG167" s="67"/>
      <c r="AH167" s="67"/>
      <c r="AI167" s="85"/>
      <c r="AJ167" s="85"/>
      <c r="AK167" s="85"/>
      <c r="AL167" s="85"/>
    </row>
    <row r="168" spans="1:38">
      <c r="A168" s="26"/>
      <c r="B168" s="111"/>
      <c r="C168" s="26"/>
      <c r="D168" s="26"/>
      <c r="E168" s="26"/>
      <c r="F168" s="26"/>
      <c r="G168" s="26"/>
      <c r="H168" s="26"/>
      <c r="I168" s="26"/>
      <c r="J168" s="26"/>
      <c r="K168" s="112"/>
      <c r="L168" s="26"/>
      <c r="M168" s="26"/>
      <c r="N168" s="26"/>
      <c r="O168" s="113"/>
      <c r="P168" s="26"/>
      <c r="Q168" s="26"/>
      <c r="R168" s="26"/>
      <c r="S168" s="26"/>
      <c r="T168" s="26"/>
      <c r="U168" s="26"/>
      <c r="V168" s="26"/>
      <c r="W168" s="26"/>
      <c r="X168" s="26"/>
      <c r="Y168" s="26"/>
      <c r="Z168" s="26"/>
      <c r="AA168" s="26"/>
      <c r="AB168" s="26"/>
      <c r="AC168" s="26"/>
      <c r="AD168" s="26"/>
      <c r="AE168" s="114"/>
      <c r="AF168" s="85"/>
      <c r="AG168" s="67"/>
      <c r="AH168" s="67"/>
      <c r="AI168" s="85"/>
      <c r="AJ168" s="85"/>
      <c r="AK168" s="85"/>
      <c r="AL168" s="85"/>
    </row>
    <row r="169" spans="1:38">
      <c r="A169" s="26"/>
      <c r="B169" s="111"/>
      <c r="C169" s="26"/>
      <c r="D169" s="26"/>
      <c r="E169" s="26"/>
      <c r="F169" s="26"/>
      <c r="G169" s="26"/>
      <c r="H169" s="26"/>
      <c r="I169" s="26"/>
      <c r="J169" s="26"/>
      <c r="K169" s="112"/>
      <c r="L169" s="26"/>
      <c r="M169" s="26"/>
      <c r="N169" s="26"/>
      <c r="O169" s="113"/>
      <c r="P169" s="26"/>
      <c r="Q169" s="26"/>
      <c r="R169" s="26"/>
      <c r="S169" s="26"/>
      <c r="T169" s="26"/>
      <c r="U169" s="26"/>
      <c r="V169" s="26"/>
      <c r="W169" s="26"/>
      <c r="X169" s="26"/>
      <c r="Y169" s="26"/>
      <c r="Z169" s="26"/>
      <c r="AA169" s="26"/>
      <c r="AB169" s="26"/>
      <c r="AC169" s="26"/>
      <c r="AD169" s="26"/>
      <c r="AE169" s="114"/>
      <c r="AF169" s="85"/>
      <c r="AG169" s="67"/>
      <c r="AH169" s="67"/>
      <c r="AI169" s="85"/>
      <c r="AJ169" s="85"/>
      <c r="AK169" s="85"/>
      <c r="AL169" s="85"/>
    </row>
    <row r="170" spans="1:38">
      <c r="A170" s="26"/>
      <c r="B170" s="111"/>
      <c r="C170" s="26"/>
      <c r="D170" s="26"/>
      <c r="E170" s="26"/>
      <c r="F170" s="26"/>
      <c r="G170" s="26"/>
      <c r="H170" s="26"/>
      <c r="I170" s="26"/>
      <c r="J170" s="26"/>
      <c r="K170" s="112"/>
      <c r="L170" s="26"/>
      <c r="M170" s="26"/>
      <c r="N170" s="26"/>
      <c r="O170" s="113"/>
      <c r="P170" s="26"/>
      <c r="Q170" s="26"/>
      <c r="R170" s="26"/>
      <c r="S170" s="26"/>
      <c r="T170" s="26"/>
      <c r="U170" s="26"/>
      <c r="V170" s="26"/>
      <c r="W170" s="26"/>
      <c r="X170" s="26"/>
      <c r="Y170" s="26"/>
      <c r="Z170" s="26"/>
      <c r="AA170" s="26"/>
      <c r="AB170" s="26"/>
      <c r="AC170" s="26"/>
      <c r="AD170" s="26"/>
      <c r="AE170" s="114"/>
      <c r="AF170" s="85"/>
      <c r="AG170" s="67"/>
      <c r="AH170" s="67"/>
      <c r="AI170" s="85"/>
      <c r="AJ170" s="85"/>
      <c r="AK170" s="85"/>
      <c r="AL170" s="85"/>
    </row>
    <row r="171" spans="1:38">
      <c r="A171" s="26"/>
      <c r="B171" s="111"/>
      <c r="C171" s="26"/>
      <c r="D171" s="26"/>
      <c r="E171" s="26"/>
      <c r="F171" s="26"/>
      <c r="G171" s="26"/>
      <c r="H171" s="26"/>
      <c r="I171" s="26"/>
      <c r="J171" s="26"/>
      <c r="K171" s="112"/>
      <c r="L171" s="26"/>
      <c r="M171" s="26"/>
      <c r="N171" s="26"/>
      <c r="O171" s="113"/>
      <c r="P171" s="26"/>
      <c r="Q171" s="26"/>
      <c r="R171" s="26"/>
      <c r="S171" s="26"/>
      <c r="T171" s="26"/>
      <c r="U171" s="26"/>
      <c r="V171" s="26"/>
      <c r="W171" s="26"/>
      <c r="X171" s="26"/>
      <c r="Y171" s="26"/>
      <c r="Z171" s="26"/>
      <c r="AA171" s="26"/>
      <c r="AB171" s="26"/>
      <c r="AC171" s="26"/>
      <c r="AD171" s="26"/>
      <c r="AE171" s="114"/>
      <c r="AF171" s="85"/>
      <c r="AG171" s="67"/>
      <c r="AH171" s="67"/>
      <c r="AI171" s="85"/>
      <c r="AJ171" s="85"/>
      <c r="AK171" s="85"/>
      <c r="AL171" s="85"/>
    </row>
    <row r="172" spans="1:38">
      <c r="A172" s="26"/>
      <c r="B172" s="111"/>
      <c r="C172" s="26"/>
      <c r="D172" s="26"/>
      <c r="E172" s="26"/>
      <c r="F172" s="26"/>
      <c r="G172" s="26"/>
      <c r="H172" s="26"/>
      <c r="I172" s="26"/>
      <c r="J172" s="26"/>
      <c r="K172" s="112"/>
      <c r="L172" s="26"/>
      <c r="M172" s="26"/>
      <c r="N172" s="26"/>
      <c r="O172" s="113"/>
      <c r="P172" s="26"/>
      <c r="Q172" s="26"/>
      <c r="R172" s="26"/>
      <c r="S172" s="26"/>
      <c r="T172" s="26"/>
      <c r="U172" s="26"/>
      <c r="V172" s="26"/>
      <c r="W172" s="26"/>
      <c r="X172" s="26"/>
      <c r="Y172" s="26"/>
      <c r="Z172" s="26"/>
      <c r="AA172" s="26"/>
      <c r="AB172" s="26"/>
      <c r="AC172" s="26"/>
      <c r="AD172" s="26"/>
      <c r="AE172" s="114"/>
      <c r="AF172" s="85"/>
      <c r="AG172" s="67"/>
      <c r="AH172" s="67"/>
      <c r="AI172" s="85"/>
      <c r="AJ172" s="85"/>
      <c r="AK172" s="85"/>
      <c r="AL172" s="85"/>
    </row>
    <row r="173" spans="1:38">
      <c r="A173" s="26"/>
      <c r="B173" s="111"/>
      <c r="C173" s="26"/>
      <c r="D173" s="26"/>
      <c r="E173" s="26"/>
      <c r="F173" s="26"/>
      <c r="G173" s="26"/>
      <c r="H173" s="26"/>
      <c r="I173" s="26"/>
      <c r="J173" s="26"/>
      <c r="K173" s="112"/>
      <c r="L173" s="26"/>
      <c r="M173" s="26"/>
      <c r="N173" s="26"/>
      <c r="O173" s="113"/>
      <c r="P173" s="26"/>
      <c r="Q173" s="26"/>
      <c r="R173" s="26"/>
      <c r="S173" s="26"/>
      <c r="T173" s="26"/>
      <c r="U173" s="26"/>
      <c r="V173" s="26"/>
      <c r="W173" s="26"/>
      <c r="X173" s="26"/>
      <c r="Y173" s="26"/>
      <c r="Z173" s="26"/>
      <c r="AA173" s="26"/>
      <c r="AB173" s="26"/>
      <c r="AC173" s="26"/>
      <c r="AD173" s="26"/>
      <c r="AE173" s="114"/>
      <c r="AF173" s="85"/>
      <c r="AG173" s="67"/>
      <c r="AH173" s="67"/>
      <c r="AI173" s="85"/>
      <c r="AJ173" s="85"/>
      <c r="AK173" s="85"/>
      <c r="AL173" s="85"/>
    </row>
    <row r="174" spans="1:38">
      <c r="A174" s="26"/>
      <c r="B174" s="111"/>
      <c r="C174" s="26"/>
      <c r="D174" s="26"/>
      <c r="E174" s="26"/>
      <c r="F174" s="26"/>
      <c r="G174" s="26"/>
      <c r="H174" s="26"/>
      <c r="I174" s="26"/>
      <c r="J174" s="26"/>
      <c r="K174" s="112"/>
      <c r="L174" s="26"/>
      <c r="M174" s="26"/>
      <c r="N174" s="26"/>
      <c r="O174" s="113"/>
      <c r="P174" s="26"/>
      <c r="Q174" s="26"/>
      <c r="R174" s="26"/>
      <c r="S174" s="26"/>
      <c r="T174" s="26"/>
      <c r="U174" s="26"/>
      <c r="V174" s="26"/>
      <c r="W174" s="26"/>
      <c r="X174" s="26"/>
      <c r="Y174" s="26"/>
      <c r="Z174" s="26"/>
      <c r="AA174" s="26"/>
      <c r="AB174" s="26"/>
      <c r="AC174" s="26"/>
      <c r="AD174" s="26"/>
      <c r="AE174" s="114"/>
      <c r="AF174" s="85"/>
      <c r="AG174" s="67"/>
      <c r="AH174" s="67"/>
      <c r="AI174" s="85"/>
      <c r="AJ174" s="85"/>
      <c r="AK174" s="85"/>
      <c r="AL174" s="85"/>
    </row>
    <row r="175" spans="1:38">
      <c r="A175" s="26"/>
      <c r="B175" s="111"/>
      <c r="C175" s="26"/>
      <c r="D175" s="26"/>
      <c r="E175" s="26"/>
      <c r="F175" s="26"/>
      <c r="G175" s="26"/>
      <c r="H175" s="26"/>
      <c r="I175" s="26"/>
      <c r="J175" s="26"/>
      <c r="K175" s="112"/>
      <c r="L175" s="26"/>
      <c r="M175" s="26"/>
      <c r="N175" s="26"/>
      <c r="O175" s="113"/>
      <c r="P175" s="26"/>
      <c r="Q175" s="26"/>
      <c r="R175" s="26"/>
      <c r="S175" s="26"/>
      <c r="T175" s="26"/>
      <c r="U175" s="26"/>
      <c r="V175" s="26"/>
      <c r="W175" s="26"/>
      <c r="X175" s="26"/>
      <c r="Y175" s="26"/>
      <c r="Z175" s="26"/>
      <c r="AA175" s="26"/>
      <c r="AB175" s="26"/>
      <c r="AC175" s="26"/>
      <c r="AD175" s="26"/>
      <c r="AE175" s="114"/>
      <c r="AF175" s="85"/>
      <c r="AG175" s="67"/>
      <c r="AH175" s="67"/>
      <c r="AI175" s="85"/>
      <c r="AJ175" s="85"/>
      <c r="AK175" s="85"/>
      <c r="AL175" s="85"/>
    </row>
    <row r="176" spans="1:38">
      <c r="A176" s="26"/>
      <c r="B176" s="111"/>
      <c r="C176" s="26"/>
      <c r="D176" s="26"/>
      <c r="E176" s="26"/>
      <c r="F176" s="26"/>
      <c r="G176" s="26"/>
      <c r="H176" s="26"/>
      <c r="I176" s="26"/>
      <c r="J176" s="26"/>
      <c r="K176" s="112"/>
      <c r="L176" s="26"/>
      <c r="M176" s="26"/>
      <c r="N176" s="26"/>
      <c r="O176" s="113"/>
      <c r="P176" s="26"/>
      <c r="Q176" s="26"/>
      <c r="R176" s="26"/>
      <c r="S176" s="26"/>
      <c r="T176" s="26"/>
      <c r="U176" s="26"/>
      <c r="V176" s="26"/>
      <c r="W176" s="26"/>
      <c r="X176" s="26"/>
      <c r="Y176" s="26"/>
      <c r="Z176" s="26"/>
      <c r="AA176" s="26"/>
      <c r="AB176" s="26"/>
      <c r="AC176" s="26"/>
      <c r="AD176" s="26"/>
      <c r="AE176" s="114"/>
      <c r="AF176" s="85"/>
      <c r="AG176" s="67"/>
      <c r="AH176" s="67"/>
      <c r="AI176" s="85"/>
      <c r="AJ176" s="85"/>
      <c r="AK176" s="85"/>
      <c r="AL176" s="85"/>
    </row>
    <row r="177" spans="1:38">
      <c r="A177" s="26"/>
      <c r="B177" s="111"/>
      <c r="C177" s="26"/>
      <c r="D177" s="26"/>
      <c r="E177" s="26"/>
      <c r="F177" s="26"/>
      <c r="G177" s="26"/>
      <c r="H177" s="26"/>
      <c r="I177" s="26"/>
      <c r="J177" s="26"/>
      <c r="K177" s="112"/>
      <c r="L177" s="26"/>
      <c r="M177" s="26"/>
      <c r="N177" s="26"/>
      <c r="O177" s="113"/>
      <c r="P177" s="26"/>
      <c r="Q177" s="26"/>
      <c r="R177" s="26"/>
      <c r="S177" s="26"/>
      <c r="T177" s="26"/>
      <c r="U177" s="26"/>
      <c r="V177" s="26"/>
      <c r="W177" s="26"/>
      <c r="X177" s="26"/>
      <c r="Y177" s="26"/>
      <c r="Z177" s="26"/>
      <c r="AA177" s="26"/>
      <c r="AB177" s="26"/>
      <c r="AC177" s="26"/>
      <c r="AD177" s="26"/>
      <c r="AE177" s="114"/>
      <c r="AF177" s="85"/>
      <c r="AG177" s="67"/>
      <c r="AH177" s="67"/>
      <c r="AI177" s="85"/>
      <c r="AJ177" s="85"/>
      <c r="AK177" s="85"/>
      <c r="AL177" s="85"/>
    </row>
    <row r="178" spans="1:38">
      <c r="A178" s="26"/>
      <c r="B178" s="111"/>
      <c r="C178" s="26"/>
      <c r="D178" s="26"/>
      <c r="E178" s="26"/>
      <c r="F178" s="26"/>
      <c r="G178" s="26"/>
      <c r="H178" s="26"/>
      <c r="I178" s="26"/>
      <c r="J178" s="26"/>
      <c r="K178" s="112"/>
      <c r="L178" s="26"/>
      <c r="M178" s="26"/>
      <c r="N178" s="26"/>
      <c r="O178" s="113"/>
      <c r="P178" s="26"/>
      <c r="Q178" s="26"/>
      <c r="R178" s="26"/>
      <c r="S178" s="26"/>
      <c r="T178" s="26"/>
      <c r="U178" s="26"/>
      <c r="V178" s="26"/>
      <c r="W178" s="26"/>
      <c r="X178" s="26"/>
      <c r="Y178" s="26"/>
      <c r="Z178" s="26"/>
      <c r="AA178" s="26"/>
      <c r="AB178" s="26"/>
      <c r="AC178" s="26"/>
      <c r="AD178" s="26"/>
      <c r="AE178" s="114"/>
      <c r="AF178" s="85"/>
      <c r="AG178" s="67"/>
      <c r="AH178" s="67"/>
      <c r="AI178" s="85"/>
      <c r="AJ178" s="85"/>
      <c r="AK178" s="85"/>
      <c r="AL178" s="85"/>
    </row>
    <row r="179" spans="1:38">
      <c r="A179" s="26"/>
      <c r="B179" s="111"/>
      <c r="C179" s="26"/>
      <c r="D179" s="26"/>
      <c r="E179" s="26"/>
      <c r="F179" s="26"/>
      <c r="G179" s="26"/>
      <c r="H179" s="26"/>
      <c r="I179" s="26"/>
      <c r="J179" s="26"/>
      <c r="K179" s="112"/>
      <c r="L179" s="26"/>
      <c r="M179" s="26"/>
      <c r="N179" s="26"/>
      <c r="O179" s="113"/>
      <c r="P179" s="26"/>
      <c r="Q179" s="26"/>
      <c r="R179" s="26"/>
      <c r="S179" s="26"/>
      <c r="T179" s="26"/>
      <c r="U179" s="26"/>
      <c r="V179" s="26"/>
      <c r="W179" s="26"/>
      <c r="X179" s="26"/>
      <c r="Y179" s="26"/>
      <c r="Z179" s="26"/>
      <c r="AA179" s="26"/>
      <c r="AB179" s="26"/>
      <c r="AC179" s="26"/>
      <c r="AD179" s="26"/>
      <c r="AE179" s="114"/>
      <c r="AF179" s="85"/>
      <c r="AG179" s="67"/>
      <c r="AH179" s="67"/>
      <c r="AI179" s="85"/>
      <c r="AJ179" s="85"/>
      <c r="AK179" s="85"/>
      <c r="AL179" s="85"/>
    </row>
    <row r="180" spans="1:38">
      <c r="A180" s="26"/>
      <c r="B180" s="111"/>
      <c r="C180" s="26"/>
      <c r="D180" s="26"/>
      <c r="E180" s="26"/>
      <c r="F180" s="26"/>
      <c r="G180" s="26"/>
      <c r="H180" s="26"/>
      <c r="I180" s="26"/>
      <c r="J180" s="26"/>
      <c r="K180" s="112"/>
      <c r="L180" s="26"/>
      <c r="M180" s="26"/>
      <c r="N180" s="26"/>
      <c r="O180" s="113"/>
      <c r="P180" s="26"/>
      <c r="Q180" s="26"/>
      <c r="R180" s="26"/>
      <c r="S180" s="26"/>
      <c r="T180" s="26"/>
      <c r="U180" s="26"/>
      <c r="V180" s="26"/>
      <c r="W180" s="26"/>
      <c r="X180" s="26"/>
      <c r="Y180" s="26"/>
      <c r="Z180" s="26"/>
      <c r="AA180" s="26"/>
      <c r="AB180" s="26"/>
      <c r="AC180" s="26"/>
      <c r="AD180" s="26"/>
      <c r="AE180" s="114"/>
      <c r="AF180" s="85"/>
      <c r="AG180" s="67"/>
      <c r="AH180" s="67"/>
      <c r="AI180" s="85"/>
      <c r="AJ180" s="85"/>
      <c r="AK180" s="85"/>
      <c r="AL180" s="85"/>
    </row>
    <row r="181" spans="1:38">
      <c r="A181" s="26"/>
      <c r="B181" s="111"/>
      <c r="C181" s="26"/>
      <c r="D181" s="26"/>
      <c r="E181" s="26"/>
      <c r="F181" s="26"/>
      <c r="G181" s="26"/>
      <c r="H181" s="26"/>
      <c r="I181" s="26"/>
      <c r="J181" s="26"/>
      <c r="K181" s="112"/>
      <c r="L181" s="26"/>
      <c r="M181" s="26"/>
      <c r="N181" s="26"/>
      <c r="O181" s="113"/>
      <c r="P181" s="26"/>
      <c r="Q181" s="26"/>
      <c r="R181" s="26"/>
      <c r="S181" s="26"/>
      <c r="T181" s="26"/>
      <c r="U181" s="26"/>
      <c r="V181" s="26"/>
      <c r="W181" s="26"/>
      <c r="X181" s="26"/>
      <c r="Y181" s="26"/>
      <c r="Z181" s="26"/>
      <c r="AA181" s="26"/>
      <c r="AB181" s="26"/>
      <c r="AC181" s="26"/>
      <c r="AD181" s="26"/>
      <c r="AE181" s="114"/>
      <c r="AF181" s="85"/>
      <c r="AG181" s="67"/>
      <c r="AH181" s="67"/>
      <c r="AI181" s="85"/>
      <c r="AJ181" s="85"/>
      <c r="AK181" s="85"/>
      <c r="AL181" s="85"/>
    </row>
    <row r="182" spans="1:38">
      <c r="A182" s="26"/>
      <c r="B182" s="111"/>
      <c r="C182" s="26"/>
      <c r="D182" s="26"/>
      <c r="E182" s="26"/>
      <c r="F182" s="26"/>
      <c r="G182" s="26"/>
      <c r="H182" s="26"/>
      <c r="I182" s="26"/>
      <c r="J182" s="26"/>
      <c r="K182" s="112"/>
      <c r="L182" s="26"/>
      <c r="M182" s="26"/>
      <c r="N182" s="26"/>
      <c r="O182" s="113"/>
      <c r="P182" s="26"/>
      <c r="Q182" s="26"/>
      <c r="R182" s="26"/>
      <c r="S182" s="26"/>
      <c r="T182" s="26"/>
      <c r="U182" s="26"/>
      <c r="V182" s="26"/>
      <c r="W182" s="26"/>
      <c r="X182" s="26"/>
      <c r="Y182" s="26"/>
      <c r="Z182" s="26"/>
      <c r="AA182" s="26"/>
      <c r="AB182" s="26"/>
      <c r="AC182" s="26"/>
      <c r="AD182" s="26"/>
      <c r="AE182" s="114"/>
      <c r="AF182" s="85"/>
      <c r="AG182" s="67"/>
      <c r="AH182" s="67"/>
      <c r="AI182" s="85"/>
      <c r="AJ182" s="85"/>
      <c r="AK182" s="85"/>
      <c r="AL182" s="85"/>
    </row>
    <row r="183" spans="1:38">
      <c r="A183" s="26"/>
      <c r="B183" s="111"/>
      <c r="C183" s="26"/>
      <c r="D183" s="26"/>
      <c r="E183" s="26"/>
      <c r="F183" s="26"/>
      <c r="G183" s="26"/>
      <c r="H183" s="26"/>
      <c r="I183" s="26"/>
      <c r="J183" s="26"/>
      <c r="K183" s="112"/>
      <c r="L183" s="26"/>
      <c r="M183" s="26"/>
      <c r="N183" s="26"/>
      <c r="O183" s="113"/>
      <c r="P183" s="26"/>
      <c r="Q183" s="26"/>
      <c r="R183" s="26"/>
      <c r="S183" s="26"/>
      <c r="T183" s="26"/>
      <c r="U183" s="26"/>
      <c r="V183" s="26"/>
      <c r="W183" s="26"/>
      <c r="X183" s="26"/>
      <c r="Y183" s="26"/>
      <c r="Z183" s="26"/>
      <c r="AA183" s="26"/>
      <c r="AB183" s="26"/>
      <c r="AC183" s="26"/>
      <c r="AD183" s="26"/>
      <c r="AE183" s="114"/>
      <c r="AF183" s="85"/>
      <c r="AG183" s="67"/>
      <c r="AH183" s="67"/>
      <c r="AI183" s="85"/>
      <c r="AJ183" s="85"/>
      <c r="AK183" s="85"/>
      <c r="AL183" s="85"/>
    </row>
    <row r="184" spans="1:38">
      <c r="A184" s="26"/>
      <c r="B184" s="111"/>
      <c r="C184" s="26"/>
      <c r="D184" s="26"/>
      <c r="E184" s="26"/>
      <c r="F184" s="26"/>
      <c r="G184" s="26"/>
      <c r="H184" s="26"/>
      <c r="I184" s="26"/>
      <c r="J184" s="26"/>
      <c r="K184" s="112"/>
      <c r="L184" s="26"/>
      <c r="M184" s="26"/>
      <c r="N184" s="26"/>
      <c r="O184" s="113"/>
      <c r="P184" s="26"/>
      <c r="Q184" s="26"/>
      <c r="R184" s="26"/>
      <c r="S184" s="26"/>
      <c r="T184" s="26"/>
      <c r="U184" s="26"/>
      <c r="V184" s="26"/>
      <c r="W184" s="26"/>
      <c r="X184" s="26"/>
      <c r="Y184" s="26"/>
      <c r="Z184" s="26"/>
      <c r="AA184" s="26"/>
      <c r="AB184" s="26"/>
      <c r="AC184" s="26"/>
      <c r="AD184" s="26"/>
      <c r="AE184" s="114"/>
      <c r="AF184" s="85"/>
      <c r="AG184" s="67"/>
      <c r="AH184" s="67"/>
      <c r="AI184" s="85"/>
      <c r="AJ184" s="85"/>
      <c r="AK184" s="85"/>
      <c r="AL184" s="85"/>
    </row>
    <row r="185" spans="1:38">
      <c r="A185" s="26"/>
      <c r="B185" s="111"/>
      <c r="C185" s="26"/>
      <c r="D185" s="26"/>
      <c r="E185" s="26"/>
      <c r="F185" s="26"/>
      <c r="G185" s="26"/>
      <c r="H185" s="26"/>
      <c r="I185" s="26"/>
      <c r="J185" s="26"/>
      <c r="K185" s="112"/>
      <c r="L185" s="26"/>
      <c r="M185" s="26"/>
      <c r="N185" s="26"/>
      <c r="O185" s="113"/>
      <c r="P185" s="26"/>
      <c r="Q185" s="26"/>
      <c r="R185" s="26"/>
      <c r="S185" s="26"/>
      <c r="T185" s="26"/>
      <c r="U185" s="26"/>
      <c r="V185" s="26"/>
      <c r="W185" s="26"/>
      <c r="X185" s="26"/>
      <c r="Y185" s="26"/>
      <c r="Z185" s="26"/>
      <c r="AA185" s="26"/>
      <c r="AB185" s="26"/>
      <c r="AC185" s="26"/>
      <c r="AD185" s="26"/>
      <c r="AE185" s="114"/>
      <c r="AF185" s="85"/>
      <c r="AG185" s="67"/>
      <c r="AH185" s="67"/>
      <c r="AI185" s="85"/>
      <c r="AJ185" s="85"/>
      <c r="AK185" s="85"/>
      <c r="AL185" s="85"/>
    </row>
    <row r="186" spans="1:38">
      <c r="A186" s="26"/>
      <c r="B186" s="111"/>
      <c r="C186" s="26"/>
      <c r="D186" s="26"/>
      <c r="E186" s="26"/>
      <c r="F186" s="26"/>
      <c r="G186" s="26"/>
      <c r="H186" s="26"/>
      <c r="I186" s="26"/>
      <c r="J186" s="26"/>
      <c r="K186" s="112"/>
      <c r="L186" s="26"/>
      <c r="M186" s="26"/>
      <c r="N186" s="26"/>
      <c r="O186" s="113"/>
      <c r="P186" s="26"/>
      <c r="Q186" s="26"/>
      <c r="R186" s="26"/>
      <c r="S186" s="26"/>
      <c r="T186" s="26"/>
      <c r="U186" s="26"/>
      <c r="V186" s="26"/>
      <c r="W186" s="26"/>
      <c r="X186" s="26"/>
      <c r="Y186" s="26"/>
      <c r="Z186" s="26"/>
      <c r="AA186" s="26"/>
      <c r="AB186" s="26"/>
      <c r="AC186" s="26"/>
      <c r="AD186" s="26"/>
      <c r="AE186" s="114"/>
      <c r="AF186" s="85"/>
      <c r="AG186" s="67"/>
      <c r="AH186" s="67"/>
      <c r="AI186" s="85"/>
      <c r="AJ186" s="85"/>
      <c r="AK186" s="85"/>
      <c r="AL186" s="85"/>
    </row>
    <row r="187" spans="1:38">
      <c r="A187" s="26"/>
      <c r="B187" s="111"/>
      <c r="C187" s="26"/>
      <c r="D187" s="26"/>
      <c r="E187" s="26"/>
      <c r="F187" s="26"/>
      <c r="G187" s="26"/>
      <c r="H187" s="26"/>
      <c r="I187" s="26"/>
      <c r="J187" s="26"/>
      <c r="K187" s="112"/>
      <c r="L187" s="26"/>
      <c r="M187" s="26"/>
      <c r="N187" s="26"/>
      <c r="O187" s="113"/>
      <c r="P187" s="26"/>
      <c r="Q187" s="26"/>
      <c r="R187" s="26"/>
      <c r="S187" s="26"/>
      <c r="T187" s="26"/>
      <c r="U187" s="26"/>
      <c r="V187" s="26"/>
      <c r="W187" s="26"/>
      <c r="X187" s="26"/>
      <c r="Y187" s="26"/>
      <c r="Z187" s="26"/>
      <c r="AA187" s="26"/>
      <c r="AB187" s="26"/>
      <c r="AC187" s="26"/>
      <c r="AD187" s="26"/>
      <c r="AE187" s="114"/>
      <c r="AF187" s="85"/>
      <c r="AG187" s="67"/>
      <c r="AH187" s="67"/>
      <c r="AI187" s="85"/>
      <c r="AJ187" s="85"/>
      <c r="AK187" s="85"/>
      <c r="AL187" s="85"/>
    </row>
    <row r="188" spans="1:38">
      <c r="A188" s="26"/>
      <c r="B188" s="111"/>
      <c r="C188" s="26"/>
      <c r="D188" s="26"/>
      <c r="E188" s="26"/>
      <c r="F188" s="26"/>
      <c r="G188" s="26"/>
      <c r="H188" s="26"/>
      <c r="I188" s="26"/>
      <c r="J188" s="26"/>
      <c r="K188" s="112"/>
      <c r="L188" s="26"/>
      <c r="M188" s="26"/>
      <c r="N188" s="26"/>
      <c r="O188" s="113"/>
      <c r="P188" s="26"/>
      <c r="Q188" s="26"/>
      <c r="R188" s="26"/>
      <c r="S188" s="26"/>
      <c r="T188" s="26"/>
      <c r="U188" s="26"/>
      <c r="V188" s="26"/>
      <c r="W188" s="26"/>
      <c r="X188" s="26"/>
      <c r="Y188" s="26"/>
      <c r="Z188" s="26"/>
      <c r="AA188" s="26"/>
      <c r="AB188" s="26"/>
      <c r="AC188" s="26"/>
      <c r="AD188" s="26"/>
      <c r="AE188" s="114"/>
      <c r="AF188" s="85"/>
      <c r="AG188" s="67"/>
      <c r="AH188" s="67"/>
      <c r="AI188" s="85"/>
      <c r="AJ188" s="85"/>
      <c r="AK188" s="85"/>
      <c r="AL188" s="85"/>
    </row>
    <row r="189" spans="1:38">
      <c r="A189" s="26"/>
      <c r="B189" s="111"/>
      <c r="C189" s="26"/>
      <c r="D189" s="26"/>
      <c r="E189" s="26"/>
      <c r="F189" s="26"/>
      <c r="G189" s="26"/>
      <c r="H189" s="26"/>
      <c r="I189" s="26"/>
      <c r="J189" s="26"/>
      <c r="K189" s="112"/>
      <c r="L189" s="26"/>
      <c r="M189" s="26"/>
      <c r="N189" s="26"/>
      <c r="O189" s="113"/>
      <c r="P189" s="26"/>
      <c r="Q189" s="26"/>
      <c r="R189" s="26"/>
      <c r="S189" s="26"/>
      <c r="T189" s="26"/>
      <c r="U189" s="26"/>
      <c r="V189" s="26"/>
      <c r="W189" s="26"/>
      <c r="X189" s="26"/>
      <c r="Y189" s="26"/>
      <c r="Z189" s="26"/>
      <c r="AA189" s="26"/>
      <c r="AB189" s="26"/>
      <c r="AC189" s="26"/>
      <c r="AD189" s="26"/>
      <c r="AE189" s="114"/>
      <c r="AF189" s="85"/>
      <c r="AG189" s="67"/>
      <c r="AH189" s="67"/>
      <c r="AI189" s="85"/>
      <c r="AJ189" s="85"/>
      <c r="AK189" s="85"/>
      <c r="AL189" s="85"/>
    </row>
    <row r="190" spans="1:38">
      <c r="A190" s="26"/>
      <c r="B190" s="111"/>
      <c r="C190" s="26"/>
      <c r="D190" s="26"/>
      <c r="E190" s="26"/>
      <c r="F190" s="26"/>
      <c r="G190" s="26"/>
      <c r="H190" s="26"/>
      <c r="I190" s="26"/>
      <c r="J190" s="26"/>
      <c r="K190" s="112"/>
      <c r="L190" s="26"/>
      <c r="M190" s="26"/>
      <c r="N190" s="26"/>
      <c r="O190" s="113"/>
      <c r="P190" s="26"/>
      <c r="Q190" s="26"/>
      <c r="R190" s="26"/>
      <c r="S190" s="26"/>
      <c r="T190" s="26"/>
      <c r="U190" s="26"/>
      <c r="V190" s="26"/>
      <c r="W190" s="26"/>
      <c r="X190" s="26"/>
      <c r="Y190" s="26"/>
      <c r="Z190" s="26"/>
      <c r="AA190" s="26"/>
      <c r="AB190" s="26"/>
      <c r="AC190" s="26"/>
      <c r="AD190" s="26"/>
      <c r="AE190" s="114"/>
      <c r="AF190" s="85"/>
      <c r="AG190" s="67"/>
      <c r="AH190" s="67"/>
      <c r="AI190" s="85"/>
      <c r="AJ190" s="85"/>
      <c r="AK190" s="85"/>
      <c r="AL190" s="85"/>
    </row>
    <row r="191" spans="1:38">
      <c r="A191" s="26"/>
      <c r="B191" s="111"/>
      <c r="C191" s="26"/>
      <c r="D191" s="26"/>
      <c r="E191" s="26"/>
      <c r="F191" s="26"/>
      <c r="G191" s="26"/>
      <c r="H191" s="26"/>
      <c r="I191" s="26"/>
      <c r="J191" s="26"/>
      <c r="K191" s="112"/>
      <c r="L191" s="26"/>
      <c r="M191" s="26"/>
      <c r="N191" s="26"/>
      <c r="O191" s="113"/>
      <c r="P191" s="26"/>
      <c r="Q191" s="26"/>
      <c r="R191" s="26"/>
      <c r="S191" s="26"/>
      <c r="T191" s="26"/>
      <c r="U191" s="26"/>
      <c r="V191" s="26"/>
      <c r="W191" s="26"/>
      <c r="X191" s="26"/>
      <c r="Y191" s="26"/>
      <c r="Z191" s="26"/>
      <c r="AA191" s="26"/>
      <c r="AB191" s="26"/>
      <c r="AC191" s="26"/>
      <c r="AD191" s="26"/>
      <c r="AE191" s="114"/>
      <c r="AF191" s="85"/>
      <c r="AG191" s="67"/>
      <c r="AH191" s="67"/>
      <c r="AI191" s="85"/>
      <c r="AJ191" s="85"/>
      <c r="AK191" s="85"/>
      <c r="AL191" s="85"/>
    </row>
    <row r="192" spans="1:38">
      <c r="A192" s="26"/>
      <c r="B192" s="111"/>
      <c r="C192" s="26"/>
      <c r="D192" s="26"/>
      <c r="E192" s="26"/>
      <c r="F192" s="26"/>
      <c r="G192" s="26"/>
      <c r="H192" s="26"/>
      <c r="I192" s="26"/>
      <c r="J192" s="26"/>
      <c r="K192" s="112"/>
      <c r="L192" s="26"/>
      <c r="M192" s="26"/>
      <c r="N192" s="26"/>
      <c r="O192" s="113"/>
      <c r="P192" s="26"/>
      <c r="Q192" s="26"/>
      <c r="R192" s="26"/>
      <c r="S192" s="26"/>
      <c r="T192" s="26"/>
      <c r="U192" s="26"/>
      <c r="V192" s="26"/>
      <c r="W192" s="26"/>
      <c r="X192" s="26"/>
      <c r="Y192" s="26"/>
      <c r="Z192" s="26"/>
      <c r="AA192" s="26"/>
      <c r="AB192" s="26"/>
      <c r="AC192" s="26"/>
      <c r="AD192" s="26"/>
      <c r="AE192" s="114"/>
      <c r="AF192" s="85"/>
      <c r="AG192" s="67"/>
      <c r="AH192" s="67"/>
      <c r="AI192" s="85"/>
      <c r="AJ192" s="85"/>
      <c r="AK192" s="85"/>
      <c r="AL192" s="85"/>
    </row>
    <row r="193" spans="1:38">
      <c r="A193" s="26"/>
      <c r="B193" s="111"/>
      <c r="C193" s="26"/>
      <c r="D193" s="26"/>
      <c r="E193" s="26"/>
      <c r="F193" s="26"/>
      <c r="G193" s="26"/>
      <c r="H193" s="26"/>
      <c r="I193" s="26"/>
      <c r="J193" s="26"/>
      <c r="K193" s="112"/>
      <c r="L193" s="26"/>
      <c r="M193" s="26"/>
      <c r="N193" s="26"/>
      <c r="O193" s="113"/>
      <c r="P193" s="26"/>
      <c r="Q193" s="26"/>
      <c r="R193" s="26"/>
      <c r="S193" s="26"/>
      <c r="T193" s="26"/>
      <c r="U193" s="26"/>
      <c r="V193" s="26"/>
      <c r="W193" s="26"/>
      <c r="X193" s="26"/>
      <c r="Y193" s="26"/>
      <c r="Z193" s="26"/>
      <c r="AA193" s="26"/>
      <c r="AB193" s="26"/>
      <c r="AC193" s="26"/>
      <c r="AD193" s="26"/>
      <c r="AE193" s="114"/>
      <c r="AF193" s="85"/>
      <c r="AG193" s="67"/>
      <c r="AH193" s="67"/>
      <c r="AI193" s="85"/>
      <c r="AJ193" s="85"/>
      <c r="AK193" s="85"/>
      <c r="AL193" s="85"/>
    </row>
    <row r="194" spans="1:38">
      <c r="A194" s="26"/>
      <c r="B194" s="111"/>
      <c r="C194" s="26"/>
      <c r="D194" s="26"/>
      <c r="E194" s="26"/>
      <c r="F194" s="26"/>
      <c r="G194" s="26"/>
      <c r="H194" s="26"/>
      <c r="I194" s="26"/>
      <c r="J194" s="26"/>
      <c r="K194" s="112"/>
      <c r="L194" s="26"/>
      <c r="M194" s="26"/>
      <c r="N194" s="26"/>
      <c r="O194" s="113"/>
      <c r="P194" s="26"/>
      <c r="Q194" s="26"/>
      <c r="R194" s="26"/>
      <c r="S194" s="26"/>
      <c r="T194" s="26"/>
      <c r="U194" s="26"/>
      <c r="V194" s="26"/>
      <c r="W194" s="26"/>
      <c r="X194" s="26"/>
      <c r="Y194" s="26"/>
      <c r="Z194" s="26"/>
      <c r="AA194" s="26"/>
      <c r="AB194" s="26"/>
      <c r="AC194" s="26"/>
      <c r="AD194" s="26"/>
      <c r="AE194" s="114"/>
      <c r="AF194" s="85"/>
      <c r="AG194" s="67"/>
      <c r="AH194" s="67"/>
      <c r="AI194" s="85"/>
      <c r="AJ194" s="85"/>
      <c r="AK194" s="85"/>
      <c r="AL194" s="85"/>
    </row>
    <row r="195" spans="1:38">
      <c r="A195" s="26"/>
      <c r="B195" s="111"/>
      <c r="C195" s="26"/>
      <c r="D195" s="26"/>
      <c r="E195" s="26"/>
      <c r="F195" s="26"/>
      <c r="G195" s="26"/>
      <c r="H195" s="26"/>
      <c r="I195" s="26"/>
      <c r="J195" s="26"/>
      <c r="K195" s="112"/>
      <c r="L195" s="26"/>
      <c r="M195" s="26"/>
      <c r="N195" s="26"/>
      <c r="O195" s="113"/>
      <c r="P195" s="26"/>
      <c r="Q195" s="26"/>
      <c r="R195" s="26"/>
      <c r="S195" s="26"/>
      <c r="T195" s="26"/>
      <c r="U195" s="26"/>
      <c r="V195" s="26"/>
      <c r="W195" s="26"/>
      <c r="X195" s="26"/>
      <c r="Y195" s="26"/>
      <c r="Z195" s="26"/>
      <c r="AA195" s="26"/>
      <c r="AB195" s="26"/>
      <c r="AC195" s="26"/>
      <c r="AD195" s="26"/>
      <c r="AE195" s="114"/>
      <c r="AF195" s="85"/>
      <c r="AG195" s="67"/>
      <c r="AH195" s="67"/>
      <c r="AI195" s="85"/>
      <c r="AJ195" s="85"/>
      <c r="AK195" s="85"/>
      <c r="AL195" s="85"/>
    </row>
    <row r="196" spans="1:38">
      <c r="A196" s="26"/>
      <c r="B196" s="111"/>
      <c r="C196" s="26"/>
      <c r="D196" s="26"/>
      <c r="E196" s="26"/>
      <c r="F196" s="26"/>
      <c r="G196" s="26"/>
      <c r="H196" s="26"/>
      <c r="I196" s="26"/>
      <c r="J196" s="26"/>
      <c r="K196" s="112"/>
      <c r="L196" s="26"/>
      <c r="M196" s="26"/>
      <c r="N196" s="26"/>
      <c r="O196" s="113"/>
      <c r="P196" s="26"/>
      <c r="Q196" s="26"/>
      <c r="R196" s="26"/>
      <c r="S196" s="26"/>
      <c r="T196" s="26"/>
      <c r="U196" s="26"/>
      <c r="V196" s="26"/>
      <c r="W196" s="26"/>
      <c r="X196" s="26"/>
      <c r="Y196" s="26"/>
      <c r="Z196" s="26"/>
      <c r="AA196" s="26"/>
      <c r="AB196" s="26"/>
      <c r="AC196" s="26"/>
      <c r="AD196" s="26"/>
      <c r="AE196" s="114"/>
      <c r="AF196" s="85"/>
      <c r="AG196" s="67"/>
      <c r="AH196" s="67"/>
      <c r="AI196" s="85"/>
      <c r="AJ196" s="85"/>
      <c r="AK196" s="85"/>
      <c r="AL196" s="85"/>
    </row>
    <row r="197" spans="1:38">
      <c r="A197" s="26"/>
      <c r="B197" s="111"/>
      <c r="C197" s="26"/>
      <c r="D197" s="26"/>
      <c r="E197" s="26"/>
      <c r="F197" s="26"/>
      <c r="G197" s="26"/>
      <c r="H197" s="26"/>
      <c r="I197" s="26"/>
      <c r="J197" s="26"/>
      <c r="K197" s="112"/>
      <c r="L197" s="26"/>
      <c r="M197" s="26"/>
      <c r="N197" s="26"/>
      <c r="O197" s="113"/>
      <c r="P197" s="26"/>
      <c r="Q197" s="26"/>
      <c r="R197" s="26"/>
      <c r="S197" s="26"/>
      <c r="T197" s="26"/>
      <c r="U197" s="26"/>
      <c r="V197" s="26"/>
      <c r="W197" s="26"/>
      <c r="X197" s="26"/>
      <c r="Y197" s="26"/>
      <c r="Z197" s="26"/>
      <c r="AA197" s="26"/>
      <c r="AB197" s="26"/>
      <c r="AC197" s="26"/>
      <c r="AD197" s="26"/>
      <c r="AE197" s="114"/>
      <c r="AF197" s="85"/>
      <c r="AG197" s="67"/>
      <c r="AH197" s="67"/>
      <c r="AI197" s="85"/>
      <c r="AJ197" s="85"/>
      <c r="AK197" s="85"/>
      <c r="AL197" s="85"/>
    </row>
    <row r="198" spans="1:38">
      <c r="A198" s="26"/>
      <c r="B198" s="111"/>
      <c r="C198" s="26"/>
      <c r="D198" s="26"/>
      <c r="E198" s="26"/>
      <c r="F198" s="26"/>
      <c r="G198" s="26"/>
      <c r="H198" s="26"/>
      <c r="I198" s="26"/>
      <c r="J198" s="26"/>
      <c r="K198" s="112"/>
      <c r="L198" s="26"/>
      <c r="M198" s="26"/>
      <c r="N198" s="26"/>
      <c r="O198" s="113"/>
      <c r="P198" s="26"/>
      <c r="Q198" s="26"/>
      <c r="R198" s="26"/>
      <c r="S198" s="26"/>
      <c r="T198" s="26"/>
      <c r="U198" s="26"/>
      <c r="V198" s="26"/>
      <c r="W198" s="26"/>
      <c r="X198" s="26"/>
      <c r="Y198" s="26"/>
      <c r="Z198" s="26"/>
      <c r="AA198" s="26"/>
      <c r="AB198" s="26"/>
      <c r="AC198" s="26"/>
      <c r="AD198" s="26"/>
      <c r="AE198" s="114"/>
      <c r="AF198" s="85"/>
      <c r="AG198" s="67"/>
      <c r="AH198" s="67"/>
      <c r="AI198" s="85"/>
      <c r="AJ198" s="85"/>
      <c r="AK198" s="85"/>
      <c r="AL198" s="85"/>
    </row>
    <row r="199" spans="1:38">
      <c r="A199" s="26"/>
      <c r="B199" s="111"/>
      <c r="C199" s="26"/>
      <c r="D199" s="26"/>
      <c r="E199" s="26"/>
      <c r="F199" s="26"/>
      <c r="G199" s="26"/>
      <c r="H199" s="26"/>
      <c r="I199" s="26"/>
      <c r="J199" s="26"/>
      <c r="K199" s="112"/>
      <c r="L199" s="26"/>
      <c r="M199" s="26"/>
      <c r="N199" s="26"/>
      <c r="O199" s="113"/>
      <c r="P199" s="26"/>
      <c r="Q199" s="26"/>
      <c r="R199" s="26"/>
      <c r="S199" s="26"/>
      <c r="T199" s="26"/>
      <c r="U199" s="26"/>
      <c r="V199" s="26"/>
      <c r="W199" s="26"/>
      <c r="X199" s="26"/>
      <c r="Y199" s="26"/>
      <c r="Z199" s="26"/>
      <c r="AA199" s="26"/>
      <c r="AB199" s="26"/>
      <c r="AC199" s="26"/>
      <c r="AD199" s="26"/>
      <c r="AE199" s="114"/>
      <c r="AF199" s="85"/>
      <c r="AG199" s="67"/>
      <c r="AH199" s="67"/>
      <c r="AI199" s="85"/>
      <c r="AJ199" s="85"/>
      <c r="AK199" s="85"/>
      <c r="AL199" s="85"/>
    </row>
    <row r="200" spans="1:38">
      <c r="A200" s="26"/>
      <c r="B200" s="111"/>
      <c r="C200" s="26"/>
      <c r="D200" s="26"/>
      <c r="E200" s="26"/>
      <c r="F200" s="26"/>
      <c r="G200" s="26"/>
      <c r="H200" s="26"/>
      <c r="I200" s="26"/>
      <c r="J200" s="26"/>
      <c r="K200" s="112"/>
      <c r="L200" s="26"/>
      <c r="M200" s="26"/>
      <c r="N200" s="26"/>
      <c r="O200" s="113"/>
      <c r="P200" s="26"/>
      <c r="Q200" s="26"/>
      <c r="R200" s="26"/>
      <c r="S200" s="26"/>
      <c r="T200" s="26"/>
      <c r="U200" s="26"/>
      <c r="V200" s="26"/>
      <c r="W200" s="26"/>
      <c r="X200" s="26"/>
      <c r="Y200" s="26"/>
      <c r="Z200" s="26"/>
      <c r="AA200" s="26"/>
      <c r="AB200" s="26"/>
      <c r="AC200" s="26"/>
      <c r="AD200" s="26"/>
      <c r="AE200" s="114"/>
      <c r="AF200" s="85"/>
      <c r="AG200" s="67"/>
      <c r="AH200" s="67"/>
      <c r="AI200" s="85"/>
      <c r="AJ200" s="85"/>
      <c r="AK200" s="85"/>
      <c r="AL200" s="85"/>
    </row>
    <row r="201" spans="1:38">
      <c r="A201" s="26"/>
      <c r="B201" s="111"/>
      <c r="C201" s="26"/>
      <c r="D201" s="26"/>
      <c r="E201" s="26"/>
      <c r="F201" s="26"/>
      <c r="G201" s="26"/>
      <c r="H201" s="26"/>
      <c r="I201" s="26"/>
      <c r="J201" s="26"/>
      <c r="K201" s="112"/>
      <c r="L201" s="26"/>
      <c r="M201" s="26"/>
      <c r="N201" s="26"/>
      <c r="O201" s="113"/>
      <c r="P201" s="26"/>
      <c r="Q201" s="26"/>
      <c r="R201" s="26"/>
      <c r="S201" s="26"/>
      <c r="T201" s="26"/>
      <c r="U201" s="26"/>
      <c r="V201" s="26"/>
      <c r="W201" s="26"/>
      <c r="X201" s="26"/>
      <c r="Y201" s="26"/>
      <c r="Z201" s="26"/>
      <c r="AA201" s="26"/>
      <c r="AB201" s="26"/>
      <c r="AC201" s="26"/>
      <c r="AD201" s="26"/>
      <c r="AE201" s="114"/>
      <c r="AF201" s="85"/>
      <c r="AG201" s="67"/>
      <c r="AH201" s="67"/>
      <c r="AI201" s="85"/>
      <c r="AJ201" s="85"/>
      <c r="AK201" s="85"/>
      <c r="AL201" s="85"/>
    </row>
    <row r="202" spans="1:38">
      <c r="A202" s="26"/>
      <c r="B202" s="111"/>
      <c r="C202" s="26"/>
      <c r="D202" s="26"/>
      <c r="E202" s="26"/>
      <c r="F202" s="26"/>
      <c r="G202" s="26"/>
      <c r="H202" s="26"/>
      <c r="I202" s="26"/>
      <c r="J202" s="26"/>
      <c r="K202" s="112"/>
      <c r="L202" s="26"/>
      <c r="M202" s="26"/>
      <c r="N202" s="26"/>
      <c r="O202" s="113"/>
      <c r="P202" s="26"/>
      <c r="Q202" s="26"/>
      <c r="R202" s="26"/>
      <c r="S202" s="26"/>
      <c r="T202" s="26"/>
      <c r="U202" s="26"/>
      <c r="V202" s="26"/>
      <c r="W202" s="26"/>
      <c r="X202" s="26"/>
      <c r="Y202" s="26"/>
      <c r="Z202" s="26"/>
      <c r="AA202" s="26"/>
      <c r="AB202" s="26"/>
      <c r="AC202" s="26"/>
      <c r="AD202" s="26"/>
      <c r="AE202" s="114"/>
      <c r="AF202" s="85"/>
      <c r="AG202" s="67"/>
      <c r="AH202" s="67"/>
      <c r="AI202" s="85"/>
      <c r="AJ202" s="85"/>
      <c r="AK202" s="85"/>
      <c r="AL202" s="85"/>
    </row>
    <row r="203" spans="1:38">
      <c r="A203" s="26"/>
      <c r="B203" s="111"/>
      <c r="C203" s="26"/>
      <c r="D203" s="26"/>
      <c r="E203" s="26"/>
      <c r="F203" s="26"/>
      <c r="G203" s="26"/>
      <c r="H203" s="26"/>
      <c r="I203" s="26"/>
      <c r="J203" s="26"/>
      <c r="K203" s="112"/>
      <c r="L203" s="26"/>
      <c r="M203" s="26"/>
      <c r="N203" s="26"/>
      <c r="O203" s="113"/>
      <c r="P203" s="26"/>
      <c r="Q203" s="26"/>
      <c r="R203" s="26"/>
      <c r="S203" s="26"/>
      <c r="T203" s="26"/>
      <c r="U203" s="26"/>
      <c r="V203" s="26"/>
      <c r="W203" s="26"/>
      <c r="X203" s="26"/>
      <c r="Y203" s="26"/>
      <c r="Z203" s="26"/>
      <c r="AA203" s="26"/>
      <c r="AB203" s="26"/>
      <c r="AC203" s="26"/>
      <c r="AD203" s="26"/>
      <c r="AE203" s="114"/>
      <c r="AF203" s="85"/>
      <c r="AG203" s="67"/>
      <c r="AH203" s="67"/>
      <c r="AI203" s="85"/>
      <c r="AJ203" s="85"/>
      <c r="AK203" s="85"/>
      <c r="AL203" s="85"/>
    </row>
    <row r="204" spans="1:38">
      <c r="A204" s="26"/>
      <c r="B204" s="111"/>
      <c r="C204" s="26"/>
      <c r="D204" s="26"/>
      <c r="E204" s="26"/>
      <c r="F204" s="26"/>
      <c r="G204" s="26"/>
      <c r="H204" s="26"/>
      <c r="I204" s="26"/>
      <c r="J204" s="26"/>
      <c r="K204" s="112"/>
      <c r="L204" s="26"/>
      <c r="M204" s="26"/>
      <c r="N204" s="26"/>
      <c r="O204" s="113"/>
      <c r="P204" s="26"/>
      <c r="Q204" s="26"/>
      <c r="R204" s="26"/>
      <c r="S204" s="26"/>
      <c r="T204" s="26"/>
      <c r="U204" s="26"/>
      <c r="V204" s="26"/>
      <c r="W204" s="26"/>
      <c r="X204" s="26"/>
      <c r="Y204" s="26"/>
      <c r="Z204" s="26"/>
      <c r="AA204" s="26"/>
      <c r="AB204" s="26"/>
      <c r="AC204" s="26"/>
      <c r="AD204" s="26"/>
      <c r="AE204" s="114"/>
      <c r="AF204" s="85"/>
      <c r="AG204" s="67"/>
      <c r="AH204" s="67"/>
      <c r="AI204" s="85"/>
      <c r="AJ204" s="85"/>
      <c r="AK204" s="85"/>
      <c r="AL204" s="85"/>
    </row>
    <row r="205" spans="1:38">
      <c r="A205" s="26"/>
      <c r="B205" s="111"/>
      <c r="C205" s="26"/>
      <c r="D205" s="26"/>
      <c r="E205" s="26"/>
      <c r="F205" s="26"/>
      <c r="G205" s="26"/>
      <c r="H205" s="26"/>
      <c r="I205" s="26"/>
      <c r="J205" s="26"/>
      <c r="K205" s="112"/>
      <c r="L205" s="26"/>
      <c r="M205" s="26"/>
      <c r="N205" s="26"/>
      <c r="O205" s="113"/>
      <c r="P205" s="26"/>
      <c r="Q205" s="26"/>
      <c r="R205" s="26"/>
      <c r="S205" s="26"/>
      <c r="T205" s="26"/>
      <c r="U205" s="26"/>
      <c r="V205" s="26"/>
      <c r="W205" s="26"/>
      <c r="X205" s="26"/>
      <c r="Y205" s="26"/>
      <c r="Z205" s="26"/>
      <c r="AA205" s="26"/>
      <c r="AB205" s="26"/>
      <c r="AC205" s="26"/>
      <c r="AD205" s="26"/>
      <c r="AE205" s="114"/>
      <c r="AF205" s="85"/>
      <c r="AG205" s="67"/>
      <c r="AH205" s="67"/>
      <c r="AI205" s="85"/>
      <c r="AJ205" s="85"/>
      <c r="AK205" s="85"/>
      <c r="AL205" s="85"/>
    </row>
    <row r="206" spans="1:38">
      <c r="A206" s="26"/>
      <c r="B206" s="111"/>
      <c r="C206" s="26"/>
      <c r="D206" s="26"/>
      <c r="E206" s="26"/>
      <c r="F206" s="26"/>
      <c r="G206" s="26"/>
      <c r="H206" s="26"/>
      <c r="I206" s="26"/>
      <c r="J206" s="26"/>
      <c r="K206" s="112"/>
      <c r="L206" s="26"/>
      <c r="M206" s="26"/>
      <c r="N206" s="26"/>
      <c r="O206" s="113"/>
      <c r="P206" s="26"/>
      <c r="Q206" s="26"/>
      <c r="R206" s="26"/>
      <c r="S206" s="26"/>
      <c r="T206" s="26"/>
      <c r="U206" s="26"/>
      <c r="V206" s="26"/>
      <c r="W206" s="26"/>
      <c r="X206" s="26"/>
      <c r="Y206" s="26"/>
      <c r="Z206" s="26"/>
      <c r="AA206" s="26"/>
      <c r="AB206" s="26"/>
      <c r="AC206" s="26"/>
      <c r="AD206" s="26"/>
      <c r="AE206" s="114"/>
      <c r="AF206" s="85"/>
      <c r="AG206" s="67"/>
      <c r="AH206" s="67"/>
      <c r="AI206" s="85"/>
      <c r="AJ206" s="85"/>
      <c r="AK206" s="85"/>
      <c r="AL206" s="85"/>
    </row>
    <row r="207" spans="1:38">
      <c r="A207" s="26"/>
      <c r="B207" s="111"/>
      <c r="C207" s="26"/>
      <c r="D207" s="26"/>
      <c r="E207" s="26"/>
      <c r="F207" s="26"/>
      <c r="G207" s="26"/>
      <c r="H207" s="26"/>
      <c r="I207" s="26"/>
      <c r="J207" s="26"/>
      <c r="K207" s="112"/>
      <c r="L207" s="26"/>
      <c r="M207" s="26"/>
      <c r="N207" s="26"/>
      <c r="O207" s="113"/>
      <c r="P207" s="26"/>
      <c r="Q207" s="26"/>
      <c r="R207" s="26"/>
      <c r="S207" s="26"/>
      <c r="T207" s="26"/>
      <c r="U207" s="26"/>
      <c r="V207" s="26"/>
      <c r="W207" s="26"/>
      <c r="X207" s="26"/>
      <c r="Y207" s="26"/>
      <c r="Z207" s="26"/>
      <c r="AA207" s="26"/>
      <c r="AB207" s="26"/>
      <c r="AC207" s="26"/>
      <c r="AD207" s="26"/>
      <c r="AE207" s="114"/>
      <c r="AF207" s="85"/>
      <c r="AG207" s="67"/>
      <c r="AH207" s="67"/>
      <c r="AI207" s="85"/>
      <c r="AJ207" s="85"/>
      <c r="AK207" s="85"/>
      <c r="AL207" s="85"/>
    </row>
    <row r="208" spans="1:38">
      <c r="A208" s="26"/>
      <c r="B208" s="111"/>
      <c r="C208" s="26"/>
      <c r="D208" s="26"/>
      <c r="E208" s="26"/>
      <c r="F208" s="26"/>
      <c r="G208" s="26"/>
      <c r="H208" s="26"/>
      <c r="I208" s="26"/>
      <c r="J208" s="26"/>
      <c r="K208" s="112"/>
      <c r="L208" s="26"/>
      <c r="M208" s="26"/>
      <c r="N208" s="26"/>
      <c r="O208" s="113"/>
      <c r="P208" s="26"/>
      <c r="Q208" s="26"/>
      <c r="R208" s="26"/>
      <c r="S208" s="26"/>
      <c r="T208" s="26"/>
      <c r="U208" s="26"/>
      <c r="V208" s="26"/>
      <c r="W208" s="26"/>
      <c r="X208" s="26"/>
      <c r="Y208" s="26"/>
      <c r="Z208" s="26"/>
      <c r="AA208" s="26"/>
      <c r="AB208" s="26"/>
      <c r="AC208" s="26"/>
      <c r="AD208" s="26"/>
      <c r="AE208" s="114"/>
      <c r="AF208" s="85"/>
      <c r="AG208" s="67"/>
      <c r="AH208" s="67"/>
      <c r="AI208" s="85"/>
      <c r="AJ208" s="85"/>
      <c r="AK208" s="85"/>
      <c r="AL208" s="85"/>
    </row>
    <row r="209" spans="1:38">
      <c r="A209" s="26"/>
      <c r="B209" s="111"/>
      <c r="C209" s="26"/>
      <c r="D209" s="26"/>
      <c r="E209" s="26"/>
      <c r="F209" s="26"/>
      <c r="G209" s="26"/>
      <c r="H209" s="26"/>
      <c r="I209" s="26"/>
      <c r="J209" s="26"/>
      <c r="K209" s="112"/>
      <c r="L209" s="26"/>
      <c r="M209" s="26"/>
      <c r="N209" s="26"/>
      <c r="O209" s="113"/>
      <c r="P209" s="26"/>
      <c r="Q209" s="26"/>
      <c r="R209" s="26"/>
      <c r="S209" s="26"/>
      <c r="T209" s="26"/>
      <c r="U209" s="26"/>
      <c r="V209" s="26"/>
      <c r="W209" s="26"/>
      <c r="X209" s="26"/>
      <c r="Y209" s="26"/>
      <c r="Z209" s="26"/>
      <c r="AA209" s="26"/>
      <c r="AB209" s="26"/>
      <c r="AC209" s="26"/>
      <c r="AD209" s="26"/>
      <c r="AE209" s="114"/>
      <c r="AF209" s="85"/>
      <c r="AG209" s="67"/>
      <c r="AH209" s="67"/>
      <c r="AI209" s="85"/>
      <c r="AJ209" s="85"/>
      <c r="AK209" s="85"/>
      <c r="AL209" s="85"/>
    </row>
    <row r="210" spans="1:38">
      <c r="A210" s="26"/>
      <c r="B210" s="111"/>
      <c r="C210" s="26"/>
      <c r="D210" s="26"/>
      <c r="E210" s="26"/>
      <c r="F210" s="26"/>
      <c r="G210" s="26"/>
      <c r="H210" s="26"/>
      <c r="I210" s="26"/>
      <c r="J210" s="26"/>
      <c r="K210" s="112"/>
      <c r="L210" s="26"/>
      <c r="M210" s="26"/>
      <c r="N210" s="26"/>
      <c r="O210" s="113"/>
      <c r="P210" s="26"/>
      <c r="Q210" s="26"/>
      <c r="R210" s="26"/>
      <c r="S210" s="26"/>
      <c r="T210" s="26"/>
      <c r="U210" s="26"/>
      <c r="V210" s="26"/>
      <c r="W210" s="26"/>
      <c r="X210" s="26"/>
      <c r="Y210" s="26"/>
      <c r="Z210" s="26"/>
      <c r="AA210" s="26"/>
      <c r="AB210" s="26"/>
      <c r="AC210" s="26"/>
      <c r="AD210" s="26"/>
      <c r="AE210" s="114"/>
      <c r="AF210" s="85"/>
      <c r="AG210" s="67"/>
      <c r="AH210" s="67"/>
      <c r="AI210" s="85"/>
      <c r="AJ210" s="85"/>
      <c r="AK210" s="85"/>
      <c r="AL210" s="85"/>
    </row>
    <row r="211" spans="1:38">
      <c r="A211" s="26"/>
      <c r="B211" s="111"/>
      <c r="C211" s="26"/>
      <c r="D211" s="26"/>
      <c r="E211" s="26"/>
      <c r="F211" s="26"/>
      <c r="G211" s="26"/>
      <c r="H211" s="26"/>
      <c r="I211" s="26"/>
      <c r="J211" s="26"/>
      <c r="K211" s="112"/>
      <c r="L211" s="26"/>
      <c r="M211" s="26"/>
      <c r="N211" s="26"/>
      <c r="O211" s="113"/>
      <c r="P211" s="26"/>
      <c r="Q211" s="26"/>
      <c r="R211" s="26"/>
      <c r="S211" s="26"/>
      <c r="T211" s="26"/>
      <c r="U211" s="26"/>
      <c r="V211" s="26"/>
      <c r="W211" s="26"/>
      <c r="X211" s="26"/>
      <c r="Y211" s="26"/>
      <c r="Z211" s="26"/>
      <c r="AA211" s="26"/>
      <c r="AB211" s="26"/>
      <c r="AC211" s="26"/>
      <c r="AD211" s="26"/>
      <c r="AE211" s="114"/>
      <c r="AF211" s="85"/>
      <c r="AG211" s="67"/>
      <c r="AH211" s="67"/>
      <c r="AI211" s="85"/>
      <c r="AJ211" s="85"/>
      <c r="AK211" s="85"/>
      <c r="AL211" s="85"/>
    </row>
    <row r="212" spans="1:38">
      <c r="A212" s="26"/>
      <c r="B212" s="111"/>
      <c r="C212" s="26"/>
      <c r="D212" s="26"/>
      <c r="E212" s="26"/>
      <c r="F212" s="26"/>
      <c r="G212" s="26"/>
      <c r="H212" s="26"/>
      <c r="I212" s="26"/>
      <c r="J212" s="26"/>
      <c r="K212" s="112"/>
      <c r="L212" s="26"/>
      <c r="M212" s="26"/>
      <c r="N212" s="26"/>
      <c r="O212" s="113"/>
      <c r="P212" s="26"/>
      <c r="Q212" s="26"/>
      <c r="R212" s="26"/>
      <c r="S212" s="26"/>
      <c r="T212" s="26"/>
      <c r="U212" s="26"/>
      <c r="V212" s="26"/>
      <c r="W212" s="26"/>
      <c r="X212" s="26"/>
      <c r="Y212" s="26"/>
      <c r="Z212" s="26"/>
      <c r="AA212" s="26"/>
      <c r="AB212" s="26"/>
      <c r="AC212" s="26"/>
      <c r="AD212" s="26"/>
      <c r="AE212" s="114"/>
      <c r="AF212" s="85"/>
      <c r="AG212" s="67"/>
      <c r="AH212" s="67"/>
      <c r="AI212" s="85"/>
      <c r="AJ212" s="85"/>
      <c r="AK212" s="85"/>
      <c r="AL212" s="85"/>
    </row>
    <row r="213" spans="1:38">
      <c r="A213" s="26"/>
      <c r="B213" s="111"/>
      <c r="C213" s="26"/>
      <c r="D213" s="26"/>
      <c r="E213" s="26"/>
      <c r="F213" s="26"/>
      <c r="G213" s="26"/>
      <c r="H213" s="26"/>
      <c r="I213" s="26"/>
      <c r="J213" s="26"/>
      <c r="K213" s="112"/>
      <c r="L213" s="26"/>
      <c r="M213" s="26"/>
      <c r="N213" s="26"/>
      <c r="O213" s="113"/>
      <c r="P213" s="26"/>
      <c r="Q213" s="26"/>
      <c r="R213" s="26"/>
      <c r="S213" s="26"/>
      <c r="T213" s="26"/>
      <c r="U213" s="26"/>
      <c r="V213" s="26"/>
      <c r="W213" s="26"/>
      <c r="X213" s="26"/>
      <c r="Y213" s="26"/>
      <c r="Z213" s="26"/>
      <c r="AA213" s="26"/>
      <c r="AB213" s="26"/>
      <c r="AC213" s="26"/>
      <c r="AD213" s="26"/>
      <c r="AE213" s="114"/>
      <c r="AF213" s="85"/>
      <c r="AG213" s="67"/>
      <c r="AH213" s="67"/>
      <c r="AI213" s="85"/>
      <c r="AJ213" s="85"/>
      <c r="AK213" s="85"/>
      <c r="AL213" s="85"/>
    </row>
    <row r="214" spans="1:38">
      <c r="A214" s="26"/>
      <c r="B214" s="111"/>
      <c r="C214" s="26"/>
      <c r="D214" s="26"/>
      <c r="E214" s="26"/>
      <c r="F214" s="26"/>
      <c r="G214" s="26"/>
      <c r="H214" s="26"/>
      <c r="I214" s="26"/>
      <c r="J214" s="26"/>
      <c r="K214" s="112"/>
      <c r="L214" s="26"/>
      <c r="M214" s="26"/>
      <c r="N214" s="26"/>
      <c r="O214" s="113"/>
      <c r="P214" s="26"/>
      <c r="Q214" s="26"/>
      <c r="R214" s="26"/>
      <c r="S214" s="26"/>
      <c r="T214" s="26"/>
      <c r="U214" s="26"/>
      <c r="V214" s="26"/>
      <c r="W214" s="26"/>
      <c r="X214" s="26"/>
      <c r="Y214" s="26"/>
      <c r="Z214" s="26"/>
      <c r="AA214" s="26"/>
      <c r="AB214" s="26"/>
      <c r="AC214" s="26"/>
      <c r="AD214" s="26"/>
      <c r="AE214" s="114"/>
      <c r="AF214" s="85"/>
      <c r="AG214" s="67"/>
      <c r="AH214" s="67"/>
      <c r="AI214" s="85"/>
      <c r="AJ214" s="85"/>
      <c r="AK214" s="85"/>
      <c r="AL214" s="85"/>
    </row>
    <row r="215" spans="1:38">
      <c r="A215" s="26"/>
      <c r="B215" s="111"/>
      <c r="C215" s="26"/>
      <c r="D215" s="26"/>
      <c r="E215" s="26"/>
      <c r="F215" s="26"/>
      <c r="G215" s="26"/>
      <c r="H215" s="26"/>
      <c r="I215" s="26"/>
      <c r="J215" s="26"/>
      <c r="K215" s="112"/>
      <c r="L215" s="26"/>
      <c r="M215" s="26"/>
      <c r="N215" s="26"/>
      <c r="O215" s="113"/>
      <c r="P215" s="26"/>
      <c r="Q215" s="26"/>
      <c r="R215" s="26"/>
      <c r="S215" s="26"/>
      <c r="T215" s="26"/>
      <c r="U215" s="26"/>
      <c r="V215" s="26"/>
      <c r="W215" s="26"/>
      <c r="X215" s="26"/>
      <c r="Y215" s="26"/>
      <c r="Z215" s="26"/>
      <c r="AA215" s="26"/>
      <c r="AB215" s="26"/>
      <c r="AC215" s="26"/>
      <c r="AD215" s="26"/>
      <c r="AE215" s="114"/>
      <c r="AF215" s="85"/>
      <c r="AG215" s="67"/>
      <c r="AH215" s="67"/>
      <c r="AI215" s="85"/>
      <c r="AJ215" s="85"/>
      <c r="AK215" s="85"/>
      <c r="AL215" s="85"/>
    </row>
    <row r="216" spans="1:38">
      <c r="A216" s="26"/>
      <c r="B216" s="111"/>
      <c r="C216" s="26"/>
      <c r="D216" s="26"/>
      <c r="E216" s="26"/>
      <c r="F216" s="26"/>
      <c r="G216" s="26"/>
      <c r="H216" s="26"/>
      <c r="I216" s="26"/>
      <c r="J216" s="26"/>
      <c r="K216" s="112"/>
      <c r="L216" s="26"/>
      <c r="M216" s="26"/>
      <c r="N216" s="26"/>
      <c r="O216" s="113"/>
      <c r="P216" s="26"/>
      <c r="Q216" s="26"/>
      <c r="R216" s="26"/>
      <c r="S216" s="26"/>
      <c r="T216" s="26"/>
      <c r="U216" s="26"/>
      <c r="V216" s="26"/>
      <c r="W216" s="26"/>
      <c r="X216" s="26"/>
      <c r="Y216" s="26"/>
      <c r="Z216" s="26"/>
      <c r="AA216" s="26"/>
      <c r="AB216" s="26"/>
      <c r="AC216" s="26"/>
      <c r="AD216" s="26"/>
      <c r="AE216" s="114"/>
      <c r="AF216" s="85"/>
      <c r="AG216" s="67"/>
      <c r="AH216" s="67"/>
      <c r="AI216" s="85"/>
      <c r="AJ216" s="85"/>
      <c r="AK216" s="85"/>
      <c r="AL216" s="85"/>
    </row>
    <row r="217" spans="1:38">
      <c r="A217" s="26"/>
      <c r="B217" s="111"/>
      <c r="C217" s="26"/>
      <c r="D217" s="26"/>
      <c r="E217" s="26"/>
      <c r="F217" s="26"/>
      <c r="G217" s="26"/>
      <c r="H217" s="26"/>
      <c r="I217" s="26"/>
      <c r="J217" s="26"/>
      <c r="K217" s="112"/>
      <c r="L217" s="26"/>
      <c r="M217" s="26"/>
      <c r="N217" s="26"/>
      <c r="O217" s="113"/>
      <c r="P217" s="26"/>
      <c r="Q217" s="26"/>
      <c r="R217" s="26"/>
      <c r="S217" s="26"/>
      <c r="T217" s="26"/>
      <c r="U217" s="26"/>
      <c r="V217" s="26"/>
      <c r="W217" s="26"/>
      <c r="X217" s="26"/>
      <c r="Y217" s="26"/>
      <c r="Z217" s="26"/>
      <c r="AA217" s="26"/>
      <c r="AB217" s="26"/>
      <c r="AC217" s="26"/>
      <c r="AD217" s="26"/>
      <c r="AE217" s="114"/>
      <c r="AF217" s="85"/>
      <c r="AG217" s="67"/>
      <c r="AH217" s="67"/>
      <c r="AI217" s="85"/>
      <c r="AJ217" s="85"/>
      <c r="AK217" s="85"/>
      <c r="AL217" s="85"/>
    </row>
    <row r="218" spans="1:38">
      <c r="A218" s="26"/>
      <c r="B218" s="111"/>
      <c r="C218" s="26"/>
      <c r="D218" s="26"/>
      <c r="E218" s="26"/>
      <c r="F218" s="26"/>
      <c r="G218" s="26"/>
      <c r="H218" s="26"/>
      <c r="I218" s="26"/>
      <c r="J218" s="26"/>
      <c r="K218" s="112"/>
      <c r="L218" s="26"/>
      <c r="M218" s="26"/>
      <c r="N218" s="26"/>
      <c r="O218" s="113"/>
      <c r="P218" s="26"/>
      <c r="Q218" s="26"/>
      <c r="R218" s="26"/>
      <c r="S218" s="26"/>
      <c r="T218" s="26"/>
      <c r="U218" s="26"/>
      <c r="V218" s="26"/>
      <c r="W218" s="26"/>
      <c r="X218" s="26"/>
      <c r="Y218" s="26"/>
      <c r="Z218" s="26"/>
      <c r="AA218" s="26"/>
      <c r="AB218" s="26"/>
      <c r="AC218" s="26"/>
      <c r="AD218" s="26"/>
      <c r="AE218" s="114"/>
      <c r="AF218" s="85"/>
      <c r="AG218" s="67"/>
      <c r="AH218" s="67"/>
      <c r="AI218" s="85"/>
      <c r="AJ218" s="85"/>
      <c r="AK218" s="85"/>
      <c r="AL218" s="85"/>
    </row>
    <row r="219" spans="1:38">
      <c r="A219" s="26"/>
      <c r="B219" s="111"/>
      <c r="C219" s="26"/>
      <c r="D219" s="26"/>
      <c r="E219" s="26"/>
      <c r="F219" s="26"/>
      <c r="G219" s="26"/>
      <c r="H219" s="26"/>
      <c r="I219" s="26"/>
      <c r="J219" s="26"/>
      <c r="K219" s="112"/>
      <c r="L219" s="26"/>
      <c r="M219" s="26"/>
      <c r="N219" s="26"/>
      <c r="O219" s="113"/>
      <c r="P219" s="26"/>
      <c r="Q219" s="26"/>
      <c r="R219" s="26"/>
      <c r="S219" s="26"/>
      <c r="T219" s="26"/>
      <c r="U219" s="26"/>
      <c r="V219" s="26"/>
      <c r="W219" s="26"/>
      <c r="X219" s="26"/>
      <c r="Y219" s="26"/>
      <c r="Z219" s="26"/>
      <c r="AA219" s="26"/>
      <c r="AB219" s="26"/>
      <c r="AC219" s="26"/>
      <c r="AD219" s="26"/>
      <c r="AE219" s="114"/>
      <c r="AF219" s="85"/>
      <c r="AG219" s="67"/>
      <c r="AH219" s="67"/>
      <c r="AI219" s="85"/>
      <c r="AJ219" s="85"/>
      <c r="AK219" s="85"/>
      <c r="AL219" s="85"/>
    </row>
    <row r="220" spans="1:38">
      <c r="A220" s="26"/>
      <c r="B220" s="111"/>
      <c r="C220" s="26"/>
      <c r="D220" s="26"/>
      <c r="E220" s="26"/>
      <c r="F220" s="26"/>
      <c r="G220" s="26"/>
      <c r="H220" s="26"/>
      <c r="I220" s="26"/>
      <c r="J220" s="26"/>
      <c r="K220" s="112"/>
      <c r="L220" s="26"/>
      <c r="M220" s="26"/>
      <c r="N220" s="26"/>
      <c r="O220" s="113"/>
      <c r="P220" s="26"/>
      <c r="Q220" s="26"/>
      <c r="R220" s="26"/>
      <c r="S220" s="26"/>
      <c r="T220" s="26"/>
      <c r="U220" s="26"/>
      <c r="V220" s="26"/>
      <c r="W220" s="26"/>
      <c r="X220" s="26"/>
      <c r="Y220" s="26"/>
      <c r="Z220" s="26"/>
      <c r="AA220" s="26"/>
      <c r="AB220" s="26"/>
      <c r="AC220" s="26"/>
      <c r="AD220" s="26"/>
      <c r="AE220" s="114"/>
      <c r="AF220" s="85"/>
      <c r="AG220" s="67"/>
      <c r="AH220" s="67"/>
      <c r="AI220" s="85"/>
      <c r="AJ220" s="85"/>
      <c r="AK220" s="85"/>
      <c r="AL220" s="85"/>
    </row>
    <row r="221" spans="1:38">
      <c r="A221" s="26"/>
      <c r="B221" s="26"/>
      <c r="C221" s="26"/>
      <c r="D221" s="26"/>
      <c r="E221" s="26"/>
      <c r="F221" s="26"/>
      <c r="G221" s="26"/>
      <c r="H221" s="26"/>
      <c r="I221" s="26"/>
      <c r="J221" s="26"/>
      <c r="K221" s="112"/>
      <c r="L221" s="26"/>
      <c r="M221" s="26"/>
      <c r="N221" s="26"/>
      <c r="O221" s="113"/>
      <c r="P221" s="26"/>
      <c r="Q221" s="26"/>
      <c r="R221" s="26"/>
      <c r="S221" s="26"/>
      <c r="T221" s="26"/>
      <c r="U221" s="26"/>
      <c r="V221" s="26"/>
      <c r="W221" s="26"/>
      <c r="X221" s="26"/>
      <c r="Y221" s="26"/>
      <c r="Z221" s="26"/>
      <c r="AA221" s="26"/>
      <c r="AB221" s="26"/>
      <c r="AC221" s="26"/>
      <c r="AD221" s="26"/>
      <c r="AE221" s="115"/>
      <c r="AF221" s="85"/>
      <c r="AG221" s="67"/>
      <c r="AH221" s="67"/>
      <c r="AI221" s="85"/>
      <c r="AJ221" s="85"/>
      <c r="AK221" s="85"/>
      <c r="AL221" s="85"/>
    </row>
    <row r="222" spans="1:38">
      <c r="A222" s="26"/>
      <c r="B222" s="26"/>
      <c r="C222" s="26"/>
      <c r="D222" s="26"/>
      <c r="E222" s="26"/>
      <c r="F222" s="26"/>
      <c r="G222" s="26"/>
      <c r="H222" s="26"/>
      <c r="I222" s="26"/>
      <c r="J222" s="26"/>
      <c r="K222" s="112"/>
      <c r="L222" s="26"/>
      <c r="M222" s="26"/>
      <c r="N222" s="26"/>
      <c r="O222" s="113"/>
      <c r="P222" s="26"/>
      <c r="Q222" s="26"/>
      <c r="R222" s="26"/>
      <c r="S222" s="26"/>
      <c r="T222" s="26"/>
      <c r="U222" s="26"/>
      <c r="V222" s="26"/>
      <c r="W222" s="26"/>
      <c r="X222" s="26"/>
      <c r="Y222" s="26"/>
      <c r="Z222" s="26"/>
      <c r="AA222" s="26"/>
      <c r="AB222" s="26"/>
      <c r="AC222" s="26"/>
      <c r="AD222" s="26"/>
      <c r="AE222" s="115"/>
      <c r="AF222" s="85"/>
      <c r="AG222" s="67"/>
      <c r="AH222" s="67"/>
      <c r="AI222" s="85"/>
      <c r="AJ222" s="85"/>
      <c r="AK222" s="85"/>
      <c r="AL222" s="85"/>
    </row>
    <row r="223" spans="1:38">
      <c r="A223" s="26"/>
      <c r="B223" s="26"/>
      <c r="C223" s="26"/>
      <c r="D223" s="26"/>
      <c r="E223" s="26"/>
      <c r="F223" s="26"/>
      <c r="G223" s="26"/>
      <c r="H223" s="26"/>
      <c r="I223" s="26"/>
      <c r="J223" s="26"/>
      <c r="K223" s="112"/>
      <c r="L223" s="26"/>
      <c r="M223" s="26"/>
      <c r="N223" s="26"/>
      <c r="O223" s="113"/>
      <c r="P223" s="26"/>
      <c r="Q223" s="26"/>
      <c r="R223" s="26"/>
      <c r="S223" s="26"/>
      <c r="T223" s="26"/>
      <c r="U223" s="26"/>
      <c r="V223" s="26"/>
      <c r="W223" s="26"/>
      <c r="X223" s="26"/>
      <c r="Y223" s="26"/>
      <c r="Z223" s="26"/>
      <c r="AA223" s="26"/>
      <c r="AB223" s="26"/>
      <c r="AC223" s="26"/>
      <c r="AD223" s="26"/>
      <c r="AE223" s="115"/>
      <c r="AF223" s="85"/>
      <c r="AG223" s="67"/>
      <c r="AH223" s="67"/>
      <c r="AI223" s="85"/>
      <c r="AJ223" s="85"/>
      <c r="AK223" s="85"/>
      <c r="AL223" s="85"/>
    </row>
    <row r="224" spans="1:38">
      <c r="A224" s="26"/>
      <c r="B224" s="26"/>
      <c r="C224" s="26"/>
      <c r="D224" s="26"/>
      <c r="E224" s="26"/>
      <c r="F224" s="26"/>
      <c r="G224" s="26"/>
      <c r="H224" s="26"/>
      <c r="I224" s="26"/>
      <c r="J224" s="26"/>
      <c r="K224" s="112"/>
      <c r="L224" s="26"/>
      <c r="M224" s="26"/>
      <c r="N224" s="26"/>
      <c r="O224" s="113"/>
      <c r="P224" s="26"/>
      <c r="Q224" s="26"/>
      <c r="R224" s="26"/>
      <c r="S224" s="26"/>
      <c r="T224" s="26"/>
      <c r="U224" s="26"/>
      <c r="V224" s="26"/>
      <c r="W224" s="26"/>
      <c r="X224" s="26"/>
      <c r="Y224" s="26"/>
      <c r="Z224" s="26"/>
      <c r="AA224" s="26"/>
      <c r="AB224" s="26"/>
      <c r="AC224" s="26"/>
      <c r="AD224" s="26"/>
      <c r="AE224" s="115"/>
      <c r="AF224" s="85"/>
      <c r="AG224" s="67"/>
      <c r="AH224" s="67"/>
      <c r="AI224" s="85"/>
      <c r="AJ224" s="85"/>
      <c r="AK224" s="85"/>
      <c r="AL224" s="85"/>
    </row>
    <row r="225" spans="1:38">
      <c r="A225" s="26"/>
      <c r="B225" s="26"/>
      <c r="C225" s="26"/>
      <c r="D225" s="26"/>
      <c r="E225" s="26"/>
      <c r="F225" s="26"/>
      <c r="G225" s="26"/>
      <c r="H225" s="26"/>
      <c r="I225" s="26"/>
      <c r="J225" s="26"/>
      <c r="K225" s="112"/>
      <c r="L225" s="26"/>
      <c r="M225" s="26"/>
      <c r="N225" s="26"/>
      <c r="O225" s="113"/>
      <c r="P225" s="26"/>
      <c r="Q225" s="26"/>
      <c r="R225" s="26"/>
      <c r="S225" s="26"/>
      <c r="T225" s="26"/>
      <c r="U225" s="26"/>
      <c r="V225" s="26"/>
      <c r="W225" s="26"/>
      <c r="X225" s="26"/>
      <c r="Y225" s="26"/>
      <c r="Z225" s="26"/>
      <c r="AA225" s="26"/>
      <c r="AB225" s="26"/>
      <c r="AC225" s="26"/>
      <c r="AD225" s="26"/>
      <c r="AE225" s="115"/>
      <c r="AF225" s="85"/>
      <c r="AG225" s="67"/>
      <c r="AH225" s="67"/>
      <c r="AI225" s="85"/>
      <c r="AJ225" s="85"/>
      <c r="AK225" s="85"/>
      <c r="AL225" s="85"/>
    </row>
    <row r="226" spans="1:38">
      <c r="A226" s="26"/>
      <c r="B226" s="26"/>
      <c r="C226" s="26"/>
      <c r="D226" s="26"/>
      <c r="E226" s="26"/>
      <c r="F226" s="26"/>
      <c r="G226" s="26"/>
      <c r="H226" s="26"/>
      <c r="I226" s="26"/>
      <c r="J226" s="26"/>
      <c r="K226" s="112"/>
      <c r="L226" s="26"/>
      <c r="M226" s="26"/>
      <c r="N226" s="26"/>
      <c r="O226" s="113"/>
      <c r="P226" s="26"/>
      <c r="Q226" s="26"/>
      <c r="R226" s="26"/>
      <c r="S226" s="26"/>
      <c r="T226" s="26"/>
      <c r="U226" s="26"/>
      <c r="V226" s="26"/>
      <c r="W226" s="26"/>
      <c r="X226" s="26"/>
      <c r="Y226" s="26"/>
      <c r="Z226" s="26"/>
      <c r="AA226" s="26"/>
      <c r="AB226" s="26"/>
      <c r="AC226" s="26"/>
      <c r="AD226" s="26"/>
      <c r="AE226" s="115"/>
      <c r="AF226" s="85"/>
      <c r="AG226" s="67"/>
      <c r="AH226" s="67"/>
      <c r="AI226" s="85"/>
      <c r="AJ226" s="85"/>
      <c r="AK226" s="85"/>
      <c r="AL226" s="85"/>
    </row>
    <row r="227" spans="1:38">
      <c r="A227" s="26"/>
      <c r="B227" s="26"/>
      <c r="C227" s="26"/>
      <c r="D227" s="26"/>
      <c r="E227" s="26"/>
      <c r="F227" s="26"/>
      <c r="G227" s="26"/>
      <c r="H227" s="26"/>
      <c r="I227" s="26"/>
      <c r="J227" s="26"/>
      <c r="K227" s="112"/>
      <c r="L227" s="26"/>
      <c r="M227" s="26"/>
      <c r="N227" s="26"/>
      <c r="O227" s="113"/>
      <c r="P227" s="26"/>
      <c r="Q227" s="26"/>
      <c r="R227" s="26"/>
      <c r="S227" s="26"/>
      <c r="T227" s="26"/>
      <c r="U227" s="26"/>
      <c r="V227" s="26"/>
      <c r="W227" s="26"/>
      <c r="X227" s="26"/>
      <c r="Y227" s="26"/>
      <c r="Z227" s="26"/>
      <c r="AA227" s="26"/>
      <c r="AB227" s="26"/>
      <c r="AC227" s="26"/>
      <c r="AD227" s="26"/>
      <c r="AE227" s="115"/>
      <c r="AF227" s="85"/>
      <c r="AG227" s="67"/>
      <c r="AH227" s="67"/>
      <c r="AI227" s="85"/>
      <c r="AJ227" s="85"/>
      <c r="AK227" s="85"/>
      <c r="AL227" s="85"/>
    </row>
    <row r="228" spans="1:38">
      <c r="A228" s="26"/>
      <c r="B228" s="26"/>
      <c r="C228" s="26"/>
      <c r="D228" s="26"/>
      <c r="E228" s="26"/>
      <c r="F228" s="26"/>
      <c r="G228" s="26"/>
      <c r="H228" s="26"/>
      <c r="I228" s="26"/>
      <c r="J228" s="26"/>
      <c r="K228" s="112"/>
      <c r="L228" s="26"/>
      <c r="M228" s="26"/>
      <c r="N228" s="26"/>
      <c r="O228" s="113"/>
      <c r="P228" s="26"/>
      <c r="Q228" s="26"/>
      <c r="R228" s="26"/>
      <c r="S228" s="26"/>
      <c r="T228" s="26"/>
      <c r="U228" s="26"/>
      <c r="V228" s="26"/>
      <c r="W228" s="26"/>
      <c r="X228" s="26"/>
      <c r="Y228" s="26"/>
      <c r="Z228" s="26"/>
      <c r="AA228" s="26"/>
      <c r="AB228" s="26"/>
      <c r="AC228" s="26"/>
      <c r="AD228" s="26"/>
      <c r="AE228" s="115"/>
      <c r="AF228" s="85"/>
      <c r="AG228" s="67"/>
      <c r="AH228" s="67"/>
      <c r="AI228" s="85"/>
      <c r="AJ228" s="85"/>
      <c r="AK228" s="85"/>
      <c r="AL228" s="85"/>
    </row>
    <row r="229" spans="1:38">
      <c r="A229" s="26"/>
      <c r="B229" s="26"/>
      <c r="C229" s="26"/>
      <c r="D229" s="26"/>
      <c r="E229" s="26"/>
      <c r="F229" s="26"/>
      <c r="G229" s="26"/>
      <c r="H229" s="26"/>
      <c r="I229" s="26"/>
      <c r="J229" s="26"/>
      <c r="K229" s="112"/>
      <c r="L229" s="26"/>
      <c r="M229" s="26"/>
      <c r="N229" s="26"/>
      <c r="O229" s="113"/>
      <c r="P229" s="26"/>
      <c r="Q229" s="26"/>
      <c r="R229" s="26"/>
      <c r="S229" s="26"/>
      <c r="T229" s="26"/>
      <c r="U229" s="26"/>
      <c r="V229" s="26"/>
      <c r="W229" s="26"/>
      <c r="X229" s="26"/>
      <c r="Y229" s="26"/>
      <c r="Z229" s="26"/>
      <c r="AA229" s="26"/>
      <c r="AB229" s="26"/>
      <c r="AC229" s="26"/>
      <c r="AD229" s="26"/>
      <c r="AE229" s="115"/>
      <c r="AF229" s="85"/>
      <c r="AG229" s="67"/>
      <c r="AH229" s="67"/>
      <c r="AI229" s="85"/>
      <c r="AJ229" s="85"/>
      <c r="AK229" s="85"/>
      <c r="AL229" s="85"/>
    </row>
    <row r="230" spans="1:38">
      <c r="A230" s="26"/>
      <c r="B230" s="26"/>
      <c r="C230" s="26"/>
      <c r="D230" s="26"/>
      <c r="E230" s="26"/>
      <c r="F230" s="26"/>
      <c r="G230" s="26"/>
      <c r="H230" s="26"/>
      <c r="I230" s="26"/>
      <c r="J230" s="26"/>
      <c r="K230" s="112"/>
      <c r="L230" s="26"/>
      <c r="M230" s="26"/>
      <c r="N230" s="26"/>
      <c r="O230" s="113"/>
      <c r="P230" s="26"/>
      <c r="Q230" s="26"/>
      <c r="R230" s="26"/>
      <c r="S230" s="26"/>
      <c r="T230" s="26"/>
      <c r="U230" s="26"/>
      <c r="V230" s="26"/>
      <c r="W230" s="26"/>
      <c r="X230" s="26"/>
      <c r="Y230" s="26"/>
      <c r="Z230" s="26"/>
      <c r="AA230" s="26"/>
      <c r="AB230" s="26"/>
      <c r="AC230" s="26"/>
      <c r="AD230" s="26"/>
      <c r="AE230" s="115"/>
      <c r="AF230" s="85"/>
      <c r="AG230" s="67"/>
      <c r="AH230" s="67"/>
      <c r="AI230" s="85"/>
      <c r="AJ230" s="85"/>
      <c r="AK230" s="85"/>
      <c r="AL230" s="85"/>
    </row>
    <row r="231" spans="1:38">
      <c r="A231" s="26"/>
      <c r="B231" s="26"/>
      <c r="C231" s="26"/>
      <c r="D231" s="26"/>
      <c r="E231" s="26"/>
      <c r="F231" s="26"/>
      <c r="G231" s="26"/>
      <c r="H231" s="26"/>
      <c r="I231" s="26"/>
      <c r="J231" s="26"/>
      <c r="K231" s="112"/>
      <c r="L231" s="26"/>
      <c r="M231" s="26"/>
      <c r="N231" s="26"/>
      <c r="O231" s="113"/>
      <c r="P231" s="26"/>
      <c r="Q231" s="26"/>
      <c r="R231" s="26"/>
      <c r="S231" s="26"/>
      <c r="T231" s="26"/>
      <c r="U231" s="26"/>
      <c r="V231" s="26"/>
      <c r="W231" s="26"/>
      <c r="X231" s="26"/>
      <c r="Y231" s="26"/>
      <c r="Z231" s="26"/>
      <c r="AA231" s="26"/>
      <c r="AB231" s="26"/>
      <c r="AC231" s="26"/>
      <c r="AD231" s="26"/>
      <c r="AE231" s="115"/>
      <c r="AF231" s="85"/>
      <c r="AG231" s="67"/>
      <c r="AH231" s="67"/>
      <c r="AI231" s="85"/>
      <c r="AJ231" s="85"/>
      <c r="AK231" s="85"/>
      <c r="AL231" s="85"/>
    </row>
    <row r="232" spans="1:38">
      <c r="A232" s="26"/>
      <c r="B232" s="26"/>
      <c r="C232" s="26"/>
      <c r="D232" s="26"/>
      <c r="E232" s="26"/>
      <c r="F232" s="26"/>
      <c r="G232" s="26"/>
      <c r="H232" s="26"/>
      <c r="I232" s="26"/>
      <c r="J232" s="26"/>
      <c r="K232" s="112"/>
      <c r="L232" s="26"/>
      <c r="M232" s="26"/>
      <c r="N232" s="26"/>
      <c r="O232" s="113"/>
      <c r="P232" s="26"/>
      <c r="Q232" s="26"/>
      <c r="R232" s="26"/>
      <c r="S232" s="26"/>
      <c r="T232" s="26"/>
      <c r="U232" s="26"/>
      <c r="V232" s="26"/>
      <c r="W232" s="26"/>
      <c r="X232" s="26"/>
      <c r="Y232" s="26"/>
      <c r="Z232" s="26"/>
      <c r="AA232" s="26"/>
      <c r="AB232" s="26"/>
      <c r="AC232" s="26"/>
      <c r="AD232" s="26"/>
      <c r="AE232" s="115"/>
      <c r="AF232" s="85"/>
      <c r="AG232" s="67"/>
      <c r="AH232" s="67"/>
      <c r="AI232" s="85"/>
      <c r="AJ232" s="85"/>
      <c r="AK232" s="85"/>
      <c r="AL232" s="85"/>
    </row>
    <row r="233" spans="1:38">
      <c r="A233" s="26"/>
      <c r="B233" s="26"/>
      <c r="C233" s="26"/>
      <c r="D233" s="26"/>
      <c r="E233" s="26"/>
      <c r="F233" s="26"/>
      <c r="G233" s="26"/>
      <c r="H233" s="26"/>
      <c r="I233" s="26"/>
      <c r="J233" s="26"/>
      <c r="K233" s="112"/>
      <c r="L233" s="26"/>
      <c r="M233" s="26"/>
      <c r="N233" s="26"/>
      <c r="O233" s="113"/>
      <c r="P233" s="26"/>
      <c r="Q233" s="26"/>
      <c r="R233" s="26"/>
      <c r="S233" s="26"/>
      <c r="T233" s="26"/>
      <c r="U233" s="26"/>
      <c r="V233" s="26"/>
      <c r="W233" s="26"/>
      <c r="X233" s="26"/>
      <c r="Y233" s="26"/>
      <c r="Z233" s="26"/>
      <c r="AA233" s="26"/>
      <c r="AB233" s="26"/>
      <c r="AC233" s="26"/>
      <c r="AD233" s="26"/>
      <c r="AE233" s="115"/>
      <c r="AF233" s="85"/>
      <c r="AG233" s="67"/>
      <c r="AH233" s="67"/>
      <c r="AI233" s="85"/>
      <c r="AJ233" s="85"/>
      <c r="AK233" s="85"/>
      <c r="AL233" s="85"/>
    </row>
    <row r="234" spans="1:38">
      <c r="A234" s="26"/>
      <c r="B234" s="26"/>
      <c r="C234" s="26"/>
      <c r="D234" s="26"/>
      <c r="E234" s="26"/>
      <c r="F234" s="26"/>
      <c r="G234" s="26"/>
      <c r="H234" s="26"/>
      <c r="I234" s="26"/>
      <c r="J234" s="26"/>
      <c r="K234" s="112"/>
      <c r="L234" s="26"/>
      <c r="M234" s="26"/>
      <c r="N234" s="26"/>
      <c r="O234" s="113"/>
      <c r="P234" s="26"/>
      <c r="Q234" s="26"/>
      <c r="R234" s="26"/>
      <c r="S234" s="26"/>
      <c r="T234" s="26"/>
      <c r="U234" s="26"/>
      <c r="V234" s="26"/>
      <c r="W234" s="26"/>
      <c r="X234" s="26"/>
      <c r="Y234" s="26"/>
      <c r="Z234" s="26"/>
      <c r="AA234" s="26"/>
      <c r="AB234" s="26"/>
      <c r="AC234" s="26"/>
      <c r="AD234" s="26"/>
      <c r="AE234" s="115"/>
      <c r="AF234" s="85"/>
      <c r="AG234" s="67"/>
      <c r="AH234" s="67"/>
      <c r="AI234" s="85"/>
      <c r="AJ234" s="85"/>
      <c r="AK234" s="85"/>
      <c r="AL234" s="85"/>
    </row>
    <row r="235" spans="1:38">
      <c r="A235" s="26"/>
      <c r="B235" s="26"/>
      <c r="C235" s="26"/>
      <c r="D235" s="26"/>
      <c r="E235" s="26"/>
      <c r="F235" s="26"/>
      <c r="G235" s="26"/>
      <c r="H235" s="26"/>
      <c r="I235" s="26"/>
      <c r="J235" s="26"/>
      <c r="K235" s="112"/>
      <c r="L235" s="26"/>
      <c r="M235" s="26"/>
      <c r="N235" s="26"/>
      <c r="O235" s="113"/>
      <c r="P235" s="26"/>
      <c r="Q235" s="26"/>
      <c r="R235" s="26"/>
      <c r="S235" s="26"/>
      <c r="T235" s="26"/>
      <c r="U235" s="26"/>
      <c r="V235" s="26"/>
      <c r="W235" s="26"/>
      <c r="X235" s="26"/>
      <c r="Y235" s="26"/>
      <c r="Z235" s="26"/>
      <c r="AA235" s="26"/>
      <c r="AB235" s="26"/>
      <c r="AC235" s="26"/>
      <c r="AD235" s="26"/>
      <c r="AE235" s="115"/>
      <c r="AF235" s="85"/>
      <c r="AG235" s="67"/>
      <c r="AH235" s="67"/>
      <c r="AI235" s="85"/>
      <c r="AJ235" s="85"/>
      <c r="AK235" s="85"/>
      <c r="AL235" s="85"/>
    </row>
    <row r="236" spans="1:38">
      <c r="A236" s="26"/>
      <c r="B236" s="26"/>
      <c r="C236" s="26"/>
      <c r="D236" s="26"/>
      <c r="E236" s="26"/>
      <c r="F236" s="26"/>
      <c r="G236" s="26"/>
      <c r="H236" s="26"/>
      <c r="I236" s="26"/>
      <c r="J236" s="26"/>
      <c r="K236" s="112"/>
      <c r="L236" s="26"/>
      <c r="M236" s="26"/>
      <c r="N236" s="26"/>
      <c r="O236" s="113"/>
      <c r="P236" s="26"/>
      <c r="Q236" s="26"/>
      <c r="R236" s="26"/>
      <c r="S236" s="26"/>
      <c r="T236" s="26"/>
      <c r="U236" s="26"/>
      <c r="V236" s="26"/>
      <c r="W236" s="26"/>
      <c r="X236" s="26"/>
      <c r="Y236" s="26"/>
      <c r="Z236" s="26"/>
      <c r="AA236" s="26"/>
      <c r="AB236" s="26"/>
      <c r="AC236" s="26"/>
      <c r="AD236" s="26"/>
      <c r="AE236" s="115"/>
      <c r="AF236" s="85"/>
      <c r="AG236" s="67"/>
      <c r="AH236" s="67"/>
      <c r="AI236" s="85"/>
      <c r="AJ236" s="85"/>
      <c r="AK236" s="85"/>
      <c r="AL236" s="85"/>
    </row>
    <row r="237" spans="1:38">
      <c r="A237" s="26"/>
      <c r="B237" s="26"/>
      <c r="C237" s="26"/>
      <c r="D237" s="26"/>
      <c r="E237" s="26"/>
      <c r="F237" s="26"/>
      <c r="G237" s="26"/>
      <c r="H237" s="26"/>
      <c r="I237" s="26"/>
      <c r="J237" s="26"/>
      <c r="K237" s="112"/>
      <c r="L237" s="26"/>
      <c r="M237" s="26"/>
      <c r="N237" s="26"/>
      <c r="O237" s="113"/>
      <c r="P237" s="26"/>
      <c r="Q237" s="26"/>
      <c r="R237" s="26"/>
      <c r="S237" s="26"/>
      <c r="T237" s="26"/>
      <c r="U237" s="26"/>
      <c r="V237" s="26"/>
      <c r="W237" s="26"/>
      <c r="X237" s="26"/>
      <c r="Y237" s="26"/>
      <c r="Z237" s="26"/>
      <c r="AA237" s="26"/>
      <c r="AB237" s="26"/>
      <c r="AC237" s="26"/>
      <c r="AD237" s="26"/>
      <c r="AE237" s="115"/>
      <c r="AF237" s="85"/>
      <c r="AG237" s="67"/>
      <c r="AH237" s="67"/>
      <c r="AI237" s="85"/>
      <c r="AJ237" s="85"/>
      <c r="AK237" s="85"/>
      <c r="AL237" s="85"/>
    </row>
    <row r="238" spans="1:38">
      <c r="A238" s="26"/>
      <c r="B238" s="26"/>
      <c r="C238" s="26"/>
      <c r="D238" s="26"/>
      <c r="E238" s="26"/>
      <c r="F238" s="26"/>
      <c r="G238" s="26"/>
      <c r="H238" s="26"/>
      <c r="I238" s="26"/>
      <c r="J238" s="26"/>
      <c r="K238" s="112"/>
      <c r="L238" s="26"/>
      <c r="M238" s="26"/>
      <c r="N238" s="26"/>
      <c r="O238" s="113"/>
      <c r="P238" s="26"/>
      <c r="Q238" s="26"/>
      <c r="R238" s="26"/>
      <c r="S238" s="26"/>
      <c r="T238" s="26"/>
      <c r="U238" s="26"/>
      <c r="V238" s="26"/>
      <c r="W238" s="26"/>
      <c r="X238" s="26"/>
      <c r="Y238" s="26"/>
      <c r="Z238" s="26"/>
      <c r="AA238" s="26"/>
      <c r="AB238" s="26"/>
      <c r="AC238" s="26"/>
      <c r="AD238" s="26"/>
      <c r="AE238" s="115"/>
      <c r="AF238" s="85"/>
      <c r="AG238" s="67"/>
      <c r="AH238" s="67"/>
      <c r="AI238" s="85"/>
      <c r="AJ238" s="85"/>
      <c r="AK238" s="85"/>
      <c r="AL238" s="85"/>
    </row>
    <row r="239" spans="1:38">
      <c r="A239" s="26"/>
      <c r="B239" s="26"/>
      <c r="C239" s="26"/>
      <c r="D239" s="26"/>
      <c r="E239" s="26"/>
      <c r="F239" s="26"/>
      <c r="G239" s="26"/>
      <c r="H239" s="26"/>
      <c r="I239" s="26"/>
      <c r="J239" s="26"/>
      <c r="K239" s="112"/>
      <c r="L239" s="26"/>
      <c r="M239" s="26"/>
      <c r="N239" s="26"/>
      <c r="O239" s="113"/>
      <c r="P239" s="26"/>
      <c r="Q239" s="26"/>
      <c r="R239" s="26"/>
      <c r="S239" s="26"/>
      <c r="T239" s="26"/>
      <c r="U239" s="26"/>
      <c r="V239" s="26"/>
      <c r="W239" s="26"/>
      <c r="X239" s="26"/>
      <c r="Y239" s="26"/>
      <c r="Z239" s="26"/>
      <c r="AA239" s="26"/>
      <c r="AB239" s="26"/>
      <c r="AC239" s="26"/>
      <c r="AD239" s="26"/>
      <c r="AE239" s="115"/>
      <c r="AF239" s="85"/>
      <c r="AG239" s="67"/>
      <c r="AH239" s="67"/>
      <c r="AI239" s="85"/>
      <c r="AJ239" s="85"/>
      <c r="AK239" s="85"/>
      <c r="AL239" s="85"/>
    </row>
    <row r="240" spans="1:38">
      <c r="A240" s="26"/>
      <c r="B240" s="26"/>
      <c r="C240" s="26"/>
      <c r="D240" s="26"/>
      <c r="E240" s="26"/>
      <c r="F240" s="26"/>
      <c r="G240" s="26"/>
      <c r="H240" s="26"/>
      <c r="I240" s="26"/>
      <c r="J240" s="26"/>
      <c r="K240" s="112"/>
      <c r="L240" s="26"/>
      <c r="M240" s="26"/>
      <c r="N240" s="26"/>
      <c r="O240" s="113"/>
      <c r="P240" s="26"/>
      <c r="Q240" s="26"/>
      <c r="R240" s="26"/>
      <c r="S240" s="26"/>
      <c r="T240" s="26"/>
      <c r="U240" s="26"/>
      <c r="V240" s="26"/>
      <c r="W240" s="26"/>
      <c r="X240" s="26"/>
      <c r="Y240" s="26"/>
      <c r="Z240" s="26"/>
      <c r="AA240" s="26"/>
      <c r="AB240" s="26"/>
      <c r="AC240" s="26"/>
      <c r="AD240" s="26"/>
      <c r="AE240" s="115"/>
      <c r="AF240" s="85"/>
      <c r="AG240" s="67"/>
      <c r="AH240" s="67"/>
      <c r="AI240" s="85"/>
      <c r="AJ240" s="85"/>
      <c r="AK240" s="85"/>
      <c r="AL240" s="85"/>
    </row>
    <row r="241" spans="1:38">
      <c r="A241" s="26"/>
      <c r="B241" s="26"/>
      <c r="C241" s="26"/>
      <c r="D241" s="26"/>
      <c r="E241" s="26"/>
      <c r="F241" s="26"/>
      <c r="G241" s="26"/>
      <c r="H241" s="26"/>
      <c r="I241" s="26"/>
      <c r="J241" s="26"/>
      <c r="K241" s="112"/>
      <c r="L241" s="26"/>
      <c r="M241" s="26"/>
      <c r="N241" s="26"/>
      <c r="O241" s="113"/>
      <c r="P241" s="26"/>
      <c r="Q241" s="26"/>
      <c r="R241" s="26"/>
      <c r="S241" s="26"/>
      <c r="T241" s="26"/>
      <c r="U241" s="26"/>
      <c r="V241" s="26"/>
      <c r="W241" s="26"/>
      <c r="X241" s="26"/>
      <c r="Y241" s="26"/>
      <c r="Z241" s="26"/>
      <c r="AA241" s="26"/>
      <c r="AB241" s="26"/>
      <c r="AC241" s="26"/>
      <c r="AD241" s="26"/>
      <c r="AE241" s="115"/>
      <c r="AF241" s="85"/>
      <c r="AG241" s="67"/>
      <c r="AH241" s="67"/>
      <c r="AI241" s="85"/>
      <c r="AJ241" s="85"/>
      <c r="AK241" s="85"/>
      <c r="AL241" s="85"/>
    </row>
    <row r="242" spans="1:38">
      <c r="A242" s="26"/>
      <c r="B242" s="26"/>
      <c r="C242" s="26"/>
      <c r="D242" s="26"/>
      <c r="E242" s="26"/>
      <c r="F242" s="26"/>
      <c r="G242" s="26"/>
      <c r="H242" s="26"/>
      <c r="I242" s="26"/>
      <c r="J242" s="26"/>
      <c r="K242" s="112"/>
      <c r="L242" s="26"/>
      <c r="M242" s="26"/>
      <c r="N242" s="26"/>
      <c r="O242" s="113"/>
      <c r="P242" s="26"/>
      <c r="Q242" s="26"/>
      <c r="R242" s="26"/>
      <c r="S242" s="26"/>
      <c r="T242" s="26"/>
      <c r="U242" s="26"/>
      <c r="V242" s="26"/>
      <c r="W242" s="26"/>
      <c r="X242" s="26"/>
      <c r="Y242" s="26"/>
      <c r="Z242" s="26"/>
      <c r="AA242" s="26"/>
      <c r="AB242" s="26"/>
      <c r="AC242" s="26"/>
      <c r="AD242" s="26"/>
      <c r="AE242" s="115"/>
      <c r="AF242" s="85"/>
      <c r="AG242" s="67"/>
      <c r="AH242" s="67"/>
      <c r="AI242" s="85"/>
      <c r="AJ242" s="85"/>
      <c r="AK242" s="85"/>
      <c r="AL242" s="85"/>
    </row>
    <row r="243" spans="1:38">
      <c r="A243" s="26"/>
      <c r="B243" s="26"/>
      <c r="C243" s="26"/>
      <c r="D243" s="26"/>
      <c r="E243" s="26"/>
      <c r="F243" s="26"/>
      <c r="G243" s="26"/>
      <c r="H243" s="26"/>
      <c r="I243" s="26"/>
      <c r="J243" s="26"/>
      <c r="K243" s="112"/>
      <c r="L243" s="26"/>
      <c r="M243" s="26"/>
      <c r="N243" s="26"/>
      <c r="O243" s="113"/>
      <c r="P243" s="26"/>
      <c r="Q243" s="26"/>
      <c r="R243" s="26"/>
      <c r="S243" s="26"/>
      <c r="T243" s="26"/>
      <c r="U243" s="26"/>
      <c r="V243" s="26"/>
      <c r="W243" s="26"/>
      <c r="X243" s="26"/>
      <c r="Y243" s="26"/>
      <c r="Z243" s="26"/>
      <c r="AA243" s="26"/>
      <c r="AB243" s="26"/>
      <c r="AC243" s="26"/>
      <c r="AD243" s="26"/>
      <c r="AE243" s="115"/>
      <c r="AF243" s="85"/>
      <c r="AG243" s="67"/>
      <c r="AH243" s="67"/>
      <c r="AI243" s="85"/>
      <c r="AJ243" s="85"/>
      <c r="AK243" s="85"/>
      <c r="AL243" s="85"/>
    </row>
    <row r="244" spans="1:38">
      <c r="A244" s="26"/>
      <c r="B244" s="26"/>
      <c r="C244" s="26"/>
      <c r="D244" s="26"/>
      <c r="E244" s="26"/>
      <c r="F244" s="26"/>
      <c r="G244" s="26"/>
      <c r="H244" s="26"/>
      <c r="I244" s="26"/>
      <c r="J244" s="26"/>
      <c r="K244" s="112"/>
      <c r="L244" s="26"/>
      <c r="M244" s="26"/>
      <c r="N244" s="26"/>
      <c r="O244" s="113"/>
      <c r="P244" s="26"/>
      <c r="Q244" s="26"/>
      <c r="R244" s="26"/>
      <c r="S244" s="26"/>
      <c r="T244" s="26"/>
      <c r="U244" s="26"/>
      <c r="V244" s="26"/>
      <c r="W244" s="26"/>
      <c r="X244" s="26"/>
      <c r="Y244" s="26"/>
      <c r="Z244" s="26"/>
      <c r="AA244" s="26"/>
      <c r="AB244" s="26"/>
      <c r="AC244" s="26"/>
      <c r="AD244" s="26"/>
      <c r="AE244" s="115"/>
      <c r="AF244" s="85"/>
      <c r="AG244" s="67"/>
      <c r="AH244" s="67"/>
      <c r="AI244" s="85"/>
      <c r="AJ244" s="85"/>
      <c r="AK244" s="85"/>
      <c r="AL244" s="85"/>
    </row>
    <row r="245" spans="1:38">
      <c r="A245" s="26"/>
      <c r="B245" s="26"/>
      <c r="C245" s="26"/>
      <c r="D245" s="26"/>
      <c r="E245" s="26"/>
      <c r="F245" s="26"/>
      <c r="G245" s="26"/>
      <c r="H245" s="26"/>
      <c r="I245" s="26"/>
      <c r="J245" s="26"/>
      <c r="K245" s="112"/>
      <c r="L245" s="26"/>
      <c r="M245" s="26"/>
      <c r="N245" s="26"/>
      <c r="O245" s="113"/>
      <c r="P245" s="26"/>
      <c r="Q245" s="26"/>
      <c r="R245" s="26"/>
      <c r="S245" s="26"/>
      <c r="T245" s="26"/>
      <c r="U245" s="26"/>
      <c r="V245" s="26"/>
      <c r="W245" s="26"/>
      <c r="X245" s="26"/>
      <c r="Y245" s="26"/>
      <c r="Z245" s="26"/>
      <c r="AA245" s="26"/>
      <c r="AB245" s="26"/>
      <c r="AC245" s="26"/>
      <c r="AD245" s="26"/>
      <c r="AE245" s="115"/>
      <c r="AF245" s="85"/>
      <c r="AG245" s="67"/>
      <c r="AH245" s="67"/>
      <c r="AI245" s="85"/>
      <c r="AJ245" s="85"/>
      <c r="AK245" s="85"/>
      <c r="AL245" s="85"/>
    </row>
    <row r="246" spans="1:38">
      <c r="A246" s="26"/>
      <c r="B246" s="26"/>
      <c r="C246" s="26"/>
      <c r="D246" s="26"/>
      <c r="E246" s="26"/>
      <c r="F246" s="26"/>
      <c r="G246" s="26"/>
      <c r="H246" s="26"/>
      <c r="I246" s="26"/>
      <c r="J246" s="26"/>
      <c r="K246" s="112"/>
      <c r="L246" s="26"/>
      <c r="M246" s="26"/>
      <c r="N246" s="26"/>
      <c r="O246" s="113"/>
      <c r="P246" s="26"/>
      <c r="Q246" s="26"/>
      <c r="R246" s="26"/>
      <c r="S246" s="26"/>
      <c r="T246" s="26"/>
      <c r="U246" s="26"/>
      <c r="V246" s="26"/>
      <c r="W246" s="26"/>
      <c r="X246" s="26"/>
      <c r="Y246" s="26"/>
      <c r="Z246" s="26"/>
      <c r="AA246" s="26"/>
      <c r="AB246" s="26"/>
      <c r="AC246" s="26"/>
      <c r="AD246" s="26"/>
      <c r="AE246" s="115"/>
      <c r="AF246" s="85"/>
      <c r="AG246" s="67"/>
      <c r="AH246" s="67"/>
      <c r="AI246" s="85"/>
      <c r="AJ246" s="85"/>
      <c r="AK246" s="85"/>
      <c r="AL246" s="85"/>
    </row>
    <row r="247" spans="1:38">
      <c r="A247" s="26"/>
      <c r="B247" s="26"/>
      <c r="C247" s="26"/>
      <c r="D247" s="26"/>
      <c r="E247" s="26"/>
      <c r="F247" s="26"/>
      <c r="G247" s="26"/>
      <c r="H247" s="26"/>
      <c r="I247" s="26"/>
      <c r="J247" s="26"/>
      <c r="K247" s="112"/>
      <c r="L247" s="26"/>
      <c r="M247" s="26"/>
      <c r="N247" s="26"/>
      <c r="O247" s="113"/>
      <c r="P247" s="26"/>
      <c r="Q247" s="26"/>
      <c r="R247" s="26"/>
      <c r="S247" s="26"/>
      <c r="T247" s="26"/>
      <c r="U247" s="26"/>
      <c r="V247" s="26"/>
      <c r="W247" s="26"/>
      <c r="X247" s="26"/>
      <c r="Y247" s="26"/>
      <c r="Z247" s="26"/>
      <c r="AA247" s="26"/>
      <c r="AB247" s="26"/>
      <c r="AC247" s="26"/>
      <c r="AD247" s="26"/>
      <c r="AE247" s="115"/>
      <c r="AF247" s="85"/>
      <c r="AG247" s="67"/>
      <c r="AH247" s="67"/>
      <c r="AI247" s="85"/>
      <c r="AJ247" s="85"/>
      <c r="AK247" s="85"/>
      <c r="AL247" s="85"/>
    </row>
    <row r="248" spans="1:38">
      <c r="A248" s="26"/>
      <c r="B248" s="26"/>
      <c r="C248" s="26"/>
      <c r="D248" s="26"/>
      <c r="E248" s="26"/>
      <c r="F248" s="26"/>
      <c r="G248" s="26"/>
      <c r="H248" s="26"/>
      <c r="I248" s="26"/>
      <c r="J248" s="26"/>
      <c r="K248" s="112"/>
      <c r="L248" s="26"/>
      <c r="M248" s="26"/>
      <c r="N248" s="26"/>
      <c r="O248" s="113"/>
      <c r="P248" s="26"/>
      <c r="Q248" s="26"/>
      <c r="R248" s="26"/>
      <c r="S248" s="26"/>
      <c r="T248" s="26"/>
      <c r="U248" s="26"/>
      <c r="V248" s="26"/>
      <c r="W248" s="26"/>
      <c r="X248" s="26"/>
      <c r="Y248" s="26"/>
      <c r="Z248" s="26"/>
      <c r="AA248" s="26"/>
      <c r="AB248" s="26"/>
      <c r="AC248" s="26"/>
      <c r="AD248" s="26"/>
      <c r="AE248" s="115"/>
      <c r="AF248" s="85"/>
      <c r="AG248" s="67"/>
      <c r="AH248" s="67"/>
      <c r="AI248" s="85"/>
      <c r="AJ248" s="85"/>
      <c r="AK248" s="85"/>
      <c r="AL248" s="85"/>
    </row>
    <row r="249" spans="1:38">
      <c r="A249" s="26"/>
      <c r="B249" s="26"/>
      <c r="C249" s="26"/>
      <c r="D249" s="26"/>
      <c r="E249" s="26"/>
      <c r="F249" s="26"/>
      <c r="G249" s="26"/>
      <c r="H249" s="26"/>
      <c r="I249" s="26"/>
      <c r="J249" s="26"/>
      <c r="K249" s="112"/>
      <c r="L249" s="26"/>
      <c r="M249" s="26"/>
      <c r="N249" s="26"/>
      <c r="O249" s="113"/>
      <c r="P249" s="26"/>
      <c r="Q249" s="26"/>
      <c r="R249" s="26"/>
      <c r="S249" s="26"/>
      <c r="T249" s="26"/>
      <c r="U249" s="26"/>
      <c r="V249" s="26"/>
      <c r="W249" s="26"/>
      <c r="X249" s="26"/>
      <c r="Y249" s="26"/>
      <c r="Z249" s="26"/>
      <c r="AA249" s="26"/>
      <c r="AB249" s="26"/>
      <c r="AC249" s="26"/>
      <c r="AD249" s="26"/>
      <c r="AE249" s="115"/>
      <c r="AF249" s="85"/>
      <c r="AG249" s="67"/>
      <c r="AH249" s="67"/>
      <c r="AI249" s="85"/>
      <c r="AJ249" s="85"/>
      <c r="AK249" s="85"/>
      <c r="AL249" s="85"/>
    </row>
    <row r="250" spans="1:38">
      <c r="A250" s="26"/>
      <c r="B250" s="26"/>
      <c r="C250" s="26"/>
      <c r="D250" s="26"/>
      <c r="E250" s="26"/>
      <c r="F250" s="26"/>
      <c r="G250" s="26"/>
      <c r="H250" s="26"/>
      <c r="I250" s="26"/>
      <c r="J250" s="26"/>
      <c r="K250" s="112"/>
      <c r="L250" s="26"/>
      <c r="M250" s="26"/>
      <c r="N250" s="26"/>
      <c r="O250" s="113"/>
      <c r="P250" s="26"/>
      <c r="Q250" s="26"/>
      <c r="R250" s="26"/>
      <c r="S250" s="26"/>
      <c r="T250" s="26"/>
      <c r="U250" s="26"/>
      <c r="V250" s="26"/>
      <c r="W250" s="26"/>
      <c r="X250" s="26"/>
      <c r="Y250" s="26"/>
      <c r="Z250" s="26"/>
      <c r="AA250" s="26"/>
      <c r="AB250" s="26"/>
      <c r="AC250" s="26"/>
      <c r="AD250" s="26"/>
      <c r="AE250" s="115"/>
      <c r="AF250" s="85"/>
      <c r="AG250" s="67"/>
      <c r="AH250" s="67"/>
      <c r="AI250" s="85"/>
      <c r="AJ250" s="85"/>
      <c r="AK250" s="85"/>
      <c r="AL250" s="85"/>
    </row>
    <row r="251" spans="1:38">
      <c r="A251" s="26"/>
      <c r="B251" s="26"/>
      <c r="C251" s="26"/>
      <c r="D251" s="26"/>
      <c r="E251" s="26"/>
      <c r="F251" s="26"/>
      <c r="G251" s="26"/>
      <c r="H251" s="26"/>
      <c r="I251" s="26"/>
      <c r="J251" s="26"/>
      <c r="K251" s="112"/>
      <c r="L251" s="26"/>
      <c r="M251" s="26"/>
      <c r="N251" s="26"/>
      <c r="O251" s="113"/>
      <c r="P251" s="26"/>
      <c r="Q251" s="26"/>
      <c r="R251" s="26"/>
      <c r="S251" s="26"/>
      <c r="T251" s="26"/>
      <c r="U251" s="26"/>
      <c r="V251" s="26"/>
      <c r="W251" s="26"/>
      <c r="X251" s="26"/>
      <c r="Y251" s="26"/>
      <c r="Z251" s="26"/>
      <c r="AA251" s="26"/>
      <c r="AB251" s="26"/>
      <c r="AC251" s="26"/>
      <c r="AD251" s="26"/>
      <c r="AE251" s="115"/>
      <c r="AF251" s="85"/>
      <c r="AG251" s="67"/>
      <c r="AH251" s="67"/>
      <c r="AI251" s="85"/>
      <c r="AJ251" s="85"/>
      <c r="AK251" s="85"/>
      <c r="AL251" s="85"/>
    </row>
    <row r="252" spans="1:38">
      <c r="A252" s="26"/>
      <c r="B252" s="26"/>
      <c r="C252" s="26"/>
      <c r="D252" s="26"/>
      <c r="E252" s="26"/>
      <c r="F252" s="26"/>
      <c r="G252" s="26"/>
      <c r="H252" s="26"/>
      <c r="I252" s="26"/>
      <c r="J252" s="26"/>
      <c r="K252" s="112"/>
      <c r="L252" s="26"/>
      <c r="M252" s="26"/>
      <c r="N252" s="26"/>
      <c r="O252" s="113"/>
      <c r="P252" s="26"/>
      <c r="Q252" s="26"/>
      <c r="R252" s="26"/>
      <c r="S252" s="26"/>
      <c r="T252" s="26"/>
      <c r="U252" s="26"/>
      <c r="V252" s="26"/>
      <c r="W252" s="26"/>
      <c r="X252" s="26"/>
      <c r="Y252" s="26"/>
      <c r="Z252" s="26"/>
      <c r="AA252" s="26"/>
      <c r="AB252" s="26"/>
      <c r="AC252" s="26"/>
      <c r="AD252" s="26"/>
      <c r="AE252" s="115"/>
      <c r="AF252" s="85"/>
      <c r="AG252" s="67"/>
      <c r="AH252" s="67"/>
      <c r="AI252" s="85"/>
      <c r="AJ252" s="85"/>
      <c r="AK252" s="85"/>
      <c r="AL252" s="85"/>
    </row>
    <row r="253" spans="1:38">
      <c r="A253" s="26"/>
      <c r="B253" s="26"/>
      <c r="C253" s="26"/>
      <c r="D253" s="26"/>
      <c r="E253" s="26"/>
      <c r="F253" s="26"/>
      <c r="G253" s="26"/>
      <c r="H253" s="26"/>
      <c r="I253" s="26"/>
      <c r="J253" s="26"/>
      <c r="K253" s="112"/>
      <c r="L253" s="26"/>
      <c r="M253" s="26"/>
      <c r="N253" s="26"/>
      <c r="O253" s="113"/>
      <c r="P253" s="26"/>
      <c r="Q253" s="26"/>
      <c r="R253" s="26"/>
      <c r="S253" s="26"/>
      <c r="T253" s="26"/>
      <c r="U253" s="26"/>
      <c r="V253" s="26"/>
      <c r="W253" s="26"/>
      <c r="X253" s="26"/>
      <c r="Y253" s="26"/>
      <c r="Z253" s="26"/>
      <c r="AA253" s="26"/>
      <c r="AB253" s="26"/>
      <c r="AC253" s="26"/>
      <c r="AD253" s="26"/>
      <c r="AE253" s="115"/>
      <c r="AF253" s="85"/>
      <c r="AG253" s="67"/>
      <c r="AH253" s="67"/>
      <c r="AI253" s="85"/>
      <c r="AJ253" s="85"/>
      <c r="AK253" s="85"/>
      <c r="AL253" s="85"/>
    </row>
    <row r="254" spans="1:38">
      <c r="A254" s="26"/>
      <c r="B254" s="26"/>
      <c r="C254" s="26"/>
      <c r="D254" s="26"/>
      <c r="E254" s="26"/>
      <c r="F254" s="26"/>
      <c r="G254" s="26"/>
      <c r="H254" s="26"/>
      <c r="I254" s="26"/>
      <c r="J254" s="26"/>
      <c r="K254" s="112"/>
      <c r="L254" s="26"/>
      <c r="M254" s="26"/>
      <c r="N254" s="26"/>
      <c r="O254" s="113"/>
      <c r="P254" s="26"/>
      <c r="Q254" s="26"/>
      <c r="R254" s="26"/>
      <c r="S254" s="26"/>
      <c r="T254" s="26"/>
      <c r="U254" s="26"/>
      <c r="V254" s="26"/>
      <c r="W254" s="26"/>
      <c r="X254" s="26"/>
      <c r="Y254" s="26"/>
      <c r="Z254" s="26"/>
      <c r="AA254" s="26"/>
      <c r="AB254" s="26"/>
      <c r="AC254" s="26"/>
      <c r="AD254" s="26"/>
      <c r="AE254" s="115"/>
      <c r="AF254" s="85"/>
      <c r="AG254" s="67"/>
      <c r="AH254" s="67"/>
      <c r="AI254" s="85"/>
      <c r="AJ254" s="85"/>
      <c r="AK254" s="85"/>
      <c r="AL254" s="85"/>
    </row>
    <row r="255" spans="1:38">
      <c r="A255" s="26"/>
      <c r="B255" s="26"/>
      <c r="C255" s="26"/>
      <c r="D255" s="26"/>
      <c r="E255" s="26"/>
      <c r="F255" s="26"/>
      <c r="G255" s="26"/>
      <c r="H255" s="26"/>
      <c r="I255" s="26"/>
      <c r="J255" s="26"/>
      <c r="K255" s="112"/>
      <c r="L255" s="26"/>
      <c r="M255" s="26"/>
      <c r="N255" s="26"/>
      <c r="O255" s="113"/>
      <c r="P255" s="26"/>
      <c r="Q255" s="26"/>
      <c r="R255" s="26"/>
      <c r="S255" s="26"/>
      <c r="T255" s="26"/>
      <c r="U255" s="26"/>
      <c r="V255" s="26"/>
      <c r="W255" s="26"/>
      <c r="X255" s="26"/>
      <c r="Y255" s="26"/>
      <c r="Z255" s="26"/>
      <c r="AA255" s="26"/>
      <c r="AB255" s="26"/>
      <c r="AC255" s="26"/>
      <c r="AD255" s="26"/>
      <c r="AE255" s="115"/>
      <c r="AF255" s="85"/>
      <c r="AG255" s="67"/>
      <c r="AH255" s="67"/>
      <c r="AI255" s="85"/>
      <c r="AJ255" s="85"/>
      <c r="AK255" s="85"/>
      <c r="AL255" s="85"/>
    </row>
    <row r="256" spans="1:38">
      <c r="A256" s="26"/>
      <c r="B256" s="26"/>
      <c r="C256" s="26"/>
      <c r="D256" s="26"/>
      <c r="E256" s="26"/>
      <c r="F256" s="26"/>
      <c r="G256" s="26"/>
      <c r="H256" s="26"/>
      <c r="I256" s="26"/>
      <c r="J256" s="26"/>
      <c r="K256" s="112"/>
      <c r="L256" s="26"/>
      <c r="M256" s="26"/>
      <c r="N256" s="26"/>
      <c r="O256" s="113"/>
      <c r="P256" s="26"/>
      <c r="Q256" s="26"/>
      <c r="R256" s="26"/>
      <c r="S256" s="26"/>
      <c r="T256" s="26"/>
      <c r="U256" s="26"/>
      <c r="V256" s="26"/>
      <c r="W256" s="26"/>
      <c r="X256" s="26"/>
      <c r="Y256" s="26"/>
      <c r="Z256" s="26"/>
      <c r="AA256" s="26"/>
      <c r="AB256" s="26"/>
      <c r="AC256" s="26"/>
      <c r="AD256" s="26"/>
      <c r="AE256" s="115"/>
      <c r="AF256" s="85"/>
      <c r="AG256" s="67"/>
      <c r="AH256" s="67"/>
      <c r="AI256" s="85"/>
      <c r="AJ256" s="85"/>
      <c r="AK256" s="85"/>
      <c r="AL256" s="85"/>
    </row>
    <row r="257" spans="1:38">
      <c r="A257" s="26"/>
      <c r="B257" s="26"/>
      <c r="C257" s="26"/>
      <c r="D257" s="26"/>
      <c r="E257" s="26"/>
      <c r="F257" s="26"/>
      <c r="G257" s="26"/>
      <c r="H257" s="26"/>
      <c r="I257" s="26"/>
      <c r="J257" s="26"/>
      <c r="K257" s="112"/>
      <c r="L257" s="26"/>
      <c r="M257" s="26"/>
      <c r="N257" s="26"/>
      <c r="O257" s="113"/>
      <c r="P257" s="26"/>
      <c r="Q257" s="26"/>
      <c r="R257" s="26"/>
      <c r="S257" s="26"/>
      <c r="T257" s="26"/>
      <c r="U257" s="26"/>
      <c r="V257" s="26"/>
      <c r="W257" s="26"/>
      <c r="X257" s="26"/>
      <c r="Y257" s="26"/>
      <c r="Z257" s="26"/>
      <c r="AA257" s="26"/>
      <c r="AB257" s="26"/>
      <c r="AC257" s="26"/>
      <c r="AD257" s="26"/>
      <c r="AE257" s="115"/>
      <c r="AF257" s="85"/>
      <c r="AG257" s="67"/>
      <c r="AH257" s="67"/>
      <c r="AI257" s="85"/>
      <c r="AJ257" s="85"/>
      <c r="AK257" s="85"/>
      <c r="AL257" s="85"/>
    </row>
    <row r="258" spans="1:38">
      <c r="A258" s="26"/>
      <c r="B258" s="26"/>
      <c r="C258" s="26"/>
      <c r="D258" s="26"/>
      <c r="E258" s="26"/>
      <c r="F258" s="26"/>
      <c r="G258" s="26"/>
      <c r="H258" s="26"/>
      <c r="I258" s="26"/>
      <c r="J258" s="26"/>
      <c r="K258" s="112"/>
      <c r="L258" s="26"/>
      <c r="M258" s="26"/>
      <c r="N258" s="26"/>
      <c r="O258" s="113"/>
      <c r="P258" s="26"/>
      <c r="Q258" s="26"/>
      <c r="R258" s="26"/>
      <c r="S258" s="26"/>
      <c r="T258" s="26"/>
      <c r="U258" s="26"/>
      <c r="V258" s="26"/>
      <c r="W258" s="26"/>
      <c r="X258" s="26"/>
      <c r="Y258" s="26"/>
      <c r="Z258" s="26"/>
      <c r="AA258" s="26"/>
      <c r="AB258" s="26"/>
      <c r="AC258" s="26"/>
      <c r="AD258" s="26"/>
      <c r="AE258" s="115"/>
      <c r="AF258" s="85"/>
      <c r="AG258" s="67"/>
      <c r="AH258" s="67"/>
      <c r="AI258" s="85"/>
      <c r="AJ258" s="85"/>
      <c r="AK258" s="85"/>
      <c r="AL258" s="85"/>
    </row>
    <row r="259" spans="1:38">
      <c r="A259" s="26"/>
      <c r="B259" s="26"/>
      <c r="C259" s="26"/>
      <c r="D259" s="26"/>
      <c r="E259" s="26"/>
      <c r="F259" s="26"/>
      <c r="G259" s="26"/>
      <c r="H259" s="26"/>
      <c r="I259" s="26"/>
      <c r="J259" s="26"/>
      <c r="K259" s="112"/>
      <c r="L259" s="26"/>
      <c r="M259" s="26"/>
      <c r="N259" s="26"/>
      <c r="O259" s="113"/>
      <c r="P259" s="26"/>
      <c r="Q259" s="26"/>
      <c r="R259" s="26"/>
      <c r="S259" s="26"/>
      <c r="T259" s="26"/>
      <c r="U259" s="26"/>
      <c r="V259" s="26"/>
      <c r="W259" s="26"/>
      <c r="X259" s="26"/>
      <c r="Y259" s="26"/>
      <c r="Z259" s="26"/>
      <c r="AA259" s="26"/>
      <c r="AB259" s="26"/>
      <c r="AC259" s="26"/>
      <c r="AD259" s="26"/>
      <c r="AE259" s="115"/>
      <c r="AF259" s="85"/>
      <c r="AG259" s="67"/>
      <c r="AH259" s="67"/>
      <c r="AI259" s="85"/>
      <c r="AJ259" s="85"/>
      <c r="AK259" s="85"/>
      <c r="AL259" s="85"/>
    </row>
    <row r="260" spans="1:38">
      <c r="A260" s="26"/>
      <c r="B260" s="26"/>
      <c r="C260" s="26"/>
      <c r="D260" s="26"/>
      <c r="E260" s="26"/>
      <c r="F260" s="26"/>
      <c r="G260" s="26"/>
      <c r="H260" s="26"/>
      <c r="I260" s="26"/>
      <c r="J260" s="26"/>
      <c r="K260" s="112"/>
      <c r="L260" s="26"/>
      <c r="M260" s="26"/>
      <c r="N260" s="26"/>
      <c r="O260" s="113"/>
      <c r="P260" s="26"/>
      <c r="Q260" s="26"/>
      <c r="R260" s="26"/>
      <c r="S260" s="26"/>
      <c r="T260" s="26"/>
      <c r="U260" s="26"/>
      <c r="V260" s="26"/>
      <c r="W260" s="26"/>
      <c r="X260" s="26"/>
      <c r="Y260" s="26"/>
      <c r="Z260" s="26"/>
      <c r="AA260" s="26"/>
      <c r="AB260" s="26"/>
      <c r="AC260" s="26"/>
      <c r="AD260" s="26"/>
      <c r="AE260" s="115"/>
      <c r="AF260" s="85"/>
      <c r="AG260" s="67"/>
      <c r="AH260" s="67"/>
      <c r="AI260" s="85"/>
      <c r="AJ260" s="85"/>
      <c r="AK260" s="85"/>
      <c r="AL260" s="85"/>
    </row>
    <row r="261" spans="1:38">
      <c r="A261" s="26"/>
      <c r="B261" s="26"/>
      <c r="C261" s="26"/>
      <c r="D261" s="26"/>
      <c r="E261" s="26"/>
      <c r="F261" s="26"/>
      <c r="G261" s="26"/>
      <c r="H261" s="26"/>
      <c r="I261" s="26"/>
      <c r="J261" s="26"/>
      <c r="K261" s="112"/>
      <c r="L261" s="26"/>
      <c r="M261" s="26"/>
      <c r="N261" s="26"/>
      <c r="O261" s="113"/>
      <c r="P261" s="26"/>
      <c r="Q261" s="26"/>
      <c r="R261" s="26"/>
      <c r="S261" s="26"/>
      <c r="T261" s="26"/>
      <c r="U261" s="26"/>
      <c r="V261" s="26"/>
      <c r="W261" s="26"/>
      <c r="X261" s="26"/>
      <c r="Y261" s="26"/>
      <c r="Z261" s="26"/>
      <c r="AA261" s="26"/>
      <c r="AB261" s="26"/>
      <c r="AC261" s="26"/>
      <c r="AD261" s="26"/>
      <c r="AE261" s="115"/>
      <c r="AF261" s="85"/>
      <c r="AG261" s="67"/>
      <c r="AH261" s="67"/>
      <c r="AI261" s="85"/>
      <c r="AJ261" s="85"/>
      <c r="AK261" s="85"/>
      <c r="AL261" s="85"/>
    </row>
    <row r="262" spans="1:38">
      <c r="A262" s="26"/>
      <c r="B262" s="26"/>
      <c r="C262" s="26"/>
      <c r="D262" s="26"/>
      <c r="E262" s="26"/>
      <c r="F262" s="26"/>
      <c r="G262" s="26"/>
      <c r="H262" s="26"/>
      <c r="I262" s="26"/>
      <c r="J262" s="26"/>
      <c r="K262" s="112"/>
      <c r="L262" s="26"/>
      <c r="M262" s="26"/>
      <c r="N262" s="26"/>
      <c r="O262" s="113"/>
      <c r="P262" s="26"/>
      <c r="Q262" s="26"/>
      <c r="R262" s="26"/>
      <c r="S262" s="26"/>
      <c r="T262" s="26"/>
      <c r="U262" s="26"/>
      <c r="V262" s="26"/>
      <c r="W262" s="26"/>
      <c r="X262" s="26"/>
      <c r="Y262" s="26"/>
      <c r="Z262" s="26"/>
      <c r="AA262" s="26"/>
      <c r="AB262" s="26"/>
      <c r="AC262" s="26"/>
      <c r="AD262" s="26"/>
      <c r="AE262" s="115"/>
      <c r="AF262" s="85"/>
      <c r="AG262" s="67"/>
      <c r="AH262" s="67"/>
      <c r="AI262" s="85"/>
      <c r="AJ262" s="85"/>
      <c r="AK262" s="85"/>
      <c r="AL262" s="85"/>
    </row>
    <row r="263" spans="1:38">
      <c r="A263" s="26"/>
      <c r="B263" s="26"/>
      <c r="C263" s="26"/>
      <c r="D263" s="26"/>
      <c r="E263" s="26"/>
      <c r="F263" s="26"/>
      <c r="G263" s="26"/>
      <c r="H263" s="26"/>
      <c r="I263" s="26"/>
      <c r="J263" s="26"/>
      <c r="K263" s="112"/>
      <c r="L263" s="26"/>
      <c r="M263" s="26"/>
      <c r="N263" s="26"/>
      <c r="O263" s="113"/>
      <c r="P263" s="26"/>
      <c r="Q263" s="26"/>
      <c r="R263" s="26"/>
      <c r="S263" s="26"/>
      <c r="T263" s="26"/>
      <c r="U263" s="26"/>
      <c r="V263" s="26"/>
      <c r="W263" s="26"/>
      <c r="X263" s="26"/>
      <c r="Y263" s="26"/>
      <c r="Z263" s="26"/>
      <c r="AA263" s="26"/>
      <c r="AB263" s="26"/>
      <c r="AC263" s="26"/>
      <c r="AD263" s="26"/>
      <c r="AE263" s="115"/>
      <c r="AF263" s="85"/>
      <c r="AG263" s="67"/>
      <c r="AH263" s="67"/>
      <c r="AI263" s="85"/>
      <c r="AJ263" s="85"/>
      <c r="AK263" s="85"/>
      <c r="AL263" s="85"/>
    </row>
    <row r="264" spans="1:38">
      <c r="A264" s="26"/>
      <c r="B264" s="26"/>
      <c r="C264" s="26"/>
      <c r="D264" s="26"/>
      <c r="E264" s="26"/>
      <c r="F264" s="26"/>
      <c r="G264" s="26"/>
      <c r="H264" s="26"/>
      <c r="I264" s="26"/>
      <c r="J264" s="26"/>
      <c r="K264" s="112"/>
      <c r="L264" s="26"/>
      <c r="M264" s="26"/>
      <c r="N264" s="26"/>
      <c r="O264" s="113"/>
      <c r="P264" s="26"/>
      <c r="Q264" s="26"/>
      <c r="R264" s="26"/>
      <c r="S264" s="26"/>
      <c r="T264" s="26"/>
      <c r="U264" s="26"/>
      <c r="V264" s="26"/>
      <c r="W264" s="26"/>
      <c r="X264" s="26"/>
      <c r="Y264" s="26"/>
      <c r="Z264" s="26"/>
      <c r="AA264" s="26"/>
      <c r="AB264" s="26"/>
      <c r="AC264" s="26"/>
      <c r="AD264" s="26"/>
      <c r="AE264" s="115"/>
      <c r="AF264" s="85"/>
      <c r="AG264" s="67"/>
      <c r="AH264" s="67"/>
      <c r="AI264" s="85"/>
      <c r="AJ264" s="85"/>
      <c r="AK264" s="85"/>
      <c r="AL264" s="85"/>
    </row>
    <row r="265" spans="1:38">
      <c r="A265" s="26"/>
      <c r="B265" s="26"/>
      <c r="C265" s="26"/>
      <c r="D265" s="26"/>
      <c r="E265" s="26"/>
      <c r="F265" s="26"/>
      <c r="G265" s="26"/>
      <c r="H265" s="26"/>
      <c r="I265" s="26"/>
      <c r="J265" s="26"/>
      <c r="K265" s="112"/>
      <c r="L265" s="26"/>
      <c r="M265" s="26"/>
      <c r="N265" s="26"/>
      <c r="O265" s="113"/>
      <c r="P265" s="26"/>
      <c r="Q265" s="26"/>
      <c r="R265" s="26"/>
      <c r="S265" s="26"/>
      <c r="T265" s="26"/>
      <c r="U265" s="26"/>
      <c r="V265" s="26"/>
      <c r="W265" s="26"/>
      <c r="X265" s="26"/>
      <c r="Y265" s="26"/>
      <c r="Z265" s="26"/>
      <c r="AA265" s="26"/>
      <c r="AB265" s="26"/>
      <c r="AC265" s="26"/>
      <c r="AD265" s="26"/>
      <c r="AE265" s="115"/>
      <c r="AF265" s="85"/>
      <c r="AG265" s="67"/>
      <c r="AH265" s="67"/>
      <c r="AI265" s="85"/>
      <c r="AJ265" s="85"/>
      <c r="AK265" s="85"/>
      <c r="AL265" s="85"/>
    </row>
    <row r="266" spans="1:38">
      <c r="A266" s="26"/>
      <c r="B266" s="26"/>
      <c r="C266" s="26"/>
      <c r="D266" s="26"/>
      <c r="E266" s="26"/>
      <c r="F266" s="26"/>
      <c r="G266" s="26"/>
      <c r="H266" s="26"/>
      <c r="I266" s="26"/>
      <c r="J266" s="26"/>
      <c r="K266" s="112"/>
      <c r="L266" s="26"/>
      <c r="M266" s="26"/>
      <c r="N266" s="26"/>
      <c r="O266" s="113"/>
      <c r="P266" s="26"/>
      <c r="Q266" s="26"/>
      <c r="R266" s="26"/>
      <c r="S266" s="26"/>
      <c r="T266" s="26"/>
      <c r="U266" s="26"/>
      <c r="V266" s="26"/>
      <c r="W266" s="26"/>
      <c r="X266" s="26"/>
      <c r="Y266" s="26"/>
      <c r="Z266" s="26"/>
      <c r="AA266" s="26"/>
      <c r="AB266" s="26"/>
      <c r="AC266" s="26"/>
      <c r="AD266" s="26"/>
      <c r="AE266" s="115"/>
      <c r="AF266" s="85"/>
      <c r="AG266" s="67"/>
      <c r="AH266" s="67"/>
      <c r="AI266" s="85"/>
      <c r="AJ266" s="85"/>
      <c r="AK266" s="85"/>
      <c r="AL266" s="85"/>
    </row>
    <row r="267" spans="1:38">
      <c r="A267" s="26"/>
      <c r="B267" s="26"/>
      <c r="C267" s="26"/>
      <c r="D267" s="26"/>
      <c r="E267" s="26"/>
      <c r="F267" s="26"/>
      <c r="G267" s="26"/>
      <c r="H267" s="26"/>
      <c r="I267" s="26"/>
      <c r="J267" s="26"/>
      <c r="K267" s="112"/>
      <c r="L267" s="26"/>
      <c r="M267" s="26"/>
      <c r="N267" s="26"/>
      <c r="O267" s="113"/>
      <c r="P267" s="26"/>
      <c r="Q267" s="26"/>
      <c r="R267" s="26"/>
      <c r="S267" s="26"/>
      <c r="T267" s="26"/>
      <c r="U267" s="26"/>
      <c r="V267" s="26"/>
      <c r="W267" s="26"/>
      <c r="X267" s="26"/>
      <c r="Y267" s="26"/>
      <c r="Z267" s="26"/>
      <c r="AA267" s="26"/>
      <c r="AB267" s="26"/>
      <c r="AC267" s="26"/>
      <c r="AD267" s="26"/>
      <c r="AE267" s="115"/>
      <c r="AF267" s="85"/>
      <c r="AG267" s="67"/>
      <c r="AH267" s="67"/>
      <c r="AI267" s="85"/>
      <c r="AJ267" s="85"/>
      <c r="AK267" s="85"/>
      <c r="AL267" s="85"/>
    </row>
    <row r="268" spans="1:38">
      <c r="A268" s="26"/>
      <c r="B268" s="26"/>
      <c r="C268" s="26"/>
      <c r="D268" s="26"/>
      <c r="E268" s="26"/>
      <c r="F268" s="26"/>
      <c r="G268" s="26"/>
      <c r="H268" s="26"/>
      <c r="I268" s="26"/>
      <c r="J268" s="26"/>
      <c r="K268" s="112"/>
      <c r="L268" s="26"/>
      <c r="M268" s="26"/>
      <c r="N268" s="26"/>
      <c r="O268" s="113"/>
      <c r="P268" s="26"/>
      <c r="Q268" s="26"/>
      <c r="R268" s="26"/>
      <c r="S268" s="26"/>
      <c r="T268" s="26"/>
      <c r="U268" s="26"/>
      <c r="V268" s="26"/>
      <c r="W268" s="26"/>
      <c r="X268" s="26"/>
      <c r="Y268" s="26"/>
      <c r="Z268" s="26"/>
      <c r="AA268" s="26"/>
      <c r="AB268" s="26"/>
      <c r="AC268" s="26"/>
      <c r="AD268" s="26"/>
      <c r="AE268" s="115"/>
      <c r="AF268" s="85"/>
      <c r="AG268" s="67"/>
      <c r="AH268" s="67"/>
      <c r="AI268" s="85"/>
      <c r="AJ268" s="85"/>
      <c r="AK268" s="85"/>
      <c r="AL268" s="85"/>
    </row>
    <row r="269" spans="1:38">
      <c r="A269" s="26"/>
      <c r="B269" s="26"/>
      <c r="C269" s="26"/>
      <c r="D269" s="26"/>
      <c r="E269" s="26"/>
      <c r="F269" s="26"/>
      <c r="G269" s="26"/>
      <c r="H269" s="26"/>
      <c r="I269" s="26"/>
      <c r="J269" s="26"/>
      <c r="K269" s="112"/>
      <c r="L269" s="26"/>
      <c r="M269" s="26"/>
      <c r="N269" s="26"/>
      <c r="O269" s="113"/>
      <c r="P269" s="26"/>
      <c r="Q269" s="26"/>
      <c r="R269" s="26"/>
      <c r="S269" s="26"/>
      <c r="T269" s="26"/>
      <c r="U269" s="26"/>
      <c r="V269" s="26"/>
      <c r="W269" s="26"/>
      <c r="X269" s="26"/>
      <c r="Y269" s="26"/>
      <c r="Z269" s="26"/>
      <c r="AA269" s="26"/>
      <c r="AB269" s="26"/>
      <c r="AC269" s="26"/>
      <c r="AD269" s="26"/>
      <c r="AE269" s="115"/>
      <c r="AF269" s="85"/>
      <c r="AG269" s="67"/>
      <c r="AH269" s="67"/>
      <c r="AI269" s="85"/>
      <c r="AJ269" s="85"/>
      <c r="AK269" s="85"/>
      <c r="AL269" s="85"/>
    </row>
    <row r="270" spans="1:38">
      <c r="A270" s="26"/>
      <c r="B270" s="26"/>
      <c r="C270" s="26"/>
      <c r="D270" s="26"/>
      <c r="E270" s="26"/>
      <c r="F270" s="26"/>
      <c r="G270" s="26"/>
      <c r="H270" s="26"/>
      <c r="I270" s="26"/>
      <c r="J270" s="26"/>
      <c r="K270" s="112"/>
      <c r="L270" s="26"/>
      <c r="M270" s="26"/>
      <c r="N270" s="26"/>
      <c r="O270" s="113"/>
      <c r="P270" s="26"/>
      <c r="Q270" s="26"/>
      <c r="R270" s="26"/>
      <c r="S270" s="26"/>
      <c r="T270" s="26"/>
      <c r="U270" s="26"/>
      <c r="V270" s="26"/>
      <c r="W270" s="26"/>
      <c r="X270" s="26"/>
      <c r="Y270" s="26"/>
      <c r="Z270" s="26"/>
      <c r="AA270" s="26"/>
      <c r="AB270" s="26"/>
      <c r="AC270" s="26"/>
      <c r="AD270" s="26"/>
      <c r="AE270" s="115"/>
      <c r="AF270" s="85"/>
      <c r="AG270" s="67"/>
      <c r="AH270" s="67"/>
      <c r="AI270" s="85"/>
      <c r="AJ270" s="85"/>
      <c r="AK270" s="85"/>
      <c r="AL270" s="85"/>
    </row>
    <row r="271" spans="1:38">
      <c r="A271" s="26"/>
      <c r="B271" s="26"/>
      <c r="C271" s="26"/>
      <c r="D271" s="26"/>
      <c r="E271" s="26"/>
      <c r="F271" s="26"/>
      <c r="G271" s="26"/>
      <c r="H271" s="26"/>
      <c r="I271" s="26"/>
      <c r="J271" s="26"/>
      <c r="K271" s="112"/>
      <c r="L271" s="26"/>
      <c r="M271" s="26"/>
      <c r="N271" s="26"/>
      <c r="O271" s="113"/>
      <c r="P271" s="26"/>
      <c r="Q271" s="26"/>
      <c r="R271" s="26"/>
      <c r="S271" s="26"/>
      <c r="T271" s="26"/>
      <c r="U271" s="26"/>
      <c r="V271" s="26"/>
      <c r="W271" s="26"/>
      <c r="X271" s="26"/>
      <c r="Y271" s="26"/>
      <c r="Z271" s="26"/>
      <c r="AA271" s="26"/>
      <c r="AB271" s="26"/>
      <c r="AC271" s="26"/>
      <c r="AD271" s="26"/>
      <c r="AE271" s="115"/>
      <c r="AF271" s="85"/>
      <c r="AG271" s="67"/>
      <c r="AH271" s="67"/>
      <c r="AI271" s="85"/>
      <c r="AJ271" s="85"/>
      <c r="AK271" s="85"/>
      <c r="AL271" s="85"/>
    </row>
    <row r="272" spans="1:38">
      <c r="A272" s="26"/>
      <c r="B272" s="26"/>
      <c r="C272" s="26"/>
      <c r="D272" s="26"/>
      <c r="E272" s="26"/>
      <c r="F272" s="26"/>
      <c r="G272" s="26"/>
      <c r="H272" s="26"/>
      <c r="I272" s="26"/>
      <c r="J272" s="26"/>
      <c r="K272" s="112"/>
      <c r="L272" s="26"/>
      <c r="M272" s="26"/>
      <c r="N272" s="26"/>
      <c r="O272" s="113"/>
      <c r="P272" s="26"/>
      <c r="Q272" s="26"/>
      <c r="R272" s="26"/>
      <c r="S272" s="26"/>
      <c r="T272" s="26"/>
      <c r="U272" s="26"/>
      <c r="V272" s="26"/>
      <c r="W272" s="26"/>
      <c r="X272" s="26"/>
      <c r="Y272" s="26"/>
      <c r="Z272" s="26"/>
      <c r="AA272" s="26"/>
      <c r="AB272" s="26"/>
      <c r="AC272" s="26"/>
      <c r="AD272" s="26"/>
      <c r="AE272" s="115"/>
      <c r="AF272" s="85"/>
      <c r="AG272" s="67"/>
      <c r="AH272" s="67"/>
      <c r="AI272" s="85"/>
      <c r="AJ272" s="85"/>
      <c r="AK272" s="85"/>
      <c r="AL272" s="85"/>
    </row>
    <row r="273" spans="1:38">
      <c r="A273" s="26"/>
      <c r="B273" s="26"/>
      <c r="C273" s="26"/>
      <c r="D273" s="26"/>
      <c r="E273" s="26"/>
      <c r="F273" s="26"/>
      <c r="G273" s="26"/>
      <c r="H273" s="26"/>
      <c r="I273" s="26"/>
      <c r="J273" s="26"/>
      <c r="K273" s="112"/>
      <c r="L273" s="26"/>
      <c r="M273" s="26"/>
      <c r="N273" s="26"/>
      <c r="O273" s="113"/>
      <c r="P273" s="26"/>
      <c r="Q273" s="26"/>
      <c r="R273" s="26"/>
      <c r="S273" s="26"/>
      <c r="T273" s="26"/>
      <c r="U273" s="26"/>
      <c r="V273" s="26"/>
      <c r="W273" s="26"/>
      <c r="X273" s="26"/>
      <c r="Y273" s="26"/>
      <c r="Z273" s="26"/>
      <c r="AA273" s="26"/>
      <c r="AB273" s="26"/>
      <c r="AC273" s="26"/>
      <c r="AD273" s="26"/>
      <c r="AE273" s="115"/>
      <c r="AF273" s="85"/>
      <c r="AG273" s="67"/>
      <c r="AH273" s="67"/>
      <c r="AI273" s="85"/>
      <c r="AJ273" s="85"/>
      <c r="AK273" s="85"/>
      <c r="AL273" s="85"/>
    </row>
    <row r="274" spans="1:38">
      <c r="A274" s="26"/>
      <c r="B274" s="26"/>
      <c r="C274" s="26"/>
      <c r="D274" s="26"/>
      <c r="E274" s="26"/>
      <c r="F274" s="26"/>
      <c r="G274" s="26"/>
      <c r="H274" s="26"/>
      <c r="I274" s="26"/>
      <c r="J274" s="26"/>
      <c r="K274" s="112"/>
      <c r="L274" s="26"/>
      <c r="M274" s="26"/>
      <c r="N274" s="26"/>
      <c r="O274" s="113"/>
      <c r="P274" s="26"/>
      <c r="Q274" s="26"/>
      <c r="R274" s="26"/>
      <c r="S274" s="26"/>
      <c r="T274" s="26"/>
      <c r="U274" s="26"/>
      <c r="V274" s="26"/>
      <c r="W274" s="26"/>
      <c r="X274" s="26"/>
      <c r="Y274" s="26"/>
      <c r="Z274" s="26"/>
      <c r="AA274" s="26"/>
      <c r="AB274" s="26"/>
      <c r="AC274" s="26"/>
      <c r="AD274" s="26"/>
      <c r="AE274" s="115"/>
      <c r="AF274" s="85"/>
      <c r="AG274" s="67"/>
      <c r="AH274" s="67"/>
      <c r="AI274" s="85"/>
      <c r="AJ274" s="85"/>
      <c r="AK274" s="85"/>
      <c r="AL274" s="85"/>
    </row>
    <row r="275" spans="1:38">
      <c r="A275" s="26"/>
      <c r="B275" s="26"/>
      <c r="C275" s="26"/>
      <c r="D275" s="26"/>
      <c r="E275" s="26"/>
      <c r="F275" s="26"/>
      <c r="G275" s="26"/>
      <c r="H275" s="26"/>
      <c r="I275" s="26"/>
      <c r="J275" s="26"/>
      <c r="K275" s="112"/>
      <c r="L275" s="26"/>
      <c r="M275" s="26"/>
      <c r="N275" s="26"/>
      <c r="O275" s="113"/>
      <c r="P275" s="26"/>
      <c r="Q275" s="26"/>
      <c r="R275" s="26"/>
      <c r="S275" s="26"/>
      <c r="T275" s="26"/>
      <c r="U275" s="26"/>
      <c r="V275" s="26"/>
      <c r="W275" s="26"/>
      <c r="X275" s="26"/>
      <c r="Y275" s="26"/>
      <c r="Z275" s="26"/>
      <c r="AA275" s="26"/>
      <c r="AB275" s="26"/>
      <c r="AC275" s="26"/>
      <c r="AD275" s="26"/>
      <c r="AE275" s="115"/>
      <c r="AF275" s="85"/>
      <c r="AG275" s="67"/>
      <c r="AH275" s="67"/>
      <c r="AI275" s="85"/>
      <c r="AJ275" s="85"/>
      <c r="AK275" s="85"/>
      <c r="AL275" s="85"/>
    </row>
    <row r="276" spans="1:38">
      <c r="A276" s="26"/>
      <c r="B276" s="26"/>
      <c r="C276" s="26"/>
      <c r="D276" s="26"/>
      <c r="E276" s="26"/>
      <c r="F276" s="26"/>
      <c r="G276" s="26"/>
      <c r="H276" s="26"/>
      <c r="I276" s="26"/>
      <c r="J276" s="26"/>
      <c r="K276" s="112"/>
      <c r="L276" s="26"/>
      <c r="M276" s="26"/>
      <c r="N276" s="26"/>
      <c r="O276" s="113"/>
      <c r="P276" s="26"/>
      <c r="Q276" s="26"/>
      <c r="R276" s="26"/>
      <c r="S276" s="26"/>
      <c r="T276" s="26"/>
      <c r="U276" s="26"/>
      <c r="V276" s="26"/>
      <c r="W276" s="26"/>
      <c r="X276" s="26"/>
      <c r="Y276" s="26"/>
      <c r="Z276" s="26"/>
      <c r="AA276" s="26"/>
      <c r="AB276" s="26"/>
      <c r="AC276" s="26"/>
      <c r="AD276" s="26"/>
      <c r="AE276" s="115"/>
      <c r="AF276" s="85"/>
      <c r="AG276" s="67"/>
      <c r="AH276" s="67"/>
      <c r="AI276" s="85"/>
      <c r="AJ276" s="85"/>
      <c r="AK276" s="85"/>
      <c r="AL276" s="85"/>
    </row>
    <row r="277" spans="1:38">
      <c r="A277" s="26"/>
      <c r="B277" s="26"/>
      <c r="C277" s="26"/>
      <c r="D277" s="26"/>
      <c r="E277" s="26"/>
      <c r="F277" s="26"/>
      <c r="G277" s="26"/>
      <c r="H277" s="26"/>
      <c r="I277" s="26"/>
      <c r="J277" s="26"/>
      <c r="K277" s="112"/>
      <c r="L277" s="26"/>
      <c r="M277" s="26"/>
      <c r="N277" s="26"/>
      <c r="O277" s="113"/>
      <c r="P277" s="26"/>
      <c r="Q277" s="26"/>
      <c r="R277" s="26"/>
      <c r="S277" s="26"/>
      <c r="T277" s="26"/>
      <c r="U277" s="26"/>
      <c r="V277" s="26"/>
      <c r="W277" s="26"/>
      <c r="X277" s="26"/>
      <c r="Y277" s="26"/>
      <c r="Z277" s="26"/>
      <c r="AA277" s="26"/>
      <c r="AB277" s="26"/>
      <c r="AC277" s="26"/>
      <c r="AD277" s="26"/>
      <c r="AE277" s="115"/>
      <c r="AF277" s="85"/>
      <c r="AG277" s="67"/>
      <c r="AH277" s="67"/>
      <c r="AI277" s="85"/>
      <c r="AJ277" s="85"/>
      <c r="AK277" s="85"/>
      <c r="AL277" s="85"/>
    </row>
    <row r="278" spans="1:38">
      <c r="A278" s="26"/>
      <c r="B278" s="26"/>
      <c r="C278" s="26"/>
      <c r="D278" s="26"/>
      <c r="E278" s="26"/>
      <c r="F278" s="26"/>
      <c r="G278" s="26"/>
      <c r="H278" s="26"/>
      <c r="I278" s="26"/>
      <c r="J278" s="26"/>
      <c r="K278" s="112"/>
      <c r="L278" s="26"/>
      <c r="M278" s="26"/>
      <c r="N278" s="26"/>
      <c r="O278" s="113"/>
      <c r="P278" s="26"/>
      <c r="Q278" s="26"/>
      <c r="R278" s="26"/>
      <c r="S278" s="26"/>
      <c r="T278" s="26"/>
      <c r="U278" s="26"/>
      <c r="V278" s="26"/>
      <c r="W278" s="26"/>
      <c r="X278" s="26"/>
      <c r="Y278" s="26"/>
      <c r="Z278" s="26"/>
      <c r="AA278" s="26"/>
      <c r="AB278" s="26"/>
      <c r="AC278" s="26"/>
      <c r="AD278" s="26"/>
      <c r="AE278" s="115"/>
      <c r="AF278" s="85"/>
      <c r="AG278" s="67"/>
      <c r="AH278" s="67"/>
      <c r="AI278" s="85"/>
      <c r="AJ278" s="85"/>
      <c r="AK278" s="85"/>
      <c r="AL278" s="85"/>
    </row>
    <row r="279" spans="1:38">
      <c r="A279" s="26"/>
      <c r="B279" s="26"/>
      <c r="C279" s="26"/>
      <c r="D279" s="26"/>
      <c r="E279" s="26"/>
      <c r="F279" s="26"/>
      <c r="G279" s="26"/>
      <c r="H279" s="26"/>
      <c r="I279" s="26"/>
      <c r="J279" s="26"/>
      <c r="K279" s="112"/>
      <c r="L279" s="26"/>
      <c r="M279" s="26"/>
      <c r="N279" s="26"/>
      <c r="O279" s="113"/>
      <c r="P279" s="26"/>
      <c r="Q279" s="26"/>
      <c r="R279" s="26"/>
      <c r="S279" s="26"/>
      <c r="T279" s="26"/>
      <c r="U279" s="26"/>
      <c r="V279" s="26"/>
      <c r="W279" s="26"/>
      <c r="X279" s="26"/>
      <c r="Y279" s="26"/>
      <c r="Z279" s="26"/>
      <c r="AA279" s="26"/>
      <c r="AB279" s="26"/>
      <c r="AC279" s="26"/>
      <c r="AD279" s="26"/>
      <c r="AE279" s="115"/>
      <c r="AF279" s="85"/>
      <c r="AG279" s="67"/>
      <c r="AH279" s="67"/>
      <c r="AI279" s="85"/>
      <c r="AJ279" s="85"/>
      <c r="AK279" s="85"/>
      <c r="AL279" s="85"/>
    </row>
    <row r="280" spans="1:38">
      <c r="A280" s="26"/>
      <c r="B280" s="26"/>
      <c r="C280" s="26"/>
      <c r="D280" s="26"/>
      <c r="E280" s="26"/>
      <c r="F280" s="26"/>
      <c r="G280" s="26"/>
      <c r="H280" s="26"/>
      <c r="I280" s="26"/>
      <c r="J280" s="26"/>
      <c r="K280" s="112"/>
      <c r="L280" s="26"/>
      <c r="M280" s="26"/>
      <c r="N280" s="26"/>
      <c r="O280" s="113"/>
      <c r="P280" s="26"/>
      <c r="Q280" s="26"/>
      <c r="R280" s="26"/>
      <c r="S280" s="26"/>
      <c r="T280" s="26"/>
      <c r="U280" s="26"/>
      <c r="V280" s="26"/>
      <c r="W280" s="26"/>
      <c r="X280" s="26"/>
      <c r="Y280" s="26"/>
      <c r="Z280" s="26"/>
      <c r="AA280" s="26"/>
      <c r="AB280" s="26"/>
      <c r="AC280" s="26"/>
      <c r="AD280" s="26"/>
      <c r="AE280" s="115"/>
      <c r="AF280" s="85"/>
      <c r="AG280" s="67"/>
      <c r="AH280" s="67"/>
      <c r="AI280" s="85"/>
      <c r="AJ280" s="85"/>
      <c r="AK280" s="85"/>
      <c r="AL280" s="85"/>
    </row>
    <row r="281" spans="1:38">
      <c r="A281" s="26"/>
      <c r="B281" s="26"/>
      <c r="C281" s="26"/>
      <c r="D281" s="26"/>
      <c r="E281" s="26"/>
      <c r="F281" s="26"/>
      <c r="G281" s="26"/>
      <c r="H281" s="26"/>
      <c r="I281" s="26"/>
      <c r="J281" s="26"/>
      <c r="K281" s="112"/>
      <c r="L281" s="26"/>
      <c r="M281" s="26"/>
      <c r="N281" s="26"/>
      <c r="O281" s="113"/>
      <c r="P281" s="26"/>
      <c r="Q281" s="26"/>
      <c r="R281" s="26"/>
      <c r="S281" s="26"/>
      <c r="T281" s="26"/>
      <c r="U281" s="26"/>
      <c r="V281" s="26"/>
      <c r="W281" s="26"/>
      <c r="X281" s="26"/>
      <c r="Y281" s="26"/>
      <c r="Z281" s="26"/>
      <c r="AA281" s="26"/>
      <c r="AB281" s="26"/>
      <c r="AC281" s="26"/>
      <c r="AD281" s="26"/>
      <c r="AE281" s="115"/>
      <c r="AF281" s="85"/>
      <c r="AG281" s="67"/>
      <c r="AH281" s="67"/>
      <c r="AI281" s="85"/>
      <c r="AJ281" s="85"/>
      <c r="AK281" s="85"/>
      <c r="AL281" s="85"/>
    </row>
    <row r="282" spans="1:38">
      <c r="A282" s="26"/>
      <c r="B282" s="26"/>
      <c r="C282" s="26"/>
      <c r="D282" s="26"/>
      <c r="E282" s="26"/>
      <c r="F282" s="26"/>
      <c r="G282" s="26"/>
      <c r="H282" s="26"/>
      <c r="I282" s="26"/>
      <c r="J282" s="26"/>
      <c r="K282" s="112"/>
      <c r="L282" s="26"/>
      <c r="M282" s="26"/>
      <c r="N282" s="26"/>
      <c r="O282" s="113"/>
      <c r="P282" s="26"/>
      <c r="Q282" s="26"/>
      <c r="R282" s="26"/>
      <c r="S282" s="26"/>
      <c r="T282" s="26"/>
      <c r="U282" s="26"/>
      <c r="V282" s="26"/>
      <c r="W282" s="26"/>
      <c r="X282" s="26"/>
      <c r="Y282" s="26"/>
      <c r="Z282" s="26"/>
      <c r="AA282" s="26"/>
      <c r="AB282" s="26"/>
      <c r="AC282" s="26"/>
      <c r="AD282" s="26"/>
      <c r="AE282" s="115"/>
      <c r="AF282" s="85"/>
      <c r="AG282" s="67"/>
      <c r="AH282" s="67"/>
      <c r="AI282" s="85"/>
      <c r="AJ282" s="85"/>
      <c r="AK282" s="85"/>
      <c r="AL282" s="85"/>
    </row>
    <row r="283" spans="1:38">
      <c r="A283" s="26"/>
      <c r="B283" s="26"/>
      <c r="C283" s="26"/>
      <c r="D283" s="26"/>
      <c r="E283" s="26"/>
      <c r="F283" s="26"/>
      <c r="G283" s="26"/>
      <c r="H283" s="26"/>
      <c r="I283" s="26"/>
      <c r="J283" s="26"/>
      <c r="K283" s="112"/>
      <c r="L283" s="26"/>
      <c r="M283" s="26"/>
      <c r="N283" s="26"/>
      <c r="O283" s="113"/>
      <c r="P283" s="26"/>
      <c r="Q283" s="26"/>
      <c r="R283" s="26"/>
      <c r="S283" s="26"/>
      <c r="T283" s="26"/>
      <c r="U283" s="26"/>
      <c r="V283" s="26"/>
      <c r="W283" s="26"/>
      <c r="X283" s="26"/>
      <c r="Y283" s="26"/>
      <c r="Z283" s="26"/>
      <c r="AA283" s="26"/>
      <c r="AB283" s="26"/>
      <c r="AC283" s="26"/>
      <c r="AD283" s="26"/>
      <c r="AE283" s="115"/>
      <c r="AF283" s="85"/>
      <c r="AG283" s="67"/>
      <c r="AH283" s="67"/>
      <c r="AI283" s="85"/>
      <c r="AJ283" s="85"/>
      <c r="AK283" s="85"/>
      <c r="AL283" s="85"/>
    </row>
    <row r="284" spans="1:38">
      <c r="A284" s="26"/>
      <c r="B284" s="26"/>
      <c r="C284" s="26"/>
      <c r="D284" s="26"/>
      <c r="E284" s="26"/>
      <c r="F284" s="26"/>
      <c r="G284" s="26"/>
      <c r="H284" s="26"/>
      <c r="I284" s="26"/>
      <c r="J284" s="26"/>
      <c r="K284" s="112"/>
      <c r="L284" s="26"/>
      <c r="M284" s="26"/>
      <c r="N284" s="26"/>
      <c r="O284" s="113"/>
      <c r="P284" s="26"/>
      <c r="Q284" s="26"/>
      <c r="R284" s="26"/>
      <c r="S284" s="26"/>
      <c r="T284" s="26"/>
      <c r="U284" s="26"/>
      <c r="V284" s="26"/>
      <c r="W284" s="26"/>
      <c r="X284" s="26"/>
      <c r="Y284" s="26"/>
      <c r="Z284" s="26"/>
      <c r="AA284" s="26"/>
      <c r="AB284" s="26"/>
      <c r="AC284" s="26"/>
      <c r="AD284" s="26"/>
      <c r="AE284" s="115"/>
      <c r="AF284" s="85"/>
      <c r="AG284" s="67"/>
      <c r="AH284" s="67"/>
      <c r="AI284" s="85"/>
      <c r="AJ284" s="85"/>
      <c r="AK284" s="85"/>
      <c r="AL284" s="85"/>
    </row>
    <row r="285" spans="1:38">
      <c r="A285" s="26"/>
      <c r="B285" s="26"/>
      <c r="C285" s="26"/>
      <c r="D285" s="26"/>
      <c r="E285" s="26"/>
      <c r="F285" s="26"/>
      <c r="G285" s="26"/>
      <c r="H285" s="26"/>
      <c r="I285" s="26"/>
      <c r="J285" s="26"/>
      <c r="K285" s="112"/>
      <c r="L285" s="26"/>
      <c r="M285" s="26"/>
      <c r="N285" s="26"/>
      <c r="O285" s="113"/>
      <c r="P285" s="26"/>
      <c r="Q285" s="26"/>
      <c r="R285" s="26"/>
      <c r="S285" s="26"/>
      <c r="T285" s="26"/>
      <c r="U285" s="26"/>
      <c r="V285" s="26"/>
      <c r="W285" s="26"/>
      <c r="X285" s="26"/>
      <c r="Y285" s="26"/>
      <c r="Z285" s="26"/>
      <c r="AA285" s="26"/>
      <c r="AB285" s="26"/>
      <c r="AC285" s="26"/>
      <c r="AD285" s="26"/>
      <c r="AE285" s="115"/>
      <c r="AF285" s="85"/>
      <c r="AG285" s="67"/>
      <c r="AH285" s="67"/>
      <c r="AI285" s="85"/>
      <c r="AJ285" s="85"/>
      <c r="AK285" s="85"/>
      <c r="AL285" s="85"/>
    </row>
    <row r="286" spans="1:38">
      <c r="A286" s="26"/>
      <c r="B286" s="26"/>
      <c r="C286" s="26"/>
      <c r="D286" s="26"/>
      <c r="E286" s="26"/>
      <c r="F286" s="26"/>
      <c r="G286" s="26"/>
      <c r="H286" s="26"/>
      <c r="I286" s="26"/>
      <c r="J286" s="26"/>
      <c r="K286" s="112"/>
      <c r="L286" s="26"/>
      <c r="M286" s="26"/>
      <c r="N286" s="26"/>
      <c r="O286" s="113"/>
      <c r="P286" s="26"/>
      <c r="Q286" s="26"/>
      <c r="R286" s="26"/>
      <c r="S286" s="26"/>
      <c r="T286" s="26"/>
      <c r="U286" s="26"/>
      <c r="V286" s="26"/>
      <c r="W286" s="26"/>
      <c r="X286" s="26"/>
      <c r="Y286" s="26"/>
      <c r="Z286" s="26"/>
      <c r="AA286" s="26"/>
      <c r="AB286" s="26"/>
      <c r="AC286" s="26"/>
      <c r="AD286" s="26"/>
      <c r="AE286" s="115"/>
      <c r="AF286" s="85"/>
      <c r="AG286" s="67"/>
      <c r="AH286" s="67"/>
      <c r="AI286" s="85"/>
      <c r="AJ286" s="85"/>
      <c r="AK286" s="85"/>
      <c r="AL286" s="85"/>
    </row>
    <row r="287" spans="1:38">
      <c r="A287" s="26"/>
      <c r="B287" s="26"/>
      <c r="C287" s="26"/>
      <c r="D287" s="26"/>
      <c r="E287" s="26"/>
      <c r="F287" s="26"/>
      <c r="G287" s="26"/>
      <c r="H287" s="26"/>
      <c r="I287" s="26"/>
      <c r="J287" s="26"/>
      <c r="K287" s="112"/>
      <c r="L287" s="26"/>
      <c r="M287" s="26"/>
      <c r="N287" s="26"/>
      <c r="O287" s="113"/>
      <c r="P287" s="26"/>
      <c r="Q287" s="26"/>
      <c r="R287" s="26"/>
      <c r="S287" s="26"/>
      <c r="T287" s="26"/>
      <c r="U287" s="26"/>
      <c r="V287" s="26"/>
      <c r="W287" s="26"/>
      <c r="X287" s="26"/>
      <c r="Y287" s="26"/>
      <c r="Z287" s="26"/>
      <c r="AA287" s="26"/>
      <c r="AB287" s="26"/>
      <c r="AC287" s="26"/>
      <c r="AD287" s="26"/>
      <c r="AE287" s="115"/>
      <c r="AF287" s="85"/>
      <c r="AG287" s="67"/>
      <c r="AH287" s="67"/>
      <c r="AI287" s="85"/>
      <c r="AJ287" s="85"/>
      <c r="AK287" s="85"/>
      <c r="AL287" s="85"/>
    </row>
    <row r="288" spans="1:38">
      <c r="A288" s="26"/>
      <c r="B288" s="26"/>
      <c r="C288" s="26"/>
      <c r="D288" s="26"/>
      <c r="E288" s="26"/>
      <c r="F288" s="26"/>
      <c r="G288" s="26"/>
      <c r="H288" s="26"/>
      <c r="I288" s="26"/>
      <c r="J288" s="26"/>
      <c r="K288" s="112"/>
      <c r="L288" s="26"/>
      <c r="M288" s="26"/>
      <c r="N288" s="26"/>
      <c r="O288" s="113"/>
      <c r="P288" s="26"/>
      <c r="Q288" s="26"/>
      <c r="R288" s="26"/>
      <c r="S288" s="26"/>
      <c r="T288" s="26"/>
      <c r="U288" s="26"/>
      <c r="V288" s="26"/>
      <c r="W288" s="26"/>
      <c r="X288" s="26"/>
      <c r="Y288" s="26"/>
      <c r="Z288" s="26"/>
      <c r="AA288" s="26"/>
      <c r="AB288" s="26"/>
      <c r="AC288" s="26"/>
      <c r="AD288" s="26"/>
      <c r="AE288" s="115"/>
      <c r="AF288" s="85"/>
      <c r="AG288" s="67"/>
      <c r="AH288" s="67"/>
      <c r="AI288" s="85"/>
      <c r="AJ288" s="85"/>
      <c r="AK288" s="85"/>
      <c r="AL288" s="85"/>
    </row>
    <row r="289" spans="1:38">
      <c r="A289" s="26"/>
      <c r="B289" s="26"/>
      <c r="C289" s="26"/>
      <c r="D289" s="26"/>
      <c r="E289" s="26"/>
      <c r="F289" s="26"/>
      <c r="G289" s="26"/>
      <c r="H289" s="26"/>
      <c r="I289" s="26"/>
      <c r="J289" s="26"/>
      <c r="K289" s="112"/>
      <c r="L289" s="26"/>
      <c r="M289" s="26"/>
      <c r="N289" s="26"/>
      <c r="O289" s="113"/>
      <c r="P289" s="26"/>
      <c r="Q289" s="26"/>
      <c r="R289" s="26"/>
      <c r="S289" s="26"/>
      <c r="T289" s="26"/>
      <c r="U289" s="26"/>
      <c r="V289" s="26"/>
      <c r="W289" s="26"/>
      <c r="X289" s="26"/>
      <c r="Y289" s="26"/>
      <c r="Z289" s="26"/>
      <c r="AA289" s="26"/>
      <c r="AB289" s="26"/>
      <c r="AC289" s="26"/>
      <c r="AD289" s="26"/>
      <c r="AE289" s="115"/>
      <c r="AF289" s="85"/>
      <c r="AG289" s="67"/>
      <c r="AH289" s="67"/>
      <c r="AI289" s="85"/>
      <c r="AJ289" s="85"/>
      <c r="AK289" s="85"/>
      <c r="AL289" s="85"/>
    </row>
    <row r="290" spans="1:38">
      <c r="A290" s="26"/>
      <c r="B290" s="26"/>
      <c r="C290" s="26"/>
      <c r="D290" s="26"/>
      <c r="E290" s="26"/>
      <c r="F290" s="26"/>
      <c r="G290" s="26"/>
      <c r="H290" s="26"/>
      <c r="I290" s="26"/>
      <c r="J290" s="26"/>
      <c r="K290" s="112"/>
      <c r="L290" s="26"/>
      <c r="M290" s="26"/>
      <c r="N290" s="26"/>
      <c r="O290" s="113"/>
      <c r="P290" s="26"/>
      <c r="Q290" s="26"/>
      <c r="R290" s="26"/>
      <c r="S290" s="26"/>
      <c r="T290" s="26"/>
      <c r="U290" s="26"/>
      <c r="V290" s="26"/>
      <c r="W290" s="26"/>
      <c r="X290" s="26"/>
      <c r="Y290" s="26"/>
      <c r="Z290" s="26"/>
      <c r="AA290" s="26"/>
      <c r="AB290" s="26"/>
      <c r="AC290" s="26"/>
      <c r="AD290" s="26"/>
      <c r="AE290" s="115"/>
      <c r="AF290" s="85"/>
      <c r="AG290" s="67"/>
      <c r="AH290" s="67"/>
      <c r="AI290" s="85"/>
      <c r="AJ290" s="85"/>
      <c r="AK290" s="85"/>
      <c r="AL290" s="85"/>
    </row>
    <row r="291" spans="1:38">
      <c r="A291" s="26"/>
      <c r="B291" s="26"/>
      <c r="C291" s="26"/>
      <c r="D291" s="26"/>
      <c r="E291" s="26"/>
      <c r="F291" s="26"/>
      <c r="G291" s="26"/>
      <c r="H291" s="26"/>
      <c r="I291" s="26"/>
      <c r="J291" s="26"/>
      <c r="K291" s="112"/>
      <c r="L291" s="26"/>
      <c r="M291" s="26"/>
      <c r="N291" s="26"/>
      <c r="O291" s="113"/>
      <c r="P291" s="26"/>
      <c r="Q291" s="26"/>
      <c r="R291" s="26"/>
      <c r="S291" s="26"/>
      <c r="T291" s="26"/>
      <c r="U291" s="26"/>
      <c r="V291" s="26"/>
      <c r="W291" s="26"/>
      <c r="X291" s="26"/>
      <c r="Y291" s="26"/>
      <c r="Z291" s="26"/>
      <c r="AA291" s="26"/>
      <c r="AB291" s="26"/>
      <c r="AC291" s="26"/>
      <c r="AD291" s="26"/>
      <c r="AE291" s="115"/>
      <c r="AF291" s="85"/>
      <c r="AG291" s="67"/>
      <c r="AH291" s="67"/>
      <c r="AI291" s="85"/>
      <c r="AJ291" s="85"/>
      <c r="AK291" s="85"/>
      <c r="AL291" s="85"/>
    </row>
    <row r="292" spans="1:38">
      <c r="A292" s="26"/>
      <c r="B292" s="26"/>
      <c r="C292" s="26"/>
      <c r="D292" s="26"/>
      <c r="E292" s="26"/>
      <c r="F292" s="26"/>
      <c r="G292" s="26"/>
      <c r="H292" s="26"/>
      <c r="I292" s="26"/>
      <c r="J292" s="26"/>
      <c r="K292" s="112"/>
      <c r="L292" s="26"/>
      <c r="M292" s="26"/>
      <c r="N292" s="26"/>
      <c r="O292" s="113"/>
      <c r="P292" s="26"/>
      <c r="Q292" s="26"/>
      <c r="R292" s="26"/>
      <c r="S292" s="26"/>
      <c r="T292" s="26"/>
      <c r="U292" s="26"/>
      <c r="V292" s="26"/>
      <c r="W292" s="26"/>
      <c r="X292" s="26"/>
      <c r="Y292" s="26"/>
      <c r="Z292" s="26"/>
      <c r="AA292" s="26"/>
      <c r="AB292" s="26"/>
      <c r="AC292" s="26"/>
      <c r="AD292" s="26"/>
      <c r="AE292" s="115"/>
      <c r="AF292" s="85"/>
      <c r="AG292" s="67"/>
      <c r="AH292" s="67"/>
      <c r="AI292" s="85"/>
      <c r="AJ292" s="85"/>
      <c r="AK292" s="85"/>
      <c r="AL292" s="85"/>
    </row>
    <row r="293" spans="1:38">
      <c r="A293" s="26"/>
      <c r="B293" s="26"/>
      <c r="C293" s="26"/>
      <c r="D293" s="26"/>
      <c r="E293" s="26"/>
      <c r="F293" s="26"/>
      <c r="G293" s="26"/>
      <c r="H293" s="26"/>
      <c r="I293" s="26"/>
      <c r="J293" s="26"/>
      <c r="K293" s="112"/>
      <c r="L293" s="26"/>
      <c r="M293" s="26"/>
      <c r="N293" s="26"/>
      <c r="O293" s="113"/>
      <c r="P293" s="26"/>
      <c r="Q293" s="26"/>
      <c r="R293" s="26"/>
      <c r="S293" s="26"/>
      <c r="T293" s="26"/>
      <c r="U293" s="26"/>
      <c r="V293" s="26"/>
      <c r="W293" s="26"/>
      <c r="X293" s="26"/>
      <c r="Y293" s="26"/>
      <c r="Z293" s="26"/>
      <c r="AA293" s="26"/>
      <c r="AB293" s="26"/>
      <c r="AC293" s="26"/>
      <c r="AD293" s="26"/>
      <c r="AE293" s="115"/>
      <c r="AF293" s="85"/>
      <c r="AG293" s="67"/>
      <c r="AH293" s="67"/>
      <c r="AI293" s="85"/>
      <c r="AJ293" s="85"/>
      <c r="AK293" s="85"/>
      <c r="AL293" s="85"/>
    </row>
    <row r="294" spans="1:38">
      <c r="A294" s="26"/>
      <c r="B294" s="26"/>
      <c r="C294" s="26"/>
      <c r="D294" s="26"/>
      <c r="E294" s="26"/>
      <c r="F294" s="26"/>
      <c r="G294" s="26"/>
      <c r="H294" s="26"/>
      <c r="I294" s="26"/>
      <c r="J294" s="26"/>
      <c r="K294" s="112"/>
      <c r="L294" s="26"/>
      <c r="M294" s="26"/>
      <c r="N294" s="26"/>
      <c r="O294" s="113"/>
      <c r="P294" s="26"/>
      <c r="Q294" s="26"/>
      <c r="R294" s="26"/>
      <c r="S294" s="26"/>
      <c r="T294" s="26"/>
      <c r="U294" s="26"/>
      <c r="V294" s="26"/>
      <c r="W294" s="26"/>
      <c r="X294" s="26"/>
      <c r="Y294" s="26"/>
      <c r="Z294" s="26"/>
      <c r="AA294" s="26"/>
      <c r="AB294" s="26"/>
      <c r="AC294" s="26"/>
      <c r="AD294" s="26"/>
      <c r="AE294" s="115"/>
      <c r="AF294" s="85"/>
      <c r="AG294" s="67"/>
      <c r="AH294" s="67"/>
      <c r="AI294" s="85"/>
      <c r="AJ294" s="85"/>
      <c r="AK294" s="85"/>
      <c r="AL294" s="85"/>
    </row>
    <row r="295" spans="1:38">
      <c r="A295" s="26"/>
      <c r="B295" s="26"/>
      <c r="C295" s="26"/>
      <c r="D295" s="26"/>
      <c r="E295" s="26"/>
      <c r="F295" s="26"/>
      <c r="G295" s="26"/>
      <c r="H295" s="26"/>
      <c r="I295" s="26"/>
      <c r="J295" s="26"/>
      <c r="K295" s="112"/>
      <c r="L295" s="26"/>
      <c r="M295" s="26"/>
      <c r="N295" s="26"/>
      <c r="O295" s="113"/>
      <c r="P295" s="26"/>
      <c r="Q295" s="26"/>
      <c r="R295" s="26"/>
      <c r="S295" s="26"/>
      <c r="T295" s="26"/>
      <c r="U295" s="26"/>
      <c r="V295" s="26"/>
      <c r="W295" s="26"/>
      <c r="X295" s="26"/>
      <c r="Y295" s="26"/>
      <c r="Z295" s="26"/>
      <c r="AA295" s="26"/>
      <c r="AB295" s="26"/>
      <c r="AC295" s="26"/>
      <c r="AD295" s="26"/>
      <c r="AE295" s="115"/>
      <c r="AF295" s="85"/>
      <c r="AG295" s="67"/>
      <c r="AH295" s="67"/>
      <c r="AI295" s="85"/>
      <c r="AJ295" s="85"/>
      <c r="AK295" s="85"/>
      <c r="AL295" s="85"/>
    </row>
    <row r="296" spans="1:38">
      <c r="A296" s="26"/>
      <c r="B296" s="26"/>
      <c r="C296" s="26"/>
      <c r="D296" s="26"/>
      <c r="E296" s="26"/>
      <c r="F296" s="26"/>
      <c r="G296" s="26"/>
      <c r="H296" s="26"/>
      <c r="I296" s="26"/>
      <c r="J296" s="26"/>
      <c r="K296" s="112"/>
      <c r="L296" s="26"/>
      <c r="M296" s="26"/>
      <c r="N296" s="26"/>
      <c r="O296" s="113"/>
      <c r="P296" s="26"/>
      <c r="Q296" s="26"/>
      <c r="R296" s="26"/>
      <c r="S296" s="26"/>
      <c r="T296" s="26"/>
      <c r="U296" s="26"/>
      <c r="V296" s="26"/>
      <c r="W296" s="26"/>
      <c r="X296" s="26"/>
      <c r="Y296" s="26"/>
      <c r="Z296" s="26"/>
      <c r="AA296" s="26"/>
      <c r="AB296" s="26"/>
      <c r="AC296" s="26"/>
      <c r="AD296" s="26"/>
      <c r="AE296" s="115"/>
      <c r="AF296" s="85"/>
      <c r="AG296" s="67"/>
      <c r="AH296" s="67"/>
      <c r="AI296" s="85"/>
      <c r="AJ296" s="85"/>
      <c r="AK296" s="85"/>
      <c r="AL296" s="85"/>
    </row>
    <row r="297" spans="1:38">
      <c r="A297" s="26"/>
      <c r="B297" s="26"/>
      <c r="C297" s="26"/>
      <c r="D297" s="26"/>
      <c r="E297" s="26"/>
      <c r="F297" s="26"/>
      <c r="G297" s="26"/>
      <c r="H297" s="26"/>
      <c r="I297" s="26"/>
      <c r="J297" s="26"/>
      <c r="K297" s="112"/>
      <c r="L297" s="26"/>
      <c r="M297" s="26"/>
      <c r="N297" s="26"/>
      <c r="O297" s="113"/>
      <c r="P297" s="26"/>
      <c r="Q297" s="26"/>
      <c r="R297" s="26"/>
      <c r="S297" s="26"/>
      <c r="T297" s="26"/>
      <c r="U297" s="26"/>
      <c r="V297" s="26"/>
      <c r="W297" s="26"/>
      <c r="X297" s="26"/>
      <c r="Y297" s="26"/>
      <c r="Z297" s="26"/>
      <c r="AA297" s="26"/>
      <c r="AB297" s="26"/>
      <c r="AC297" s="26"/>
      <c r="AD297" s="26"/>
      <c r="AE297" s="115"/>
      <c r="AF297" s="85"/>
      <c r="AG297" s="67"/>
      <c r="AH297" s="67"/>
      <c r="AI297" s="85"/>
      <c r="AJ297" s="85"/>
      <c r="AK297" s="85"/>
      <c r="AL297" s="85"/>
    </row>
    <row r="298" spans="1:38">
      <c r="A298" s="26"/>
      <c r="B298" s="26"/>
      <c r="C298" s="26"/>
      <c r="D298" s="26"/>
      <c r="E298" s="26"/>
      <c r="F298" s="26"/>
      <c r="G298" s="26"/>
      <c r="H298" s="26"/>
      <c r="I298" s="26"/>
      <c r="J298" s="26"/>
      <c r="K298" s="112"/>
      <c r="L298" s="26"/>
      <c r="M298" s="26"/>
      <c r="N298" s="26"/>
      <c r="O298" s="113"/>
      <c r="P298" s="26"/>
      <c r="Q298" s="26"/>
      <c r="R298" s="26"/>
      <c r="S298" s="26"/>
      <c r="T298" s="26"/>
      <c r="U298" s="26"/>
      <c r="V298" s="26"/>
      <c r="W298" s="26"/>
      <c r="X298" s="26"/>
      <c r="Y298" s="26"/>
      <c r="Z298" s="26"/>
      <c r="AA298" s="26"/>
      <c r="AB298" s="26"/>
      <c r="AC298" s="26"/>
      <c r="AD298" s="26"/>
      <c r="AE298" s="115"/>
      <c r="AF298" s="85"/>
      <c r="AG298" s="67"/>
      <c r="AH298" s="67"/>
      <c r="AI298" s="85"/>
      <c r="AJ298" s="85"/>
      <c r="AK298" s="85"/>
      <c r="AL298" s="85"/>
    </row>
    <row r="299" spans="1:38">
      <c r="A299" s="26"/>
      <c r="B299" s="26"/>
      <c r="C299" s="26"/>
      <c r="D299" s="26"/>
      <c r="E299" s="26"/>
      <c r="F299" s="26"/>
      <c r="G299" s="26"/>
      <c r="H299" s="26"/>
      <c r="I299" s="26"/>
      <c r="J299" s="26"/>
      <c r="K299" s="112"/>
      <c r="L299" s="26"/>
      <c r="M299" s="26"/>
      <c r="N299" s="26"/>
      <c r="O299" s="113"/>
      <c r="P299" s="26"/>
      <c r="Q299" s="26"/>
      <c r="R299" s="26"/>
      <c r="S299" s="26"/>
      <c r="T299" s="26"/>
      <c r="U299" s="26"/>
      <c r="V299" s="26"/>
      <c r="W299" s="26"/>
      <c r="X299" s="26"/>
      <c r="Y299" s="26"/>
      <c r="Z299" s="26"/>
      <c r="AA299" s="26"/>
      <c r="AB299" s="26"/>
      <c r="AC299" s="26"/>
      <c r="AD299" s="26"/>
      <c r="AE299" s="115"/>
      <c r="AF299" s="85"/>
      <c r="AG299" s="67"/>
      <c r="AH299" s="67"/>
      <c r="AI299" s="85"/>
      <c r="AJ299" s="85"/>
      <c r="AK299" s="85"/>
      <c r="AL299" s="85"/>
    </row>
    <row r="300" spans="1:38">
      <c r="A300" s="26"/>
      <c r="B300" s="26"/>
      <c r="C300" s="26"/>
      <c r="D300" s="26"/>
      <c r="E300" s="26"/>
      <c r="F300" s="26"/>
      <c r="G300" s="26"/>
      <c r="H300" s="26"/>
      <c r="I300" s="26"/>
      <c r="J300" s="26"/>
      <c r="K300" s="112"/>
      <c r="L300" s="26"/>
      <c r="M300" s="26"/>
      <c r="N300" s="26"/>
      <c r="O300" s="113"/>
      <c r="P300" s="26"/>
      <c r="Q300" s="26"/>
      <c r="R300" s="26"/>
      <c r="S300" s="26"/>
      <c r="T300" s="26"/>
      <c r="U300" s="26"/>
      <c r="V300" s="26"/>
      <c r="W300" s="26"/>
      <c r="X300" s="26"/>
      <c r="Y300" s="26"/>
      <c r="Z300" s="26"/>
      <c r="AA300" s="26"/>
      <c r="AB300" s="26"/>
      <c r="AC300" s="26"/>
      <c r="AD300" s="26"/>
      <c r="AE300" s="115"/>
      <c r="AF300" s="85"/>
      <c r="AG300" s="67"/>
      <c r="AH300" s="67"/>
      <c r="AI300" s="85"/>
      <c r="AJ300" s="85"/>
      <c r="AK300" s="85"/>
      <c r="AL300" s="85"/>
    </row>
    <row r="301" spans="1:38">
      <c r="A301" s="26"/>
      <c r="B301" s="26"/>
      <c r="C301" s="26"/>
      <c r="D301" s="26"/>
      <c r="E301" s="26"/>
      <c r="F301" s="26"/>
      <c r="G301" s="26"/>
      <c r="H301" s="26"/>
      <c r="I301" s="26"/>
      <c r="J301" s="26"/>
      <c r="K301" s="112"/>
      <c r="L301" s="26"/>
      <c r="M301" s="26"/>
      <c r="N301" s="26"/>
      <c r="O301" s="113"/>
      <c r="P301" s="26"/>
      <c r="Q301" s="26"/>
      <c r="R301" s="26"/>
      <c r="S301" s="26"/>
      <c r="T301" s="26"/>
      <c r="U301" s="26"/>
      <c r="V301" s="26"/>
      <c r="W301" s="26"/>
      <c r="X301" s="26"/>
      <c r="Y301" s="26"/>
      <c r="Z301" s="26"/>
      <c r="AA301" s="26"/>
      <c r="AB301" s="26"/>
      <c r="AC301" s="26"/>
      <c r="AD301" s="26"/>
      <c r="AE301" s="115"/>
      <c r="AF301" s="85"/>
      <c r="AG301" s="67"/>
      <c r="AH301" s="67"/>
      <c r="AI301" s="85"/>
      <c r="AJ301" s="85"/>
      <c r="AK301" s="85"/>
      <c r="AL301" s="85"/>
    </row>
    <row r="302" spans="1:38">
      <c r="A302" s="26"/>
      <c r="B302" s="26"/>
      <c r="C302" s="26"/>
      <c r="D302" s="26"/>
      <c r="E302" s="26"/>
      <c r="F302" s="26"/>
      <c r="G302" s="26"/>
      <c r="H302" s="26"/>
      <c r="I302" s="26"/>
      <c r="J302" s="26"/>
      <c r="K302" s="112"/>
      <c r="L302" s="26"/>
      <c r="M302" s="26"/>
      <c r="N302" s="26"/>
      <c r="O302" s="113"/>
      <c r="P302" s="26"/>
      <c r="Q302" s="26"/>
      <c r="R302" s="26"/>
      <c r="S302" s="26"/>
      <c r="T302" s="26"/>
      <c r="U302" s="26"/>
      <c r="V302" s="26"/>
      <c r="W302" s="26"/>
      <c r="X302" s="26"/>
      <c r="Y302" s="26"/>
      <c r="Z302" s="26"/>
      <c r="AA302" s="26"/>
      <c r="AB302" s="26"/>
      <c r="AC302" s="26"/>
      <c r="AD302" s="26"/>
      <c r="AE302" s="115"/>
      <c r="AF302" s="85"/>
      <c r="AG302" s="67"/>
      <c r="AH302" s="67"/>
      <c r="AI302" s="85"/>
      <c r="AJ302" s="85"/>
      <c r="AK302" s="85"/>
      <c r="AL302" s="85"/>
    </row>
    <row r="303" spans="1:38">
      <c r="A303" s="26"/>
      <c r="B303" s="26"/>
      <c r="C303" s="26"/>
      <c r="D303" s="26"/>
      <c r="E303" s="26"/>
      <c r="F303" s="26"/>
      <c r="G303" s="26"/>
      <c r="H303" s="26"/>
      <c r="I303" s="26"/>
      <c r="J303" s="26"/>
      <c r="K303" s="112"/>
      <c r="L303" s="26"/>
      <c r="M303" s="26"/>
      <c r="N303" s="26"/>
      <c r="O303" s="113"/>
      <c r="P303" s="26"/>
      <c r="Q303" s="26"/>
      <c r="R303" s="26"/>
      <c r="S303" s="26"/>
      <c r="T303" s="26"/>
      <c r="U303" s="26"/>
      <c r="V303" s="26"/>
      <c r="W303" s="26"/>
      <c r="X303" s="26"/>
      <c r="Y303" s="26"/>
      <c r="Z303" s="26"/>
      <c r="AA303" s="26"/>
      <c r="AB303" s="26"/>
      <c r="AC303" s="26"/>
      <c r="AD303" s="26"/>
      <c r="AE303" s="115"/>
      <c r="AF303" s="85"/>
      <c r="AG303" s="67"/>
      <c r="AH303" s="67"/>
      <c r="AI303" s="85"/>
      <c r="AJ303" s="85"/>
      <c r="AK303" s="85"/>
      <c r="AL303" s="85"/>
    </row>
    <row r="304" spans="1:38">
      <c r="A304" s="26"/>
      <c r="B304" s="26"/>
      <c r="C304" s="26"/>
      <c r="D304" s="26"/>
      <c r="E304" s="26"/>
      <c r="F304" s="26"/>
      <c r="G304" s="26"/>
      <c r="H304" s="26"/>
      <c r="I304" s="26"/>
      <c r="J304" s="26"/>
      <c r="K304" s="112"/>
      <c r="L304" s="26"/>
      <c r="M304" s="26"/>
      <c r="N304" s="26"/>
      <c r="O304" s="113"/>
      <c r="P304" s="26"/>
      <c r="Q304" s="26"/>
      <c r="R304" s="26"/>
      <c r="S304" s="26"/>
      <c r="T304" s="26"/>
      <c r="U304" s="26"/>
      <c r="V304" s="26"/>
      <c r="W304" s="26"/>
      <c r="X304" s="26"/>
      <c r="Y304" s="26"/>
      <c r="Z304" s="26"/>
      <c r="AA304" s="26"/>
      <c r="AB304" s="26"/>
      <c r="AC304" s="26"/>
      <c r="AD304" s="26"/>
      <c r="AE304" s="115"/>
      <c r="AF304" s="85"/>
      <c r="AG304" s="67"/>
      <c r="AH304" s="67"/>
      <c r="AI304" s="85"/>
      <c r="AJ304" s="85"/>
      <c r="AK304" s="85"/>
      <c r="AL304" s="85"/>
    </row>
    <row r="305" spans="1:38">
      <c r="A305" s="26"/>
      <c r="B305" s="26"/>
      <c r="C305" s="26"/>
      <c r="D305" s="26"/>
      <c r="E305" s="26"/>
      <c r="F305" s="26"/>
      <c r="G305" s="26"/>
      <c r="H305" s="26"/>
      <c r="I305" s="26"/>
      <c r="J305" s="26"/>
      <c r="K305" s="112"/>
      <c r="L305" s="26"/>
      <c r="M305" s="26"/>
      <c r="N305" s="26"/>
      <c r="O305" s="113"/>
      <c r="P305" s="26"/>
      <c r="Q305" s="26"/>
      <c r="R305" s="26"/>
      <c r="S305" s="26"/>
      <c r="T305" s="26"/>
      <c r="U305" s="26"/>
      <c r="V305" s="26"/>
      <c r="W305" s="26"/>
      <c r="X305" s="26"/>
      <c r="Y305" s="26"/>
      <c r="Z305" s="26"/>
      <c r="AA305" s="26"/>
      <c r="AB305" s="26"/>
      <c r="AC305" s="26"/>
      <c r="AD305" s="26"/>
      <c r="AE305" s="115"/>
      <c r="AF305" s="85"/>
      <c r="AG305" s="67"/>
      <c r="AH305" s="67"/>
      <c r="AI305" s="85"/>
      <c r="AJ305" s="85"/>
      <c r="AK305" s="85"/>
      <c r="AL305" s="85"/>
    </row>
    <row r="306" spans="1:38">
      <c r="A306" s="26"/>
      <c r="B306" s="26"/>
      <c r="C306" s="26"/>
      <c r="D306" s="26"/>
      <c r="E306" s="26"/>
      <c r="F306" s="26"/>
      <c r="G306" s="26"/>
      <c r="H306" s="26"/>
      <c r="I306" s="26"/>
      <c r="J306" s="26"/>
      <c r="K306" s="112"/>
      <c r="L306" s="26"/>
      <c r="M306" s="26"/>
      <c r="N306" s="26"/>
      <c r="O306" s="113"/>
      <c r="P306" s="26"/>
      <c r="Q306" s="26"/>
      <c r="R306" s="26"/>
      <c r="S306" s="26"/>
      <c r="T306" s="26"/>
      <c r="U306" s="26"/>
      <c r="V306" s="26"/>
      <c r="W306" s="26"/>
      <c r="X306" s="26"/>
      <c r="Y306" s="26"/>
      <c r="Z306" s="26"/>
      <c r="AA306" s="26"/>
      <c r="AB306" s="26"/>
      <c r="AC306" s="26"/>
      <c r="AD306" s="26"/>
      <c r="AE306" s="115"/>
      <c r="AF306" s="85"/>
      <c r="AG306" s="67"/>
      <c r="AH306" s="67"/>
      <c r="AI306" s="85"/>
      <c r="AJ306" s="85"/>
      <c r="AK306" s="85"/>
      <c r="AL306" s="85"/>
    </row>
    <row r="307" spans="1:38">
      <c r="A307" s="26"/>
      <c r="B307" s="26"/>
      <c r="C307" s="26"/>
      <c r="D307" s="26"/>
      <c r="E307" s="26"/>
      <c r="F307" s="26"/>
      <c r="G307" s="26"/>
      <c r="H307" s="26"/>
      <c r="I307" s="26"/>
      <c r="J307" s="26"/>
      <c r="K307" s="112"/>
      <c r="L307" s="26"/>
      <c r="M307" s="26"/>
      <c r="N307" s="26"/>
      <c r="O307" s="113"/>
      <c r="P307" s="26"/>
      <c r="Q307" s="26"/>
      <c r="R307" s="26"/>
      <c r="S307" s="26"/>
      <c r="T307" s="26"/>
      <c r="U307" s="26"/>
      <c r="V307" s="26"/>
      <c r="W307" s="26"/>
      <c r="X307" s="26"/>
      <c r="Y307" s="26"/>
      <c r="Z307" s="26"/>
      <c r="AA307" s="26"/>
      <c r="AB307" s="26"/>
      <c r="AC307" s="26"/>
      <c r="AD307" s="26"/>
      <c r="AE307" s="115"/>
      <c r="AF307" s="85"/>
      <c r="AG307" s="67"/>
      <c r="AH307" s="67"/>
      <c r="AI307" s="85"/>
      <c r="AJ307" s="85"/>
      <c r="AK307" s="85"/>
      <c r="AL307" s="85"/>
    </row>
    <row r="308" spans="1:38">
      <c r="A308" s="26"/>
      <c r="B308" s="26"/>
      <c r="C308" s="26"/>
      <c r="D308" s="26"/>
      <c r="E308" s="26"/>
      <c r="F308" s="26"/>
      <c r="G308" s="26"/>
      <c r="H308" s="26"/>
      <c r="I308" s="26"/>
      <c r="J308" s="26"/>
      <c r="K308" s="112"/>
      <c r="L308" s="26"/>
      <c r="M308" s="26"/>
      <c r="N308" s="26"/>
      <c r="O308" s="113"/>
      <c r="P308" s="26"/>
      <c r="Q308" s="26"/>
      <c r="R308" s="26"/>
      <c r="S308" s="26"/>
      <c r="T308" s="26"/>
      <c r="U308" s="26"/>
      <c r="V308" s="26"/>
      <c r="W308" s="26"/>
      <c r="X308" s="26"/>
      <c r="Y308" s="26"/>
      <c r="Z308" s="26"/>
      <c r="AA308" s="26"/>
      <c r="AB308" s="26"/>
      <c r="AC308" s="26"/>
      <c r="AD308" s="26"/>
      <c r="AE308" s="115"/>
      <c r="AF308" s="85"/>
      <c r="AG308" s="67"/>
      <c r="AH308" s="67"/>
      <c r="AI308" s="85"/>
      <c r="AJ308" s="85"/>
      <c r="AK308" s="85"/>
      <c r="AL308" s="85"/>
    </row>
    <row r="309" spans="1:38">
      <c r="A309" s="26"/>
      <c r="B309" s="26"/>
      <c r="C309" s="26"/>
      <c r="D309" s="26"/>
      <c r="E309" s="26"/>
      <c r="F309" s="26"/>
      <c r="G309" s="26"/>
      <c r="H309" s="26"/>
      <c r="I309" s="26"/>
      <c r="J309" s="26"/>
      <c r="K309" s="112"/>
      <c r="L309" s="26"/>
      <c r="M309" s="26"/>
      <c r="N309" s="26"/>
      <c r="O309" s="113"/>
      <c r="P309" s="26"/>
      <c r="Q309" s="26"/>
      <c r="R309" s="26"/>
      <c r="S309" s="26"/>
      <c r="T309" s="26"/>
      <c r="U309" s="26"/>
      <c r="V309" s="26"/>
      <c r="W309" s="26"/>
      <c r="X309" s="26"/>
      <c r="Y309" s="26"/>
      <c r="Z309" s="26"/>
      <c r="AA309" s="26"/>
      <c r="AB309" s="26"/>
      <c r="AC309" s="26"/>
      <c r="AD309" s="26"/>
      <c r="AE309" s="115"/>
      <c r="AF309" s="85"/>
      <c r="AG309" s="67"/>
      <c r="AH309" s="67"/>
      <c r="AI309" s="85"/>
      <c r="AJ309" s="85"/>
      <c r="AK309" s="85"/>
      <c r="AL309" s="85"/>
    </row>
    <row r="310" spans="1:38">
      <c r="A310" s="26"/>
      <c r="B310" s="26"/>
      <c r="C310" s="26"/>
      <c r="D310" s="26"/>
      <c r="E310" s="26"/>
      <c r="F310" s="26"/>
      <c r="G310" s="26"/>
      <c r="H310" s="26"/>
      <c r="I310" s="26"/>
      <c r="J310" s="26"/>
      <c r="K310" s="112"/>
      <c r="L310" s="26"/>
      <c r="M310" s="26"/>
      <c r="N310" s="26"/>
      <c r="O310" s="113"/>
      <c r="P310" s="26"/>
      <c r="Q310" s="26"/>
      <c r="R310" s="26"/>
      <c r="S310" s="26"/>
      <c r="T310" s="26"/>
      <c r="U310" s="26"/>
      <c r="V310" s="26"/>
      <c r="W310" s="26"/>
      <c r="X310" s="26"/>
      <c r="Y310" s="26"/>
      <c r="Z310" s="26"/>
      <c r="AA310" s="26"/>
      <c r="AB310" s="26"/>
      <c r="AC310" s="26"/>
      <c r="AD310" s="26"/>
      <c r="AE310" s="115"/>
      <c r="AF310" s="85"/>
      <c r="AG310" s="67"/>
      <c r="AH310" s="67"/>
      <c r="AI310" s="85"/>
      <c r="AJ310" s="85"/>
      <c r="AK310" s="85"/>
      <c r="AL310" s="85"/>
    </row>
    <row r="311" spans="1:38">
      <c r="A311" s="26"/>
      <c r="B311" s="26"/>
      <c r="C311" s="26"/>
      <c r="D311" s="26"/>
      <c r="E311" s="26"/>
      <c r="F311" s="26"/>
      <c r="G311" s="26"/>
      <c r="H311" s="26"/>
      <c r="I311" s="26"/>
      <c r="J311" s="26"/>
      <c r="K311" s="112"/>
      <c r="L311" s="26"/>
      <c r="M311" s="26"/>
      <c r="N311" s="26"/>
      <c r="O311" s="113"/>
      <c r="P311" s="26"/>
      <c r="Q311" s="26"/>
      <c r="R311" s="26"/>
      <c r="S311" s="26"/>
      <c r="T311" s="26"/>
      <c r="U311" s="26"/>
      <c r="V311" s="26"/>
      <c r="W311" s="26"/>
      <c r="X311" s="26"/>
      <c r="Y311" s="26"/>
      <c r="Z311" s="26"/>
      <c r="AA311" s="26"/>
      <c r="AB311" s="26"/>
      <c r="AC311" s="26"/>
      <c r="AD311" s="26"/>
      <c r="AE311" s="115"/>
      <c r="AF311" s="85"/>
      <c r="AG311" s="67"/>
      <c r="AH311" s="67"/>
      <c r="AI311" s="85"/>
      <c r="AJ311" s="85"/>
      <c r="AK311" s="85"/>
      <c r="AL311" s="85"/>
    </row>
    <row r="312" spans="1:38">
      <c r="A312" s="26"/>
      <c r="B312" s="26"/>
      <c r="C312" s="26"/>
      <c r="D312" s="26"/>
      <c r="E312" s="26"/>
      <c r="F312" s="26"/>
      <c r="G312" s="26"/>
      <c r="H312" s="26"/>
      <c r="I312" s="26"/>
      <c r="J312" s="26"/>
      <c r="K312" s="112"/>
      <c r="L312" s="26"/>
      <c r="M312" s="26"/>
      <c r="N312" s="26"/>
      <c r="O312" s="113"/>
      <c r="P312" s="26"/>
      <c r="Q312" s="26"/>
      <c r="R312" s="26"/>
      <c r="S312" s="26"/>
      <c r="T312" s="26"/>
      <c r="U312" s="26"/>
      <c r="V312" s="26"/>
      <c r="W312" s="26"/>
      <c r="X312" s="26"/>
      <c r="Y312" s="26"/>
      <c r="Z312" s="26"/>
      <c r="AA312" s="26"/>
      <c r="AB312" s="26"/>
      <c r="AC312" s="26"/>
      <c r="AD312" s="26"/>
      <c r="AE312" s="115"/>
      <c r="AF312" s="85"/>
      <c r="AG312" s="67"/>
      <c r="AH312" s="67"/>
      <c r="AI312" s="85"/>
      <c r="AJ312" s="85"/>
      <c r="AK312" s="85"/>
      <c r="AL312" s="85"/>
    </row>
    <row r="313" spans="1:38">
      <c r="A313" s="26"/>
      <c r="B313" s="26"/>
      <c r="C313" s="26"/>
      <c r="D313" s="26"/>
      <c r="E313" s="26"/>
      <c r="F313" s="26"/>
      <c r="G313" s="26"/>
      <c r="H313" s="26"/>
      <c r="I313" s="26"/>
      <c r="J313" s="26"/>
      <c r="K313" s="112"/>
      <c r="L313" s="26"/>
      <c r="M313" s="26"/>
      <c r="N313" s="26"/>
      <c r="O313" s="113"/>
      <c r="P313" s="26"/>
      <c r="Q313" s="26"/>
      <c r="R313" s="26"/>
      <c r="S313" s="26"/>
      <c r="T313" s="26"/>
      <c r="U313" s="26"/>
      <c r="V313" s="26"/>
      <c r="W313" s="26"/>
      <c r="X313" s="26"/>
      <c r="Y313" s="26"/>
      <c r="Z313" s="26"/>
      <c r="AA313" s="26"/>
      <c r="AB313" s="26"/>
      <c r="AC313" s="26"/>
      <c r="AD313" s="26"/>
      <c r="AE313" s="115"/>
      <c r="AF313" s="85"/>
      <c r="AG313" s="67"/>
      <c r="AH313" s="67"/>
      <c r="AI313" s="85"/>
      <c r="AJ313" s="85"/>
      <c r="AK313" s="85"/>
      <c r="AL313" s="85"/>
    </row>
    <row r="314" spans="1:38">
      <c r="A314" s="26"/>
      <c r="B314" s="26"/>
      <c r="C314" s="26"/>
      <c r="D314" s="26"/>
      <c r="E314" s="26"/>
      <c r="F314" s="26"/>
      <c r="G314" s="26"/>
      <c r="H314" s="26"/>
      <c r="I314" s="26"/>
      <c r="J314" s="26"/>
      <c r="K314" s="112"/>
      <c r="L314" s="26"/>
      <c r="M314" s="26"/>
      <c r="N314" s="26"/>
      <c r="O314" s="113"/>
      <c r="P314" s="26"/>
      <c r="Q314" s="26"/>
      <c r="R314" s="26"/>
      <c r="S314" s="26"/>
      <c r="T314" s="26"/>
      <c r="U314" s="26"/>
      <c r="V314" s="26"/>
      <c r="W314" s="26"/>
      <c r="X314" s="26"/>
      <c r="Y314" s="26"/>
      <c r="Z314" s="26"/>
      <c r="AA314" s="26"/>
      <c r="AB314" s="26"/>
      <c r="AC314" s="26"/>
      <c r="AD314" s="26"/>
      <c r="AE314" s="115"/>
      <c r="AF314" s="85"/>
      <c r="AG314" s="67"/>
      <c r="AH314" s="67"/>
      <c r="AI314" s="85"/>
      <c r="AJ314" s="85"/>
      <c r="AK314" s="85"/>
      <c r="AL314" s="85"/>
    </row>
    <row r="315" spans="1:38">
      <c r="A315" s="26"/>
      <c r="B315" s="26"/>
      <c r="C315" s="26"/>
      <c r="D315" s="26"/>
      <c r="E315" s="26"/>
      <c r="F315" s="26"/>
      <c r="G315" s="26"/>
      <c r="H315" s="26"/>
      <c r="I315" s="26"/>
      <c r="J315" s="26"/>
      <c r="K315" s="112"/>
      <c r="L315" s="26"/>
      <c r="M315" s="26"/>
      <c r="N315" s="26"/>
      <c r="O315" s="113"/>
      <c r="P315" s="26"/>
      <c r="Q315" s="26"/>
      <c r="R315" s="26"/>
      <c r="S315" s="26"/>
      <c r="T315" s="26"/>
      <c r="U315" s="26"/>
      <c r="V315" s="26"/>
      <c r="W315" s="26"/>
      <c r="X315" s="26"/>
      <c r="Y315" s="26"/>
      <c r="Z315" s="26"/>
      <c r="AA315" s="26"/>
      <c r="AB315" s="26"/>
      <c r="AC315" s="26"/>
      <c r="AD315" s="26"/>
      <c r="AE315" s="115"/>
      <c r="AF315" s="85"/>
      <c r="AG315" s="67"/>
      <c r="AH315" s="67"/>
      <c r="AI315" s="85"/>
      <c r="AJ315" s="85"/>
      <c r="AK315" s="85"/>
      <c r="AL315" s="85"/>
    </row>
    <row r="316" spans="1:38">
      <c r="A316" s="26"/>
      <c r="B316" s="26"/>
      <c r="C316" s="26"/>
      <c r="D316" s="26"/>
      <c r="E316" s="26"/>
      <c r="F316" s="26"/>
      <c r="G316" s="26"/>
      <c r="H316" s="26"/>
      <c r="I316" s="26"/>
      <c r="J316" s="26"/>
      <c r="K316" s="112"/>
      <c r="L316" s="26"/>
      <c r="M316" s="26"/>
      <c r="N316" s="26"/>
      <c r="O316" s="113"/>
      <c r="P316" s="26"/>
      <c r="Q316" s="26"/>
      <c r="R316" s="26"/>
      <c r="S316" s="26"/>
      <c r="T316" s="26"/>
      <c r="U316" s="26"/>
      <c r="V316" s="26"/>
      <c r="W316" s="26"/>
      <c r="X316" s="26"/>
      <c r="Y316" s="26"/>
      <c r="Z316" s="26"/>
      <c r="AA316" s="26"/>
      <c r="AB316" s="26"/>
      <c r="AC316" s="26"/>
      <c r="AD316" s="26"/>
      <c r="AE316" s="115"/>
      <c r="AF316" s="85"/>
      <c r="AG316" s="67"/>
      <c r="AH316" s="67"/>
      <c r="AI316" s="85"/>
      <c r="AJ316" s="85"/>
      <c r="AK316" s="85"/>
      <c r="AL316" s="85"/>
    </row>
    <row r="317" spans="1:38">
      <c r="A317" s="26"/>
      <c r="B317" s="26"/>
      <c r="C317" s="26"/>
      <c r="D317" s="26"/>
      <c r="E317" s="26"/>
      <c r="F317" s="26"/>
      <c r="G317" s="26"/>
      <c r="H317" s="26"/>
      <c r="I317" s="26"/>
      <c r="J317" s="26"/>
      <c r="K317" s="112"/>
      <c r="L317" s="26"/>
      <c r="M317" s="26"/>
      <c r="N317" s="26"/>
      <c r="O317" s="113"/>
      <c r="P317" s="26"/>
      <c r="Q317" s="26"/>
      <c r="R317" s="26"/>
      <c r="S317" s="26"/>
      <c r="T317" s="26"/>
      <c r="U317" s="26"/>
      <c r="V317" s="26"/>
      <c r="W317" s="26"/>
      <c r="X317" s="26"/>
      <c r="Y317" s="26"/>
      <c r="Z317" s="26"/>
      <c r="AA317" s="26"/>
      <c r="AB317" s="26"/>
      <c r="AC317" s="26"/>
      <c r="AD317" s="26"/>
      <c r="AE317" s="115"/>
      <c r="AF317" s="85"/>
      <c r="AG317" s="67"/>
      <c r="AH317" s="67"/>
      <c r="AI317" s="85"/>
      <c r="AJ317" s="85"/>
      <c r="AK317" s="85"/>
      <c r="AL317" s="85"/>
    </row>
    <row r="318" spans="1:38">
      <c r="A318" s="26"/>
      <c r="B318" s="26"/>
      <c r="C318" s="26"/>
      <c r="D318" s="26"/>
      <c r="E318" s="26"/>
      <c r="F318" s="26"/>
      <c r="G318" s="26"/>
      <c r="H318" s="26"/>
      <c r="I318" s="26"/>
      <c r="J318" s="26"/>
      <c r="K318" s="112"/>
      <c r="L318" s="26"/>
      <c r="M318" s="26"/>
      <c r="N318" s="26"/>
      <c r="O318" s="113"/>
      <c r="P318" s="26"/>
      <c r="Q318" s="26"/>
      <c r="R318" s="26"/>
      <c r="S318" s="26"/>
      <c r="T318" s="26"/>
      <c r="U318" s="26"/>
      <c r="V318" s="26"/>
      <c r="W318" s="26"/>
      <c r="X318" s="26"/>
      <c r="Y318" s="26"/>
      <c r="Z318" s="26"/>
      <c r="AA318" s="26"/>
      <c r="AB318" s="26"/>
      <c r="AC318" s="26"/>
      <c r="AD318" s="26"/>
      <c r="AE318" s="115"/>
      <c r="AF318" s="85"/>
      <c r="AG318" s="67"/>
      <c r="AH318" s="67"/>
      <c r="AI318" s="85"/>
      <c r="AJ318" s="85"/>
      <c r="AK318" s="85"/>
      <c r="AL318" s="85"/>
    </row>
    <row r="319" spans="1:38">
      <c r="A319" s="26"/>
      <c r="B319" s="26"/>
      <c r="C319" s="26"/>
      <c r="D319" s="26"/>
      <c r="E319" s="26"/>
      <c r="F319" s="26"/>
      <c r="G319" s="26"/>
      <c r="H319" s="26"/>
      <c r="I319" s="26"/>
      <c r="J319" s="26"/>
      <c r="K319" s="112"/>
      <c r="L319" s="26"/>
      <c r="M319" s="26"/>
      <c r="N319" s="26"/>
      <c r="O319" s="113"/>
      <c r="P319" s="26"/>
      <c r="Q319" s="26"/>
      <c r="R319" s="26"/>
      <c r="S319" s="26"/>
      <c r="T319" s="26"/>
      <c r="U319" s="26"/>
      <c r="V319" s="26"/>
      <c r="W319" s="26"/>
      <c r="X319" s="26"/>
      <c r="Y319" s="26"/>
      <c r="Z319" s="26"/>
      <c r="AA319" s="26"/>
      <c r="AB319" s="26"/>
      <c r="AC319" s="26"/>
      <c r="AD319" s="26"/>
      <c r="AE319" s="115"/>
      <c r="AF319" s="85"/>
      <c r="AG319" s="67"/>
      <c r="AH319" s="67"/>
      <c r="AI319" s="85"/>
      <c r="AJ319" s="85"/>
      <c r="AK319" s="85"/>
      <c r="AL319" s="85"/>
    </row>
    <row r="320" spans="1:38">
      <c r="A320" s="26"/>
      <c r="B320" s="26"/>
      <c r="C320" s="26"/>
      <c r="D320" s="26"/>
      <c r="E320" s="26"/>
      <c r="F320" s="26"/>
      <c r="G320" s="26"/>
      <c r="H320" s="26"/>
      <c r="I320" s="26"/>
      <c r="J320" s="26"/>
      <c r="K320" s="112"/>
      <c r="L320" s="26"/>
      <c r="M320" s="26"/>
      <c r="N320" s="26"/>
      <c r="O320" s="113"/>
      <c r="P320" s="26"/>
      <c r="Q320" s="26"/>
      <c r="R320" s="26"/>
      <c r="S320" s="26"/>
      <c r="T320" s="26"/>
      <c r="U320" s="26"/>
      <c r="V320" s="26"/>
      <c r="W320" s="26"/>
      <c r="X320" s="26"/>
      <c r="Y320" s="26"/>
      <c r="Z320" s="26"/>
      <c r="AA320" s="26"/>
      <c r="AB320" s="26"/>
      <c r="AC320" s="26"/>
      <c r="AD320" s="26"/>
      <c r="AE320" s="115"/>
      <c r="AF320" s="85"/>
      <c r="AG320" s="67"/>
      <c r="AH320" s="67"/>
      <c r="AI320" s="85"/>
      <c r="AJ320" s="85"/>
      <c r="AK320" s="85"/>
      <c r="AL320" s="85"/>
    </row>
    <row r="321" spans="1:38">
      <c r="A321" s="26"/>
      <c r="B321" s="26"/>
      <c r="C321" s="26"/>
      <c r="D321" s="26"/>
      <c r="E321" s="26"/>
      <c r="F321" s="26"/>
      <c r="G321" s="26"/>
      <c r="H321" s="26"/>
      <c r="I321" s="26"/>
      <c r="J321" s="26"/>
      <c r="K321" s="112"/>
      <c r="L321" s="26"/>
      <c r="M321" s="26"/>
      <c r="N321" s="26"/>
      <c r="O321" s="113"/>
      <c r="P321" s="26"/>
      <c r="Q321" s="26"/>
      <c r="R321" s="26"/>
      <c r="S321" s="26"/>
      <c r="T321" s="26"/>
      <c r="U321" s="26"/>
      <c r="V321" s="26"/>
      <c r="W321" s="26"/>
      <c r="X321" s="26"/>
      <c r="Y321" s="26"/>
      <c r="Z321" s="26"/>
      <c r="AA321" s="26"/>
      <c r="AB321" s="26"/>
      <c r="AC321" s="26"/>
      <c r="AD321" s="26"/>
      <c r="AE321" s="115"/>
      <c r="AF321" s="85"/>
      <c r="AG321" s="67"/>
      <c r="AH321" s="67"/>
      <c r="AI321" s="85"/>
      <c r="AJ321" s="85"/>
      <c r="AK321" s="85"/>
      <c r="AL321" s="85"/>
    </row>
    <row r="322" spans="1:38">
      <c r="A322" s="26"/>
      <c r="B322" s="26"/>
      <c r="C322" s="26"/>
      <c r="D322" s="26"/>
      <c r="E322" s="26"/>
      <c r="F322" s="26"/>
      <c r="G322" s="26"/>
      <c r="H322" s="26"/>
      <c r="I322" s="26"/>
      <c r="J322" s="26"/>
      <c r="K322" s="112"/>
      <c r="L322" s="26"/>
      <c r="M322" s="26"/>
      <c r="N322" s="26"/>
      <c r="O322" s="113"/>
      <c r="P322" s="26"/>
      <c r="Q322" s="26"/>
      <c r="R322" s="26"/>
      <c r="S322" s="26"/>
      <c r="T322" s="26"/>
      <c r="U322" s="26"/>
      <c r="V322" s="26"/>
      <c r="W322" s="26"/>
      <c r="X322" s="26"/>
      <c r="Y322" s="26"/>
      <c r="Z322" s="26"/>
      <c r="AA322" s="26"/>
      <c r="AB322" s="26"/>
      <c r="AC322" s="26"/>
      <c r="AD322" s="26"/>
      <c r="AE322" s="115"/>
      <c r="AF322" s="85"/>
      <c r="AG322" s="67"/>
      <c r="AH322" s="67"/>
      <c r="AI322" s="85"/>
      <c r="AJ322" s="85"/>
      <c r="AK322" s="85"/>
      <c r="AL322" s="85"/>
    </row>
    <row r="323" spans="1:38">
      <c r="A323" s="26"/>
      <c r="B323" s="26"/>
      <c r="C323" s="26"/>
      <c r="D323" s="26"/>
      <c r="E323" s="26"/>
      <c r="F323" s="26"/>
      <c r="G323" s="26"/>
      <c r="H323" s="26"/>
      <c r="I323" s="26"/>
      <c r="J323" s="26"/>
      <c r="K323" s="112"/>
      <c r="L323" s="26"/>
      <c r="M323" s="26"/>
      <c r="N323" s="26"/>
      <c r="O323" s="113"/>
      <c r="P323" s="26"/>
      <c r="Q323" s="26"/>
      <c r="R323" s="26"/>
      <c r="S323" s="26"/>
      <c r="T323" s="26"/>
      <c r="U323" s="26"/>
      <c r="V323" s="26"/>
      <c r="W323" s="26"/>
      <c r="X323" s="26"/>
      <c r="Y323" s="26"/>
      <c r="Z323" s="26"/>
      <c r="AA323" s="26"/>
      <c r="AB323" s="26"/>
      <c r="AC323" s="26"/>
      <c r="AD323" s="26"/>
      <c r="AE323" s="115"/>
      <c r="AF323" s="85"/>
      <c r="AG323" s="67"/>
      <c r="AH323" s="67"/>
      <c r="AI323" s="85"/>
      <c r="AJ323" s="85"/>
      <c r="AK323" s="85"/>
      <c r="AL323" s="85"/>
    </row>
    <row r="324" spans="1:38">
      <c r="A324" s="26"/>
      <c r="B324" s="26"/>
      <c r="C324" s="26"/>
      <c r="D324" s="26"/>
      <c r="E324" s="26"/>
      <c r="F324" s="26"/>
      <c r="G324" s="26"/>
      <c r="H324" s="26"/>
      <c r="I324" s="26"/>
      <c r="J324" s="26"/>
      <c r="K324" s="112"/>
      <c r="L324" s="26"/>
      <c r="M324" s="26"/>
      <c r="N324" s="26"/>
      <c r="O324" s="113"/>
      <c r="P324" s="26"/>
      <c r="Q324" s="26"/>
      <c r="R324" s="26"/>
      <c r="S324" s="26"/>
      <c r="T324" s="26"/>
      <c r="U324" s="26"/>
      <c r="V324" s="26"/>
      <c r="W324" s="26"/>
      <c r="X324" s="26"/>
      <c r="Y324" s="26"/>
      <c r="Z324" s="26"/>
      <c r="AA324" s="26"/>
      <c r="AB324" s="26"/>
      <c r="AC324" s="26"/>
      <c r="AD324" s="26"/>
      <c r="AE324" s="115"/>
      <c r="AF324" s="85"/>
      <c r="AG324" s="67"/>
      <c r="AH324" s="67"/>
      <c r="AI324" s="85"/>
      <c r="AJ324" s="85"/>
      <c r="AK324" s="85"/>
      <c r="AL324" s="85"/>
    </row>
    <row r="325" spans="1:38">
      <c r="A325" s="26"/>
      <c r="B325" s="26"/>
      <c r="C325" s="26"/>
      <c r="D325" s="26"/>
      <c r="E325" s="26"/>
      <c r="F325" s="26"/>
      <c r="G325" s="26"/>
      <c r="H325" s="26"/>
      <c r="I325" s="26"/>
      <c r="J325" s="26"/>
      <c r="K325" s="112"/>
      <c r="L325" s="26"/>
      <c r="M325" s="26"/>
      <c r="N325" s="26"/>
      <c r="O325" s="113"/>
      <c r="P325" s="26"/>
      <c r="Q325" s="26"/>
      <c r="R325" s="26"/>
      <c r="S325" s="26"/>
      <c r="T325" s="26"/>
      <c r="U325" s="26"/>
      <c r="V325" s="26"/>
      <c r="W325" s="26"/>
      <c r="X325" s="26"/>
      <c r="Y325" s="26"/>
      <c r="Z325" s="26"/>
      <c r="AA325" s="26"/>
      <c r="AB325" s="26"/>
      <c r="AC325" s="26"/>
      <c r="AD325" s="26"/>
      <c r="AE325" s="115"/>
      <c r="AF325" s="85"/>
      <c r="AG325" s="67"/>
      <c r="AH325" s="67"/>
      <c r="AI325" s="85"/>
      <c r="AJ325" s="85"/>
      <c r="AK325" s="85"/>
      <c r="AL325" s="85"/>
    </row>
    <row r="326" spans="1:38">
      <c r="A326" s="26"/>
      <c r="B326" s="26"/>
      <c r="C326" s="26"/>
      <c r="D326" s="26"/>
      <c r="E326" s="26"/>
      <c r="F326" s="26"/>
      <c r="G326" s="26"/>
      <c r="H326" s="26"/>
      <c r="I326" s="26"/>
      <c r="J326" s="26"/>
      <c r="K326" s="112"/>
      <c r="L326" s="26"/>
      <c r="M326" s="26"/>
      <c r="N326" s="26"/>
      <c r="O326" s="113"/>
      <c r="P326" s="26"/>
      <c r="Q326" s="26"/>
      <c r="R326" s="26"/>
      <c r="S326" s="26"/>
      <c r="T326" s="26"/>
      <c r="U326" s="26"/>
      <c r="V326" s="26"/>
      <c r="W326" s="26"/>
      <c r="X326" s="26"/>
      <c r="Y326" s="26"/>
      <c r="Z326" s="26"/>
      <c r="AA326" s="26"/>
      <c r="AB326" s="26"/>
      <c r="AC326" s="26"/>
      <c r="AD326" s="26"/>
      <c r="AE326" s="115"/>
      <c r="AF326" s="85"/>
      <c r="AG326" s="67"/>
      <c r="AH326" s="67"/>
      <c r="AI326" s="85"/>
      <c r="AJ326" s="85"/>
      <c r="AK326" s="85"/>
      <c r="AL326" s="85"/>
    </row>
    <row r="327" spans="1:38">
      <c r="A327" s="26"/>
      <c r="B327" s="26"/>
      <c r="C327" s="26"/>
      <c r="D327" s="26"/>
      <c r="E327" s="26"/>
      <c r="F327" s="26"/>
      <c r="G327" s="26"/>
      <c r="H327" s="26"/>
      <c r="I327" s="26"/>
      <c r="J327" s="26"/>
      <c r="K327" s="112"/>
      <c r="L327" s="26"/>
      <c r="M327" s="26"/>
      <c r="N327" s="26"/>
      <c r="O327" s="113"/>
      <c r="P327" s="26"/>
      <c r="Q327" s="26"/>
      <c r="R327" s="26"/>
      <c r="S327" s="26"/>
      <c r="T327" s="26"/>
      <c r="U327" s="26"/>
      <c r="V327" s="26"/>
      <c r="W327" s="26"/>
      <c r="X327" s="26"/>
      <c r="Y327" s="26"/>
      <c r="Z327" s="26"/>
      <c r="AA327" s="26"/>
      <c r="AB327" s="26"/>
      <c r="AC327" s="26"/>
      <c r="AD327" s="26"/>
      <c r="AE327" s="115"/>
      <c r="AF327" s="85"/>
      <c r="AG327" s="67"/>
      <c r="AH327" s="67"/>
      <c r="AI327" s="85"/>
      <c r="AJ327" s="85"/>
      <c r="AK327" s="85"/>
      <c r="AL327" s="85"/>
    </row>
    <row r="328" spans="1:38">
      <c r="A328" s="26"/>
      <c r="B328" s="26"/>
      <c r="C328" s="26"/>
      <c r="D328" s="26"/>
      <c r="E328" s="26"/>
      <c r="F328" s="26"/>
      <c r="G328" s="26"/>
      <c r="H328" s="26"/>
      <c r="I328" s="26"/>
      <c r="J328" s="26"/>
      <c r="K328" s="112"/>
      <c r="L328" s="26"/>
      <c r="M328" s="26"/>
      <c r="N328" s="26"/>
      <c r="O328" s="113"/>
      <c r="P328" s="26"/>
      <c r="Q328" s="26"/>
      <c r="R328" s="26"/>
      <c r="S328" s="26"/>
      <c r="T328" s="26"/>
      <c r="U328" s="26"/>
      <c r="V328" s="26"/>
      <c r="W328" s="26"/>
      <c r="X328" s="26"/>
      <c r="Y328" s="26"/>
      <c r="Z328" s="26"/>
      <c r="AA328" s="26"/>
      <c r="AB328" s="26"/>
      <c r="AC328" s="26"/>
      <c r="AD328" s="26"/>
      <c r="AE328" s="115"/>
      <c r="AF328" s="85"/>
      <c r="AG328" s="67"/>
      <c r="AH328" s="67"/>
      <c r="AI328" s="85"/>
      <c r="AJ328" s="85"/>
      <c r="AK328" s="85"/>
      <c r="AL328" s="85"/>
    </row>
    <row r="329" spans="1:38">
      <c r="A329" s="26"/>
      <c r="B329" s="26"/>
      <c r="C329" s="26"/>
      <c r="D329" s="26"/>
      <c r="E329" s="26"/>
      <c r="F329" s="26"/>
      <c r="G329" s="26"/>
      <c r="H329" s="26"/>
      <c r="I329" s="26"/>
      <c r="J329" s="26"/>
      <c r="K329" s="112"/>
      <c r="L329" s="26"/>
      <c r="M329" s="26"/>
      <c r="N329" s="26"/>
      <c r="O329" s="113"/>
      <c r="P329" s="26"/>
      <c r="Q329" s="26"/>
      <c r="R329" s="26"/>
      <c r="S329" s="26"/>
      <c r="T329" s="26"/>
      <c r="U329" s="26"/>
      <c r="V329" s="26"/>
      <c r="W329" s="26"/>
      <c r="X329" s="26"/>
      <c r="Y329" s="26"/>
      <c r="Z329" s="26"/>
      <c r="AA329" s="26"/>
      <c r="AB329" s="26"/>
      <c r="AC329" s="26"/>
      <c r="AD329" s="26"/>
      <c r="AE329" s="115"/>
      <c r="AF329" s="85"/>
      <c r="AG329" s="67"/>
      <c r="AH329" s="67"/>
      <c r="AI329" s="85"/>
      <c r="AJ329" s="85"/>
      <c r="AK329" s="85"/>
      <c r="AL329" s="85"/>
    </row>
    <row r="330" spans="1:38">
      <c r="A330" s="26"/>
      <c r="B330" s="26"/>
      <c r="C330" s="26"/>
      <c r="D330" s="26"/>
      <c r="E330" s="26"/>
      <c r="F330" s="26"/>
      <c r="G330" s="26"/>
      <c r="H330" s="26"/>
      <c r="I330" s="26"/>
      <c r="J330" s="26"/>
      <c r="K330" s="112"/>
      <c r="L330" s="26"/>
      <c r="M330" s="26"/>
      <c r="N330" s="26"/>
      <c r="O330" s="113"/>
      <c r="P330" s="26"/>
      <c r="Q330" s="26"/>
      <c r="R330" s="26"/>
      <c r="S330" s="26"/>
      <c r="T330" s="26"/>
      <c r="U330" s="26"/>
      <c r="V330" s="26"/>
      <c r="W330" s="26"/>
      <c r="X330" s="26"/>
      <c r="Y330" s="26"/>
      <c r="Z330" s="26"/>
      <c r="AA330" s="26"/>
      <c r="AB330" s="26"/>
      <c r="AC330" s="26"/>
      <c r="AD330" s="26"/>
      <c r="AE330" s="115"/>
      <c r="AF330" s="85"/>
      <c r="AG330" s="67"/>
      <c r="AH330" s="67"/>
      <c r="AI330" s="85"/>
      <c r="AJ330" s="85"/>
      <c r="AK330" s="85"/>
      <c r="AL330" s="85"/>
    </row>
    <row r="331" spans="1:38">
      <c r="A331" s="26"/>
      <c r="B331" s="26"/>
      <c r="C331" s="26"/>
      <c r="D331" s="26"/>
      <c r="E331" s="26"/>
      <c r="F331" s="26"/>
      <c r="G331" s="26"/>
      <c r="H331" s="26"/>
      <c r="I331" s="26"/>
      <c r="J331" s="26"/>
      <c r="K331" s="112"/>
      <c r="L331" s="26"/>
      <c r="M331" s="26"/>
      <c r="N331" s="26"/>
      <c r="O331" s="113"/>
      <c r="P331" s="26"/>
      <c r="Q331" s="26"/>
      <c r="R331" s="26"/>
      <c r="S331" s="26"/>
      <c r="T331" s="26"/>
      <c r="U331" s="26"/>
      <c r="V331" s="26"/>
      <c r="W331" s="26"/>
      <c r="X331" s="26"/>
      <c r="Y331" s="26"/>
      <c r="Z331" s="26"/>
      <c r="AA331" s="26"/>
      <c r="AB331" s="26"/>
      <c r="AC331" s="26"/>
      <c r="AD331" s="26"/>
      <c r="AE331" s="115"/>
      <c r="AF331" s="85"/>
      <c r="AG331" s="67"/>
      <c r="AH331" s="67"/>
      <c r="AI331" s="85"/>
      <c r="AJ331" s="85"/>
      <c r="AK331" s="85"/>
      <c r="AL331" s="85"/>
    </row>
    <row r="332" spans="1:38">
      <c r="A332" s="26"/>
      <c r="B332" s="26"/>
      <c r="C332" s="26"/>
      <c r="D332" s="26"/>
      <c r="E332" s="26"/>
      <c r="F332" s="26"/>
      <c r="G332" s="26"/>
      <c r="H332" s="26"/>
      <c r="I332" s="26"/>
      <c r="J332" s="26"/>
      <c r="K332" s="112"/>
      <c r="L332" s="26"/>
      <c r="M332" s="26"/>
      <c r="N332" s="26"/>
      <c r="O332" s="113"/>
      <c r="P332" s="26"/>
      <c r="Q332" s="26"/>
      <c r="R332" s="26"/>
      <c r="S332" s="26"/>
      <c r="T332" s="26"/>
      <c r="U332" s="26"/>
      <c r="V332" s="26"/>
      <c r="W332" s="26"/>
      <c r="X332" s="26"/>
      <c r="Y332" s="26"/>
      <c r="Z332" s="26"/>
      <c r="AA332" s="26"/>
      <c r="AB332" s="26"/>
      <c r="AC332" s="26"/>
      <c r="AD332" s="26"/>
      <c r="AE332" s="115"/>
      <c r="AF332" s="85"/>
      <c r="AG332" s="67"/>
      <c r="AH332" s="67"/>
      <c r="AI332" s="85"/>
      <c r="AJ332" s="85"/>
      <c r="AK332" s="85"/>
      <c r="AL332" s="85"/>
    </row>
    <row r="333" spans="1:38">
      <c r="A333" s="26"/>
      <c r="B333" s="26"/>
      <c r="C333" s="26"/>
      <c r="D333" s="26"/>
      <c r="E333" s="26"/>
      <c r="F333" s="26"/>
      <c r="G333" s="26"/>
      <c r="H333" s="26"/>
      <c r="I333" s="26"/>
      <c r="J333" s="26"/>
      <c r="K333" s="112"/>
      <c r="L333" s="26"/>
      <c r="M333" s="26"/>
      <c r="N333" s="26"/>
      <c r="O333" s="113"/>
      <c r="P333" s="26"/>
      <c r="Q333" s="26"/>
      <c r="R333" s="26"/>
      <c r="S333" s="26"/>
      <c r="T333" s="26"/>
      <c r="U333" s="26"/>
      <c r="V333" s="26"/>
      <c r="W333" s="26"/>
      <c r="X333" s="26"/>
      <c r="Y333" s="26"/>
      <c r="Z333" s="26"/>
      <c r="AA333" s="26"/>
      <c r="AB333" s="26"/>
      <c r="AC333" s="26"/>
      <c r="AD333" s="26"/>
      <c r="AE333" s="115"/>
      <c r="AF333" s="85"/>
      <c r="AG333" s="67"/>
      <c r="AH333" s="67"/>
      <c r="AI333" s="85"/>
      <c r="AJ333" s="85"/>
      <c r="AK333" s="85"/>
      <c r="AL333" s="85"/>
    </row>
    <row r="334" spans="1:38">
      <c r="A334" s="26"/>
      <c r="B334" s="26"/>
      <c r="C334" s="26"/>
      <c r="D334" s="26"/>
      <c r="E334" s="26"/>
      <c r="F334" s="26"/>
      <c r="G334" s="26"/>
      <c r="H334" s="26"/>
      <c r="I334" s="26"/>
      <c r="J334" s="26"/>
      <c r="K334" s="112"/>
      <c r="L334" s="26"/>
      <c r="M334" s="26"/>
      <c r="N334" s="26"/>
      <c r="O334" s="113"/>
      <c r="P334" s="26"/>
      <c r="Q334" s="26"/>
      <c r="R334" s="26"/>
      <c r="S334" s="26"/>
      <c r="T334" s="26"/>
      <c r="U334" s="26"/>
      <c r="V334" s="26"/>
      <c r="W334" s="26"/>
      <c r="X334" s="26"/>
      <c r="Y334" s="26"/>
      <c r="Z334" s="26"/>
      <c r="AA334" s="26"/>
      <c r="AB334" s="26"/>
      <c r="AC334" s="26"/>
      <c r="AD334" s="26"/>
      <c r="AE334" s="115"/>
      <c r="AF334" s="85"/>
      <c r="AG334" s="67"/>
      <c r="AH334" s="67"/>
      <c r="AI334" s="85"/>
      <c r="AJ334" s="85"/>
      <c r="AK334" s="85"/>
      <c r="AL334" s="85"/>
    </row>
    <row r="335" spans="1:38">
      <c r="A335" s="26"/>
      <c r="B335" s="26"/>
      <c r="C335" s="26"/>
      <c r="D335" s="26"/>
      <c r="E335" s="26"/>
      <c r="F335" s="26"/>
      <c r="G335" s="26"/>
      <c r="H335" s="26"/>
      <c r="I335" s="26"/>
      <c r="J335" s="26"/>
      <c r="K335" s="112"/>
      <c r="L335" s="26"/>
      <c r="M335" s="26"/>
      <c r="N335" s="26"/>
      <c r="O335" s="113"/>
      <c r="P335" s="26"/>
      <c r="Q335" s="26"/>
      <c r="R335" s="26"/>
      <c r="S335" s="26"/>
      <c r="T335" s="26"/>
      <c r="U335" s="26"/>
      <c r="V335" s="26"/>
      <c r="W335" s="26"/>
      <c r="X335" s="26"/>
      <c r="Y335" s="26"/>
      <c r="Z335" s="26"/>
      <c r="AA335" s="26"/>
      <c r="AB335" s="26"/>
      <c r="AC335" s="26"/>
      <c r="AD335" s="26"/>
      <c r="AE335" s="115"/>
      <c r="AF335" s="85"/>
      <c r="AG335" s="67"/>
      <c r="AH335" s="67"/>
      <c r="AI335" s="85"/>
      <c r="AJ335" s="85"/>
      <c r="AK335" s="85"/>
      <c r="AL335" s="85"/>
    </row>
    <row r="336" spans="1:38">
      <c r="A336" s="26"/>
      <c r="B336" s="26"/>
      <c r="C336" s="26"/>
      <c r="D336" s="26"/>
      <c r="E336" s="26"/>
      <c r="F336" s="26"/>
      <c r="G336" s="26"/>
      <c r="H336" s="26"/>
      <c r="I336" s="26"/>
      <c r="J336" s="26"/>
      <c r="K336" s="112"/>
      <c r="L336" s="26"/>
      <c r="M336" s="26"/>
      <c r="N336" s="26"/>
      <c r="O336" s="113"/>
      <c r="P336" s="26"/>
      <c r="Q336" s="26"/>
      <c r="R336" s="26"/>
      <c r="S336" s="26"/>
      <c r="T336" s="26"/>
      <c r="U336" s="26"/>
      <c r="V336" s="26"/>
      <c r="W336" s="26"/>
      <c r="X336" s="26"/>
      <c r="Y336" s="26"/>
      <c r="Z336" s="26"/>
      <c r="AA336" s="26"/>
      <c r="AB336" s="26"/>
      <c r="AC336" s="26"/>
      <c r="AD336" s="26"/>
      <c r="AE336" s="115"/>
      <c r="AF336" s="85"/>
      <c r="AG336" s="67"/>
      <c r="AH336" s="67"/>
      <c r="AI336" s="85"/>
      <c r="AJ336" s="85"/>
      <c r="AK336" s="85"/>
      <c r="AL336" s="85"/>
    </row>
    <row r="337" spans="1:38">
      <c r="A337" s="26"/>
      <c r="B337" s="26"/>
      <c r="C337" s="26"/>
      <c r="D337" s="26"/>
      <c r="E337" s="26"/>
      <c r="F337" s="26"/>
      <c r="G337" s="26"/>
      <c r="H337" s="26"/>
      <c r="I337" s="26"/>
      <c r="J337" s="26"/>
      <c r="K337" s="112"/>
      <c r="L337" s="26"/>
      <c r="M337" s="26"/>
      <c r="N337" s="26"/>
      <c r="O337" s="113"/>
      <c r="P337" s="26"/>
      <c r="Q337" s="26"/>
      <c r="R337" s="26"/>
      <c r="S337" s="26"/>
      <c r="T337" s="26"/>
      <c r="U337" s="26"/>
      <c r="V337" s="26"/>
      <c r="W337" s="26"/>
      <c r="X337" s="26"/>
      <c r="Y337" s="26"/>
      <c r="Z337" s="26"/>
      <c r="AA337" s="26"/>
      <c r="AB337" s="26"/>
      <c r="AC337" s="26"/>
      <c r="AD337" s="26"/>
      <c r="AE337" s="115"/>
      <c r="AF337" s="85"/>
      <c r="AG337" s="67"/>
      <c r="AH337" s="67"/>
      <c r="AI337" s="85"/>
      <c r="AJ337" s="85"/>
      <c r="AK337" s="85"/>
      <c r="AL337" s="85"/>
    </row>
    <row r="338" spans="1:38">
      <c r="A338" s="26"/>
      <c r="B338" s="26"/>
      <c r="C338" s="26"/>
      <c r="D338" s="26"/>
      <c r="E338" s="26"/>
      <c r="F338" s="26"/>
      <c r="G338" s="26"/>
      <c r="H338" s="26"/>
      <c r="I338" s="26"/>
      <c r="J338" s="26"/>
      <c r="K338" s="112"/>
      <c r="L338" s="26"/>
      <c r="M338" s="26"/>
      <c r="N338" s="26"/>
      <c r="O338" s="113"/>
      <c r="P338" s="26"/>
      <c r="Q338" s="26"/>
      <c r="R338" s="26"/>
      <c r="S338" s="26"/>
      <c r="T338" s="26"/>
      <c r="U338" s="26"/>
      <c r="V338" s="26"/>
      <c r="W338" s="26"/>
      <c r="X338" s="26"/>
      <c r="Y338" s="26"/>
      <c r="Z338" s="26"/>
      <c r="AA338" s="26"/>
      <c r="AB338" s="26"/>
      <c r="AC338" s="26"/>
      <c r="AD338" s="26"/>
      <c r="AE338" s="115"/>
      <c r="AF338" s="85"/>
      <c r="AG338" s="67"/>
      <c r="AH338" s="67"/>
      <c r="AI338" s="85"/>
      <c r="AJ338" s="85"/>
      <c r="AK338" s="85"/>
      <c r="AL338" s="85"/>
    </row>
    <row r="339" spans="1:38">
      <c r="A339" s="26"/>
      <c r="B339" s="26"/>
      <c r="C339" s="26"/>
      <c r="D339" s="26"/>
      <c r="E339" s="26"/>
      <c r="F339" s="26"/>
      <c r="G339" s="26"/>
      <c r="H339" s="26"/>
      <c r="I339" s="26"/>
      <c r="J339" s="26"/>
      <c r="K339" s="112"/>
      <c r="L339" s="26"/>
      <c r="M339" s="26"/>
      <c r="N339" s="26"/>
      <c r="O339" s="113"/>
      <c r="P339" s="26"/>
      <c r="Q339" s="26"/>
      <c r="R339" s="26"/>
      <c r="S339" s="26"/>
      <c r="T339" s="26"/>
      <c r="U339" s="26"/>
      <c r="V339" s="26"/>
      <c r="W339" s="26"/>
      <c r="X339" s="26"/>
      <c r="Y339" s="26"/>
      <c r="Z339" s="26"/>
      <c r="AA339" s="26"/>
      <c r="AB339" s="26"/>
      <c r="AC339" s="26"/>
      <c r="AD339" s="26"/>
      <c r="AE339" s="115"/>
      <c r="AF339" s="85"/>
      <c r="AG339" s="67"/>
      <c r="AH339" s="67"/>
      <c r="AI339" s="85"/>
      <c r="AJ339" s="85"/>
      <c r="AK339" s="85"/>
      <c r="AL339" s="85"/>
    </row>
    <row r="340" spans="1:38">
      <c r="A340" s="26"/>
      <c r="B340" s="26"/>
      <c r="C340" s="26"/>
      <c r="D340" s="26"/>
      <c r="E340" s="26"/>
      <c r="F340" s="26"/>
      <c r="G340" s="26"/>
      <c r="H340" s="26"/>
      <c r="I340" s="26"/>
      <c r="J340" s="26"/>
      <c r="K340" s="112"/>
      <c r="L340" s="26"/>
      <c r="M340" s="26"/>
      <c r="N340" s="26"/>
      <c r="O340" s="113"/>
      <c r="P340" s="26"/>
      <c r="Q340" s="26"/>
      <c r="R340" s="26"/>
      <c r="S340" s="26"/>
      <c r="T340" s="26"/>
      <c r="U340" s="26"/>
      <c r="V340" s="26"/>
      <c r="W340" s="26"/>
      <c r="X340" s="26"/>
      <c r="Y340" s="26"/>
      <c r="Z340" s="26"/>
      <c r="AA340" s="26"/>
      <c r="AB340" s="26"/>
      <c r="AC340" s="26"/>
      <c r="AD340" s="26"/>
      <c r="AE340" s="115"/>
      <c r="AF340" s="85"/>
      <c r="AG340" s="67"/>
      <c r="AH340" s="67"/>
      <c r="AI340" s="85"/>
      <c r="AJ340" s="85"/>
      <c r="AK340" s="85"/>
      <c r="AL340" s="85"/>
    </row>
    <row r="341" spans="1:38">
      <c r="A341" s="26"/>
      <c r="B341" s="26"/>
      <c r="C341" s="26"/>
      <c r="D341" s="26"/>
      <c r="E341" s="26"/>
      <c r="F341" s="26"/>
      <c r="G341" s="26"/>
      <c r="H341" s="26"/>
      <c r="I341" s="26"/>
      <c r="J341" s="26"/>
      <c r="K341" s="112"/>
      <c r="L341" s="26"/>
      <c r="M341" s="26"/>
      <c r="N341" s="26"/>
      <c r="O341" s="113"/>
      <c r="P341" s="26"/>
      <c r="Q341" s="26"/>
      <c r="R341" s="26"/>
      <c r="S341" s="26"/>
      <c r="T341" s="26"/>
      <c r="U341" s="26"/>
      <c r="V341" s="26"/>
      <c r="W341" s="26"/>
      <c r="X341" s="26"/>
      <c r="Y341" s="26"/>
      <c r="Z341" s="26"/>
      <c r="AA341" s="26"/>
      <c r="AB341" s="26"/>
      <c r="AC341" s="26"/>
      <c r="AD341" s="26"/>
      <c r="AE341" s="115"/>
      <c r="AF341" s="85"/>
      <c r="AG341" s="67"/>
      <c r="AH341" s="67"/>
      <c r="AI341" s="85"/>
      <c r="AJ341" s="85"/>
      <c r="AK341" s="85"/>
      <c r="AL341" s="85"/>
    </row>
    <row r="342" spans="1:38">
      <c r="A342" s="26"/>
      <c r="B342" s="26"/>
      <c r="C342" s="26"/>
      <c r="D342" s="26"/>
      <c r="E342" s="26"/>
      <c r="F342" s="26"/>
      <c r="G342" s="26"/>
      <c r="H342" s="26"/>
      <c r="I342" s="26"/>
      <c r="J342" s="26"/>
      <c r="K342" s="112"/>
      <c r="L342" s="26"/>
      <c r="M342" s="26"/>
      <c r="N342" s="26"/>
      <c r="O342" s="113"/>
      <c r="P342" s="26"/>
      <c r="Q342" s="26"/>
      <c r="R342" s="26"/>
      <c r="S342" s="26"/>
      <c r="T342" s="26"/>
      <c r="U342" s="26"/>
      <c r="V342" s="26"/>
      <c r="W342" s="26"/>
      <c r="X342" s="26"/>
      <c r="Y342" s="26"/>
      <c r="Z342" s="26"/>
      <c r="AA342" s="26"/>
      <c r="AB342" s="26"/>
      <c r="AC342" s="26"/>
      <c r="AD342" s="26"/>
      <c r="AE342" s="115"/>
      <c r="AF342" s="85"/>
      <c r="AG342" s="67"/>
      <c r="AH342" s="67"/>
      <c r="AI342" s="85"/>
      <c r="AJ342" s="85"/>
      <c r="AK342" s="85"/>
      <c r="AL342" s="85"/>
    </row>
    <row r="343" spans="1:38">
      <c r="A343" s="26"/>
      <c r="B343" s="26"/>
      <c r="C343" s="26"/>
      <c r="D343" s="26"/>
      <c r="E343" s="26"/>
      <c r="F343" s="26"/>
      <c r="G343" s="26"/>
      <c r="H343" s="26"/>
      <c r="I343" s="26"/>
      <c r="J343" s="26"/>
      <c r="K343" s="112"/>
      <c r="L343" s="26"/>
      <c r="M343" s="26"/>
      <c r="N343" s="26"/>
      <c r="O343" s="113"/>
      <c r="P343" s="26"/>
      <c r="Q343" s="26"/>
      <c r="R343" s="26"/>
      <c r="S343" s="26"/>
      <c r="T343" s="26"/>
      <c r="U343" s="26"/>
      <c r="V343" s="26"/>
      <c r="W343" s="26"/>
      <c r="X343" s="26"/>
      <c r="Y343" s="26"/>
      <c r="Z343" s="26"/>
      <c r="AA343" s="26"/>
      <c r="AB343" s="26"/>
      <c r="AC343" s="26"/>
      <c r="AD343" s="26"/>
      <c r="AE343" s="115"/>
      <c r="AF343" s="85"/>
      <c r="AG343" s="67"/>
      <c r="AH343" s="67"/>
      <c r="AI343" s="85"/>
      <c r="AJ343" s="85"/>
      <c r="AK343" s="85"/>
      <c r="AL343" s="85"/>
    </row>
    <row r="344" spans="1:38">
      <c r="A344" s="26"/>
      <c r="B344" s="26"/>
      <c r="C344" s="26"/>
      <c r="D344" s="26"/>
      <c r="E344" s="26"/>
      <c r="F344" s="26"/>
      <c r="G344" s="26"/>
      <c r="H344" s="26"/>
      <c r="I344" s="26"/>
      <c r="J344" s="26"/>
      <c r="K344" s="112"/>
      <c r="L344" s="26"/>
      <c r="M344" s="26"/>
      <c r="N344" s="26"/>
      <c r="O344" s="113"/>
      <c r="P344" s="26"/>
      <c r="Q344" s="26"/>
      <c r="R344" s="26"/>
      <c r="S344" s="26"/>
      <c r="T344" s="26"/>
      <c r="U344" s="26"/>
      <c r="V344" s="26"/>
      <c r="W344" s="26"/>
      <c r="X344" s="26"/>
      <c r="Y344" s="26"/>
      <c r="Z344" s="26"/>
      <c r="AA344" s="26"/>
      <c r="AB344" s="26"/>
      <c r="AC344" s="26"/>
      <c r="AD344" s="26"/>
      <c r="AE344" s="115"/>
      <c r="AF344" s="85"/>
      <c r="AG344" s="67"/>
      <c r="AH344" s="67"/>
      <c r="AI344" s="85"/>
      <c r="AJ344" s="85"/>
      <c r="AK344" s="85"/>
      <c r="AL344" s="85"/>
    </row>
    <row r="345" spans="1:38">
      <c r="A345" s="26"/>
      <c r="B345" s="26"/>
      <c r="C345" s="26"/>
      <c r="D345" s="26"/>
      <c r="E345" s="26"/>
      <c r="F345" s="26"/>
      <c r="G345" s="26"/>
      <c r="H345" s="26"/>
      <c r="I345" s="26"/>
      <c r="J345" s="26"/>
      <c r="K345" s="112"/>
      <c r="L345" s="26"/>
      <c r="M345" s="26"/>
      <c r="N345" s="26"/>
      <c r="O345" s="113"/>
      <c r="P345" s="26"/>
      <c r="Q345" s="26"/>
      <c r="R345" s="26"/>
      <c r="S345" s="26"/>
      <c r="T345" s="26"/>
      <c r="U345" s="26"/>
      <c r="V345" s="26"/>
      <c r="W345" s="26"/>
      <c r="X345" s="26"/>
      <c r="Y345" s="26"/>
      <c r="Z345" s="26"/>
      <c r="AA345" s="26"/>
      <c r="AB345" s="26"/>
      <c r="AC345" s="26"/>
      <c r="AD345" s="26"/>
      <c r="AE345" s="115"/>
      <c r="AF345" s="85"/>
      <c r="AG345" s="67"/>
      <c r="AH345" s="67"/>
      <c r="AI345" s="85"/>
      <c r="AJ345" s="85"/>
      <c r="AK345" s="85"/>
      <c r="AL345" s="85"/>
    </row>
    <row r="346" spans="1:38">
      <c r="A346" s="26"/>
      <c r="B346" s="26"/>
      <c r="C346" s="26"/>
      <c r="D346" s="26"/>
      <c r="E346" s="26"/>
      <c r="F346" s="26"/>
      <c r="G346" s="26"/>
      <c r="H346" s="26"/>
      <c r="I346" s="26"/>
      <c r="J346" s="26"/>
      <c r="K346" s="112"/>
      <c r="L346" s="26"/>
      <c r="M346" s="26"/>
      <c r="N346" s="26"/>
      <c r="O346" s="113"/>
      <c r="P346" s="26"/>
      <c r="Q346" s="26"/>
      <c r="R346" s="26"/>
      <c r="S346" s="26"/>
      <c r="T346" s="26"/>
      <c r="U346" s="26"/>
      <c r="V346" s="26"/>
      <c r="W346" s="26"/>
      <c r="X346" s="26"/>
      <c r="Y346" s="26"/>
      <c r="Z346" s="26"/>
      <c r="AA346" s="26"/>
      <c r="AB346" s="26"/>
      <c r="AC346" s="26"/>
      <c r="AD346" s="26"/>
      <c r="AE346" s="115"/>
      <c r="AF346" s="85"/>
      <c r="AG346" s="67"/>
      <c r="AH346" s="67"/>
      <c r="AI346" s="85"/>
      <c r="AJ346" s="85"/>
      <c r="AK346" s="85"/>
      <c r="AL346" s="85"/>
    </row>
    <row r="347" spans="1:38">
      <c r="A347" s="26"/>
      <c r="B347" s="26"/>
      <c r="C347" s="26"/>
      <c r="D347" s="26"/>
      <c r="E347" s="26"/>
      <c r="F347" s="26"/>
      <c r="G347" s="26"/>
      <c r="H347" s="26"/>
      <c r="I347" s="26"/>
      <c r="J347" s="26"/>
      <c r="K347" s="112"/>
      <c r="L347" s="26"/>
      <c r="M347" s="26"/>
      <c r="N347" s="26"/>
      <c r="O347" s="113"/>
      <c r="P347" s="26"/>
      <c r="Q347" s="26"/>
      <c r="R347" s="26"/>
      <c r="S347" s="26"/>
      <c r="T347" s="26"/>
      <c r="U347" s="26"/>
      <c r="V347" s="26"/>
      <c r="W347" s="26"/>
      <c r="X347" s="26"/>
      <c r="Y347" s="26"/>
      <c r="Z347" s="26"/>
      <c r="AA347" s="26"/>
      <c r="AB347" s="26"/>
      <c r="AC347" s="26"/>
      <c r="AD347" s="26"/>
      <c r="AE347" s="115"/>
      <c r="AF347" s="85"/>
      <c r="AG347" s="67"/>
      <c r="AH347" s="67"/>
      <c r="AI347" s="85"/>
      <c r="AJ347" s="85"/>
      <c r="AK347" s="85"/>
      <c r="AL347" s="85"/>
    </row>
    <row r="348" spans="1:38">
      <c r="A348" s="26"/>
      <c r="B348" s="26"/>
      <c r="C348" s="26"/>
      <c r="D348" s="26"/>
      <c r="E348" s="26"/>
      <c r="F348" s="26"/>
      <c r="G348" s="26"/>
      <c r="H348" s="26"/>
      <c r="I348" s="26"/>
      <c r="J348" s="26"/>
      <c r="K348" s="112"/>
      <c r="L348" s="26"/>
      <c r="M348" s="26"/>
      <c r="N348" s="26"/>
      <c r="O348" s="113"/>
      <c r="P348" s="26"/>
      <c r="Q348" s="26"/>
      <c r="R348" s="26"/>
      <c r="S348" s="26"/>
      <c r="T348" s="26"/>
      <c r="U348" s="26"/>
      <c r="V348" s="26"/>
      <c r="W348" s="26"/>
      <c r="X348" s="26"/>
      <c r="Y348" s="26"/>
      <c r="Z348" s="26"/>
      <c r="AA348" s="26"/>
      <c r="AB348" s="26"/>
      <c r="AC348" s="26"/>
      <c r="AD348" s="26"/>
      <c r="AE348" s="115"/>
      <c r="AF348" s="85"/>
      <c r="AG348" s="67"/>
      <c r="AH348" s="67"/>
      <c r="AI348" s="85"/>
      <c r="AJ348" s="85"/>
      <c r="AK348" s="85"/>
      <c r="AL348" s="85"/>
    </row>
    <row r="349" spans="1:38">
      <c r="A349" s="26"/>
      <c r="B349" s="26"/>
      <c r="C349" s="26"/>
      <c r="D349" s="26"/>
      <c r="E349" s="26"/>
      <c r="F349" s="26"/>
      <c r="G349" s="26"/>
      <c r="H349" s="26"/>
      <c r="I349" s="26"/>
      <c r="J349" s="26"/>
      <c r="K349" s="112"/>
      <c r="L349" s="26"/>
      <c r="M349" s="26"/>
      <c r="N349" s="26"/>
      <c r="O349" s="113"/>
      <c r="P349" s="26"/>
      <c r="Q349" s="26"/>
      <c r="R349" s="26"/>
      <c r="S349" s="26"/>
      <c r="T349" s="26"/>
      <c r="U349" s="26"/>
      <c r="V349" s="26"/>
      <c r="W349" s="26"/>
      <c r="X349" s="26"/>
      <c r="Y349" s="26"/>
      <c r="Z349" s="26"/>
      <c r="AA349" s="26"/>
      <c r="AB349" s="26"/>
      <c r="AC349" s="26"/>
      <c r="AD349" s="26"/>
      <c r="AE349" s="115"/>
      <c r="AF349" s="85"/>
      <c r="AG349" s="67"/>
      <c r="AH349" s="67"/>
      <c r="AI349" s="85"/>
      <c r="AJ349" s="85"/>
      <c r="AK349" s="85"/>
      <c r="AL349" s="85"/>
    </row>
    <row r="350" spans="1:38">
      <c r="A350" s="26"/>
      <c r="B350" s="26"/>
      <c r="C350" s="26"/>
      <c r="D350" s="26"/>
      <c r="E350" s="26"/>
      <c r="F350" s="26"/>
      <c r="G350" s="26"/>
      <c r="H350" s="26"/>
      <c r="I350" s="26"/>
      <c r="J350" s="26"/>
      <c r="K350" s="112"/>
      <c r="L350" s="26"/>
      <c r="M350" s="26"/>
      <c r="N350" s="26"/>
      <c r="O350" s="113"/>
      <c r="P350" s="26"/>
      <c r="Q350" s="26"/>
      <c r="R350" s="26"/>
      <c r="S350" s="26"/>
      <c r="T350" s="26"/>
      <c r="U350" s="26"/>
      <c r="V350" s="26"/>
      <c r="W350" s="26"/>
      <c r="X350" s="26"/>
      <c r="Y350" s="26"/>
      <c r="Z350" s="26"/>
      <c r="AA350" s="26"/>
      <c r="AB350" s="26"/>
      <c r="AC350" s="26"/>
      <c r="AD350" s="26"/>
      <c r="AE350" s="115"/>
      <c r="AF350" s="85"/>
      <c r="AG350" s="67"/>
      <c r="AH350" s="67"/>
      <c r="AI350" s="85"/>
      <c r="AJ350" s="85"/>
      <c r="AK350" s="85"/>
      <c r="AL350" s="85"/>
    </row>
    <row r="351" spans="1:38">
      <c r="A351" s="26"/>
      <c r="B351" s="26"/>
      <c r="C351" s="26"/>
      <c r="D351" s="26"/>
      <c r="E351" s="26"/>
      <c r="F351" s="26"/>
      <c r="G351" s="26"/>
      <c r="H351" s="26"/>
      <c r="I351" s="26"/>
      <c r="J351" s="26"/>
      <c r="K351" s="112"/>
      <c r="L351" s="26"/>
      <c r="M351" s="26"/>
      <c r="N351" s="26"/>
      <c r="O351" s="113"/>
      <c r="P351" s="26"/>
      <c r="Q351" s="26"/>
      <c r="R351" s="26"/>
      <c r="S351" s="26"/>
      <c r="T351" s="26"/>
      <c r="U351" s="26"/>
      <c r="V351" s="26"/>
      <c r="W351" s="26"/>
      <c r="X351" s="26"/>
      <c r="Y351" s="26"/>
      <c r="Z351" s="26"/>
      <c r="AA351" s="26"/>
      <c r="AB351" s="26"/>
      <c r="AC351" s="26"/>
      <c r="AD351" s="26"/>
      <c r="AE351" s="115"/>
      <c r="AF351" s="85"/>
      <c r="AG351" s="67"/>
      <c r="AH351" s="67"/>
      <c r="AI351" s="85"/>
      <c r="AJ351" s="85"/>
      <c r="AK351" s="85"/>
      <c r="AL351" s="85"/>
    </row>
    <row r="352" spans="1:38">
      <c r="A352" s="26"/>
      <c r="B352" s="26"/>
      <c r="C352" s="26"/>
      <c r="D352" s="26"/>
      <c r="E352" s="26"/>
      <c r="F352" s="26"/>
      <c r="G352" s="26"/>
      <c r="H352" s="26"/>
      <c r="I352" s="26"/>
      <c r="J352" s="26"/>
      <c r="K352" s="112"/>
      <c r="L352" s="26"/>
      <c r="M352" s="26"/>
      <c r="N352" s="26"/>
      <c r="O352" s="113"/>
      <c r="P352" s="26"/>
      <c r="Q352" s="26"/>
      <c r="R352" s="26"/>
      <c r="S352" s="26"/>
      <c r="T352" s="26"/>
      <c r="U352" s="26"/>
      <c r="V352" s="26"/>
      <c r="W352" s="26"/>
      <c r="X352" s="26"/>
      <c r="Y352" s="26"/>
      <c r="Z352" s="26"/>
      <c r="AA352" s="26"/>
      <c r="AB352" s="26"/>
      <c r="AC352" s="26"/>
      <c r="AD352" s="26"/>
      <c r="AE352" s="115"/>
      <c r="AF352" s="85"/>
      <c r="AG352" s="67"/>
      <c r="AH352" s="67"/>
      <c r="AI352" s="85"/>
      <c r="AJ352" s="85"/>
      <c r="AK352" s="85"/>
      <c r="AL352" s="85"/>
    </row>
    <row r="353" spans="1:38">
      <c r="A353" s="26"/>
      <c r="B353" s="26"/>
      <c r="C353" s="26"/>
      <c r="D353" s="26"/>
      <c r="E353" s="26"/>
      <c r="F353" s="26"/>
      <c r="G353" s="26"/>
      <c r="H353" s="26"/>
      <c r="I353" s="26"/>
      <c r="J353" s="26"/>
      <c r="K353" s="112"/>
      <c r="L353" s="26"/>
      <c r="M353" s="26"/>
      <c r="N353" s="26"/>
      <c r="O353" s="113"/>
      <c r="P353" s="26"/>
      <c r="Q353" s="26"/>
      <c r="R353" s="26"/>
      <c r="S353" s="26"/>
      <c r="T353" s="26"/>
      <c r="U353" s="26"/>
      <c r="V353" s="26"/>
      <c r="W353" s="26"/>
      <c r="X353" s="26"/>
      <c r="Y353" s="26"/>
      <c r="Z353" s="26"/>
      <c r="AA353" s="26"/>
      <c r="AB353" s="26"/>
      <c r="AC353" s="26"/>
      <c r="AD353" s="26"/>
      <c r="AE353" s="115"/>
      <c r="AF353" s="85"/>
      <c r="AG353" s="67"/>
      <c r="AH353" s="67"/>
      <c r="AI353" s="85"/>
      <c r="AJ353" s="85"/>
      <c r="AK353" s="85"/>
      <c r="AL353" s="85"/>
    </row>
    <row r="354" spans="1:38">
      <c r="A354" s="26"/>
      <c r="B354" s="26"/>
      <c r="C354" s="26"/>
      <c r="D354" s="26"/>
      <c r="E354" s="26"/>
      <c r="F354" s="26"/>
      <c r="G354" s="26"/>
      <c r="H354" s="26"/>
      <c r="I354" s="26"/>
      <c r="J354" s="26"/>
      <c r="K354" s="112"/>
      <c r="L354" s="26"/>
      <c r="M354" s="26"/>
      <c r="N354" s="26"/>
      <c r="O354" s="113"/>
      <c r="P354" s="26"/>
      <c r="Q354" s="26"/>
      <c r="R354" s="26"/>
      <c r="S354" s="26"/>
      <c r="T354" s="26"/>
      <c r="U354" s="26"/>
      <c r="V354" s="26"/>
      <c r="W354" s="26"/>
      <c r="X354" s="26"/>
      <c r="Y354" s="26"/>
      <c r="Z354" s="26"/>
      <c r="AA354" s="26"/>
      <c r="AB354" s="26"/>
      <c r="AC354" s="26"/>
      <c r="AD354" s="26"/>
      <c r="AE354" s="115"/>
      <c r="AF354" s="85"/>
      <c r="AG354" s="67"/>
      <c r="AH354" s="67"/>
      <c r="AI354" s="85"/>
      <c r="AJ354" s="85"/>
      <c r="AK354" s="85"/>
      <c r="AL354" s="85"/>
    </row>
    <row r="355" spans="1:38">
      <c r="A355" s="26"/>
      <c r="B355" s="26"/>
      <c r="C355" s="26"/>
      <c r="D355" s="26"/>
      <c r="E355" s="26"/>
      <c r="F355" s="26"/>
      <c r="G355" s="26"/>
      <c r="H355" s="26"/>
      <c r="I355" s="26"/>
      <c r="J355" s="26"/>
      <c r="K355" s="112"/>
      <c r="L355" s="26"/>
      <c r="M355" s="26"/>
      <c r="N355" s="26"/>
      <c r="O355" s="113"/>
      <c r="P355" s="26"/>
      <c r="Q355" s="26"/>
      <c r="R355" s="26"/>
      <c r="S355" s="26"/>
      <c r="T355" s="26"/>
      <c r="U355" s="26"/>
      <c r="V355" s="26"/>
      <c r="W355" s="26"/>
      <c r="X355" s="26"/>
      <c r="Y355" s="26"/>
      <c r="Z355" s="26"/>
      <c r="AA355" s="26"/>
      <c r="AB355" s="26"/>
      <c r="AC355" s="26"/>
      <c r="AD355" s="26"/>
      <c r="AE355" s="115"/>
      <c r="AF355" s="85"/>
      <c r="AG355" s="67"/>
      <c r="AH355" s="67"/>
      <c r="AI355" s="85"/>
      <c r="AJ355" s="85"/>
      <c r="AK355" s="85"/>
      <c r="AL355" s="85"/>
    </row>
    <row r="356" spans="1:38">
      <c r="A356" s="26"/>
      <c r="B356" s="26"/>
      <c r="C356" s="26"/>
      <c r="D356" s="26"/>
      <c r="E356" s="26"/>
      <c r="F356" s="26"/>
      <c r="G356" s="26"/>
      <c r="H356" s="26"/>
      <c r="I356" s="26"/>
      <c r="J356" s="26"/>
      <c r="K356" s="112"/>
      <c r="L356" s="26"/>
      <c r="M356" s="26"/>
      <c r="N356" s="26"/>
      <c r="O356" s="113"/>
      <c r="P356" s="26"/>
      <c r="Q356" s="26"/>
      <c r="R356" s="26"/>
      <c r="S356" s="26"/>
      <c r="T356" s="26"/>
      <c r="U356" s="26"/>
      <c r="V356" s="26"/>
      <c r="W356" s="26"/>
      <c r="X356" s="26"/>
      <c r="Y356" s="26"/>
      <c r="Z356" s="26"/>
      <c r="AA356" s="26"/>
      <c r="AB356" s="26"/>
      <c r="AC356" s="26"/>
      <c r="AD356" s="26"/>
      <c r="AE356" s="115"/>
      <c r="AF356" s="85"/>
      <c r="AG356" s="67"/>
      <c r="AH356" s="67"/>
      <c r="AI356" s="85"/>
      <c r="AJ356" s="85"/>
      <c r="AK356" s="85"/>
      <c r="AL356" s="85"/>
    </row>
    <row r="357" spans="1:38">
      <c r="A357" s="26"/>
      <c r="B357" s="26"/>
      <c r="C357" s="26"/>
      <c r="D357" s="26"/>
      <c r="E357" s="26"/>
      <c r="F357" s="26"/>
      <c r="G357" s="26"/>
      <c r="H357" s="26"/>
      <c r="I357" s="26"/>
      <c r="J357" s="26"/>
      <c r="K357" s="112"/>
      <c r="L357" s="26"/>
      <c r="M357" s="26"/>
      <c r="N357" s="26"/>
      <c r="O357" s="113"/>
      <c r="P357" s="26"/>
      <c r="Q357" s="26"/>
      <c r="R357" s="26"/>
      <c r="S357" s="26"/>
      <c r="T357" s="26"/>
      <c r="U357" s="26"/>
      <c r="V357" s="26"/>
      <c r="W357" s="26"/>
      <c r="X357" s="26"/>
      <c r="Y357" s="26"/>
      <c r="Z357" s="26"/>
      <c r="AA357" s="26"/>
      <c r="AB357" s="26"/>
      <c r="AC357" s="26"/>
      <c r="AD357" s="26"/>
      <c r="AE357" s="115"/>
      <c r="AF357" s="85"/>
      <c r="AG357" s="67"/>
      <c r="AH357" s="67"/>
      <c r="AI357" s="85"/>
      <c r="AJ357" s="85"/>
      <c r="AK357" s="85"/>
      <c r="AL357" s="85"/>
    </row>
    <row r="358" spans="1:38">
      <c r="A358" s="26"/>
      <c r="B358" s="26"/>
      <c r="C358" s="26"/>
      <c r="D358" s="26"/>
      <c r="E358" s="26"/>
      <c r="F358" s="26"/>
      <c r="G358" s="26"/>
      <c r="H358" s="26"/>
      <c r="I358" s="26"/>
      <c r="J358" s="26"/>
      <c r="K358" s="112"/>
      <c r="L358" s="26"/>
      <c r="M358" s="26"/>
      <c r="N358" s="26"/>
      <c r="O358" s="113"/>
      <c r="P358" s="26"/>
      <c r="Q358" s="26"/>
      <c r="R358" s="26"/>
      <c r="S358" s="26"/>
      <c r="T358" s="26"/>
      <c r="U358" s="26"/>
      <c r="V358" s="26"/>
      <c r="W358" s="26"/>
      <c r="X358" s="26"/>
      <c r="Y358" s="26"/>
      <c r="Z358" s="26"/>
      <c r="AA358" s="26"/>
      <c r="AB358" s="26"/>
      <c r="AC358" s="26"/>
      <c r="AD358" s="26"/>
      <c r="AE358" s="115"/>
      <c r="AF358" s="85"/>
      <c r="AG358" s="67"/>
      <c r="AH358" s="67"/>
      <c r="AI358" s="85"/>
      <c r="AJ358" s="85"/>
      <c r="AK358" s="85"/>
      <c r="AL358" s="85"/>
    </row>
    <row r="359" spans="1:38">
      <c r="A359" s="26"/>
      <c r="B359" s="26"/>
      <c r="C359" s="26"/>
      <c r="D359" s="26"/>
      <c r="E359" s="26"/>
      <c r="F359" s="26"/>
      <c r="G359" s="26"/>
      <c r="H359" s="26"/>
      <c r="I359" s="26"/>
      <c r="J359" s="26"/>
      <c r="K359" s="112"/>
      <c r="L359" s="26"/>
      <c r="M359" s="26"/>
      <c r="N359" s="26"/>
      <c r="O359" s="113"/>
      <c r="P359" s="26"/>
      <c r="Q359" s="26"/>
      <c r="R359" s="26"/>
      <c r="S359" s="26"/>
      <c r="T359" s="26"/>
      <c r="U359" s="26"/>
      <c r="V359" s="26"/>
      <c r="W359" s="26"/>
      <c r="X359" s="26"/>
      <c r="Y359" s="26"/>
      <c r="Z359" s="26"/>
      <c r="AA359" s="26"/>
      <c r="AB359" s="26"/>
      <c r="AC359" s="26"/>
      <c r="AD359" s="26"/>
      <c r="AE359" s="115"/>
      <c r="AF359" s="85"/>
      <c r="AG359" s="67"/>
      <c r="AH359" s="67"/>
      <c r="AI359" s="85"/>
      <c r="AJ359" s="85"/>
      <c r="AK359" s="85"/>
      <c r="AL359" s="85"/>
    </row>
    <row r="360" spans="1:38">
      <c r="A360" s="26"/>
      <c r="B360" s="26"/>
      <c r="C360" s="26"/>
      <c r="D360" s="26"/>
      <c r="E360" s="26"/>
      <c r="F360" s="26"/>
      <c r="G360" s="26"/>
      <c r="H360" s="26"/>
      <c r="I360" s="26"/>
      <c r="J360" s="26"/>
      <c r="K360" s="112"/>
      <c r="L360" s="26"/>
      <c r="M360" s="26"/>
      <c r="N360" s="26"/>
      <c r="O360" s="113"/>
      <c r="P360" s="26"/>
      <c r="Q360" s="26"/>
      <c r="R360" s="26"/>
      <c r="S360" s="26"/>
      <c r="T360" s="26"/>
      <c r="U360" s="26"/>
      <c r="V360" s="26"/>
      <c r="W360" s="26"/>
      <c r="X360" s="26"/>
      <c r="Y360" s="26"/>
      <c r="Z360" s="26"/>
      <c r="AA360" s="26"/>
      <c r="AB360" s="26"/>
      <c r="AC360" s="26"/>
      <c r="AD360" s="26"/>
      <c r="AE360" s="115"/>
      <c r="AF360" s="85"/>
      <c r="AG360" s="67"/>
      <c r="AH360" s="67"/>
      <c r="AI360" s="85"/>
      <c r="AJ360" s="85"/>
      <c r="AK360" s="85"/>
      <c r="AL360" s="85"/>
    </row>
    <row r="361" spans="1:38">
      <c r="A361" s="26"/>
      <c r="B361" s="26"/>
      <c r="C361" s="26"/>
      <c r="D361" s="26"/>
      <c r="E361" s="26"/>
      <c r="F361" s="26"/>
      <c r="G361" s="26"/>
      <c r="H361" s="26"/>
      <c r="I361" s="26"/>
      <c r="J361" s="26"/>
      <c r="K361" s="112"/>
      <c r="L361" s="26"/>
      <c r="M361" s="26"/>
      <c r="N361" s="26"/>
      <c r="O361" s="113"/>
      <c r="P361" s="26"/>
      <c r="Q361" s="26"/>
      <c r="R361" s="26"/>
      <c r="S361" s="26"/>
      <c r="T361" s="26"/>
      <c r="U361" s="26"/>
      <c r="V361" s="26"/>
      <c r="W361" s="26"/>
      <c r="X361" s="26"/>
      <c r="Y361" s="26"/>
      <c r="Z361" s="26"/>
      <c r="AA361" s="26"/>
      <c r="AB361" s="26"/>
      <c r="AC361" s="26"/>
      <c r="AD361" s="26"/>
      <c r="AE361" s="115"/>
      <c r="AF361" s="85"/>
      <c r="AG361" s="67"/>
      <c r="AH361" s="67"/>
      <c r="AI361" s="85"/>
      <c r="AJ361" s="85"/>
      <c r="AK361" s="85"/>
      <c r="AL361" s="85"/>
    </row>
    <row r="362" spans="1:38">
      <c r="A362" s="26"/>
      <c r="B362" s="26"/>
      <c r="C362" s="26"/>
      <c r="D362" s="26"/>
      <c r="E362" s="26"/>
      <c r="F362" s="26"/>
      <c r="G362" s="26"/>
      <c r="H362" s="26"/>
      <c r="I362" s="26"/>
      <c r="J362" s="26"/>
      <c r="K362" s="112"/>
      <c r="L362" s="26"/>
      <c r="M362" s="26"/>
      <c r="N362" s="26"/>
      <c r="O362" s="113"/>
      <c r="P362" s="26"/>
      <c r="Q362" s="26"/>
      <c r="R362" s="26"/>
      <c r="S362" s="26"/>
      <c r="T362" s="26"/>
      <c r="U362" s="26"/>
      <c r="V362" s="26"/>
      <c r="W362" s="26"/>
      <c r="X362" s="26"/>
      <c r="Y362" s="26"/>
      <c r="Z362" s="26"/>
      <c r="AA362" s="26"/>
      <c r="AB362" s="26"/>
      <c r="AC362" s="26"/>
      <c r="AD362" s="26"/>
      <c r="AE362" s="115"/>
      <c r="AF362" s="85"/>
      <c r="AG362" s="67"/>
      <c r="AH362" s="67"/>
      <c r="AI362" s="85"/>
      <c r="AJ362" s="85"/>
      <c r="AK362" s="85"/>
      <c r="AL362" s="85"/>
    </row>
    <row r="363" spans="1:38">
      <c r="A363" s="26"/>
      <c r="B363" s="26"/>
      <c r="C363" s="26"/>
      <c r="D363" s="26"/>
      <c r="E363" s="26"/>
      <c r="F363" s="26"/>
      <c r="G363" s="26"/>
      <c r="H363" s="26"/>
      <c r="I363" s="26"/>
      <c r="J363" s="26"/>
      <c r="K363" s="112"/>
      <c r="L363" s="26"/>
      <c r="M363" s="26"/>
      <c r="N363" s="26"/>
      <c r="O363" s="113"/>
      <c r="P363" s="26"/>
      <c r="Q363" s="26"/>
      <c r="R363" s="26"/>
      <c r="S363" s="26"/>
      <c r="T363" s="26"/>
      <c r="U363" s="26"/>
      <c r="V363" s="26"/>
      <c r="W363" s="26"/>
      <c r="X363" s="26"/>
      <c r="Y363" s="26"/>
      <c r="Z363" s="26"/>
      <c r="AA363" s="26"/>
      <c r="AB363" s="26"/>
      <c r="AC363" s="26"/>
      <c r="AD363" s="26"/>
      <c r="AE363" s="115"/>
      <c r="AF363" s="85"/>
      <c r="AG363" s="67"/>
      <c r="AH363" s="67"/>
      <c r="AI363" s="85"/>
      <c r="AJ363" s="85"/>
      <c r="AK363" s="85"/>
      <c r="AL363" s="85"/>
    </row>
    <row r="364" spans="1:38">
      <c r="A364" s="26"/>
      <c r="B364" s="26"/>
      <c r="C364" s="26"/>
      <c r="D364" s="26"/>
      <c r="E364" s="26"/>
      <c r="F364" s="26"/>
      <c r="G364" s="26"/>
      <c r="H364" s="26"/>
      <c r="I364" s="26"/>
      <c r="J364" s="26"/>
      <c r="K364" s="112"/>
      <c r="L364" s="26"/>
      <c r="M364" s="26"/>
      <c r="N364" s="26"/>
      <c r="O364" s="113"/>
      <c r="P364" s="26"/>
      <c r="Q364" s="26"/>
      <c r="R364" s="26"/>
      <c r="S364" s="26"/>
      <c r="T364" s="26"/>
      <c r="U364" s="26"/>
      <c r="V364" s="26"/>
      <c r="W364" s="26"/>
      <c r="X364" s="26"/>
      <c r="Y364" s="26"/>
      <c r="Z364" s="26"/>
      <c r="AA364" s="26"/>
      <c r="AB364" s="26"/>
      <c r="AC364" s="26"/>
      <c r="AD364" s="26"/>
      <c r="AE364" s="115"/>
      <c r="AF364" s="85"/>
      <c r="AG364" s="67"/>
      <c r="AH364" s="67"/>
      <c r="AI364" s="85"/>
      <c r="AJ364" s="85"/>
      <c r="AK364" s="85"/>
      <c r="AL364" s="85"/>
    </row>
    <row r="365" spans="1:38">
      <c r="A365" s="26"/>
      <c r="B365" s="26"/>
      <c r="C365" s="26"/>
      <c r="D365" s="26"/>
      <c r="E365" s="26"/>
      <c r="F365" s="26"/>
      <c r="G365" s="26"/>
      <c r="H365" s="26"/>
      <c r="I365" s="26"/>
      <c r="J365" s="26"/>
      <c r="K365" s="112"/>
      <c r="L365" s="26"/>
      <c r="M365" s="26"/>
      <c r="N365" s="26"/>
      <c r="O365" s="113"/>
      <c r="P365" s="26"/>
      <c r="Q365" s="26"/>
      <c r="R365" s="26"/>
      <c r="S365" s="26"/>
      <c r="T365" s="26"/>
      <c r="U365" s="26"/>
      <c r="V365" s="26"/>
      <c r="W365" s="26"/>
      <c r="X365" s="26"/>
      <c r="Y365" s="26"/>
      <c r="Z365" s="26"/>
      <c r="AA365" s="26"/>
      <c r="AB365" s="26"/>
      <c r="AC365" s="26"/>
      <c r="AD365" s="26"/>
      <c r="AE365" s="115"/>
      <c r="AF365" s="85"/>
      <c r="AG365" s="67"/>
      <c r="AH365" s="67"/>
      <c r="AI365" s="85"/>
      <c r="AJ365" s="85"/>
      <c r="AK365" s="85"/>
      <c r="AL365" s="85"/>
    </row>
    <row r="366" spans="1:38">
      <c r="A366" s="26"/>
      <c r="B366" s="26"/>
      <c r="C366" s="26"/>
      <c r="D366" s="26"/>
      <c r="E366" s="26"/>
      <c r="F366" s="26"/>
      <c r="G366" s="26"/>
      <c r="H366" s="26"/>
      <c r="I366" s="26"/>
      <c r="J366" s="26"/>
      <c r="K366" s="112"/>
      <c r="L366" s="26"/>
      <c r="M366" s="26"/>
      <c r="N366" s="26"/>
      <c r="O366" s="113"/>
      <c r="P366" s="26"/>
      <c r="Q366" s="26"/>
      <c r="R366" s="26"/>
      <c r="S366" s="26"/>
      <c r="T366" s="26"/>
      <c r="U366" s="26"/>
      <c r="V366" s="26"/>
      <c r="W366" s="26"/>
      <c r="X366" s="26"/>
      <c r="Y366" s="26"/>
      <c r="Z366" s="26"/>
      <c r="AA366" s="26"/>
      <c r="AB366" s="26"/>
      <c r="AC366" s="26"/>
      <c r="AD366" s="26"/>
      <c r="AE366" s="115"/>
      <c r="AF366" s="85"/>
      <c r="AG366" s="67"/>
      <c r="AH366" s="67"/>
      <c r="AI366" s="85"/>
      <c r="AJ366" s="85"/>
      <c r="AK366" s="85"/>
      <c r="AL366" s="85"/>
    </row>
    <row r="367" spans="1:38">
      <c r="A367" s="26"/>
      <c r="B367" s="26"/>
      <c r="C367" s="26"/>
      <c r="D367" s="26"/>
      <c r="E367" s="26"/>
      <c r="F367" s="26"/>
      <c r="G367" s="26"/>
      <c r="H367" s="26"/>
      <c r="I367" s="26"/>
      <c r="J367" s="26"/>
      <c r="K367" s="112"/>
      <c r="L367" s="26"/>
      <c r="M367" s="26"/>
      <c r="N367" s="26"/>
      <c r="O367" s="113"/>
      <c r="P367" s="26"/>
      <c r="Q367" s="26"/>
      <c r="R367" s="26"/>
      <c r="S367" s="26"/>
      <c r="T367" s="26"/>
      <c r="U367" s="26"/>
      <c r="V367" s="26"/>
      <c r="W367" s="26"/>
      <c r="X367" s="26"/>
      <c r="Y367" s="26"/>
      <c r="Z367" s="26"/>
      <c r="AA367" s="26"/>
      <c r="AB367" s="26"/>
      <c r="AC367" s="26"/>
      <c r="AD367" s="26"/>
      <c r="AE367" s="115"/>
      <c r="AF367" s="85"/>
      <c r="AG367" s="67"/>
      <c r="AH367" s="67"/>
      <c r="AI367" s="85"/>
      <c r="AJ367" s="85"/>
      <c r="AK367" s="85"/>
      <c r="AL367" s="85"/>
    </row>
    <row r="368" spans="1:38">
      <c r="A368" s="26"/>
      <c r="B368" s="26"/>
      <c r="C368" s="26"/>
      <c r="D368" s="26"/>
      <c r="E368" s="26"/>
      <c r="F368" s="26"/>
      <c r="G368" s="26"/>
      <c r="H368" s="26"/>
      <c r="I368" s="26"/>
      <c r="J368" s="26"/>
      <c r="K368" s="112"/>
      <c r="L368" s="26"/>
      <c r="M368" s="26"/>
      <c r="N368" s="26"/>
      <c r="O368" s="113"/>
      <c r="P368" s="26"/>
      <c r="Q368" s="26"/>
      <c r="R368" s="26"/>
      <c r="S368" s="26"/>
      <c r="T368" s="26"/>
      <c r="U368" s="26"/>
      <c r="V368" s="26"/>
      <c r="W368" s="26"/>
      <c r="X368" s="26"/>
      <c r="Y368" s="26"/>
      <c r="Z368" s="26"/>
      <c r="AA368" s="26"/>
      <c r="AB368" s="26"/>
      <c r="AC368" s="26"/>
      <c r="AD368" s="26"/>
      <c r="AE368" s="115"/>
      <c r="AF368" s="85"/>
      <c r="AG368" s="67"/>
      <c r="AH368" s="67"/>
      <c r="AI368" s="85"/>
      <c r="AJ368" s="85"/>
      <c r="AK368" s="85"/>
      <c r="AL368" s="85"/>
    </row>
    <row r="369" spans="1:38">
      <c r="A369" s="26"/>
      <c r="B369" s="26"/>
      <c r="C369" s="26"/>
      <c r="D369" s="26"/>
      <c r="E369" s="26"/>
      <c r="F369" s="26"/>
      <c r="G369" s="26"/>
      <c r="H369" s="26"/>
      <c r="I369" s="26"/>
      <c r="J369" s="26"/>
      <c r="K369" s="112"/>
      <c r="L369" s="26"/>
      <c r="M369" s="26"/>
      <c r="N369" s="26"/>
      <c r="O369" s="113"/>
      <c r="P369" s="26"/>
      <c r="Q369" s="26"/>
      <c r="R369" s="26"/>
      <c r="S369" s="26"/>
      <c r="T369" s="26"/>
      <c r="U369" s="26"/>
      <c r="V369" s="26"/>
      <c r="W369" s="26"/>
      <c r="X369" s="26"/>
      <c r="Y369" s="26"/>
      <c r="Z369" s="26"/>
      <c r="AA369" s="26"/>
      <c r="AB369" s="26"/>
      <c r="AC369" s="26"/>
      <c r="AD369" s="26"/>
      <c r="AE369" s="115"/>
      <c r="AF369" s="85"/>
      <c r="AG369" s="67"/>
      <c r="AH369" s="67"/>
      <c r="AI369" s="85"/>
      <c r="AJ369" s="85"/>
      <c r="AK369" s="85"/>
      <c r="AL369" s="85"/>
    </row>
    <row r="370" spans="1:38">
      <c r="A370" s="26"/>
      <c r="B370" s="26"/>
      <c r="C370" s="26"/>
      <c r="D370" s="26"/>
      <c r="E370" s="26"/>
      <c r="F370" s="26"/>
      <c r="G370" s="26"/>
      <c r="H370" s="26"/>
      <c r="I370" s="26"/>
      <c r="J370" s="26"/>
      <c r="K370" s="112"/>
      <c r="L370" s="26"/>
      <c r="M370" s="26"/>
      <c r="N370" s="26"/>
      <c r="O370" s="113"/>
      <c r="P370" s="26"/>
      <c r="Q370" s="26"/>
      <c r="R370" s="26"/>
      <c r="S370" s="26"/>
      <c r="T370" s="26"/>
      <c r="U370" s="26"/>
      <c r="V370" s="26"/>
      <c r="W370" s="26"/>
      <c r="X370" s="26"/>
      <c r="Y370" s="26"/>
      <c r="Z370" s="26"/>
      <c r="AA370" s="26"/>
      <c r="AB370" s="26"/>
      <c r="AC370" s="26"/>
      <c r="AD370" s="26"/>
      <c r="AE370" s="115"/>
      <c r="AF370" s="85"/>
      <c r="AG370" s="67"/>
      <c r="AH370" s="67"/>
      <c r="AI370" s="85"/>
      <c r="AJ370" s="85"/>
      <c r="AK370" s="85"/>
      <c r="AL370" s="85"/>
    </row>
    <row r="371" spans="1:38">
      <c r="A371" s="26"/>
      <c r="B371" s="26"/>
      <c r="C371" s="26"/>
      <c r="D371" s="26"/>
      <c r="E371" s="26"/>
      <c r="F371" s="26"/>
      <c r="G371" s="26"/>
      <c r="H371" s="26"/>
      <c r="I371" s="26"/>
      <c r="J371" s="26"/>
      <c r="K371" s="112"/>
      <c r="L371" s="26"/>
      <c r="M371" s="26"/>
      <c r="N371" s="26"/>
      <c r="O371" s="113"/>
      <c r="P371" s="26"/>
      <c r="Q371" s="26"/>
      <c r="R371" s="26"/>
      <c r="S371" s="26"/>
      <c r="T371" s="26"/>
      <c r="U371" s="26"/>
      <c r="V371" s="26"/>
      <c r="W371" s="26"/>
      <c r="X371" s="26"/>
      <c r="Y371" s="26"/>
      <c r="Z371" s="26"/>
      <c r="AA371" s="26"/>
      <c r="AB371" s="26"/>
      <c r="AC371" s="26"/>
      <c r="AD371" s="26"/>
      <c r="AE371" s="115"/>
      <c r="AF371" s="85"/>
      <c r="AG371" s="67"/>
      <c r="AH371" s="67"/>
      <c r="AI371" s="85"/>
      <c r="AJ371" s="85"/>
      <c r="AK371" s="85"/>
      <c r="AL371" s="85"/>
    </row>
    <row r="372" spans="1:38">
      <c r="A372" s="26"/>
      <c r="B372" s="26"/>
      <c r="C372" s="26"/>
      <c r="D372" s="26"/>
      <c r="E372" s="26"/>
      <c r="F372" s="26"/>
      <c r="G372" s="26"/>
      <c r="H372" s="26"/>
      <c r="I372" s="26"/>
      <c r="J372" s="26"/>
      <c r="K372" s="112"/>
      <c r="L372" s="26"/>
      <c r="M372" s="26"/>
      <c r="N372" s="26"/>
      <c r="O372" s="113"/>
      <c r="P372" s="26"/>
      <c r="Q372" s="26"/>
      <c r="R372" s="26"/>
      <c r="S372" s="26"/>
      <c r="T372" s="26"/>
      <c r="U372" s="26"/>
      <c r="V372" s="26"/>
      <c r="W372" s="26"/>
      <c r="X372" s="26"/>
      <c r="Y372" s="26"/>
      <c r="Z372" s="26"/>
      <c r="AA372" s="26"/>
      <c r="AB372" s="26"/>
      <c r="AC372" s="26"/>
      <c r="AD372" s="26"/>
      <c r="AE372" s="115"/>
      <c r="AF372" s="85"/>
      <c r="AG372" s="67"/>
      <c r="AH372" s="67"/>
      <c r="AI372" s="85"/>
      <c r="AJ372" s="85"/>
      <c r="AK372" s="85"/>
      <c r="AL372" s="85"/>
    </row>
    <row r="373" spans="1:38">
      <c r="A373" s="26"/>
      <c r="B373" s="26"/>
      <c r="C373" s="26"/>
      <c r="D373" s="26"/>
      <c r="E373" s="26"/>
      <c r="F373" s="26"/>
      <c r="G373" s="26"/>
      <c r="H373" s="26"/>
      <c r="I373" s="26"/>
      <c r="J373" s="26"/>
      <c r="K373" s="112"/>
      <c r="L373" s="26"/>
      <c r="M373" s="26"/>
      <c r="N373" s="26"/>
      <c r="O373" s="113"/>
      <c r="P373" s="26"/>
      <c r="Q373" s="26"/>
      <c r="R373" s="26"/>
      <c r="S373" s="26"/>
      <c r="T373" s="26"/>
      <c r="U373" s="26"/>
      <c r="V373" s="26"/>
      <c r="W373" s="26"/>
      <c r="X373" s="26"/>
      <c r="Y373" s="26"/>
      <c r="Z373" s="26"/>
      <c r="AA373" s="26"/>
      <c r="AB373" s="26"/>
      <c r="AC373" s="26"/>
      <c r="AD373" s="26"/>
      <c r="AE373" s="115"/>
      <c r="AF373" s="85"/>
      <c r="AG373" s="67"/>
      <c r="AH373" s="67"/>
      <c r="AI373" s="85"/>
      <c r="AJ373" s="85"/>
      <c r="AK373" s="85"/>
      <c r="AL373" s="85"/>
    </row>
    <row r="374" spans="1:38">
      <c r="A374" s="26"/>
      <c r="B374" s="26"/>
      <c r="C374" s="26"/>
      <c r="D374" s="26"/>
      <c r="E374" s="26"/>
      <c r="F374" s="26"/>
      <c r="G374" s="26"/>
      <c r="H374" s="26"/>
      <c r="I374" s="26"/>
      <c r="J374" s="26"/>
      <c r="K374" s="112"/>
      <c r="L374" s="26"/>
      <c r="M374" s="26"/>
      <c r="N374" s="26"/>
      <c r="O374" s="113"/>
      <c r="P374" s="26"/>
      <c r="Q374" s="26"/>
      <c r="R374" s="26"/>
      <c r="S374" s="26"/>
      <c r="T374" s="26"/>
      <c r="U374" s="26"/>
      <c r="V374" s="26"/>
      <c r="W374" s="26"/>
      <c r="X374" s="26"/>
      <c r="Y374" s="26"/>
      <c r="Z374" s="26"/>
      <c r="AA374" s="26"/>
      <c r="AB374" s="26"/>
      <c r="AC374" s="26"/>
      <c r="AD374" s="26"/>
      <c r="AE374" s="115"/>
      <c r="AF374" s="85"/>
      <c r="AG374" s="67"/>
      <c r="AH374" s="67"/>
      <c r="AI374" s="85"/>
      <c r="AJ374" s="85"/>
      <c r="AK374" s="85"/>
      <c r="AL374" s="85"/>
    </row>
    <row r="375" spans="1:38">
      <c r="A375" s="26"/>
      <c r="B375" s="26"/>
      <c r="C375" s="26"/>
      <c r="D375" s="26"/>
      <c r="E375" s="26"/>
      <c r="F375" s="26"/>
      <c r="G375" s="26"/>
      <c r="H375" s="26"/>
      <c r="I375" s="26"/>
      <c r="J375" s="26"/>
      <c r="K375" s="112"/>
      <c r="L375" s="26"/>
      <c r="M375" s="26"/>
      <c r="N375" s="26"/>
      <c r="O375" s="113"/>
      <c r="P375" s="26"/>
      <c r="Q375" s="26"/>
      <c r="R375" s="26"/>
      <c r="S375" s="26"/>
      <c r="T375" s="26"/>
      <c r="U375" s="26"/>
      <c r="V375" s="26"/>
      <c r="W375" s="26"/>
      <c r="X375" s="26"/>
      <c r="Y375" s="26"/>
      <c r="Z375" s="26"/>
      <c r="AA375" s="26"/>
      <c r="AB375" s="26"/>
      <c r="AC375" s="26"/>
      <c r="AD375" s="26"/>
      <c r="AE375" s="115"/>
      <c r="AF375" s="85"/>
      <c r="AG375" s="67"/>
      <c r="AH375" s="67"/>
      <c r="AI375" s="85"/>
      <c r="AJ375" s="85"/>
      <c r="AK375" s="85"/>
      <c r="AL375" s="85"/>
    </row>
    <row r="376" spans="1:38">
      <c r="A376" s="26"/>
      <c r="B376" s="26"/>
      <c r="C376" s="26"/>
      <c r="D376" s="26"/>
      <c r="E376" s="26"/>
      <c r="F376" s="26"/>
      <c r="G376" s="26"/>
      <c r="H376" s="26"/>
      <c r="I376" s="26"/>
      <c r="J376" s="26"/>
      <c r="K376" s="112"/>
      <c r="L376" s="26"/>
      <c r="M376" s="26"/>
      <c r="N376" s="26"/>
      <c r="O376" s="113"/>
      <c r="P376" s="26"/>
      <c r="Q376" s="26"/>
      <c r="R376" s="26"/>
      <c r="S376" s="26"/>
      <c r="T376" s="26"/>
      <c r="U376" s="26"/>
      <c r="V376" s="26"/>
      <c r="W376" s="26"/>
      <c r="X376" s="26"/>
      <c r="Y376" s="26"/>
      <c r="Z376" s="26"/>
      <c r="AA376" s="26"/>
      <c r="AB376" s="26"/>
      <c r="AC376" s="26"/>
      <c r="AD376" s="26"/>
      <c r="AE376" s="115"/>
      <c r="AF376" s="85"/>
      <c r="AG376" s="67"/>
      <c r="AH376" s="67"/>
      <c r="AI376" s="85"/>
      <c r="AJ376" s="85"/>
      <c r="AK376" s="85"/>
      <c r="AL376" s="85"/>
    </row>
    <row r="377" spans="1:38">
      <c r="A377" s="26"/>
      <c r="B377" s="26"/>
      <c r="C377" s="26"/>
      <c r="D377" s="26"/>
      <c r="E377" s="26"/>
      <c r="F377" s="26"/>
      <c r="G377" s="26"/>
      <c r="H377" s="26"/>
      <c r="I377" s="26"/>
      <c r="J377" s="26"/>
      <c r="K377" s="112"/>
      <c r="L377" s="26"/>
      <c r="M377" s="26"/>
      <c r="N377" s="26"/>
      <c r="O377" s="113"/>
      <c r="P377" s="26"/>
      <c r="Q377" s="26"/>
      <c r="R377" s="26"/>
      <c r="S377" s="26"/>
      <c r="T377" s="26"/>
      <c r="U377" s="26"/>
      <c r="V377" s="26"/>
      <c r="W377" s="26"/>
      <c r="X377" s="26"/>
      <c r="Y377" s="26"/>
      <c r="Z377" s="26"/>
      <c r="AA377" s="26"/>
      <c r="AB377" s="26"/>
      <c r="AC377" s="26"/>
      <c r="AD377" s="26"/>
      <c r="AE377" s="115"/>
      <c r="AF377" s="85"/>
      <c r="AG377" s="67"/>
      <c r="AH377" s="67"/>
      <c r="AI377" s="85"/>
      <c r="AJ377" s="85"/>
      <c r="AK377" s="85"/>
      <c r="AL377" s="85"/>
    </row>
    <row r="378" spans="1:38">
      <c r="A378" s="26"/>
      <c r="B378" s="26"/>
      <c r="C378" s="26"/>
      <c r="D378" s="26"/>
      <c r="E378" s="26"/>
      <c r="F378" s="26"/>
      <c r="G378" s="26"/>
      <c r="H378" s="26"/>
      <c r="I378" s="26"/>
      <c r="J378" s="26"/>
      <c r="K378" s="112"/>
      <c r="L378" s="26"/>
      <c r="M378" s="26"/>
      <c r="N378" s="26"/>
      <c r="O378" s="113"/>
      <c r="P378" s="26"/>
      <c r="Q378" s="26"/>
      <c r="R378" s="26"/>
      <c r="S378" s="26"/>
      <c r="T378" s="26"/>
      <c r="U378" s="26"/>
      <c r="V378" s="26"/>
      <c r="W378" s="26"/>
      <c r="X378" s="26"/>
      <c r="Y378" s="26"/>
      <c r="Z378" s="26"/>
      <c r="AA378" s="26"/>
      <c r="AB378" s="26"/>
      <c r="AC378" s="26"/>
      <c r="AD378" s="26"/>
      <c r="AE378" s="115"/>
      <c r="AF378" s="85"/>
      <c r="AG378" s="67"/>
      <c r="AH378" s="67"/>
      <c r="AI378" s="85"/>
      <c r="AJ378" s="85"/>
      <c r="AK378" s="85"/>
      <c r="AL378" s="85"/>
    </row>
    <row r="379" spans="1:38">
      <c r="A379" s="26"/>
      <c r="B379" s="26"/>
      <c r="C379" s="26"/>
      <c r="D379" s="26"/>
      <c r="E379" s="26"/>
      <c r="F379" s="26"/>
      <c r="G379" s="26"/>
      <c r="H379" s="26"/>
      <c r="I379" s="26"/>
      <c r="J379" s="26"/>
      <c r="K379" s="112"/>
      <c r="L379" s="26"/>
      <c r="M379" s="26"/>
      <c r="N379" s="26"/>
      <c r="O379" s="113"/>
      <c r="P379" s="26"/>
      <c r="Q379" s="26"/>
      <c r="R379" s="26"/>
      <c r="S379" s="26"/>
      <c r="T379" s="26"/>
      <c r="U379" s="26"/>
      <c r="V379" s="26"/>
      <c r="W379" s="26"/>
      <c r="X379" s="26"/>
      <c r="Y379" s="26"/>
      <c r="Z379" s="26"/>
      <c r="AA379" s="26"/>
      <c r="AB379" s="26"/>
      <c r="AC379" s="26"/>
      <c r="AD379" s="26"/>
      <c r="AE379" s="115"/>
      <c r="AF379" s="85"/>
      <c r="AG379" s="67"/>
      <c r="AH379" s="67"/>
      <c r="AI379" s="85"/>
      <c r="AJ379" s="85"/>
      <c r="AK379" s="85"/>
      <c r="AL379" s="85"/>
    </row>
    <row r="380" spans="1:38">
      <c r="A380" s="26"/>
      <c r="B380" s="26"/>
      <c r="C380" s="26"/>
      <c r="D380" s="26"/>
      <c r="E380" s="26"/>
      <c r="F380" s="26"/>
      <c r="G380" s="26"/>
      <c r="H380" s="26"/>
      <c r="I380" s="26"/>
      <c r="J380" s="26"/>
      <c r="K380" s="112"/>
      <c r="L380" s="26"/>
      <c r="M380" s="26"/>
      <c r="N380" s="26"/>
      <c r="O380" s="113"/>
      <c r="P380" s="26"/>
      <c r="Q380" s="26"/>
      <c r="R380" s="26"/>
      <c r="S380" s="26"/>
      <c r="T380" s="26"/>
      <c r="U380" s="26"/>
      <c r="V380" s="26"/>
      <c r="W380" s="26"/>
      <c r="X380" s="26"/>
      <c r="Y380" s="26"/>
      <c r="Z380" s="26"/>
      <c r="AA380" s="26"/>
      <c r="AB380" s="26"/>
      <c r="AC380" s="26"/>
      <c r="AD380" s="26"/>
      <c r="AE380" s="115"/>
      <c r="AF380" s="85"/>
      <c r="AG380" s="67"/>
      <c r="AH380" s="67"/>
      <c r="AI380" s="85"/>
      <c r="AJ380" s="85"/>
      <c r="AK380" s="85"/>
      <c r="AL380" s="85"/>
    </row>
    <row r="381" spans="1:38">
      <c r="A381" s="26"/>
      <c r="B381" s="26"/>
      <c r="C381" s="26"/>
      <c r="D381" s="26"/>
      <c r="E381" s="26"/>
      <c r="F381" s="26"/>
      <c r="G381" s="26"/>
      <c r="H381" s="26"/>
      <c r="I381" s="26"/>
      <c r="J381" s="26"/>
      <c r="K381" s="112"/>
      <c r="L381" s="26"/>
      <c r="M381" s="26"/>
      <c r="N381" s="26"/>
      <c r="O381" s="113"/>
      <c r="P381" s="26"/>
      <c r="Q381" s="26"/>
      <c r="R381" s="26"/>
      <c r="S381" s="26"/>
      <c r="T381" s="26"/>
      <c r="U381" s="26"/>
      <c r="V381" s="26"/>
      <c r="W381" s="26"/>
      <c r="X381" s="26"/>
      <c r="Y381" s="26"/>
      <c r="Z381" s="26"/>
      <c r="AA381" s="26"/>
      <c r="AB381" s="26"/>
      <c r="AC381" s="26"/>
      <c r="AD381" s="26"/>
      <c r="AE381" s="115"/>
      <c r="AF381" s="85"/>
      <c r="AG381" s="67"/>
      <c r="AH381" s="67"/>
      <c r="AI381" s="85"/>
      <c r="AJ381" s="85"/>
      <c r="AK381" s="85"/>
      <c r="AL381" s="85"/>
    </row>
    <row r="382" spans="1:38">
      <c r="A382" s="26"/>
      <c r="B382" s="26"/>
      <c r="C382" s="26"/>
      <c r="D382" s="26"/>
      <c r="E382" s="26"/>
      <c r="F382" s="26"/>
      <c r="G382" s="26"/>
      <c r="H382" s="26"/>
      <c r="I382" s="26"/>
      <c r="J382" s="26"/>
      <c r="K382" s="112"/>
      <c r="L382" s="26"/>
      <c r="M382" s="26"/>
      <c r="N382" s="26"/>
      <c r="O382" s="113"/>
      <c r="P382" s="26"/>
      <c r="Q382" s="26"/>
      <c r="R382" s="26"/>
      <c r="S382" s="26"/>
      <c r="T382" s="26"/>
      <c r="U382" s="26"/>
      <c r="V382" s="26"/>
      <c r="W382" s="26"/>
      <c r="X382" s="26"/>
      <c r="Y382" s="26"/>
      <c r="Z382" s="26"/>
      <c r="AA382" s="26"/>
      <c r="AB382" s="26"/>
      <c r="AC382" s="26"/>
      <c r="AD382" s="26"/>
      <c r="AE382" s="115"/>
      <c r="AF382" s="85"/>
      <c r="AG382" s="67"/>
      <c r="AH382" s="67"/>
      <c r="AI382" s="85"/>
      <c r="AJ382" s="85"/>
      <c r="AK382" s="85"/>
      <c r="AL382" s="85"/>
    </row>
    <row r="383" spans="1:38">
      <c r="A383" s="26"/>
      <c r="B383" s="26"/>
      <c r="C383" s="26"/>
      <c r="D383" s="26"/>
      <c r="E383" s="26"/>
      <c r="F383" s="26"/>
      <c r="G383" s="26"/>
      <c r="H383" s="26"/>
      <c r="I383" s="26"/>
      <c r="J383" s="26"/>
      <c r="K383" s="112"/>
      <c r="L383" s="26"/>
      <c r="M383" s="26"/>
      <c r="N383" s="26"/>
      <c r="O383" s="113"/>
      <c r="P383" s="26"/>
      <c r="Q383" s="26"/>
      <c r="R383" s="26"/>
      <c r="S383" s="26"/>
      <c r="T383" s="26"/>
      <c r="U383" s="26"/>
      <c r="V383" s="26"/>
      <c r="W383" s="26"/>
      <c r="X383" s="26"/>
      <c r="Y383" s="26"/>
      <c r="Z383" s="26"/>
      <c r="AA383" s="26"/>
      <c r="AB383" s="26"/>
      <c r="AC383" s="26"/>
      <c r="AD383" s="26"/>
      <c r="AE383" s="115"/>
      <c r="AF383" s="85"/>
      <c r="AG383" s="67"/>
      <c r="AH383" s="67"/>
      <c r="AI383" s="85"/>
      <c r="AJ383" s="85"/>
      <c r="AK383" s="85"/>
      <c r="AL383" s="85"/>
    </row>
    <row r="384" spans="1:38">
      <c r="A384" s="26"/>
      <c r="B384" s="26"/>
      <c r="C384" s="26"/>
      <c r="D384" s="26"/>
      <c r="E384" s="26"/>
      <c r="F384" s="26"/>
      <c r="G384" s="26"/>
      <c r="H384" s="26"/>
      <c r="I384" s="26"/>
      <c r="J384" s="26"/>
      <c r="K384" s="112"/>
      <c r="L384" s="26"/>
      <c r="M384" s="26"/>
      <c r="N384" s="26"/>
      <c r="O384" s="113"/>
      <c r="P384" s="26"/>
      <c r="Q384" s="26"/>
      <c r="R384" s="26"/>
      <c r="S384" s="26"/>
      <c r="T384" s="26"/>
      <c r="U384" s="26"/>
      <c r="V384" s="26"/>
      <c r="W384" s="26"/>
      <c r="X384" s="26"/>
      <c r="Y384" s="26"/>
      <c r="Z384" s="26"/>
      <c r="AA384" s="26"/>
      <c r="AB384" s="26"/>
      <c r="AC384" s="26"/>
      <c r="AD384" s="26"/>
      <c r="AE384" s="115"/>
      <c r="AF384" s="85"/>
      <c r="AG384" s="67"/>
      <c r="AH384" s="67"/>
      <c r="AI384" s="85"/>
      <c r="AJ384" s="85"/>
      <c r="AK384" s="85"/>
      <c r="AL384" s="85"/>
    </row>
    <row r="385" spans="1:38">
      <c r="A385" s="26"/>
      <c r="B385" s="26"/>
      <c r="C385" s="26"/>
      <c r="D385" s="26"/>
      <c r="E385" s="26"/>
      <c r="F385" s="26"/>
      <c r="G385" s="26"/>
      <c r="H385" s="26"/>
      <c r="I385" s="26"/>
      <c r="J385" s="26"/>
      <c r="K385" s="112"/>
      <c r="L385" s="26"/>
      <c r="M385" s="26"/>
      <c r="N385" s="26"/>
      <c r="O385" s="113"/>
      <c r="P385" s="26"/>
      <c r="Q385" s="26"/>
      <c r="R385" s="26"/>
      <c r="S385" s="26"/>
      <c r="T385" s="26"/>
      <c r="U385" s="26"/>
      <c r="V385" s="26"/>
      <c r="W385" s="26"/>
      <c r="X385" s="26"/>
      <c r="Y385" s="26"/>
      <c r="Z385" s="26"/>
      <c r="AA385" s="26"/>
      <c r="AB385" s="26"/>
      <c r="AC385" s="26"/>
      <c r="AD385" s="26"/>
      <c r="AE385" s="115"/>
      <c r="AF385" s="85"/>
      <c r="AG385" s="67"/>
      <c r="AH385" s="67"/>
      <c r="AI385" s="85"/>
      <c r="AJ385" s="85"/>
      <c r="AK385" s="85"/>
      <c r="AL385" s="85"/>
    </row>
    <row r="386" spans="1:38">
      <c r="A386" s="26"/>
      <c r="B386" s="26"/>
      <c r="C386" s="26"/>
      <c r="D386" s="26"/>
      <c r="E386" s="26"/>
      <c r="F386" s="26"/>
      <c r="G386" s="26"/>
      <c r="H386" s="26"/>
      <c r="I386" s="26"/>
      <c r="J386" s="26"/>
      <c r="K386" s="112"/>
      <c r="L386" s="26"/>
      <c r="M386" s="26"/>
      <c r="N386" s="26"/>
      <c r="O386" s="113"/>
      <c r="P386" s="26"/>
      <c r="Q386" s="26"/>
      <c r="R386" s="26"/>
      <c r="S386" s="26"/>
      <c r="T386" s="26"/>
      <c r="U386" s="26"/>
      <c r="V386" s="26"/>
      <c r="W386" s="26"/>
      <c r="X386" s="26"/>
      <c r="Y386" s="26"/>
      <c r="Z386" s="26"/>
      <c r="AA386" s="26"/>
      <c r="AB386" s="26"/>
      <c r="AC386" s="26"/>
      <c r="AD386" s="26"/>
      <c r="AE386" s="115"/>
      <c r="AF386" s="85"/>
      <c r="AG386" s="67"/>
      <c r="AH386" s="67"/>
      <c r="AI386" s="85"/>
      <c r="AJ386" s="85"/>
      <c r="AK386" s="85"/>
      <c r="AL386" s="85"/>
    </row>
    <row r="387" spans="1:38">
      <c r="A387" s="26"/>
      <c r="B387" s="26"/>
      <c r="C387" s="26"/>
      <c r="D387" s="26"/>
      <c r="E387" s="26"/>
      <c r="F387" s="26"/>
      <c r="G387" s="26"/>
      <c r="H387" s="26"/>
      <c r="I387" s="26"/>
      <c r="J387" s="26"/>
      <c r="K387" s="112"/>
      <c r="L387" s="26"/>
      <c r="M387" s="26"/>
      <c r="N387" s="26"/>
      <c r="O387" s="113"/>
      <c r="P387" s="26"/>
      <c r="Q387" s="26"/>
      <c r="R387" s="26"/>
      <c r="S387" s="26"/>
      <c r="T387" s="26"/>
      <c r="U387" s="26"/>
      <c r="V387" s="26"/>
      <c r="W387" s="26"/>
      <c r="X387" s="26"/>
      <c r="Y387" s="26"/>
      <c r="Z387" s="26"/>
      <c r="AA387" s="26"/>
      <c r="AB387" s="26"/>
      <c r="AC387" s="26"/>
      <c r="AD387" s="26"/>
      <c r="AE387" s="115"/>
      <c r="AF387" s="85"/>
      <c r="AG387" s="67"/>
      <c r="AH387" s="67"/>
      <c r="AI387" s="85"/>
      <c r="AJ387" s="85"/>
      <c r="AK387" s="85"/>
      <c r="AL387" s="85"/>
    </row>
    <row r="388" spans="1:38">
      <c r="A388" s="26"/>
      <c r="B388" s="26"/>
      <c r="C388" s="26"/>
      <c r="D388" s="26"/>
      <c r="E388" s="26"/>
      <c r="F388" s="26"/>
      <c r="G388" s="26"/>
      <c r="H388" s="26"/>
      <c r="I388" s="26"/>
      <c r="J388" s="26"/>
      <c r="K388" s="112"/>
      <c r="L388" s="26"/>
      <c r="M388" s="26"/>
      <c r="N388" s="26"/>
      <c r="O388" s="113"/>
      <c r="P388" s="26"/>
      <c r="Q388" s="26"/>
      <c r="R388" s="26"/>
      <c r="S388" s="26"/>
      <c r="T388" s="26"/>
      <c r="U388" s="26"/>
      <c r="V388" s="26"/>
      <c r="W388" s="26"/>
      <c r="X388" s="26"/>
      <c r="Y388" s="26"/>
      <c r="Z388" s="26"/>
      <c r="AA388" s="26"/>
      <c r="AB388" s="26"/>
      <c r="AC388" s="26"/>
      <c r="AD388" s="26"/>
      <c r="AE388" s="115"/>
      <c r="AF388" s="85"/>
      <c r="AG388" s="67"/>
      <c r="AH388" s="67"/>
      <c r="AI388" s="85"/>
      <c r="AJ388" s="85"/>
      <c r="AK388" s="85"/>
      <c r="AL388" s="85"/>
    </row>
    <row r="389" spans="1:38">
      <c r="A389" s="26"/>
      <c r="B389" s="26"/>
      <c r="C389" s="26"/>
      <c r="D389" s="26"/>
      <c r="E389" s="26"/>
      <c r="F389" s="26"/>
      <c r="G389" s="26"/>
      <c r="H389" s="26"/>
      <c r="I389" s="26"/>
      <c r="J389" s="26"/>
      <c r="K389" s="112"/>
      <c r="L389" s="26"/>
      <c r="M389" s="26"/>
      <c r="N389" s="26"/>
      <c r="O389" s="113"/>
      <c r="P389" s="26"/>
      <c r="Q389" s="26"/>
      <c r="R389" s="26"/>
      <c r="S389" s="26"/>
      <c r="T389" s="26"/>
      <c r="U389" s="26"/>
      <c r="V389" s="26"/>
      <c r="W389" s="26"/>
      <c r="X389" s="26"/>
      <c r="Y389" s="26"/>
      <c r="Z389" s="26"/>
      <c r="AA389" s="26"/>
      <c r="AB389" s="26"/>
      <c r="AC389" s="26"/>
      <c r="AD389" s="26"/>
      <c r="AE389" s="115"/>
      <c r="AF389" s="85"/>
      <c r="AG389" s="67"/>
      <c r="AH389" s="67"/>
      <c r="AI389" s="85"/>
      <c r="AJ389" s="85"/>
      <c r="AK389" s="85"/>
      <c r="AL389" s="85"/>
    </row>
    <row r="390" spans="1:38">
      <c r="A390" s="26"/>
      <c r="B390" s="26"/>
      <c r="C390" s="26"/>
      <c r="D390" s="26"/>
      <c r="E390" s="26"/>
      <c r="F390" s="26"/>
      <c r="G390" s="26"/>
      <c r="H390" s="26"/>
      <c r="I390" s="26"/>
      <c r="J390" s="26"/>
      <c r="K390" s="112"/>
      <c r="L390" s="26"/>
      <c r="M390" s="26"/>
      <c r="N390" s="26"/>
      <c r="O390" s="113"/>
      <c r="P390" s="26"/>
      <c r="Q390" s="26"/>
      <c r="R390" s="26"/>
      <c r="S390" s="26"/>
      <c r="T390" s="26"/>
      <c r="U390" s="26"/>
      <c r="V390" s="26"/>
      <c r="W390" s="26"/>
      <c r="X390" s="26"/>
      <c r="Y390" s="26"/>
      <c r="Z390" s="26"/>
      <c r="AA390" s="26"/>
      <c r="AB390" s="26"/>
      <c r="AC390" s="26"/>
      <c r="AD390" s="26"/>
      <c r="AE390" s="115"/>
      <c r="AF390" s="85"/>
      <c r="AG390" s="67"/>
      <c r="AH390" s="67"/>
      <c r="AI390" s="85"/>
      <c r="AJ390" s="85"/>
      <c r="AK390" s="85"/>
      <c r="AL390" s="85"/>
    </row>
    <row r="391" spans="1:38">
      <c r="A391" s="26"/>
      <c r="B391" s="26"/>
      <c r="C391" s="26"/>
      <c r="D391" s="26"/>
      <c r="E391" s="26"/>
      <c r="F391" s="26"/>
      <c r="G391" s="26"/>
      <c r="H391" s="26"/>
      <c r="I391" s="26"/>
      <c r="J391" s="26"/>
      <c r="K391" s="112"/>
      <c r="L391" s="26"/>
      <c r="M391" s="26"/>
      <c r="N391" s="26"/>
      <c r="O391" s="113"/>
      <c r="P391" s="26"/>
      <c r="Q391" s="26"/>
      <c r="R391" s="26"/>
      <c r="S391" s="26"/>
      <c r="T391" s="26"/>
      <c r="U391" s="26"/>
      <c r="V391" s="26"/>
      <c r="W391" s="26"/>
      <c r="X391" s="26"/>
      <c r="Y391" s="26"/>
      <c r="Z391" s="26"/>
      <c r="AA391" s="26"/>
      <c r="AB391" s="26"/>
      <c r="AC391" s="26"/>
      <c r="AD391" s="26"/>
      <c r="AE391" s="115"/>
      <c r="AF391" s="85"/>
      <c r="AG391" s="67"/>
      <c r="AH391" s="67"/>
      <c r="AI391" s="85"/>
      <c r="AJ391" s="85"/>
      <c r="AK391" s="85"/>
      <c r="AL391" s="85"/>
    </row>
    <row r="392" spans="1:38">
      <c r="A392" s="26"/>
      <c r="B392" s="26"/>
      <c r="C392" s="26"/>
      <c r="D392" s="26"/>
      <c r="E392" s="26"/>
      <c r="F392" s="26"/>
      <c r="G392" s="26"/>
      <c r="H392" s="26"/>
      <c r="I392" s="26"/>
      <c r="J392" s="26"/>
      <c r="K392" s="112"/>
      <c r="L392" s="26"/>
      <c r="M392" s="26"/>
      <c r="N392" s="26"/>
      <c r="O392" s="113"/>
      <c r="P392" s="26"/>
      <c r="Q392" s="26"/>
      <c r="R392" s="26"/>
      <c r="S392" s="26"/>
      <c r="T392" s="26"/>
      <c r="U392" s="26"/>
      <c r="V392" s="26"/>
      <c r="W392" s="26"/>
      <c r="X392" s="26"/>
      <c r="Y392" s="26"/>
      <c r="Z392" s="26"/>
      <c r="AA392" s="26"/>
      <c r="AB392" s="26"/>
      <c r="AC392" s="26"/>
      <c r="AD392" s="26"/>
      <c r="AE392" s="115"/>
      <c r="AF392" s="85"/>
      <c r="AG392" s="67"/>
      <c r="AH392" s="67"/>
      <c r="AI392" s="85"/>
      <c r="AJ392" s="85"/>
      <c r="AK392" s="85"/>
      <c r="AL392" s="85"/>
    </row>
    <row r="393" spans="1:38">
      <c r="A393" s="26"/>
      <c r="B393" s="26"/>
      <c r="C393" s="26"/>
      <c r="D393" s="26"/>
      <c r="E393" s="26"/>
      <c r="F393" s="26"/>
      <c r="G393" s="26"/>
      <c r="H393" s="26"/>
      <c r="I393" s="26"/>
      <c r="J393" s="26"/>
      <c r="K393" s="112"/>
      <c r="L393" s="26"/>
      <c r="M393" s="26"/>
      <c r="N393" s="26"/>
      <c r="O393" s="113"/>
      <c r="P393" s="26"/>
      <c r="Q393" s="26"/>
      <c r="R393" s="26"/>
      <c r="S393" s="26"/>
      <c r="T393" s="26"/>
      <c r="U393" s="26"/>
      <c r="V393" s="26"/>
      <c r="W393" s="26"/>
      <c r="X393" s="26"/>
      <c r="Y393" s="26"/>
      <c r="Z393" s="26"/>
      <c r="AA393" s="26"/>
      <c r="AB393" s="26"/>
      <c r="AC393" s="26"/>
      <c r="AD393" s="26"/>
      <c r="AE393" s="115"/>
      <c r="AF393" s="85"/>
      <c r="AG393" s="67"/>
      <c r="AH393" s="67"/>
      <c r="AI393" s="85"/>
      <c r="AJ393" s="85"/>
      <c r="AK393" s="85"/>
      <c r="AL393" s="85"/>
    </row>
    <row r="394" spans="1:38">
      <c r="A394" s="26"/>
      <c r="B394" s="26"/>
      <c r="C394" s="26"/>
      <c r="D394" s="26"/>
      <c r="E394" s="26"/>
      <c r="F394" s="26"/>
      <c r="G394" s="26"/>
      <c r="H394" s="26"/>
      <c r="I394" s="26"/>
      <c r="J394" s="26"/>
      <c r="K394" s="112"/>
      <c r="L394" s="26"/>
      <c r="M394" s="26"/>
      <c r="N394" s="26"/>
      <c r="O394" s="113"/>
      <c r="P394" s="26"/>
      <c r="Q394" s="26"/>
      <c r="R394" s="26"/>
      <c r="S394" s="26"/>
      <c r="T394" s="26"/>
      <c r="U394" s="26"/>
      <c r="V394" s="26"/>
      <c r="W394" s="26"/>
      <c r="X394" s="26"/>
      <c r="Y394" s="26"/>
      <c r="Z394" s="26"/>
      <c r="AA394" s="26"/>
      <c r="AB394" s="26"/>
      <c r="AC394" s="26"/>
      <c r="AD394" s="26"/>
      <c r="AE394" s="115"/>
      <c r="AF394" s="85"/>
      <c r="AG394" s="67"/>
      <c r="AH394" s="67"/>
      <c r="AI394" s="85"/>
      <c r="AJ394" s="85"/>
      <c r="AK394" s="85"/>
      <c r="AL394" s="85"/>
    </row>
    <row r="395" spans="1:38">
      <c r="A395" s="26"/>
      <c r="B395" s="26"/>
      <c r="C395" s="26"/>
      <c r="D395" s="26"/>
      <c r="E395" s="26"/>
      <c r="F395" s="26"/>
      <c r="G395" s="26"/>
      <c r="H395" s="26"/>
      <c r="I395" s="26"/>
      <c r="J395" s="26"/>
      <c r="K395" s="112"/>
      <c r="L395" s="26"/>
      <c r="M395" s="26"/>
      <c r="N395" s="26"/>
      <c r="O395" s="113"/>
      <c r="P395" s="26"/>
      <c r="Q395" s="26"/>
      <c r="R395" s="26"/>
      <c r="S395" s="26"/>
      <c r="T395" s="26"/>
      <c r="U395" s="26"/>
      <c r="V395" s="26"/>
      <c r="W395" s="26"/>
      <c r="X395" s="26"/>
      <c r="Y395" s="26"/>
      <c r="Z395" s="26"/>
      <c r="AA395" s="26"/>
      <c r="AB395" s="26"/>
      <c r="AC395" s="26"/>
      <c r="AD395" s="26"/>
      <c r="AE395" s="115"/>
      <c r="AF395" s="85"/>
      <c r="AG395" s="67"/>
      <c r="AH395" s="67"/>
      <c r="AI395" s="85"/>
      <c r="AJ395" s="85"/>
      <c r="AK395" s="85"/>
      <c r="AL395" s="85"/>
    </row>
    <row r="396" spans="1:38">
      <c r="A396" s="26"/>
      <c r="B396" s="26"/>
      <c r="C396" s="26"/>
      <c r="D396" s="26"/>
      <c r="E396" s="26"/>
      <c r="F396" s="26"/>
      <c r="G396" s="26"/>
      <c r="H396" s="26"/>
      <c r="I396" s="26"/>
      <c r="J396" s="26"/>
      <c r="K396" s="112"/>
      <c r="L396" s="26"/>
      <c r="M396" s="26"/>
      <c r="N396" s="26"/>
      <c r="O396" s="113"/>
      <c r="P396" s="26"/>
      <c r="Q396" s="26"/>
      <c r="R396" s="26"/>
      <c r="S396" s="26"/>
      <c r="T396" s="26"/>
      <c r="U396" s="26"/>
      <c r="V396" s="26"/>
      <c r="W396" s="26"/>
      <c r="X396" s="26"/>
      <c r="Y396" s="26"/>
      <c r="Z396" s="26"/>
      <c r="AA396" s="26"/>
      <c r="AB396" s="26"/>
      <c r="AC396" s="26"/>
      <c r="AD396" s="26"/>
      <c r="AE396" s="115"/>
      <c r="AF396" s="85"/>
      <c r="AG396" s="67"/>
      <c r="AH396" s="67"/>
      <c r="AI396" s="85"/>
      <c r="AJ396" s="85"/>
      <c r="AK396" s="85"/>
      <c r="AL396" s="85"/>
    </row>
    <row r="397" spans="1:38">
      <c r="A397" s="26"/>
      <c r="B397" s="26"/>
      <c r="C397" s="26"/>
      <c r="D397" s="26"/>
      <c r="E397" s="26"/>
      <c r="F397" s="26"/>
      <c r="G397" s="26"/>
      <c r="H397" s="26"/>
      <c r="I397" s="26"/>
      <c r="J397" s="26"/>
      <c r="K397" s="112"/>
      <c r="L397" s="26"/>
      <c r="M397" s="26"/>
      <c r="N397" s="26"/>
      <c r="O397" s="113"/>
      <c r="P397" s="26"/>
      <c r="Q397" s="26"/>
      <c r="R397" s="26"/>
      <c r="S397" s="26"/>
      <c r="T397" s="26"/>
      <c r="U397" s="26"/>
      <c r="V397" s="26"/>
      <c r="W397" s="26"/>
      <c r="X397" s="26"/>
      <c r="Y397" s="26"/>
      <c r="Z397" s="26"/>
      <c r="AA397" s="26"/>
      <c r="AB397" s="26"/>
      <c r="AC397" s="26"/>
      <c r="AD397" s="26"/>
      <c r="AE397" s="115"/>
      <c r="AF397" s="85"/>
      <c r="AG397" s="67"/>
      <c r="AH397" s="67"/>
      <c r="AI397" s="85"/>
      <c r="AJ397" s="85"/>
      <c r="AK397" s="85"/>
      <c r="AL397" s="85"/>
    </row>
    <row r="398" spans="1:38">
      <c r="A398" s="26"/>
      <c r="B398" s="26"/>
      <c r="C398" s="26"/>
      <c r="D398" s="26"/>
      <c r="E398" s="26"/>
      <c r="F398" s="26"/>
      <c r="G398" s="26"/>
      <c r="H398" s="26"/>
      <c r="I398" s="26"/>
      <c r="J398" s="26"/>
      <c r="K398" s="112"/>
      <c r="L398" s="26"/>
      <c r="M398" s="26"/>
      <c r="N398" s="26"/>
      <c r="O398" s="113"/>
      <c r="P398" s="26"/>
      <c r="Q398" s="26"/>
      <c r="R398" s="26"/>
      <c r="S398" s="26"/>
      <c r="T398" s="26"/>
      <c r="U398" s="26"/>
      <c r="V398" s="26"/>
      <c r="W398" s="26"/>
      <c r="X398" s="26"/>
      <c r="Y398" s="26"/>
      <c r="Z398" s="26"/>
      <c r="AA398" s="26"/>
      <c r="AB398" s="26"/>
      <c r="AC398" s="26"/>
      <c r="AD398" s="26"/>
      <c r="AE398" s="115"/>
      <c r="AF398" s="85"/>
      <c r="AG398" s="67"/>
      <c r="AH398" s="67"/>
      <c r="AI398" s="85"/>
      <c r="AJ398" s="85"/>
      <c r="AK398" s="85"/>
      <c r="AL398" s="85"/>
    </row>
    <row r="399" spans="1:38">
      <c r="A399" s="26"/>
      <c r="B399" s="26"/>
      <c r="C399" s="26"/>
      <c r="D399" s="26"/>
      <c r="E399" s="26"/>
      <c r="F399" s="26"/>
      <c r="G399" s="26"/>
      <c r="H399" s="26"/>
      <c r="I399" s="26"/>
      <c r="J399" s="26"/>
      <c r="K399" s="112"/>
      <c r="L399" s="26"/>
      <c r="M399" s="26"/>
      <c r="N399" s="26"/>
      <c r="O399" s="113"/>
      <c r="P399" s="26"/>
      <c r="Q399" s="26"/>
      <c r="R399" s="26"/>
      <c r="S399" s="26"/>
      <c r="T399" s="26"/>
      <c r="U399" s="26"/>
      <c r="V399" s="26"/>
      <c r="W399" s="26"/>
      <c r="X399" s="26"/>
      <c r="Y399" s="26"/>
      <c r="Z399" s="26"/>
      <c r="AA399" s="26"/>
      <c r="AB399" s="26"/>
      <c r="AC399" s="26"/>
      <c r="AD399" s="26"/>
      <c r="AE399" s="115"/>
      <c r="AF399" s="85"/>
      <c r="AG399" s="67"/>
      <c r="AH399" s="67"/>
      <c r="AI399" s="85"/>
      <c r="AJ399" s="85"/>
      <c r="AK399" s="85"/>
      <c r="AL399" s="85"/>
    </row>
    <row r="400" spans="1:38">
      <c r="A400" s="26"/>
      <c r="B400" s="26"/>
      <c r="C400" s="26"/>
      <c r="D400" s="26"/>
      <c r="E400" s="26"/>
      <c r="F400" s="26"/>
      <c r="G400" s="26"/>
      <c r="H400" s="26"/>
      <c r="I400" s="26"/>
      <c r="J400" s="26"/>
      <c r="K400" s="112"/>
      <c r="L400" s="26"/>
      <c r="M400" s="26"/>
      <c r="N400" s="26"/>
      <c r="O400" s="113"/>
      <c r="P400" s="26"/>
      <c r="Q400" s="26"/>
      <c r="R400" s="26"/>
      <c r="S400" s="26"/>
      <c r="T400" s="26"/>
      <c r="U400" s="26"/>
      <c r="V400" s="26"/>
      <c r="W400" s="26"/>
      <c r="X400" s="26"/>
      <c r="Y400" s="26"/>
      <c r="Z400" s="26"/>
      <c r="AA400" s="26"/>
      <c r="AB400" s="26"/>
      <c r="AC400" s="26"/>
      <c r="AD400" s="26"/>
      <c r="AE400" s="115"/>
      <c r="AF400" s="85"/>
      <c r="AG400" s="67"/>
      <c r="AH400" s="67"/>
      <c r="AI400" s="85"/>
      <c r="AJ400" s="85"/>
      <c r="AK400" s="85"/>
      <c r="AL400" s="85"/>
    </row>
    <row r="401" spans="1:38">
      <c r="A401" s="26"/>
      <c r="B401" s="26"/>
      <c r="C401" s="26"/>
      <c r="D401" s="26"/>
      <c r="E401" s="26"/>
      <c r="F401" s="26"/>
      <c r="G401" s="26"/>
      <c r="H401" s="26"/>
      <c r="I401" s="26"/>
      <c r="J401" s="26"/>
      <c r="K401" s="112"/>
      <c r="L401" s="26"/>
      <c r="M401" s="26"/>
      <c r="N401" s="26"/>
      <c r="O401" s="113"/>
      <c r="P401" s="26"/>
      <c r="Q401" s="26"/>
      <c r="R401" s="26"/>
      <c r="S401" s="26"/>
      <c r="T401" s="26"/>
      <c r="U401" s="26"/>
      <c r="V401" s="26"/>
      <c r="W401" s="26"/>
      <c r="X401" s="26"/>
      <c r="Y401" s="26"/>
      <c r="Z401" s="26"/>
      <c r="AA401" s="26"/>
      <c r="AB401" s="26"/>
      <c r="AC401" s="26"/>
      <c r="AD401" s="26"/>
      <c r="AE401" s="115"/>
      <c r="AF401" s="85"/>
      <c r="AG401" s="67"/>
      <c r="AH401" s="67"/>
      <c r="AI401" s="85"/>
      <c r="AJ401" s="85"/>
      <c r="AK401" s="85"/>
      <c r="AL401" s="85"/>
    </row>
    <row r="402" spans="1:38">
      <c r="A402" s="26"/>
      <c r="B402" s="26"/>
      <c r="C402" s="26"/>
      <c r="D402" s="26"/>
      <c r="E402" s="26"/>
      <c r="F402" s="26"/>
      <c r="G402" s="26"/>
      <c r="H402" s="26"/>
      <c r="I402" s="26"/>
      <c r="J402" s="26"/>
      <c r="K402" s="112"/>
      <c r="L402" s="26"/>
      <c r="M402" s="26"/>
      <c r="N402" s="26"/>
      <c r="O402" s="113"/>
      <c r="P402" s="26"/>
      <c r="Q402" s="26"/>
      <c r="R402" s="26"/>
      <c r="S402" s="26"/>
      <c r="T402" s="26"/>
      <c r="U402" s="26"/>
      <c r="V402" s="26"/>
      <c r="W402" s="26"/>
      <c r="X402" s="26"/>
      <c r="Y402" s="26"/>
      <c r="Z402" s="26"/>
      <c r="AA402" s="26"/>
      <c r="AB402" s="26"/>
      <c r="AC402" s="26"/>
      <c r="AD402" s="26"/>
      <c r="AE402" s="115"/>
      <c r="AF402" s="85"/>
      <c r="AG402" s="67"/>
      <c r="AH402" s="67"/>
      <c r="AI402" s="85"/>
      <c r="AJ402" s="85"/>
      <c r="AK402" s="85"/>
      <c r="AL402" s="85"/>
    </row>
    <row r="403" spans="1:38">
      <c r="A403" s="26"/>
      <c r="B403" s="26"/>
      <c r="C403" s="26"/>
      <c r="D403" s="26"/>
      <c r="E403" s="26"/>
      <c r="F403" s="26"/>
      <c r="G403" s="26"/>
      <c r="H403" s="26"/>
      <c r="I403" s="26"/>
      <c r="J403" s="26"/>
      <c r="K403" s="112"/>
      <c r="L403" s="26"/>
      <c r="M403" s="26"/>
      <c r="N403" s="26"/>
      <c r="O403" s="113"/>
      <c r="P403" s="26"/>
      <c r="Q403" s="26"/>
      <c r="R403" s="26"/>
      <c r="S403" s="26"/>
      <c r="T403" s="26"/>
      <c r="U403" s="26"/>
      <c r="V403" s="26"/>
      <c r="W403" s="26"/>
      <c r="X403" s="26"/>
      <c r="Y403" s="26"/>
      <c r="Z403" s="26"/>
      <c r="AA403" s="26"/>
      <c r="AB403" s="26"/>
      <c r="AC403" s="26"/>
      <c r="AD403" s="26"/>
      <c r="AE403" s="115"/>
      <c r="AF403" s="85"/>
      <c r="AG403" s="67"/>
      <c r="AH403" s="67"/>
      <c r="AI403" s="85"/>
      <c r="AJ403" s="85"/>
      <c r="AK403" s="85"/>
      <c r="AL403" s="85"/>
    </row>
    <row r="404" spans="1:38">
      <c r="A404" s="26"/>
      <c r="B404" s="26"/>
      <c r="C404" s="26"/>
      <c r="D404" s="26"/>
      <c r="E404" s="26"/>
      <c r="F404" s="26"/>
      <c r="G404" s="26"/>
      <c r="H404" s="26"/>
      <c r="I404" s="26"/>
      <c r="J404" s="26"/>
      <c r="K404" s="112"/>
      <c r="L404" s="26"/>
      <c r="M404" s="26"/>
      <c r="N404" s="26"/>
      <c r="O404" s="113"/>
      <c r="P404" s="26"/>
      <c r="Q404" s="26"/>
      <c r="R404" s="26"/>
      <c r="S404" s="26"/>
      <c r="T404" s="26"/>
      <c r="U404" s="26"/>
      <c r="V404" s="26"/>
      <c r="W404" s="26"/>
      <c r="X404" s="26"/>
      <c r="Y404" s="26"/>
      <c r="Z404" s="26"/>
      <c r="AA404" s="26"/>
      <c r="AB404" s="26"/>
      <c r="AC404" s="26"/>
      <c r="AD404" s="26"/>
      <c r="AE404" s="115"/>
      <c r="AF404" s="85"/>
      <c r="AG404" s="67"/>
      <c r="AH404" s="67"/>
      <c r="AI404" s="85"/>
      <c r="AJ404" s="85"/>
      <c r="AK404" s="85"/>
      <c r="AL404" s="85"/>
    </row>
    <row r="405" spans="1:38">
      <c r="A405" s="26"/>
      <c r="B405" s="26"/>
      <c r="C405" s="26"/>
      <c r="D405" s="26"/>
      <c r="E405" s="26"/>
      <c r="F405" s="26"/>
      <c r="G405" s="26"/>
      <c r="H405" s="26"/>
      <c r="I405" s="26"/>
      <c r="J405" s="26"/>
      <c r="K405" s="112"/>
      <c r="L405" s="26"/>
      <c r="M405" s="26"/>
      <c r="N405" s="26"/>
      <c r="O405" s="113"/>
      <c r="P405" s="26"/>
      <c r="Q405" s="26"/>
      <c r="R405" s="26"/>
      <c r="S405" s="26"/>
      <c r="T405" s="26"/>
      <c r="U405" s="26"/>
      <c r="V405" s="26"/>
      <c r="W405" s="26"/>
      <c r="X405" s="26"/>
      <c r="Y405" s="26"/>
      <c r="Z405" s="26"/>
      <c r="AA405" s="26"/>
      <c r="AB405" s="26"/>
      <c r="AC405" s="26"/>
      <c r="AD405" s="26"/>
      <c r="AE405" s="115"/>
      <c r="AF405" s="85"/>
      <c r="AG405" s="67"/>
      <c r="AH405" s="67"/>
      <c r="AI405" s="85"/>
      <c r="AJ405" s="85"/>
      <c r="AK405" s="85"/>
      <c r="AL405" s="85"/>
    </row>
    <row r="406" spans="1:38">
      <c r="A406" s="26"/>
      <c r="B406" s="26"/>
      <c r="C406" s="26"/>
      <c r="D406" s="26"/>
      <c r="E406" s="26"/>
      <c r="F406" s="26"/>
      <c r="G406" s="26"/>
      <c r="H406" s="26"/>
      <c r="I406" s="26"/>
      <c r="J406" s="26"/>
      <c r="K406" s="112"/>
      <c r="L406" s="26"/>
      <c r="M406" s="26"/>
      <c r="N406" s="26"/>
      <c r="O406" s="113"/>
      <c r="P406" s="26"/>
      <c r="Q406" s="26"/>
      <c r="R406" s="26"/>
      <c r="S406" s="26"/>
      <c r="T406" s="26"/>
      <c r="U406" s="26"/>
      <c r="V406" s="26"/>
      <c r="W406" s="26"/>
      <c r="X406" s="26"/>
      <c r="Y406" s="26"/>
      <c r="Z406" s="26"/>
      <c r="AA406" s="26"/>
      <c r="AB406" s="26"/>
      <c r="AC406" s="26"/>
      <c r="AD406" s="26"/>
      <c r="AE406" s="115"/>
      <c r="AF406" s="85"/>
      <c r="AG406" s="67"/>
      <c r="AH406" s="67"/>
      <c r="AI406" s="85"/>
      <c r="AJ406" s="85"/>
      <c r="AK406" s="85"/>
      <c r="AL406" s="85"/>
    </row>
    <row r="407" spans="1:38">
      <c r="A407" s="26"/>
      <c r="B407" s="26"/>
      <c r="C407" s="26"/>
      <c r="D407" s="26"/>
      <c r="E407" s="26"/>
      <c r="F407" s="26"/>
      <c r="G407" s="26"/>
      <c r="H407" s="26"/>
      <c r="I407" s="26"/>
      <c r="J407" s="26"/>
      <c r="K407" s="112"/>
      <c r="L407" s="26"/>
      <c r="M407" s="26"/>
      <c r="N407" s="26"/>
      <c r="O407" s="113"/>
      <c r="P407" s="26"/>
      <c r="Q407" s="26"/>
      <c r="R407" s="26"/>
      <c r="S407" s="26"/>
      <c r="T407" s="26"/>
      <c r="U407" s="26"/>
      <c r="V407" s="26"/>
      <c r="W407" s="26"/>
      <c r="X407" s="26"/>
      <c r="Y407" s="26"/>
      <c r="Z407" s="26"/>
      <c r="AA407" s="26"/>
      <c r="AB407" s="26"/>
      <c r="AC407" s="26"/>
      <c r="AD407" s="26"/>
      <c r="AE407" s="115"/>
      <c r="AF407" s="85"/>
      <c r="AG407" s="67"/>
      <c r="AH407" s="67"/>
      <c r="AI407" s="85"/>
      <c r="AJ407" s="85"/>
      <c r="AK407" s="85"/>
      <c r="AL407" s="85"/>
    </row>
    <row r="408" spans="1:38">
      <c r="A408" s="26"/>
      <c r="B408" s="26"/>
      <c r="C408" s="26"/>
      <c r="D408" s="26"/>
      <c r="E408" s="26"/>
      <c r="F408" s="26"/>
      <c r="G408" s="26"/>
      <c r="H408" s="26"/>
      <c r="I408" s="26"/>
      <c r="J408" s="26"/>
      <c r="K408" s="112"/>
      <c r="L408" s="26"/>
      <c r="M408" s="26"/>
      <c r="N408" s="26"/>
      <c r="O408" s="113"/>
      <c r="P408" s="26"/>
      <c r="Q408" s="26"/>
      <c r="R408" s="26"/>
      <c r="S408" s="26"/>
      <c r="T408" s="26"/>
      <c r="U408" s="26"/>
      <c r="V408" s="26"/>
      <c r="W408" s="26"/>
      <c r="X408" s="26"/>
      <c r="Y408" s="26"/>
      <c r="Z408" s="26"/>
      <c r="AA408" s="26"/>
      <c r="AB408" s="26"/>
      <c r="AC408" s="26"/>
      <c r="AD408" s="26"/>
      <c r="AE408" s="115"/>
      <c r="AF408" s="85"/>
      <c r="AG408" s="67"/>
      <c r="AH408" s="67"/>
      <c r="AI408" s="85"/>
      <c r="AJ408" s="85"/>
      <c r="AK408" s="85"/>
      <c r="AL408" s="85"/>
    </row>
    <row r="409" spans="1:38">
      <c r="A409" s="26"/>
      <c r="B409" s="26"/>
      <c r="C409" s="26"/>
      <c r="D409" s="26"/>
      <c r="E409" s="26"/>
      <c r="F409" s="26"/>
      <c r="G409" s="26"/>
      <c r="H409" s="26"/>
      <c r="I409" s="26"/>
      <c r="J409" s="26"/>
      <c r="K409" s="112"/>
      <c r="L409" s="26"/>
      <c r="M409" s="26"/>
      <c r="N409" s="26"/>
      <c r="O409" s="113"/>
      <c r="P409" s="26"/>
      <c r="Q409" s="26"/>
      <c r="R409" s="26"/>
      <c r="S409" s="26"/>
      <c r="T409" s="26"/>
      <c r="U409" s="26"/>
      <c r="V409" s="26"/>
      <c r="W409" s="26"/>
      <c r="X409" s="26"/>
      <c r="Y409" s="26"/>
      <c r="Z409" s="26"/>
      <c r="AA409" s="26"/>
      <c r="AB409" s="26"/>
      <c r="AC409" s="26"/>
      <c r="AD409" s="26"/>
      <c r="AE409" s="115"/>
      <c r="AF409" s="85"/>
      <c r="AG409" s="67"/>
      <c r="AH409" s="67"/>
      <c r="AI409" s="85"/>
      <c r="AJ409" s="85"/>
      <c r="AK409" s="85"/>
      <c r="AL409" s="85"/>
    </row>
    <row r="410" spans="1:38">
      <c r="A410" s="26"/>
      <c r="B410" s="26"/>
      <c r="C410" s="26"/>
      <c r="D410" s="26"/>
      <c r="E410" s="26"/>
      <c r="F410" s="26"/>
      <c r="G410" s="26"/>
      <c r="H410" s="26"/>
      <c r="I410" s="26"/>
      <c r="J410" s="26"/>
      <c r="K410" s="112"/>
      <c r="L410" s="26"/>
      <c r="M410" s="26"/>
      <c r="N410" s="26"/>
      <c r="O410" s="113"/>
      <c r="P410" s="26"/>
      <c r="Q410" s="26"/>
      <c r="R410" s="26"/>
      <c r="S410" s="26"/>
      <c r="T410" s="26"/>
      <c r="U410" s="26"/>
      <c r="V410" s="26"/>
      <c r="W410" s="26"/>
      <c r="X410" s="26"/>
      <c r="Y410" s="26"/>
      <c r="Z410" s="26"/>
      <c r="AA410" s="26"/>
      <c r="AB410" s="26"/>
      <c r="AC410" s="26"/>
      <c r="AD410" s="26"/>
      <c r="AE410" s="115"/>
      <c r="AF410" s="85"/>
      <c r="AG410" s="67"/>
      <c r="AH410" s="67"/>
      <c r="AI410" s="85"/>
      <c r="AJ410" s="85"/>
      <c r="AK410" s="85"/>
      <c r="AL410" s="85"/>
    </row>
    <row r="411" spans="1:38">
      <c r="A411" s="26"/>
      <c r="B411" s="26"/>
      <c r="C411" s="26"/>
      <c r="D411" s="26"/>
      <c r="E411" s="26"/>
      <c r="F411" s="26"/>
      <c r="G411" s="26"/>
      <c r="H411" s="26"/>
      <c r="I411" s="26"/>
      <c r="J411" s="26"/>
      <c r="K411" s="112"/>
      <c r="L411" s="26"/>
      <c r="M411" s="26"/>
      <c r="N411" s="26"/>
      <c r="O411" s="113"/>
      <c r="P411" s="26"/>
      <c r="Q411" s="26"/>
      <c r="R411" s="26"/>
      <c r="S411" s="26"/>
      <c r="T411" s="26"/>
      <c r="U411" s="26"/>
      <c r="V411" s="26"/>
      <c r="W411" s="26"/>
      <c r="X411" s="26"/>
      <c r="Y411" s="26"/>
      <c r="Z411" s="26"/>
      <c r="AA411" s="26"/>
      <c r="AB411" s="26"/>
      <c r="AC411" s="26"/>
      <c r="AD411" s="26"/>
      <c r="AE411" s="115"/>
      <c r="AF411" s="85"/>
      <c r="AG411" s="67"/>
      <c r="AH411" s="67"/>
      <c r="AI411" s="85"/>
      <c r="AJ411" s="85"/>
      <c r="AK411" s="85"/>
      <c r="AL411" s="85"/>
    </row>
    <row r="412" spans="1:38">
      <c r="A412" s="26"/>
      <c r="B412" s="26"/>
      <c r="C412" s="26"/>
      <c r="D412" s="26"/>
      <c r="E412" s="26"/>
      <c r="F412" s="26"/>
      <c r="G412" s="26"/>
      <c r="H412" s="26"/>
      <c r="I412" s="26"/>
      <c r="J412" s="26"/>
      <c r="K412" s="112"/>
      <c r="L412" s="26"/>
      <c r="M412" s="26"/>
      <c r="N412" s="26"/>
      <c r="O412" s="113"/>
      <c r="P412" s="26"/>
      <c r="Q412" s="26"/>
      <c r="R412" s="26"/>
      <c r="S412" s="26"/>
      <c r="T412" s="26"/>
      <c r="U412" s="26"/>
      <c r="V412" s="26"/>
      <c r="W412" s="26"/>
      <c r="X412" s="26"/>
      <c r="Y412" s="26"/>
      <c r="Z412" s="26"/>
      <c r="AA412" s="26"/>
      <c r="AB412" s="26"/>
      <c r="AC412" s="26"/>
      <c r="AD412" s="26"/>
      <c r="AE412" s="115"/>
      <c r="AF412" s="85"/>
      <c r="AG412" s="67"/>
      <c r="AH412" s="67"/>
      <c r="AI412" s="85"/>
      <c r="AJ412" s="85"/>
      <c r="AK412" s="85"/>
      <c r="AL412" s="85"/>
    </row>
    <row r="413" spans="1:38">
      <c r="A413" s="26"/>
      <c r="B413" s="26"/>
      <c r="C413" s="26"/>
      <c r="D413" s="26"/>
      <c r="E413" s="26"/>
      <c r="F413" s="26"/>
      <c r="G413" s="26"/>
      <c r="H413" s="26"/>
      <c r="I413" s="26"/>
      <c r="J413" s="26"/>
      <c r="K413" s="112"/>
      <c r="L413" s="26"/>
      <c r="M413" s="26"/>
      <c r="N413" s="26"/>
      <c r="O413" s="113"/>
      <c r="P413" s="26"/>
      <c r="Q413" s="26"/>
      <c r="R413" s="26"/>
      <c r="S413" s="26"/>
      <c r="T413" s="26"/>
      <c r="U413" s="26"/>
      <c r="V413" s="26"/>
      <c r="W413" s="26"/>
      <c r="X413" s="26"/>
      <c r="Y413" s="26"/>
      <c r="Z413" s="26"/>
      <c r="AA413" s="26"/>
      <c r="AB413" s="26"/>
      <c r="AC413" s="26"/>
      <c r="AD413" s="26"/>
      <c r="AE413" s="115"/>
      <c r="AF413" s="85"/>
      <c r="AG413" s="67"/>
      <c r="AH413" s="67"/>
      <c r="AI413" s="85"/>
      <c r="AJ413" s="85"/>
      <c r="AK413" s="85"/>
      <c r="AL413" s="85"/>
    </row>
    <row r="414" spans="1:38">
      <c r="A414" s="26"/>
      <c r="B414" s="26"/>
      <c r="C414" s="26"/>
      <c r="D414" s="26"/>
      <c r="E414" s="26"/>
      <c r="F414" s="26"/>
      <c r="G414" s="26"/>
      <c r="H414" s="26"/>
      <c r="I414" s="26"/>
      <c r="J414" s="26"/>
      <c r="K414" s="112"/>
      <c r="L414" s="26"/>
      <c r="M414" s="26"/>
      <c r="N414" s="26"/>
      <c r="O414" s="113"/>
      <c r="P414" s="26"/>
      <c r="Q414" s="26"/>
      <c r="R414" s="26"/>
      <c r="S414" s="26"/>
      <c r="T414" s="26"/>
      <c r="U414" s="26"/>
      <c r="V414" s="26"/>
      <c r="W414" s="26"/>
      <c r="X414" s="26"/>
      <c r="Y414" s="26"/>
      <c r="Z414" s="26"/>
      <c r="AA414" s="26"/>
      <c r="AB414" s="26"/>
      <c r="AC414" s="26"/>
      <c r="AD414" s="26"/>
      <c r="AE414" s="115"/>
      <c r="AF414" s="85"/>
      <c r="AG414" s="67"/>
      <c r="AH414" s="67"/>
      <c r="AI414" s="85"/>
      <c r="AJ414" s="85"/>
      <c r="AK414" s="85"/>
      <c r="AL414" s="85"/>
    </row>
    <row r="415" spans="1:38">
      <c r="A415" s="26"/>
      <c r="B415" s="26"/>
      <c r="C415" s="26"/>
      <c r="D415" s="26"/>
      <c r="E415" s="26"/>
      <c r="F415" s="26"/>
      <c r="G415" s="26"/>
      <c r="H415" s="26"/>
      <c r="I415" s="26"/>
      <c r="J415" s="26"/>
      <c r="K415" s="112"/>
      <c r="L415" s="26"/>
      <c r="M415" s="26"/>
      <c r="N415" s="26"/>
      <c r="O415" s="113"/>
      <c r="P415" s="26"/>
      <c r="Q415" s="26"/>
      <c r="R415" s="26"/>
      <c r="S415" s="26"/>
      <c r="T415" s="26"/>
      <c r="U415" s="26"/>
      <c r="V415" s="26"/>
      <c r="W415" s="26"/>
      <c r="X415" s="26"/>
      <c r="Y415" s="26"/>
      <c r="Z415" s="26"/>
      <c r="AA415" s="26"/>
      <c r="AB415" s="26"/>
      <c r="AC415" s="26"/>
      <c r="AD415" s="26"/>
      <c r="AE415" s="115"/>
      <c r="AF415" s="85"/>
      <c r="AG415" s="67"/>
      <c r="AH415" s="67"/>
      <c r="AI415" s="85"/>
      <c r="AJ415" s="85"/>
      <c r="AK415" s="85"/>
      <c r="AL415" s="85"/>
    </row>
    <row r="416" spans="1:38">
      <c r="A416" s="26"/>
      <c r="B416" s="26"/>
      <c r="C416" s="26"/>
      <c r="D416" s="26"/>
      <c r="E416" s="26"/>
      <c r="F416" s="26"/>
      <c r="G416" s="26"/>
      <c r="H416" s="26"/>
      <c r="I416" s="26"/>
      <c r="J416" s="26"/>
      <c r="K416" s="112"/>
      <c r="L416" s="26"/>
      <c r="M416" s="26"/>
      <c r="N416" s="26"/>
      <c r="O416" s="113"/>
      <c r="P416" s="26"/>
      <c r="Q416" s="26"/>
      <c r="R416" s="26"/>
      <c r="S416" s="26"/>
      <c r="T416" s="26"/>
      <c r="U416" s="26"/>
      <c r="V416" s="26"/>
      <c r="W416" s="26"/>
      <c r="X416" s="26"/>
      <c r="Y416" s="26"/>
      <c r="Z416" s="26"/>
      <c r="AA416" s="26"/>
      <c r="AB416" s="26"/>
      <c r="AC416" s="26"/>
      <c r="AD416" s="26"/>
      <c r="AE416" s="115"/>
      <c r="AF416" s="85"/>
      <c r="AG416" s="67"/>
      <c r="AH416" s="67"/>
      <c r="AI416" s="85"/>
      <c r="AJ416" s="85"/>
      <c r="AK416" s="85"/>
      <c r="AL416" s="85"/>
    </row>
    <row r="417" spans="1:38">
      <c r="A417" s="26"/>
      <c r="B417" s="26"/>
      <c r="C417" s="26"/>
      <c r="D417" s="26"/>
      <c r="E417" s="26"/>
      <c r="F417" s="26"/>
      <c r="G417" s="26"/>
      <c r="H417" s="26"/>
      <c r="I417" s="26"/>
      <c r="J417" s="26"/>
      <c r="K417" s="112"/>
      <c r="L417" s="26"/>
      <c r="M417" s="26"/>
      <c r="N417" s="26"/>
      <c r="O417" s="113"/>
      <c r="P417" s="26"/>
      <c r="Q417" s="26"/>
      <c r="R417" s="26"/>
      <c r="S417" s="26"/>
      <c r="T417" s="26"/>
      <c r="U417" s="26"/>
      <c r="V417" s="26"/>
      <c r="W417" s="26"/>
      <c r="X417" s="26"/>
      <c r="Y417" s="26"/>
      <c r="Z417" s="26"/>
      <c r="AA417" s="26"/>
      <c r="AB417" s="26"/>
      <c r="AC417" s="26"/>
      <c r="AD417" s="26"/>
      <c r="AE417" s="115"/>
      <c r="AF417" s="85"/>
      <c r="AG417" s="67"/>
      <c r="AH417" s="67"/>
      <c r="AI417" s="85"/>
      <c r="AJ417" s="85"/>
      <c r="AK417" s="85"/>
      <c r="AL417" s="85"/>
    </row>
    <row r="418" spans="1:38">
      <c r="A418" s="26"/>
      <c r="B418" s="26"/>
      <c r="C418" s="26"/>
      <c r="D418" s="26"/>
      <c r="E418" s="26"/>
      <c r="F418" s="26"/>
      <c r="G418" s="26"/>
      <c r="H418" s="26"/>
      <c r="I418" s="26"/>
      <c r="J418" s="26"/>
      <c r="K418" s="112"/>
      <c r="L418" s="26"/>
      <c r="M418" s="26"/>
      <c r="N418" s="26"/>
      <c r="O418" s="113"/>
      <c r="P418" s="26"/>
      <c r="Q418" s="26"/>
      <c r="R418" s="26"/>
      <c r="S418" s="26"/>
      <c r="T418" s="26"/>
      <c r="U418" s="26"/>
      <c r="V418" s="26"/>
      <c r="W418" s="26"/>
      <c r="X418" s="26"/>
      <c r="Y418" s="26"/>
      <c r="Z418" s="26"/>
      <c r="AA418" s="26"/>
      <c r="AB418" s="26"/>
      <c r="AC418" s="26"/>
      <c r="AD418" s="26"/>
      <c r="AE418" s="115"/>
      <c r="AF418" s="85"/>
      <c r="AG418" s="67"/>
      <c r="AH418" s="67"/>
      <c r="AI418" s="85"/>
      <c r="AJ418" s="85"/>
      <c r="AK418" s="85"/>
      <c r="AL418" s="85"/>
    </row>
    <row r="419" spans="1:38">
      <c r="A419" s="26"/>
      <c r="B419" s="26"/>
      <c r="C419" s="26"/>
      <c r="D419" s="26"/>
      <c r="E419" s="26"/>
      <c r="F419" s="26"/>
      <c r="G419" s="26"/>
      <c r="H419" s="26"/>
      <c r="I419" s="26"/>
      <c r="J419" s="26"/>
      <c r="K419" s="112"/>
      <c r="L419" s="26"/>
      <c r="M419" s="26"/>
      <c r="N419" s="26"/>
      <c r="O419" s="113"/>
      <c r="P419" s="26"/>
      <c r="Q419" s="26"/>
      <c r="R419" s="26"/>
      <c r="S419" s="26"/>
      <c r="T419" s="26"/>
      <c r="U419" s="26"/>
      <c r="V419" s="26"/>
      <c r="W419" s="26"/>
      <c r="X419" s="26"/>
      <c r="Y419" s="26"/>
      <c r="Z419" s="26"/>
      <c r="AA419" s="26"/>
      <c r="AB419" s="26"/>
      <c r="AC419" s="26"/>
      <c r="AD419" s="26"/>
      <c r="AE419" s="115"/>
      <c r="AF419" s="85"/>
      <c r="AG419" s="67"/>
      <c r="AH419" s="67"/>
      <c r="AI419" s="85"/>
      <c r="AJ419" s="85"/>
      <c r="AK419" s="85"/>
      <c r="AL419" s="85"/>
    </row>
    <row r="420" spans="1:38">
      <c r="A420" s="26"/>
      <c r="B420" s="26"/>
      <c r="C420" s="26"/>
      <c r="D420" s="26"/>
      <c r="E420" s="26"/>
      <c r="F420" s="26"/>
      <c r="G420" s="26"/>
      <c r="H420" s="26"/>
      <c r="I420" s="26"/>
      <c r="J420" s="26"/>
      <c r="K420" s="112"/>
      <c r="L420" s="26"/>
      <c r="M420" s="26"/>
      <c r="N420" s="26"/>
      <c r="O420" s="113"/>
      <c r="P420" s="26"/>
      <c r="Q420" s="26"/>
      <c r="R420" s="26"/>
      <c r="S420" s="26"/>
      <c r="T420" s="26"/>
      <c r="U420" s="26"/>
      <c r="V420" s="26"/>
      <c r="W420" s="26"/>
      <c r="X420" s="26"/>
      <c r="Y420" s="26"/>
      <c r="Z420" s="26"/>
      <c r="AA420" s="26"/>
      <c r="AB420" s="26"/>
      <c r="AC420" s="26"/>
      <c r="AD420" s="26"/>
      <c r="AE420" s="115"/>
      <c r="AF420" s="85"/>
      <c r="AG420" s="67"/>
      <c r="AH420" s="67"/>
      <c r="AI420" s="85"/>
      <c r="AJ420" s="85"/>
      <c r="AK420" s="85"/>
      <c r="AL420" s="85"/>
    </row>
    <row r="421" spans="1:38">
      <c r="A421" s="26"/>
      <c r="B421" s="26"/>
      <c r="C421" s="26"/>
      <c r="D421" s="26"/>
      <c r="E421" s="26"/>
      <c r="F421" s="26"/>
      <c r="G421" s="26"/>
      <c r="H421" s="26"/>
      <c r="I421" s="26"/>
      <c r="J421" s="26"/>
      <c r="K421" s="112"/>
      <c r="L421" s="26"/>
      <c r="M421" s="26"/>
      <c r="N421" s="26"/>
      <c r="O421" s="113"/>
      <c r="P421" s="26"/>
      <c r="Q421" s="26"/>
      <c r="R421" s="26"/>
      <c r="S421" s="26"/>
      <c r="T421" s="26"/>
      <c r="U421" s="26"/>
      <c r="V421" s="26"/>
      <c r="W421" s="26"/>
      <c r="X421" s="26"/>
      <c r="Y421" s="26"/>
      <c r="Z421" s="26"/>
      <c r="AA421" s="26"/>
      <c r="AB421" s="26"/>
      <c r="AC421" s="26"/>
      <c r="AD421" s="26"/>
      <c r="AE421" s="115"/>
      <c r="AF421" s="85"/>
      <c r="AG421" s="67"/>
      <c r="AH421" s="67"/>
      <c r="AI421" s="85"/>
      <c r="AJ421" s="85"/>
      <c r="AK421" s="85"/>
      <c r="AL421" s="85"/>
    </row>
    <row r="422" spans="1:38">
      <c r="A422" s="26"/>
      <c r="B422" s="26"/>
      <c r="C422" s="26"/>
      <c r="D422" s="26"/>
      <c r="E422" s="26"/>
      <c r="F422" s="26"/>
      <c r="G422" s="26"/>
      <c r="H422" s="26"/>
      <c r="I422" s="26"/>
      <c r="J422" s="26"/>
      <c r="K422" s="112"/>
      <c r="L422" s="26"/>
      <c r="M422" s="26"/>
      <c r="N422" s="26"/>
      <c r="O422" s="113"/>
      <c r="P422" s="26"/>
      <c r="Q422" s="26"/>
      <c r="R422" s="26"/>
      <c r="S422" s="26"/>
      <c r="T422" s="26"/>
      <c r="U422" s="26"/>
      <c r="V422" s="26"/>
      <c r="W422" s="26"/>
      <c r="X422" s="26"/>
      <c r="Y422" s="26"/>
      <c r="Z422" s="26"/>
      <c r="AA422" s="26"/>
      <c r="AB422" s="26"/>
      <c r="AC422" s="26"/>
      <c r="AD422" s="26"/>
      <c r="AE422" s="115"/>
      <c r="AF422" s="85"/>
      <c r="AG422" s="67"/>
      <c r="AH422" s="67"/>
      <c r="AI422" s="85"/>
      <c r="AJ422" s="85"/>
      <c r="AK422" s="85"/>
      <c r="AL422" s="85"/>
    </row>
    <row r="423" spans="1:38">
      <c r="A423" s="26"/>
      <c r="B423" s="26"/>
      <c r="C423" s="26"/>
      <c r="D423" s="26"/>
      <c r="E423" s="26"/>
      <c r="F423" s="26"/>
      <c r="G423" s="26"/>
      <c r="H423" s="26"/>
      <c r="I423" s="26"/>
      <c r="J423" s="26"/>
      <c r="K423" s="112"/>
      <c r="L423" s="26"/>
      <c r="M423" s="26"/>
      <c r="N423" s="26"/>
      <c r="O423" s="113"/>
      <c r="P423" s="26"/>
      <c r="Q423" s="26"/>
      <c r="R423" s="26"/>
      <c r="S423" s="26"/>
      <c r="T423" s="26"/>
      <c r="U423" s="26"/>
      <c r="V423" s="26"/>
      <c r="W423" s="26"/>
      <c r="X423" s="26"/>
      <c r="Y423" s="26"/>
      <c r="Z423" s="26"/>
      <c r="AA423" s="26"/>
      <c r="AB423" s="26"/>
      <c r="AC423" s="26"/>
      <c r="AD423" s="26"/>
      <c r="AE423" s="115"/>
      <c r="AF423" s="85"/>
      <c r="AG423" s="67"/>
      <c r="AH423" s="67"/>
      <c r="AI423" s="85"/>
      <c r="AJ423" s="85"/>
      <c r="AK423" s="85"/>
      <c r="AL423" s="85"/>
    </row>
    <row r="424" spans="1:38">
      <c r="A424" s="26"/>
      <c r="B424" s="26"/>
      <c r="C424" s="26"/>
      <c r="D424" s="26"/>
      <c r="E424" s="26"/>
      <c r="F424" s="26"/>
      <c r="G424" s="26"/>
      <c r="H424" s="26"/>
      <c r="I424" s="26"/>
      <c r="J424" s="26"/>
      <c r="K424" s="112"/>
      <c r="L424" s="26"/>
      <c r="M424" s="26"/>
      <c r="N424" s="26"/>
      <c r="O424" s="113"/>
      <c r="P424" s="26"/>
      <c r="Q424" s="26"/>
      <c r="R424" s="26"/>
      <c r="S424" s="26"/>
      <c r="T424" s="26"/>
      <c r="U424" s="26"/>
      <c r="V424" s="26"/>
      <c r="W424" s="26"/>
      <c r="X424" s="26"/>
      <c r="Y424" s="26"/>
      <c r="Z424" s="26"/>
      <c r="AA424" s="26"/>
      <c r="AB424" s="26"/>
      <c r="AC424" s="26"/>
      <c r="AD424" s="26"/>
      <c r="AE424" s="115"/>
      <c r="AF424" s="85"/>
      <c r="AG424" s="67"/>
      <c r="AH424" s="67"/>
      <c r="AI424" s="85"/>
      <c r="AJ424" s="85"/>
      <c r="AK424" s="85"/>
      <c r="AL424" s="85"/>
    </row>
    <row r="425" spans="1:38">
      <c r="A425" s="26"/>
      <c r="B425" s="26"/>
      <c r="C425" s="26"/>
      <c r="D425" s="26"/>
      <c r="E425" s="26"/>
      <c r="F425" s="26"/>
      <c r="G425" s="26"/>
      <c r="H425" s="26"/>
      <c r="I425" s="26"/>
      <c r="J425" s="26"/>
      <c r="K425" s="112"/>
      <c r="L425" s="26"/>
      <c r="M425" s="26"/>
      <c r="N425" s="26"/>
      <c r="O425" s="113"/>
      <c r="P425" s="26"/>
      <c r="Q425" s="26"/>
      <c r="R425" s="26"/>
      <c r="S425" s="26"/>
      <c r="T425" s="26"/>
      <c r="U425" s="26"/>
      <c r="V425" s="26"/>
      <c r="W425" s="26"/>
      <c r="X425" s="26"/>
      <c r="Y425" s="26"/>
      <c r="Z425" s="26"/>
      <c r="AA425" s="26"/>
      <c r="AB425" s="26"/>
      <c r="AC425" s="26"/>
      <c r="AD425" s="26"/>
      <c r="AE425" s="115"/>
      <c r="AF425" s="85"/>
      <c r="AG425" s="67"/>
      <c r="AH425" s="67"/>
      <c r="AI425" s="85"/>
      <c r="AJ425" s="85"/>
      <c r="AK425" s="85"/>
      <c r="AL425" s="85"/>
    </row>
    <row r="426" spans="1:38">
      <c r="A426" s="26"/>
      <c r="B426" s="26"/>
      <c r="C426" s="26"/>
      <c r="D426" s="26"/>
      <c r="E426" s="26"/>
      <c r="F426" s="26"/>
      <c r="G426" s="26"/>
      <c r="H426" s="26"/>
      <c r="I426" s="26"/>
      <c r="J426" s="26"/>
      <c r="K426" s="112"/>
      <c r="L426" s="26"/>
      <c r="M426" s="26"/>
      <c r="N426" s="26"/>
      <c r="O426" s="113"/>
      <c r="P426" s="26"/>
      <c r="Q426" s="26"/>
      <c r="R426" s="26"/>
      <c r="S426" s="26"/>
      <c r="T426" s="26"/>
      <c r="U426" s="26"/>
      <c r="V426" s="26"/>
      <c r="W426" s="26"/>
      <c r="X426" s="26"/>
      <c r="Y426" s="26"/>
      <c r="Z426" s="26"/>
      <c r="AA426" s="26"/>
      <c r="AB426" s="26"/>
      <c r="AC426" s="26"/>
      <c r="AD426" s="26"/>
      <c r="AE426" s="115"/>
      <c r="AF426" s="85"/>
      <c r="AG426" s="67"/>
      <c r="AH426" s="67"/>
      <c r="AI426" s="85"/>
      <c r="AJ426" s="85"/>
      <c r="AK426" s="85"/>
      <c r="AL426" s="85"/>
    </row>
    <row r="427" spans="1:38">
      <c r="A427" s="26"/>
      <c r="B427" s="26"/>
      <c r="C427" s="26"/>
      <c r="D427" s="26"/>
      <c r="E427" s="26"/>
      <c r="F427" s="26"/>
      <c r="G427" s="26"/>
      <c r="H427" s="26"/>
      <c r="I427" s="26"/>
      <c r="J427" s="26"/>
      <c r="K427" s="112"/>
      <c r="L427" s="26"/>
      <c r="M427" s="26"/>
      <c r="N427" s="26"/>
      <c r="O427" s="113"/>
      <c r="P427" s="26"/>
      <c r="Q427" s="26"/>
      <c r="R427" s="26"/>
      <c r="S427" s="26"/>
      <c r="T427" s="26"/>
      <c r="U427" s="26"/>
      <c r="V427" s="26"/>
      <c r="W427" s="26"/>
      <c r="X427" s="26"/>
      <c r="Y427" s="26"/>
      <c r="Z427" s="26"/>
      <c r="AA427" s="26"/>
      <c r="AB427" s="26"/>
      <c r="AC427" s="26"/>
      <c r="AD427" s="26"/>
      <c r="AE427" s="115"/>
      <c r="AF427" s="85"/>
      <c r="AG427" s="67"/>
      <c r="AH427" s="67"/>
      <c r="AI427" s="85"/>
      <c r="AJ427" s="85"/>
      <c r="AK427" s="85"/>
      <c r="AL427" s="85"/>
    </row>
    <row r="428" spans="1:38">
      <c r="A428" s="26"/>
      <c r="B428" s="26"/>
      <c r="C428" s="26"/>
      <c r="D428" s="26"/>
      <c r="E428" s="26"/>
      <c r="F428" s="26"/>
      <c r="G428" s="26"/>
      <c r="H428" s="26"/>
      <c r="I428" s="26"/>
      <c r="J428" s="26"/>
      <c r="K428" s="112"/>
      <c r="L428" s="26"/>
      <c r="M428" s="26"/>
      <c r="N428" s="26"/>
      <c r="O428" s="113"/>
      <c r="P428" s="26"/>
      <c r="Q428" s="26"/>
      <c r="R428" s="26"/>
      <c r="S428" s="26"/>
      <c r="T428" s="26"/>
      <c r="U428" s="26"/>
      <c r="V428" s="26"/>
      <c r="W428" s="26"/>
      <c r="X428" s="26"/>
      <c r="Y428" s="26"/>
      <c r="Z428" s="26"/>
      <c r="AA428" s="26"/>
      <c r="AB428" s="26"/>
      <c r="AC428" s="26"/>
      <c r="AD428" s="26"/>
      <c r="AE428" s="115"/>
      <c r="AF428" s="85"/>
      <c r="AG428" s="67"/>
      <c r="AH428" s="67"/>
      <c r="AI428" s="85"/>
      <c r="AJ428" s="85"/>
      <c r="AK428" s="85"/>
      <c r="AL428" s="85"/>
    </row>
    <row r="429" spans="1:38">
      <c r="A429" s="26"/>
      <c r="B429" s="26"/>
      <c r="C429" s="26"/>
      <c r="D429" s="26"/>
      <c r="E429" s="26"/>
      <c r="F429" s="26"/>
      <c r="G429" s="26"/>
      <c r="H429" s="26"/>
      <c r="I429" s="26"/>
      <c r="J429" s="26"/>
      <c r="K429" s="112"/>
      <c r="L429" s="26"/>
      <c r="M429" s="26"/>
      <c r="N429" s="26"/>
      <c r="O429" s="113"/>
      <c r="P429" s="26"/>
      <c r="Q429" s="26"/>
      <c r="R429" s="26"/>
      <c r="S429" s="26"/>
      <c r="T429" s="26"/>
      <c r="U429" s="26"/>
      <c r="V429" s="26"/>
      <c r="W429" s="26"/>
      <c r="X429" s="26"/>
      <c r="Y429" s="26"/>
      <c r="Z429" s="26"/>
      <c r="AA429" s="26"/>
      <c r="AB429" s="26"/>
      <c r="AC429" s="26"/>
      <c r="AD429" s="26"/>
      <c r="AE429" s="115"/>
      <c r="AF429" s="85"/>
      <c r="AG429" s="67"/>
      <c r="AH429" s="67"/>
      <c r="AI429" s="85"/>
      <c r="AJ429" s="85"/>
      <c r="AK429" s="85"/>
      <c r="AL429" s="85"/>
    </row>
    <row r="430" spans="1:38">
      <c r="A430" s="26"/>
      <c r="B430" s="26"/>
      <c r="C430" s="26"/>
      <c r="D430" s="26"/>
      <c r="E430" s="26"/>
      <c r="F430" s="26"/>
      <c r="G430" s="26"/>
      <c r="H430" s="26"/>
      <c r="I430" s="26"/>
      <c r="J430" s="26"/>
      <c r="K430" s="112"/>
      <c r="L430" s="26"/>
      <c r="M430" s="26"/>
      <c r="N430" s="26"/>
      <c r="O430" s="113"/>
      <c r="P430" s="26"/>
      <c r="Q430" s="26"/>
      <c r="R430" s="26"/>
      <c r="S430" s="26"/>
      <c r="T430" s="26"/>
      <c r="U430" s="26"/>
      <c r="V430" s="26"/>
      <c r="W430" s="26"/>
      <c r="X430" s="26"/>
      <c r="Y430" s="26"/>
      <c r="Z430" s="26"/>
      <c r="AA430" s="26"/>
      <c r="AB430" s="26"/>
      <c r="AC430" s="26"/>
      <c r="AD430" s="26"/>
      <c r="AE430" s="115"/>
      <c r="AF430" s="85"/>
      <c r="AG430" s="67"/>
      <c r="AH430" s="67"/>
      <c r="AI430" s="85"/>
      <c r="AJ430" s="85"/>
      <c r="AK430" s="85"/>
      <c r="AL430" s="85"/>
    </row>
    <row r="431" spans="1:38">
      <c r="A431" s="26"/>
      <c r="B431" s="26"/>
      <c r="C431" s="26"/>
      <c r="D431" s="26"/>
      <c r="E431" s="26"/>
      <c r="F431" s="26"/>
      <c r="G431" s="26"/>
      <c r="H431" s="26"/>
      <c r="I431" s="26"/>
      <c r="J431" s="26"/>
      <c r="K431" s="112"/>
      <c r="L431" s="26"/>
      <c r="M431" s="26"/>
      <c r="N431" s="26"/>
      <c r="O431" s="113"/>
      <c r="P431" s="26"/>
      <c r="Q431" s="26"/>
      <c r="R431" s="26"/>
      <c r="S431" s="26"/>
      <c r="T431" s="26"/>
      <c r="U431" s="26"/>
      <c r="V431" s="26"/>
      <c r="W431" s="26"/>
      <c r="X431" s="26"/>
      <c r="Y431" s="26"/>
      <c r="Z431" s="26"/>
      <c r="AA431" s="26"/>
      <c r="AB431" s="26"/>
      <c r="AC431" s="26"/>
      <c r="AD431" s="26"/>
      <c r="AE431" s="115"/>
      <c r="AF431" s="85"/>
      <c r="AG431" s="67"/>
      <c r="AH431" s="67"/>
      <c r="AI431" s="85"/>
      <c r="AJ431" s="85"/>
      <c r="AK431" s="85"/>
      <c r="AL431" s="85"/>
    </row>
    <row r="432" spans="1:38">
      <c r="A432" s="26"/>
      <c r="B432" s="26"/>
      <c r="C432" s="26"/>
      <c r="D432" s="26"/>
      <c r="E432" s="26"/>
      <c r="F432" s="26"/>
      <c r="G432" s="26"/>
      <c r="H432" s="26"/>
      <c r="I432" s="26"/>
      <c r="J432" s="26"/>
      <c r="K432" s="112"/>
      <c r="L432" s="26"/>
      <c r="M432" s="26"/>
      <c r="N432" s="26"/>
      <c r="O432" s="113"/>
      <c r="P432" s="26"/>
      <c r="Q432" s="26"/>
      <c r="R432" s="26"/>
      <c r="S432" s="26"/>
      <c r="T432" s="26"/>
      <c r="U432" s="26"/>
      <c r="V432" s="26"/>
      <c r="W432" s="26"/>
      <c r="X432" s="26"/>
      <c r="Y432" s="26"/>
      <c r="Z432" s="26"/>
      <c r="AA432" s="26"/>
      <c r="AB432" s="26"/>
      <c r="AC432" s="26"/>
      <c r="AD432" s="26"/>
      <c r="AE432" s="115"/>
      <c r="AF432" s="85"/>
      <c r="AG432" s="67"/>
      <c r="AH432" s="67"/>
      <c r="AI432" s="85"/>
      <c r="AJ432" s="85"/>
      <c r="AK432" s="85"/>
      <c r="AL432" s="85"/>
    </row>
    <row r="433" spans="1:38">
      <c r="A433" s="26"/>
      <c r="B433" s="26"/>
      <c r="C433" s="26"/>
      <c r="D433" s="26"/>
      <c r="E433" s="26"/>
      <c r="F433" s="26"/>
      <c r="G433" s="26"/>
      <c r="H433" s="26"/>
      <c r="I433" s="26"/>
      <c r="J433" s="26"/>
      <c r="K433" s="112"/>
      <c r="L433" s="26"/>
      <c r="M433" s="26"/>
      <c r="N433" s="26"/>
      <c r="O433" s="113"/>
      <c r="P433" s="26"/>
      <c r="Q433" s="26"/>
      <c r="R433" s="26"/>
      <c r="S433" s="26"/>
      <c r="T433" s="26"/>
      <c r="U433" s="26"/>
      <c r="V433" s="26"/>
      <c r="W433" s="26"/>
      <c r="X433" s="26"/>
      <c r="Y433" s="26"/>
      <c r="Z433" s="26"/>
      <c r="AA433" s="26"/>
      <c r="AB433" s="26"/>
      <c r="AC433" s="26"/>
      <c r="AD433" s="26"/>
      <c r="AE433" s="115"/>
      <c r="AF433" s="85"/>
      <c r="AG433" s="67"/>
      <c r="AH433" s="67"/>
      <c r="AI433" s="85"/>
      <c r="AJ433" s="85"/>
      <c r="AK433" s="85"/>
      <c r="AL433" s="85"/>
    </row>
    <row r="434" spans="1:38">
      <c r="A434" s="26"/>
      <c r="B434" s="26"/>
      <c r="C434" s="26"/>
      <c r="D434" s="26"/>
      <c r="E434" s="26"/>
      <c r="F434" s="26"/>
      <c r="G434" s="26"/>
      <c r="H434" s="26"/>
      <c r="I434" s="26"/>
      <c r="J434" s="26"/>
      <c r="K434" s="112"/>
      <c r="L434" s="26"/>
      <c r="M434" s="26"/>
      <c r="N434" s="26"/>
      <c r="O434" s="113"/>
      <c r="P434" s="26"/>
      <c r="Q434" s="26"/>
      <c r="R434" s="26"/>
      <c r="S434" s="26"/>
      <c r="T434" s="26"/>
      <c r="U434" s="26"/>
      <c r="V434" s="26"/>
      <c r="W434" s="26"/>
      <c r="X434" s="26"/>
      <c r="Y434" s="26"/>
      <c r="Z434" s="26"/>
      <c r="AA434" s="26"/>
      <c r="AB434" s="26"/>
      <c r="AC434" s="26"/>
      <c r="AD434" s="26"/>
      <c r="AE434" s="115"/>
      <c r="AF434" s="85"/>
      <c r="AG434" s="67"/>
      <c r="AH434" s="67"/>
      <c r="AI434" s="85"/>
      <c r="AJ434" s="85"/>
      <c r="AK434" s="85"/>
      <c r="AL434" s="85"/>
    </row>
    <row r="435" spans="1:38">
      <c r="A435" s="26"/>
      <c r="B435" s="26"/>
      <c r="C435" s="26"/>
      <c r="D435" s="26"/>
      <c r="E435" s="26"/>
      <c r="F435" s="26"/>
      <c r="G435" s="26"/>
      <c r="H435" s="26"/>
      <c r="I435" s="26"/>
      <c r="J435" s="26"/>
      <c r="K435" s="112"/>
      <c r="L435" s="26"/>
      <c r="M435" s="26"/>
      <c r="N435" s="26"/>
      <c r="O435" s="113"/>
      <c r="P435" s="26"/>
      <c r="Q435" s="26"/>
      <c r="R435" s="26"/>
      <c r="S435" s="26"/>
      <c r="T435" s="26"/>
      <c r="U435" s="26"/>
      <c r="V435" s="26"/>
      <c r="W435" s="26"/>
      <c r="X435" s="26"/>
      <c r="Y435" s="26"/>
      <c r="Z435" s="26"/>
      <c r="AA435" s="26"/>
      <c r="AB435" s="26"/>
      <c r="AC435" s="26"/>
      <c r="AD435" s="26"/>
      <c r="AE435" s="115"/>
      <c r="AF435" s="85"/>
      <c r="AG435" s="67"/>
      <c r="AH435" s="67"/>
      <c r="AI435" s="85"/>
      <c r="AJ435" s="85"/>
      <c r="AK435" s="85"/>
      <c r="AL435" s="85"/>
    </row>
    <row r="436" spans="1:38">
      <c r="A436" s="26"/>
      <c r="B436" s="26"/>
      <c r="C436" s="26"/>
      <c r="D436" s="26"/>
      <c r="E436" s="26"/>
      <c r="F436" s="26"/>
      <c r="G436" s="26"/>
      <c r="H436" s="26"/>
      <c r="I436" s="26"/>
      <c r="J436" s="26"/>
      <c r="K436" s="112"/>
      <c r="L436" s="26"/>
      <c r="M436" s="26"/>
      <c r="N436" s="26"/>
      <c r="O436" s="113"/>
      <c r="P436" s="26"/>
      <c r="Q436" s="26"/>
      <c r="R436" s="26"/>
      <c r="S436" s="26"/>
      <c r="T436" s="26"/>
      <c r="U436" s="26"/>
      <c r="V436" s="26"/>
      <c r="W436" s="26"/>
      <c r="X436" s="26"/>
      <c r="Y436" s="26"/>
      <c r="Z436" s="26"/>
      <c r="AA436" s="26"/>
      <c r="AB436" s="26"/>
      <c r="AC436" s="26"/>
      <c r="AD436" s="26"/>
      <c r="AE436" s="115"/>
      <c r="AF436" s="85"/>
      <c r="AG436" s="67"/>
      <c r="AH436" s="67"/>
      <c r="AI436" s="85"/>
      <c r="AJ436" s="85"/>
      <c r="AK436" s="85"/>
      <c r="AL436" s="85"/>
    </row>
    <row r="437" spans="1:38">
      <c r="A437" s="26"/>
      <c r="B437" s="26"/>
      <c r="C437" s="26"/>
      <c r="D437" s="26"/>
      <c r="E437" s="26"/>
      <c r="F437" s="26"/>
      <c r="G437" s="26"/>
      <c r="H437" s="26"/>
      <c r="I437" s="26"/>
      <c r="J437" s="26"/>
      <c r="K437" s="112"/>
      <c r="L437" s="26"/>
      <c r="M437" s="26"/>
      <c r="N437" s="26"/>
      <c r="O437" s="113"/>
      <c r="P437" s="26"/>
      <c r="Q437" s="26"/>
      <c r="R437" s="26"/>
      <c r="S437" s="26"/>
      <c r="T437" s="26"/>
      <c r="U437" s="26"/>
      <c r="V437" s="26"/>
      <c r="W437" s="26"/>
      <c r="X437" s="26"/>
      <c r="Y437" s="26"/>
      <c r="Z437" s="26"/>
      <c r="AA437" s="26"/>
      <c r="AB437" s="26"/>
      <c r="AC437" s="26"/>
      <c r="AD437" s="26"/>
      <c r="AE437" s="115"/>
      <c r="AF437" s="85"/>
      <c r="AG437" s="67"/>
      <c r="AH437" s="67"/>
      <c r="AI437" s="85"/>
      <c r="AJ437" s="85"/>
      <c r="AK437" s="85"/>
      <c r="AL437" s="85"/>
    </row>
    <row r="438" spans="1:38">
      <c r="A438" s="26"/>
      <c r="B438" s="26"/>
      <c r="C438" s="26"/>
      <c r="D438" s="26"/>
      <c r="E438" s="26"/>
      <c r="F438" s="26"/>
      <c r="G438" s="26"/>
      <c r="H438" s="26"/>
      <c r="I438" s="26"/>
      <c r="J438" s="26"/>
      <c r="K438" s="112"/>
      <c r="L438" s="26"/>
      <c r="M438" s="26"/>
      <c r="N438" s="26"/>
      <c r="O438" s="113"/>
      <c r="P438" s="26"/>
      <c r="Q438" s="26"/>
      <c r="R438" s="26"/>
      <c r="S438" s="26"/>
      <c r="T438" s="26"/>
      <c r="U438" s="26"/>
      <c r="V438" s="26"/>
      <c r="W438" s="26"/>
      <c r="X438" s="26"/>
      <c r="Y438" s="26"/>
      <c r="Z438" s="26"/>
      <c r="AA438" s="26"/>
      <c r="AB438" s="26"/>
      <c r="AC438" s="26"/>
      <c r="AD438" s="26"/>
      <c r="AE438" s="115"/>
      <c r="AF438" s="85"/>
      <c r="AG438" s="67"/>
      <c r="AH438" s="67"/>
      <c r="AI438" s="85"/>
      <c r="AJ438" s="85"/>
      <c r="AK438" s="85"/>
      <c r="AL438" s="85"/>
    </row>
    <row r="439" spans="1:38">
      <c r="A439" s="26"/>
      <c r="B439" s="26"/>
      <c r="C439" s="26"/>
      <c r="D439" s="26"/>
      <c r="E439" s="26"/>
      <c r="F439" s="26"/>
      <c r="G439" s="26"/>
      <c r="H439" s="26"/>
      <c r="I439" s="26"/>
      <c r="J439" s="26"/>
      <c r="K439" s="112"/>
      <c r="L439" s="26"/>
      <c r="M439" s="26"/>
      <c r="N439" s="26"/>
      <c r="O439" s="113"/>
      <c r="P439" s="26"/>
      <c r="Q439" s="26"/>
      <c r="R439" s="26"/>
      <c r="S439" s="26"/>
      <c r="T439" s="26"/>
      <c r="U439" s="26"/>
      <c r="V439" s="26"/>
      <c r="W439" s="26"/>
      <c r="X439" s="26"/>
      <c r="Y439" s="26"/>
      <c r="Z439" s="26"/>
      <c r="AA439" s="26"/>
      <c r="AB439" s="26"/>
      <c r="AC439" s="26"/>
      <c r="AD439" s="26"/>
      <c r="AE439" s="115"/>
      <c r="AF439" s="85"/>
      <c r="AG439" s="67"/>
      <c r="AH439" s="67"/>
      <c r="AI439" s="85"/>
      <c r="AJ439" s="85"/>
      <c r="AK439" s="85"/>
      <c r="AL439" s="85"/>
    </row>
    <row r="440" spans="1:38">
      <c r="A440" s="26"/>
      <c r="B440" s="26"/>
      <c r="C440" s="26"/>
      <c r="D440" s="26"/>
      <c r="E440" s="26"/>
      <c r="F440" s="26"/>
      <c r="G440" s="26"/>
      <c r="H440" s="26"/>
      <c r="I440" s="26"/>
      <c r="J440" s="26"/>
      <c r="K440" s="112"/>
      <c r="L440" s="26"/>
      <c r="M440" s="26"/>
      <c r="N440" s="26"/>
      <c r="O440" s="113"/>
      <c r="P440" s="26"/>
      <c r="Q440" s="26"/>
      <c r="R440" s="26"/>
      <c r="S440" s="26"/>
      <c r="T440" s="26"/>
      <c r="U440" s="26"/>
      <c r="V440" s="26"/>
      <c r="W440" s="26"/>
      <c r="X440" s="26"/>
      <c r="Y440" s="26"/>
      <c r="Z440" s="26"/>
      <c r="AA440" s="26"/>
      <c r="AB440" s="26"/>
      <c r="AC440" s="26"/>
      <c r="AD440" s="26"/>
      <c r="AE440" s="115"/>
      <c r="AF440" s="85"/>
      <c r="AG440" s="67"/>
      <c r="AH440" s="67"/>
      <c r="AI440" s="85"/>
      <c r="AJ440" s="85"/>
      <c r="AK440" s="85"/>
      <c r="AL440" s="85"/>
    </row>
    <row r="441" spans="1:38">
      <c r="A441" s="26"/>
      <c r="B441" s="26"/>
      <c r="C441" s="26"/>
      <c r="D441" s="26"/>
      <c r="E441" s="26"/>
      <c r="F441" s="26"/>
      <c r="G441" s="26"/>
      <c r="H441" s="26"/>
      <c r="I441" s="26"/>
      <c r="J441" s="26"/>
      <c r="K441" s="112"/>
      <c r="L441" s="26"/>
      <c r="M441" s="26"/>
      <c r="N441" s="26"/>
      <c r="O441" s="113"/>
      <c r="P441" s="26"/>
      <c r="Q441" s="26"/>
      <c r="R441" s="26"/>
      <c r="S441" s="26"/>
      <c r="T441" s="26"/>
      <c r="U441" s="26"/>
      <c r="V441" s="26"/>
      <c r="W441" s="26"/>
      <c r="X441" s="26"/>
      <c r="Y441" s="26"/>
      <c r="Z441" s="26"/>
      <c r="AA441" s="26"/>
      <c r="AB441" s="26"/>
      <c r="AC441" s="26"/>
      <c r="AD441" s="26"/>
      <c r="AE441" s="115"/>
      <c r="AF441" s="85"/>
      <c r="AG441" s="67"/>
      <c r="AH441" s="67"/>
      <c r="AI441" s="85"/>
      <c r="AJ441" s="85"/>
      <c r="AK441" s="85"/>
      <c r="AL441" s="85"/>
    </row>
    <row r="442" spans="1:38">
      <c r="A442" s="26"/>
      <c r="B442" s="26"/>
      <c r="C442" s="26"/>
      <c r="D442" s="26"/>
      <c r="E442" s="26"/>
      <c r="F442" s="26"/>
      <c r="G442" s="26"/>
      <c r="H442" s="26"/>
      <c r="I442" s="26"/>
      <c r="J442" s="26"/>
      <c r="K442" s="112"/>
      <c r="L442" s="26"/>
      <c r="M442" s="26"/>
      <c r="N442" s="26"/>
      <c r="O442" s="113"/>
      <c r="P442" s="26"/>
      <c r="Q442" s="26"/>
      <c r="R442" s="26"/>
      <c r="S442" s="26"/>
      <c r="T442" s="26"/>
      <c r="U442" s="26"/>
      <c r="V442" s="26"/>
      <c r="W442" s="26"/>
      <c r="X442" s="26"/>
      <c r="Y442" s="26"/>
      <c r="Z442" s="26"/>
      <c r="AA442" s="26"/>
      <c r="AB442" s="26"/>
      <c r="AC442" s="26"/>
      <c r="AD442" s="26"/>
      <c r="AE442" s="115"/>
      <c r="AF442" s="85"/>
      <c r="AG442" s="67"/>
      <c r="AH442" s="67"/>
      <c r="AI442" s="85"/>
      <c r="AJ442" s="85"/>
      <c r="AK442" s="85"/>
      <c r="AL442" s="85"/>
    </row>
    <row r="443" spans="1:38">
      <c r="A443" s="26"/>
      <c r="B443" s="26"/>
      <c r="C443" s="26"/>
      <c r="D443" s="26"/>
      <c r="E443" s="26"/>
      <c r="F443" s="26"/>
      <c r="G443" s="26"/>
      <c r="H443" s="26"/>
      <c r="I443" s="26"/>
      <c r="J443" s="26"/>
      <c r="K443" s="112"/>
      <c r="L443" s="26"/>
      <c r="M443" s="26"/>
      <c r="N443" s="26"/>
      <c r="O443" s="113"/>
      <c r="P443" s="26"/>
      <c r="Q443" s="26"/>
      <c r="R443" s="26"/>
      <c r="S443" s="26"/>
      <c r="T443" s="26"/>
      <c r="U443" s="26"/>
      <c r="V443" s="26"/>
      <c r="W443" s="26"/>
      <c r="X443" s="26"/>
      <c r="Y443" s="26"/>
      <c r="Z443" s="26"/>
      <c r="AA443" s="26"/>
      <c r="AB443" s="26"/>
      <c r="AC443" s="26"/>
      <c r="AD443" s="26"/>
      <c r="AE443" s="115"/>
      <c r="AF443" s="85"/>
      <c r="AG443" s="67"/>
      <c r="AH443" s="67"/>
      <c r="AI443" s="85"/>
      <c r="AJ443" s="85"/>
      <c r="AK443" s="85"/>
      <c r="AL443" s="85"/>
    </row>
    <row r="444" spans="1:38">
      <c r="A444" s="26"/>
      <c r="B444" s="26"/>
      <c r="C444" s="26"/>
      <c r="D444" s="26"/>
      <c r="E444" s="26"/>
      <c r="F444" s="26"/>
      <c r="G444" s="26"/>
      <c r="H444" s="26"/>
      <c r="I444" s="26"/>
      <c r="J444" s="26"/>
      <c r="K444" s="112"/>
      <c r="L444" s="26"/>
      <c r="M444" s="26"/>
      <c r="N444" s="26"/>
      <c r="O444" s="113"/>
      <c r="P444" s="26"/>
      <c r="Q444" s="26"/>
      <c r="R444" s="26"/>
      <c r="S444" s="26"/>
      <c r="T444" s="26"/>
      <c r="U444" s="26"/>
      <c r="V444" s="26"/>
      <c r="W444" s="26"/>
      <c r="X444" s="26"/>
      <c r="Y444" s="26"/>
      <c r="Z444" s="26"/>
      <c r="AA444" s="26"/>
      <c r="AB444" s="26"/>
      <c r="AC444" s="26"/>
      <c r="AD444" s="26"/>
      <c r="AE444" s="115"/>
      <c r="AF444" s="85"/>
      <c r="AG444" s="67"/>
      <c r="AH444" s="67"/>
      <c r="AI444" s="85"/>
      <c r="AJ444" s="85"/>
      <c r="AK444" s="85"/>
      <c r="AL444" s="85"/>
    </row>
    <row r="445" spans="1:38">
      <c r="A445" s="26"/>
      <c r="B445" s="26"/>
      <c r="C445" s="26"/>
      <c r="D445" s="26"/>
      <c r="E445" s="26"/>
      <c r="F445" s="26"/>
      <c r="G445" s="26"/>
      <c r="H445" s="26"/>
      <c r="I445" s="26"/>
      <c r="J445" s="26"/>
      <c r="K445" s="112"/>
      <c r="L445" s="26"/>
      <c r="M445" s="26"/>
      <c r="N445" s="26"/>
      <c r="O445" s="113"/>
      <c r="P445" s="26"/>
      <c r="Q445" s="26"/>
      <c r="R445" s="26"/>
      <c r="S445" s="26"/>
      <c r="T445" s="26"/>
      <c r="U445" s="26"/>
      <c r="V445" s="26"/>
      <c r="W445" s="26"/>
      <c r="X445" s="26"/>
      <c r="Y445" s="26"/>
      <c r="Z445" s="26"/>
      <c r="AA445" s="26"/>
      <c r="AB445" s="26"/>
      <c r="AC445" s="26"/>
      <c r="AD445" s="26"/>
      <c r="AE445" s="115"/>
      <c r="AF445" s="85"/>
      <c r="AG445" s="67"/>
      <c r="AH445" s="67"/>
      <c r="AI445" s="85"/>
      <c r="AJ445" s="85"/>
      <c r="AK445" s="85"/>
      <c r="AL445" s="85"/>
    </row>
    <row r="446" spans="1:38">
      <c r="A446" s="26"/>
      <c r="B446" s="26"/>
      <c r="C446" s="26"/>
      <c r="D446" s="26"/>
      <c r="E446" s="26"/>
      <c r="F446" s="26"/>
      <c r="G446" s="26"/>
      <c r="H446" s="26"/>
      <c r="I446" s="26"/>
      <c r="J446" s="26"/>
      <c r="K446" s="112"/>
      <c r="L446" s="26"/>
      <c r="M446" s="26"/>
      <c r="N446" s="26"/>
      <c r="O446" s="113"/>
      <c r="P446" s="26"/>
      <c r="Q446" s="26"/>
      <c r="R446" s="26"/>
      <c r="S446" s="26"/>
      <c r="T446" s="26"/>
      <c r="U446" s="26"/>
      <c r="V446" s="26"/>
      <c r="W446" s="26"/>
      <c r="X446" s="26"/>
      <c r="Y446" s="26"/>
      <c r="Z446" s="26"/>
      <c r="AA446" s="26"/>
      <c r="AB446" s="26"/>
      <c r="AC446" s="26"/>
      <c r="AD446" s="26"/>
      <c r="AE446" s="115"/>
      <c r="AF446" s="85"/>
      <c r="AG446" s="67"/>
      <c r="AH446" s="67"/>
      <c r="AI446" s="85"/>
      <c r="AJ446" s="85"/>
      <c r="AK446" s="85"/>
      <c r="AL446" s="85"/>
    </row>
    <row r="447" spans="1:38">
      <c r="A447" s="26"/>
      <c r="B447" s="26"/>
      <c r="C447" s="26"/>
      <c r="D447" s="26"/>
      <c r="E447" s="26"/>
      <c r="F447" s="26"/>
      <c r="G447" s="26"/>
      <c r="H447" s="26"/>
      <c r="I447" s="26"/>
      <c r="J447" s="26"/>
      <c r="K447" s="112"/>
      <c r="L447" s="26"/>
      <c r="M447" s="26"/>
      <c r="N447" s="26"/>
      <c r="O447" s="113"/>
      <c r="P447" s="26"/>
      <c r="Q447" s="26"/>
      <c r="R447" s="26"/>
      <c r="S447" s="26"/>
      <c r="T447" s="26"/>
      <c r="U447" s="26"/>
      <c r="V447" s="26"/>
      <c r="W447" s="26"/>
      <c r="X447" s="26"/>
      <c r="Y447" s="26"/>
      <c r="Z447" s="26"/>
      <c r="AA447" s="26"/>
      <c r="AB447" s="26"/>
      <c r="AC447" s="26"/>
      <c r="AD447" s="26"/>
      <c r="AE447" s="115"/>
      <c r="AF447" s="85"/>
      <c r="AG447" s="67"/>
      <c r="AH447" s="67"/>
      <c r="AI447" s="85"/>
      <c r="AJ447" s="85"/>
      <c r="AK447" s="85"/>
      <c r="AL447" s="85"/>
    </row>
    <row r="448" spans="1:38">
      <c r="A448" s="26"/>
      <c r="B448" s="26"/>
      <c r="C448" s="26"/>
      <c r="D448" s="26"/>
      <c r="E448" s="26"/>
      <c r="F448" s="26"/>
      <c r="G448" s="26"/>
      <c r="H448" s="26"/>
      <c r="I448" s="26"/>
      <c r="J448" s="26"/>
      <c r="K448" s="112"/>
      <c r="L448" s="26"/>
      <c r="M448" s="26"/>
      <c r="N448" s="26"/>
      <c r="O448" s="113"/>
      <c r="P448" s="26"/>
      <c r="Q448" s="26"/>
      <c r="R448" s="26"/>
      <c r="S448" s="26"/>
      <c r="T448" s="26"/>
      <c r="U448" s="26"/>
      <c r="V448" s="26"/>
      <c r="W448" s="26"/>
      <c r="X448" s="26"/>
      <c r="Y448" s="26"/>
      <c r="Z448" s="26"/>
      <c r="AA448" s="26"/>
      <c r="AB448" s="26"/>
      <c r="AC448" s="26"/>
      <c r="AD448" s="26"/>
      <c r="AE448" s="115"/>
      <c r="AF448" s="85"/>
      <c r="AG448" s="67"/>
      <c r="AH448" s="67"/>
      <c r="AI448" s="85"/>
      <c r="AJ448" s="85"/>
      <c r="AK448" s="85"/>
      <c r="AL448" s="85"/>
    </row>
    <row r="449" spans="1:38">
      <c r="A449" s="26"/>
      <c r="B449" s="26"/>
      <c r="C449" s="26"/>
      <c r="D449" s="26"/>
      <c r="E449" s="26"/>
      <c r="F449" s="26"/>
      <c r="G449" s="26"/>
      <c r="H449" s="26"/>
      <c r="I449" s="26"/>
      <c r="J449" s="26"/>
      <c r="K449" s="112"/>
      <c r="L449" s="26"/>
      <c r="M449" s="26"/>
      <c r="N449" s="26"/>
      <c r="O449" s="113"/>
      <c r="P449" s="26"/>
      <c r="Q449" s="26"/>
      <c r="R449" s="26"/>
      <c r="S449" s="26"/>
      <c r="T449" s="26"/>
      <c r="U449" s="26"/>
      <c r="V449" s="26"/>
      <c r="W449" s="26"/>
      <c r="X449" s="26"/>
      <c r="Y449" s="26"/>
      <c r="Z449" s="26"/>
      <c r="AA449" s="26"/>
      <c r="AB449" s="26"/>
      <c r="AC449" s="26"/>
      <c r="AD449" s="26"/>
      <c r="AE449" s="115"/>
      <c r="AF449" s="85"/>
      <c r="AG449" s="67"/>
      <c r="AH449" s="67"/>
      <c r="AI449" s="85"/>
      <c r="AJ449" s="85"/>
      <c r="AK449" s="85"/>
      <c r="AL449" s="85"/>
    </row>
    <row r="450" spans="1:38">
      <c r="A450" s="26"/>
      <c r="B450" s="26"/>
      <c r="C450" s="26"/>
      <c r="D450" s="26"/>
      <c r="E450" s="26"/>
      <c r="F450" s="26"/>
      <c r="G450" s="26"/>
      <c r="H450" s="26"/>
      <c r="I450" s="26"/>
      <c r="J450" s="26"/>
      <c r="K450" s="112"/>
      <c r="L450" s="26"/>
      <c r="M450" s="26"/>
      <c r="N450" s="26"/>
      <c r="O450" s="113"/>
      <c r="P450" s="26"/>
      <c r="Q450" s="26"/>
      <c r="R450" s="26"/>
      <c r="S450" s="26"/>
      <c r="T450" s="26"/>
      <c r="U450" s="26"/>
      <c r="V450" s="26"/>
      <c r="W450" s="26"/>
      <c r="X450" s="26"/>
      <c r="Y450" s="26"/>
      <c r="Z450" s="26"/>
      <c r="AA450" s="26"/>
      <c r="AB450" s="26"/>
      <c r="AC450" s="26"/>
      <c r="AD450" s="26"/>
      <c r="AE450" s="115"/>
      <c r="AF450" s="85"/>
      <c r="AG450" s="67"/>
      <c r="AH450" s="67"/>
      <c r="AI450" s="85"/>
      <c r="AJ450" s="85"/>
      <c r="AK450" s="85"/>
      <c r="AL450" s="85"/>
    </row>
    <row r="451" spans="1:38">
      <c r="A451" s="26"/>
      <c r="B451" s="26"/>
      <c r="C451" s="26"/>
      <c r="D451" s="26"/>
      <c r="E451" s="26"/>
      <c r="F451" s="26"/>
      <c r="G451" s="26"/>
      <c r="H451" s="26"/>
      <c r="I451" s="26"/>
      <c r="J451" s="26"/>
      <c r="K451" s="112"/>
      <c r="L451" s="26"/>
      <c r="M451" s="26"/>
      <c r="N451" s="26"/>
      <c r="O451" s="113"/>
      <c r="P451" s="26"/>
      <c r="Q451" s="26"/>
      <c r="R451" s="26"/>
      <c r="S451" s="26"/>
      <c r="T451" s="26"/>
      <c r="U451" s="26"/>
      <c r="V451" s="26"/>
      <c r="W451" s="26"/>
      <c r="X451" s="26"/>
      <c r="Y451" s="26"/>
      <c r="Z451" s="26"/>
      <c r="AA451" s="26"/>
      <c r="AB451" s="26"/>
      <c r="AC451" s="26"/>
      <c r="AD451" s="26"/>
      <c r="AE451" s="115"/>
      <c r="AF451" s="85"/>
      <c r="AG451" s="67"/>
      <c r="AH451" s="67"/>
      <c r="AI451" s="85"/>
      <c r="AJ451" s="85"/>
      <c r="AK451" s="85"/>
      <c r="AL451" s="85"/>
    </row>
    <row r="452" spans="1:38">
      <c r="A452" s="26"/>
      <c r="B452" s="26"/>
      <c r="C452" s="26"/>
      <c r="D452" s="26"/>
      <c r="E452" s="26"/>
      <c r="F452" s="26"/>
      <c r="G452" s="26"/>
      <c r="H452" s="26"/>
      <c r="I452" s="26"/>
      <c r="J452" s="26"/>
      <c r="K452" s="112"/>
      <c r="L452" s="26"/>
      <c r="M452" s="26"/>
      <c r="N452" s="26"/>
      <c r="O452" s="113"/>
      <c r="P452" s="26"/>
      <c r="Q452" s="26"/>
      <c r="R452" s="26"/>
      <c r="S452" s="26"/>
      <c r="T452" s="26"/>
      <c r="U452" s="26"/>
      <c r="V452" s="26"/>
      <c r="W452" s="26"/>
      <c r="X452" s="26"/>
      <c r="Y452" s="26"/>
      <c r="Z452" s="26"/>
      <c r="AA452" s="26"/>
      <c r="AB452" s="26"/>
      <c r="AC452" s="26"/>
      <c r="AD452" s="26"/>
      <c r="AE452" s="115"/>
      <c r="AF452" s="85"/>
      <c r="AG452" s="67"/>
      <c r="AH452" s="67"/>
      <c r="AI452" s="85"/>
      <c r="AJ452" s="85"/>
      <c r="AK452" s="85"/>
      <c r="AL452" s="85"/>
    </row>
    <row r="453" spans="1:38">
      <c r="A453" s="26"/>
      <c r="B453" s="26"/>
      <c r="C453" s="26"/>
      <c r="D453" s="26"/>
      <c r="E453" s="26"/>
      <c r="F453" s="26"/>
      <c r="G453" s="26"/>
      <c r="H453" s="26"/>
      <c r="I453" s="26"/>
      <c r="J453" s="26"/>
      <c r="K453" s="112"/>
      <c r="L453" s="26"/>
      <c r="M453" s="26"/>
      <c r="N453" s="26"/>
      <c r="O453" s="113"/>
      <c r="P453" s="26"/>
      <c r="Q453" s="26"/>
      <c r="R453" s="26"/>
      <c r="S453" s="26"/>
      <c r="T453" s="26"/>
      <c r="U453" s="26"/>
      <c r="V453" s="26"/>
      <c r="W453" s="26"/>
      <c r="X453" s="26"/>
      <c r="Y453" s="26"/>
      <c r="Z453" s="26"/>
      <c r="AA453" s="26"/>
      <c r="AB453" s="26"/>
      <c r="AC453" s="26"/>
      <c r="AD453" s="26"/>
      <c r="AE453" s="115"/>
      <c r="AF453" s="85"/>
      <c r="AG453" s="67"/>
      <c r="AH453" s="67"/>
      <c r="AI453" s="85"/>
      <c r="AJ453" s="85"/>
      <c r="AK453" s="85"/>
      <c r="AL453" s="85"/>
    </row>
    <row r="454" spans="1:38">
      <c r="A454" s="26"/>
      <c r="B454" s="26"/>
      <c r="C454" s="26"/>
      <c r="D454" s="26"/>
      <c r="E454" s="26"/>
      <c r="F454" s="26"/>
      <c r="G454" s="26"/>
      <c r="H454" s="26"/>
      <c r="I454" s="26"/>
      <c r="J454" s="26"/>
      <c r="K454" s="112"/>
      <c r="L454" s="26"/>
      <c r="M454" s="26"/>
      <c r="N454" s="26"/>
      <c r="O454" s="113"/>
      <c r="P454" s="26"/>
      <c r="Q454" s="26"/>
      <c r="R454" s="26"/>
      <c r="S454" s="26"/>
      <c r="T454" s="26"/>
      <c r="U454" s="26"/>
      <c r="V454" s="26"/>
      <c r="W454" s="26"/>
      <c r="X454" s="26"/>
      <c r="Y454" s="26"/>
      <c r="Z454" s="26"/>
      <c r="AA454" s="26"/>
      <c r="AB454" s="26"/>
      <c r="AC454" s="26"/>
      <c r="AD454" s="26"/>
      <c r="AE454" s="115"/>
      <c r="AF454" s="85"/>
      <c r="AG454" s="67"/>
      <c r="AH454" s="67"/>
      <c r="AI454" s="85"/>
      <c r="AJ454" s="85"/>
      <c r="AK454" s="85"/>
      <c r="AL454" s="85"/>
    </row>
    <row r="455" spans="1:38">
      <c r="A455" s="26"/>
      <c r="B455" s="26"/>
      <c r="C455" s="26"/>
      <c r="D455" s="26"/>
      <c r="E455" s="26"/>
      <c r="F455" s="26"/>
      <c r="G455" s="26"/>
      <c r="H455" s="26"/>
      <c r="I455" s="26"/>
      <c r="J455" s="26"/>
      <c r="K455" s="112"/>
      <c r="L455" s="26"/>
      <c r="M455" s="26"/>
      <c r="N455" s="26"/>
      <c r="O455" s="113"/>
      <c r="P455" s="26"/>
      <c r="Q455" s="26"/>
      <c r="R455" s="26"/>
      <c r="S455" s="26"/>
      <c r="T455" s="26"/>
      <c r="U455" s="26"/>
      <c r="V455" s="26"/>
      <c r="W455" s="26"/>
      <c r="X455" s="26"/>
      <c r="Y455" s="26"/>
      <c r="Z455" s="26"/>
      <c r="AA455" s="26"/>
      <c r="AB455" s="26"/>
      <c r="AC455" s="26"/>
      <c r="AD455" s="26"/>
      <c r="AE455" s="115"/>
      <c r="AF455" s="85"/>
      <c r="AG455" s="67"/>
      <c r="AH455" s="67"/>
      <c r="AI455" s="85"/>
      <c r="AJ455" s="85"/>
      <c r="AK455" s="85"/>
      <c r="AL455" s="85"/>
    </row>
    <row r="456" spans="1:38">
      <c r="A456" s="26"/>
      <c r="B456" s="26"/>
      <c r="C456" s="26"/>
      <c r="D456" s="26"/>
      <c r="E456" s="26"/>
      <c r="F456" s="26"/>
      <c r="G456" s="26"/>
      <c r="H456" s="26"/>
      <c r="I456" s="26"/>
      <c r="J456" s="26"/>
      <c r="K456" s="112"/>
      <c r="L456" s="26"/>
      <c r="M456" s="26"/>
      <c r="N456" s="26"/>
      <c r="O456" s="113"/>
      <c r="P456" s="26"/>
      <c r="Q456" s="26"/>
      <c r="R456" s="26"/>
      <c r="S456" s="26"/>
      <c r="T456" s="26"/>
      <c r="U456" s="26"/>
      <c r="V456" s="26"/>
      <c r="W456" s="26"/>
      <c r="X456" s="26"/>
      <c r="Y456" s="26"/>
      <c r="Z456" s="26"/>
      <c r="AA456" s="26"/>
      <c r="AB456" s="26"/>
      <c r="AC456" s="26"/>
      <c r="AD456" s="26"/>
      <c r="AE456" s="115"/>
      <c r="AF456" s="85"/>
      <c r="AG456" s="67"/>
      <c r="AH456" s="67"/>
      <c r="AI456" s="85"/>
      <c r="AJ456" s="85"/>
      <c r="AK456" s="85"/>
      <c r="AL456" s="85"/>
    </row>
    <row r="457" spans="1:38">
      <c r="A457" s="26"/>
      <c r="B457" s="26"/>
      <c r="C457" s="26"/>
      <c r="D457" s="26"/>
      <c r="E457" s="26"/>
      <c r="F457" s="26"/>
      <c r="G457" s="26"/>
      <c r="H457" s="26"/>
      <c r="I457" s="26"/>
      <c r="J457" s="26"/>
      <c r="K457" s="112"/>
      <c r="L457" s="26"/>
      <c r="M457" s="26"/>
      <c r="N457" s="26"/>
      <c r="O457" s="113"/>
      <c r="P457" s="26"/>
      <c r="Q457" s="26"/>
      <c r="R457" s="26"/>
      <c r="S457" s="26"/>
      <c r="T457" s="26"/>
      <c r="U457" s="26"/>
      <c r="V457" s="26"/>
      <c r="W457" s="26"/>
      <c r="X457" s="26"/>
      <c r="Y457" s="26"/>
      <c r="Z457" s="26"/>
      <c r="AA457" s="26"/>
      <c r="AB457" s="26"/>
      <c r="AC457" s="26"/>
      <c r="AD457" s="26"/>
      <c r="AE457" s="115"/>
      <c r="AF457" s="85"/>
      <c r="AG457" s="67"/>
      <c r="AH457" s="67"/>
      <c r="AI457" s="85"/>
      <c r="AJ457" s="85"/>
      <c r="AK457" s="85"/>
      <c r="AL457" s="85"/>
    </row>
    <row r="458" spans="1:38">
      <c r="A458" s="26"/>
      <c r="B458" s="26"/>
      <c r="C458" s="26"/>
      <c r="D458" s="26"/>
      <c r="E458" s="26"/>
      <c r="F458" s="26"/>
      <c r="G458" s="26"/>
      <c r="H458" s="26"/>
      <c r="I458" s="26"/>
      <c r="J458" s="26"/>
      <c r="K458" s="112"/>
      <c r="L458" s="26"/>
      <c r="M458" s="26"/>
      <c r="N458" s="26"/>
      <c r="O458" s="113"/>
      <c r="P458" s="26"/>
      <c r="Q458" s="26"/>
      <c r="R458" s="26"/>
      <c r="S458" s="26"/>
      <c r="T458" s="26"/>
      <c r="U458" s="26"/>
      <c r="V458" s="26"/>
      <c r="W458" s="26"/>
      <c r="X458" s="26"/>
      <c r="Y458" s="26"/>
      <c r="Z458" s="26"/>
      <c r="AA458" s="26"/>
      <c r="AB458" s="26"/>
      <c r="AC458" s="26"/>
      <c r="AD458" s="26"/>
      <c r="AE458" s="115"/>
      <c r="AF458" s="85"/>
      <c r="AG458" s="67"/>
      <c r="AH458" s="67"/>
      <c r="AI458" s="85"/>
      <c r="AJ458" s="85"/>
      <c r="AK458" s="85"/>
      <c r="AL458" s="85"/>
    </row>
    <row r="459" spans="1:38">
      <c r="A459" s="26"/>
      <c r="B459" s="26"/>
      <c r="C459" s="26"/>
      <c r="D459" s="26"/>
      <c r="E459" s="26"/>
      <c r="F459" s="26"/>
      <c r="G459" s="26"/>
      <c r="H459" s="26"/>
      <c r="I459" s="26"/>
      <c r="J459" s="26"/>
      <c r="K459" s="112"/>
      <c r="L459" s="26"/>
      <c r="M459" s="26"/>
      <c r="N459" s="26"/>
      <c r="O459" s="113"/>
      <c r="P459" s="26"/>
      <c r="Q459" s="26"/>
      <c r="R459" s="26"/>
      <c r="S459" s="26"/>
      <c r="T459" s="26"/>
      <c r="U459" s="26"/>
      <c r="V459" s="26"/>
      <c r="W459" s="26"/>
      <c r="X459" s="26"/>
      <c r="Y459" s="26"/>
      <c r="Z459" s="26"/>
      <c r="AA459" s="26"/>
      <c r="AB459" s="26"/>
      <c r="AC459" s="26"/>
      <c r="AD459" s="26"/>
      <c r="AE459" s="115"/>
      <c r="AF459" s="85"/>
      <c r="AG459" s="67"/>
      <c r="AH459" s="67"/>
      <c r="AI459" s="85"/>
      <c r="AJ459" s="85"/>
      <c r="AK459" s="85"/>
      <c r="AL459" s="85"/>
    </row>
    <row r="460" spans="1:38">
      <c r="A460" s="26"/>
      <c r="B460" s="26"/>
      <c r="C460" s="26"/>
      <c r="D460" s="26"/>
      <c r="E460" s="26"/>
      <c r="F460" s="26"/>
      <c r="G460" s="26"/>
      <c r="H460" s="26"/>
      <c r="I460" s="26"/>
      <c r="J460" s="26"/>
      <c r="K460" s="112"/>
      <c r="L460" s="26"/>
      <c r="M460" s="26"/>
      <c r="N460" s="26"/>
      <c r="O460" s="113"/>
      <c r="P460" s="26"/>
      <c r="Q460" s="26"/>
      <c r="R460" s="26"/>
      <c r="S460" s="26"/>
      <c r="T460" s="26"/>
      <c r="U460" s="26"/>
      <c r="V460" s="26"/>
      <c r="W460" s="26"/>
      <c r="X460" s="26"/>
      <c r="Y460" s="26"/>
      <c r="Z460" s="26"/>
      <c r="AA460" s="26"/>
      <c r="AB460" s="26"/>
      <c r="AC460" s="26"/>
      <c r="AD460" s="26"/>
      <c r="AE460" s="115"/>
      <c r="AF460" s="85"/>
      <c r="AG460" s="67"/>
      <c r="AH460" s="67"/>
      <c r="AI460" s="85"/>
      <c r="AJ460" s="85"/>
      <c r="AK460" s="85"/>
      <c r="AL460" s="85"/>
    </row>
    <row r="461" spans="1:38">
      <c r="A461" s="26"/>
      <c r="B461" s="26"/>
      <c r="C461" s="26"/>
      <c r="D461" s="26"/>
      <c r="E461" s="26"/>
      <c r="F461" s="26"/>
      <c r="G461" s="26"/>
      <c r="H461" s="26"/>
      <c r="I461" s="26"/>
      <c r="J461" s="26"/>
      <c r="K461" s="112"/>
      <c r="L461" s="26"/>
      <c r="M461" s="26"/>
      <c r="N461" s="26"/>
      <c r="O461" s="113"/>
      <c r="P461" s="26"/>
      <c r="Q461" s="26"/>
      <c r="R461" s="26"/>
      <c r="S461" s="26"/>
      <c r="T461" s="26"/>
      <c r="U461" s="26"/>
      <c r="V461" s="26"/>
      <c r="W461" s="26"/>
      <c r="X461" s="26"/>
      <c r="Y461" s="26"/>
      <c r="Z461" s="26"/>
      <c r="AA461" s="26"/>
      <c r="AB461" s="26"/>
      <c r="AC461" s="26"/>
      <c r="AD461" s="26"/>
      <c r="AE461" s="115"/>
      <c r="AF461" s="85"/>
      <c r="AG461" s="67"/>
      <c r="AH461" s="67"/>
      <c r="AI461" s="85"/>
      <c r="AJ461" s="85"/>
      <c r="AK461" s="85"/>
      <c r="AL461" s="85"/>
    </row>
    <row r="462" spans="1:38">
      <c r="A462" s="26"/>
      <c r="B462" s="26"/>
      <c r="C462" s="26"/>
      <c r="D462" s="26"/>
      <c r="E462" s="26"/>
      <c r="F462" s="26"/>
      <c r="G462" s="26"/>
      <c r="H462" s="26"/>
      <c r="I462" s="26"/>
      <c r="J462" s="26"/>
      <c r="K462" s="112"/>
      <c r="L462" s="26"/>
      <c r="M462" s="26"/>
      <c r="N462" s="26"/>
      <c r="O462" s="113"/>
      <c r="P462" s="26"/>
      <c r="Q462" s="26"/>
      <c r="R462" s="26"/>
      <c r="S462" s="26"/>
      <c r="T462" s="26"/>
      <c r="U462" s="26"/>
      <c r="V462" s="26"/>
      <c r="W462" s="26"/>
      <c r="X462" s="26"/>
      <c r="Y462" s="26"/>
      <c r="Z462" s="26"/>
      <c r="AA462" s="26"/>
      <c r="AB462" s="26"/>
      <c r="AC462" s="26"/>
      <c r="AD462" s="26"/>
      <c r="AE462" s="115"/>
      <c r="AF462" s="85"/>
      <c r="AG462" s="67"/>
      <c r="AH462" s="67"/>
      <c r="AI462" s="85"/>
      <c r="AJ462" s="85"/>
      <c r="AK462" s="85"/>
      <c r="AL462" s="85"/>
    </row>
    <row r="463" spans="1:38">
      <c r="A463" s="26"/>
      <c r="B463" s="26"/>
      <c r="C463" s="26"/>
      <c r="D463" s="26"/>
      <c r="E463" s="26"/>
      <c r="F463" s="26"/>
      <c r="G463" s="26"/>
      <c r="H463" s="26"/>
      <c r="I463" s="26"/>
      <c r="J463" s="26"/>
      <c r="K463" s="112"/>
      <c r="L463" s="26"/>
      <c r="M463" s="26"/>
      <c r="N463" s="26"/>
      <c r="O463" s="113"/>
      <c r="P463" s="26"/>
      <c r="Q463" s="26"/>
      <c r="R463" s="26"/>
      <c r="S463" s="26"/>
      <c r="T463" s="26"/>
      <c r="U463" s="26"/>
      <c r="V463" s="26"/>
      <c r="W463" s="26"/>
      <c r="X463" s="26"/>
      <c r="Y463" s="26"/>
      <c r="Z463" s="26"/>
      <c r="AA463" s="26"/>
      <c r="AB463" s="26"/>
      <c r="AC463" s="26"/>
      <c r="AD463" s="26"/>
      <c r="AE463" s="115"/>
      <c r="AF463" s="85"/>
      <c r="AG463" s="67"/>
      <c r="AH463" s="67"/>
      <c r="AI463" s="85"/>
      <c r="AJ463" s="85"/>
      <c r="AK463" s="85"/>
      <c r="AL463" s="85"/>
    </row>
    <row r="464" spans="1:38">
      <c r="A464" s="26"/>
      <c r="B464" s="26"/>
      <c r="C464" s="26"/>
      <c r="D464" s="26"/>
      <c r="E464" s="26"/>
      <c r="F464" s="26"/>
      <c r="G464" s="26"/>
      <c r="H464" s="26"/>
      <c r="I464" s="26"/>
      <c r="J464" s="26"/>
      <c r="K464" s="112"/>
      <c r="L464" s="26"/>
      <c r="M464" s="26"/>
      <c r="N464" s="26"/>
      <c r="O464" s="113"/>
      <c r="P464" s="26"/>
      <c r="Q464" s="26"/>
      <c r="R464" s="26"/>
      <c r="S464" s="26"/>
      <c r="T464" s="26"/>
      <c r="U464" s="26"/>
      <c r="V464" s="26"/>
      <c r="W464" s="26"/>
      <c r="X464" s="26"/>
      <c r="Y464" s="26"/>
      <c r="Z464" s="26"/>
      <c r="AA464" s="26"/>
      <c r="AB464" s="26"/>
      <c r="AC464" s="26"/>
      <c r="AD464" s="26"/>
      <c r="AE464" s="115"/>
      <c r="AF464" s="85"/>
      <c r="AG464" s="67"/>
      <c r="AH464" s="67"/>
      <c r="AI464" s="85"/>
      <c r="AJ464" s="85"/>
      <c r="AK464" s="85"/>
      <c r="AL464" s="85"/>
    </row>
    <row r="465" spans="1:38">
      <c r="A465" s="26"/>
      <c r="B465" s="26"/>
      <c r="C465" s="26"/>
      <c r="D465" s="26"/>
      <c r="E465" s="26"/>
      <c r="F465" s="26"/>
      <c r="G465" s="26"/>
      <c r="H465" s="26"/>
      <c r="I465" s="26"/>
      <c r="J465" s="26"/>
      <c r="K465" s="112"/>
      <c r="L465" s="26"/>
      <c r="M465" s="26"/>
      <c r="N465" s="26"/>
      <c r="O465" s="113"/>
      <c r="P465" s="26"/>
      <c r="Q465" s="26"/>
      <c r="R465" s="26"/>
      <c r="S465" s="26"/>
      <c r="T465" s="26"/>
      <c r="U465" s="26"/>
      <c r="V465" s="26"/>
      <c r="W465" s="26"/>
      <c r="X465" s="26"/>
      <c r="Y465" s="26"/>
      <c r="Z465" s="26"/>
      <c r="AA465" s="26"/>
      <c r="AB465" s="26"/>
      <c r="AC465" s="26"/>
      <c r="AD465" s="26"/>
      <c r="AE465" s="115"/>
      <c r="AF465" s="85"/>
      <c r="AG465" s="67"/>
      <c r="AH465" s="67"/>
      <c r="AI465" s="85"/>
      <c r="AJ465" s="85"/>
      <c r="AK465" s="85"/>
      <c r="AL465" s="85"/>
    </row>
    <row r="466" spans="1:38">
      <c r="A466" s="26"/>
      <c r="B466" s="26"/>
      <c r="C466" s="26"/>
      <c r="D466" s="26"/>
      <c r="E466" s="26"/>
      <c r="F466" s="26"/>
      <c r="G466" s="26"/>
      <c r="H466" s="26"/>
      <c r="I466" s="26"/>
      <c r="J466" s="26"/>
      <c r="K466" s="112"/>
      <c r="L466" s="26"/>
      <c r="M466" s="26"/>
      <c r="N466" s="26"/>
      <c r="O466" s="113"/>
      <c r="P466" s="26"/>
      <c r="Q466" s="26"/>
      <c r="R466" s="26"/>
      <c r="S466" s="26"/>
      <c r="T466" s="26"/>
      <c r="U466" s="26"/>
      <c r="V466" s="26"/>
      <c r="W466" s="26"/>
      <c r="X466" s="26"/>
      <c r="Y466" s="26"/>
      <c r="Z466" s="26"/>
      <c r="AA466" s="26"/>
      <c r="AB466" s="26"/>
      <c r="AC466" s="26"/>
      <c r="AD466" s="26"/>
      <c r="AE466" s="115"/>
      <c r="AF466" s="85"/>
      <c r="AG466" s="67"/>
      <c r="AH466" s="67"/>
      <c r="AI466" s="85"/>
      <c r="AJ466" s="85"/>
      <c r="AK466" s="85"/>
      <c r="AL466" s="85"/>
    </row>
    <row r="467" spans="1:38">
      <c r="A467" s="26"/>
      <c r="B467" s="26"/>
      <c r="C467" s="26"/>
      <c r="D467" s="26"/>
      <c r="E467" s="26"/>
      <c r="F467" s="26"/>
      <c r="G467" s="26"/>
      <c r="H467" s="26"/>
      <c r="I467" s="26"/>
      <c r="J467" s="26"/>
      <c r="K467" s="112"/>
      <c r="L467" s="26"/>
      <c r="M467" s="26"/>
      <c r="N467" s="26"/>
      <c r="O467" s="113"/>
      <c r="P467" s="26"/>
      <c r="Q467" s="26"/>
      <c r="R467" s="26"/>
      <c r="S467" s="26"/>
      <c r="T467" s="26"/>
      <c r="U467" s="26"/>
      <c r="V467" s="26"/>
      <c r="W467" s="26"/>
      <c r="X467" s="26"/>
      <c r="Y467" s="26"/>
      <c r="Z467" s="26"/>
      <c r="AA467" s="26"/>
      <c r="AB467" s="26"/>
      <c r="AC467" s="26"/>
      <c r="AD467" s="26"/>
      <c r="AE467" s="115"/>
      <c r="AF467" s="85"/>
      <c r="AG467" s="67"/>
      <c r="AH467" s="67"/>
      <c r="AI467" s="85"/>
      <c r="AJ467" s="85"/>
      <c r="AK467" s="85"/>
      <c r="AL467" s="85"/>
    </row>
    <row r="468" spans="1:38">
      <c r="A468" s="26"/>
      <c r="B468" s="26"/>
      <c r="C468" s="26"/>
      <c r="D468" s="26"/>
      <c r="E468" s="26"/>
      <c r="F468" s="26"/>
      <c r="G468" s="26"/>
      <c r="H468" s="26"/>
      <c r="I468" s="26"/>
      <c r="J468" s="26"/>
      <c r="K468" s="112"/>
      <c r="L468" s="26"/>
      <c r="M468" s="26"/>
      <c r="N468" s="26"/>
      <c r="O468" s="113"/>
      <c r="P468" s="26"/>
      <c r="Q468" s="26"/>
      <c r="R468" s="26"/>
      <c r="S468" s="26"/>
      <c r="T468" s="26"/>
      <c r="U468" s="26"/>
      <c r="V468" s="26"/>
      <c r="W468" s="26"/>
      <c r="X468" s="26"/>
      <c r="Y468" s="26"/>
      <c r="Z468" s="26"/>
      <c r="AA468" s="26"/>
      <c r="AB468" s="26"/>
      <c r="AC468" s="26"/>
      <c r="AD468" s="26"/>
      <c r="AE468" s="115"/>
      <c r="AF468" s="85"/>
      <c r="AG468" s="67"/>
      <c r="AH468" s="67"/>
      <c r="AI468" s="85"/>
      <c r="AJ468" s="85"/>
      <c r="AK468" s="85"/>
      <c r="AL468" s="85"/>
    </row>
    <row r="469" spans="1:38">
      <c r="A469" s="26"/>
      <c r="B469" s="26"/>
      <c r="C469" s="26"/>
      <c r="D469" s="26"/>
      <c r="E469" s="26"/>
      <c r="F469" s="26"/>
      <c r="G469" s="26"/>
      <c r="H469" s="26"/>
      <c r="I469" s="26"/>
      <c r="J469" s="26"/>
      <c r="K469" s="112"/>
      <c r="L469" s="26"/>
      <c r="M469" s="26"/>
      <c r="N469" s="26"/>
      <c r="O469" s="113"/>
      <c r="P469" s="26"/>
      <c r="Q469" s="26"/>
      <c r="R469" s="26"/>
      <c r="S469" s="26"/>
      <c r="T469" s="26"/>
      <c r="U469" s="26"/>
      <c r="V469" s="26"/>
      <c r="W469" s="26"/>
      <c r="X469" s="26"/>
      <c r="Y469" s="26"/>
      <c r="Z469" s="26"/>
      <c r="AA469" s="26"/>
      <c r="AB469" s="26"/>
      <c r="AC469" s="26"/>
      <c r="AD469" s="26"/>
      <c r="AE469" s="115"/>
      <c r="AF469" s="85"/>
      <c r="AG469" s="67"/>
      <c r="AH469" s="67"/>
      <c r="AI469" s="85"/>
      <c r="AJ469" s="85"/>
      <c r="AK469" s="85"/>
      <c r="AL469" s="85"/>
    </row>
    <row r="470" spans="1:38">
      <c r="A470" s="26"/>
      <c r="B470" s="26"/>
      <c r="C470" s="26"/>
      <c r="D470" s="26"/>
      <c r="E470" s="26"/>
      <c r="F470" s="26"/>
      <c r="G470" s="26"/>
      <c r="H470" s="26"/>
      <c r="I470" s="26"/>
      <c r="J470" s="26"/>
      <c r="K470" s="112"/>
      <c r="L470" s="26"/>
      <c r="M470" s="26"/>
      <c r="N470" s="26"/>
      <c r="O470" s="113"/>
      <c r="P470" s="26"/>
      <c r="Q470" s="26"/>
      <c r="R470" s="26"/>
      <c r="S470" s="26"/>
      <c r="T470" s="26"/>
      <c r="U470" s="26"/>
      <c r="V470" s="26"/>
      <c r="W470" s="26"/>
      <c r="X470" s="26"/>
      <c r="Y470" s="26"/>
      <c r="Z470" s="26"/>
      <c r="AA470" s="26"/>
      <c r="AB470" s="26"/>
      <c r="AC470" s="26"/>
      <c r="AD470" s="26"/>
      <c r="AE470" s="115"/>
      <c r="AF470" s="85"/>
      <c r="AG470" s="67"/>
      <c r="AH470" s="67"/>
      <c r="AI470" s="85"/>
      <c r="AJ470" s="85"/>
      <c r="AK470" s="85"/>
      <c r="AL470" s="85"/>
    </row>
    <row r="471" spans="1:38">
      <c r="A471" s="26"/>
      <c r="B471" s="26"/>
      <c r="C471" s="26"/>
      <c r="D471" s="26"/>
      <c r="E471" s="26"/>
      <c r="F471" s="26"/>
      <c r="G471" s="26"/>
      <c r="H471" s="26"/>
      <c r="I471" s="26"/>
      <c r="J471" s="26"/>
      <c r="K471" s="112"/>
      <c r="L471" s="26"/>
      <c r="M471" s="26"/>
      <c r="N471" s="26"/>
      <c r="O471" s="113"/>
      <c r="P471" s="26"/>
      <c r="Q471" s="26"/>
      <c r="R471" s="26"/>
      <c r="S471" s="26"/>
      <c r="T471" s="26"/>
      <c r="U471" s="26"/>
      <c r="V471" s="26"/>
      <c r="W471" s="26"/>
      <c r="X471" s="26"/>
      <c r="Y471" s="26"/>
      <c r="Z471" s="26"/>
      <c r="AA471" s="26"/>
      <c r="AB471" s="26"/>
      <c r="AC471" s="26"/>
      <c r="AD471" s="26"/>
      <c r="AE471" s="115"/>
      <c r="AF471" s="85"/>
      <c r="AG471" s="67"/>
      <c r="AH471" s="67"/>
      <c r="AI471" s="85"/>
      <c r="AJ471" s="85"/>
      <c r="AK471" s="85"/>
      <c r="AL471" s="85"/>
    </row>
    <row r="472" spans="1:38">
      <c r="A472" s="26"/>
      <c r="B472" s="26"/>
      <c r="C472" s="26"/>
      <c r="D472" s="26"/>
      <c r="E472" s="26"/>
      <c r="F472" s="26"/>
      <c r="G472" s="26"/>
      <c r="H472" s="26"/>
      <c r="I472" s="26"/>
      <c r="J472" s="26"/>
      <c r="K472" s="112"/>
      <c r="L472" s="26"/>
      <c r="M472" s="26"/>
      <c r="N472" s="26"/>
      <c r="O472" s="113"/>
      <c r="P472" s="26"/>
      <c r="Q472" s="26"/>
      <c r="R472" s="26"/>
      <c r="S472" s="26"/>
      <c r="T472" s="26"/>
      <c r="U472" s="26"/>
      <c r="V472" s="26"/>
      <c r="W472" s="26"/>
      <c r="X472" s="26"/>
      <c r="Y472" s="26"/>
      <c r="Z472" s="26"/>
      <c r="AA472" s="26"/>
      <c r="AB472" s="26"/>
      <c r="AC472" s="26"/>
      <c r="AD472" s="26"/>
      <c r="AE472" s="115"/>
      <c r="AF472" s="85"/>
      <c r="AG472" s="67"/>
      <c r="AH472" s="67"/>
      <c r="AI472" s="85"/>
      <c r="AJ472" s="85"/>
      <c r="AK472" s="85"/>
      <c r="AL472" s="85"/>
    </row>
    <row r="473" spans="1:38">
      <c r="A473" s="26"/>
      <c r="B473" s="26"/>
      <c r="C473" s="26"/>
      <c r="D473" s="26"/>
      <c r="E473" s="26"/>
      <c r="F473" s="26"/>
      <c r="G473" s="26"/>
      <c r="H473" s="26"/>
      <c r="I473" s="26"/>
      <c r="J473" s="26"/>
      <c r="K473" s="112"/>
      <c r="L473" s="26"/>
      <c r="M473" s="26"/>
      <c r="N473" s="26"/>
      <c r="O473" s="113"/>
      <c r="P473" s="26"/>
      <c r="Q473" s="26"/>
      <c r="R473" s="26"/>
      <c r="S473" s="26"/>
      <c r="T473" s="26"/>
      <c r="U473" s="26"/>
      <c r="V473" s="26"/>
      <c r="W473" s="26"/>
      <c r="X473" s="26"/>
      <c r="Y473" s="26"/>
      <c r="Z473" s="26"/>
      <c r="AA473" s="26"/>
      <c r="AB473" s="26"/>
      <c r="AC473" s="26"/>
      <c r="AD473" s="26"/>
      <c r="AE473" s="115"/>
      <c r="AF473" s="85"/>
      <c r="AG473" s="67"/>
      <c r="AH473" s="67"/>
      <c r="AI473" s="85"/>
      <c r="AJ473" s="85"/>
      <c r="AK473" s="85"/>
      <c r="AL473" s="85"/>
    </row>
    <row r="474" spans="1:38">
      <c r="A474" s="26"/>
      <c r="B474" s="26"/>
      <c r="C474" s="26"/>
      <c r="D474" s="26"/>
      <c r="E474" s="26"/>
      <c r="F474" s="26"/>
      <c r="G474" s="26"/>
      <c r="H474" s="26"/>
      <c r="I474" s="26"/>
      <c r="J474" s="26"/>
      <c r="K474" s="112"/>
      <c r="L474" s="26"/>
      <c r="M474" s="26"/>
      <c r="N474" s="26"/>
      <c r="O474" s="113"/>
      <c r="P474" s="26"/>
      <c r="Q474" s="26"/>
      <c r="R474" s="26"/>
      <c r="S474" s="26"/>
      <c r="T474" s="26"/>
      <c r="U474" s="26"/>
      <c r="V474" s="26"/>
      <c r="W474" s="26"/>
      <c r="X474" s="26"/>
      <c r="Y474" s="26"/>
      <c r="Z474" s="26"/>
      <c r="AA474" s="26"/>
      <c r="AB474" s="26"/>
      <c r="AC474" s="26"/>
      <c r="AD474" s="26"/>
      <c r="AE474" s="115"/>
      <c r="AF474" s="85"/>
      <c r="AG474" s="67"/>
      <c r="AH474" s="67"/>
      <c r="AI474" s="85"/>
      <c r="AJ474" s="85"/>
      <c r="AK474" s="85"/>
      <c r="AL474" s="85"/>
    </row>
    <row r="475" spans="1:38">
      <c r="A475" s="26"/>
      <c r="B475" s="26"/>
      <c r="C475" s="26"/>
      <c r="D475" s="26"/>
      <c r="E475" s="26"/>
      <c r="F475" s="26"/>
      <c r="G475" s="26"/>
      <c r="H475" s="26"/>
      <c r="I475" s="26"/>
      <c r="J475" s="26"/>
      <c r="K475" s="112"/>
      <c r="L475" s="26"/>
      <c r="M475" s="26"/>
      <c r="N475" s="26"/>
      <c r="O475" s="113"/>
      <c r="P475" s="26"/>
      <c r="Q475" s="26"/>
      <c r="R475" s="26"/>
      <c r="S475" s="26"/>
      <c r="T475" s="26"/>
      <c r="U475" s="26"/>
      <c r="V475" s="26"/>
      <c r="W475" s="26"/>
      <c r="X475" s="26"/>
      <c r="Y475" s="26"/>
      <c r="Z475" s="26"/>
      <c r="AA475" s="26"/>
      <c r="AB475" s="26"/>
      <c r="AC475" s="26"/>
      <c r="AD475" s="26"/>
      <c r="AE475" s="115"/>
      <c r="AF475" s="85"/>
      <c r="AG475" s="67"/>
      <c r="AH475" s="67"/>
      <c r="AI475" s="85"/>
      <c r="AJ475" s="85"/>
      <c r="AK475" s="85"/>
      <c r="AL475" s="85"/>
    </row>
    <row r="476" spans="1:38">
      <c r="A476" s="26"/>
      <c r="B476" s="26"/>
      <c r="C476" s="26"/>
      <c r="D476" s="26"/>
      <c r="E476" s="26"/>
      <c r="F476" s="26"/>
      <c r="G476" s="26"/>
      <c r="H476" s="26"/>
      <c r="I476" s="26"/>
      <c r="J476" s="26"/>
      <c r="K476" s="112"/>
      <c r="L476" s="26"/>
      <c r="M476" s="26"/>
      <c r="N476" s="26"/>
      <c r="O476" s="113"/>
      <c r="P476" s="26"/>
      <c r="Q476" s="26"/>
      <c r="R476" s="26"/>
      <c r="S476" s="26"/>
      <c r="T476" s="26"/>
      <c r="U476" s="26"/>
      <c r="V476" s="26"/>
      <c r="W476" s="26"/>
      <c r="X476" s="26"/>
      <c r="Y476" s="26"/>
      <c r="Z476" s="26"/>
      <c r="AA476" s="26"/>
      <c r="AB476" s="26"/>
      <c r="AC476" s="26"/>
      <c r="AD476" s="26"/>
      <c r="AE476" s="115"/>
      <c r="AF476" s="85"/>
      <c r="AG476" s="67"/>
      <c r="AH476" s="67"/>
      <c r="AI476" s="85"/>
      <c r="AJ476" s="85"/>
      <c r="AK476" s="85"/>
      <c r="AL476" s="85"/>
    </row>
    <row r="477" spans="1:38">
      <c r="A477" s="26"/>
      <c r="B477" s="26"/>
      <c r="C477" s="26"/>
      <c r="D477" s="26"/>
      <c r="E477" s="26"/>
      <c r="F477" s="26"/>
      <c r="G477" s="26"/>
      <c r="H477" s="26"/>
      <c r="I477" s="26"/>
      <c r="J477" s="26"/>
      <c r="K477" s="112"/>
      <c r="L477" s="26"/>
      <c r="M477" s="26"/>
      <c r="N477" s="26"/>
      <c r="O477" s="113"/>
      <c r="P477" s="26"/>
      <c r="Q477" s="26"/>
      <c r="R477" s="26"/>
      <c r="S477" s="26"/>
      <c r="T477" s="26"/>
      <c r="U477" s="26"/>
      <c r="V477" s="26"/>
      <c r="W477" s="26"/>
      <c r="X477" s="26"/>
      <c r="Y477" s="26"/>
      <c r="Z477" s="26"/>
      <c r="AA477" s="26"/>
      <c r="AB477" s="26"/>
      <c r="AC477" s="26"/>
      <c r="AD477" s="26"/>
      <c r="AE477" s="115"/>
      <c r="AF477" s="85"/>
      <c r="AG477" s="67"/>
      <c r="AH477" s="67"/>
      <c r="AI477" s="85"/>
      <c r="AJ477" s="85"/>
      <c r="AK477" s="85"/>
      <c r="AL477" s="85"/>
    </row>
    <row r="478" spans="1:38">
      <c r="A478" s="26"/>
      <c r="B478" s="26"/>
      <c r="C478" s="26"/>
      <c r="D478" s="26"/>
      <c r="E478" s="26"/>
      <c r="F478" s="26"/>
      <c r="G478" s="26"/>
      <c r="H478" s="26"/>
      <c r="I478" s="26"/>
      <c r="J478" s="26"/>
      <c r="K478" s="112"/>
      <c r="L478" s="26"/>
      <c r="M478" s="26"/>
      <c r="N478" s="26"/>
      <c r="O478" s="113"/>
      <c r="P478" s="26"/>
      <c r="Q478" s="26"/>
      <c r="R478" s="26"/>
      <c r="S478" s="26"/>
      <c r="T478" s="26"/>
      <c r="U478" s="26"/>
      <c r="V478" s="26"/>
      <c r="W478" s="26"/>
      <c r="X478" s="26"/>
      <c r="Y478" s="26"/>
      <c r="Z478" s="26"/>
      <c r="AA478" s="26"/>
      <c r="AB478" s="26"/>
      <c r="AC478" s="26"/>
      <c r="AD478" s="26"/>
      <c r="AE478" s="115"/>
      <c r="AF478" s="85"/>
      <c r="AG478" s="67"/>
      <c r="AH478" s="67"/>
      <c r="AI478" s="85"/>
      <c r="AJ478" s="85"/>
      <c r="AK478" s="85"/>
      <c r="AL478" s="85"/>
    </row>
    <row r="479" spans="1:38">
      <c r="A479" s="26"/>
      <c r="B479" s="26"/>
      <c r="C479" s="26"/>
      <c r="D479" s="26"/>
      <c r="E479" s="26"/>
      <c r="F479" s="26"/>
      <c r="G479" s="26"/>
      <c r="H479" s="26"/>
      <c r="I479" s="26"/>
      <c r="J479" s="26"/>
      <c r="K479" s="112"/>
      <c r="L479" s="26"/>
      <c r="M479" s="26"/>
      <c r="N479" s="26"/>
      <c r="O479" s="113"/>
      <c r="P479" s="26"/>
      <c r="Q479" s="26"/>
      <c r="R479" s="26"/>
      <c r="S479" s="26"/>
      <c r="T479" s="26"/>
      <c r="U479" s="26"/>
      <c r="V479" s="26"/>
      <c r="W479" s="26"/>
      <c r="X479" s="26"/>
      <c r="Y479" s="26"/>
      <c r="Z479" s="26"/>
      <c r="AA479" s="26"/>
      <c r="AB479" s="26"/>
      <c r="AC479" s="26"/>
      <c r="AD479" s="26"/>
      <c r="AE479" s="115"/>
      <c r="AF479" s="85"/>
      <c r="AG479" s="67"/>
      <c r="AH479" s="67"/>
      <c r="AI479" s="85"/>
      <c r="AJ479" s="85"/>
      <c r="AK479" s="85"/>
      <c r="AL479" s="85"/>
    </row>
    <row r="480" spans="1:38">
      <c r="A480" s="26"/>
      <c r="B480" s="26"/>
      <c r="C480" s="26"/>
      <c r="D480" s="26"/>
      <c r="E480" s="26"/>
      <c r="F480" s="26"/>
      <c r="G480" s="26"/>
      <c r="H480" s="26"/>
      <c r="I480" s="26"/>
      <c r="J480" s="26"/>
      <c r="K480" s="112"/>
      <c r="L480" s="26"/>
      <c r="M480" s="26"/>
      <c r="N480" s="26"/>
      <c r="O480" s="113"/>
      <c r="P480" s="26"/>
      <c r="Q480" s="26"/>
      <c r="R480" s="26"/>
      <c r="S480" s="26"/>
      <c r="T480" s="26"/>
      <c r="U480" s="26"/>
      <c r="V480" s="26"/>
      <c r="W480" s="26"/>
      <c r="X480" s="26"/>
      <c r="Y480" s="26"/>
      <c r="Z480" s="26"/>
      <c r="AA480" s="26"/>
      <c r="AB480" s="26"/>
      <c r="AC480" s="26"/>
      <c r="AD480" s="26"/>
      <c r="AE480" s="115"/>
      <c r="AF480" s="85"/>
      <c r="AG480" s="67"/>
      <c r="AH480" s="67"/>
      <c r="AI480" s="85"/>
      <c r="AJ480" s="85"/>
      <c r="AK480" s="85"/>
      <c r="AL480" s="85"/>
    </row>
    <row r="481" spans="1:38">
      <c r="A481" s="26"/>
      <c r="B481" s="26"/>
      <c r="C481" s="26"/>
      <c r="D481" s="26"/>
      <c r="E481" s="26"/>
      <c r="F481" s="26"/>
      <c r="G481" s="26"/>
      <c r="H481" s="26"/>
      <c r="I481" s="26"/>
      <c r="J481" s="26"/>
      <c r="K481" s="112"/>
      <c r="L481" s="26"/>
      <c r="M481" s="26"/>
      <c r="N481" s="26"/>
      <c r="O481" s="113"/>
      <c r="P481" s="26"/>
      <c r="Q481" s="26"/>
      <c r="R481" s="26"/>
      <c r="S481" s="26"/>
      <c r="T481" s="26"/>
      <c r="U481" s="26"/>
      <c r="V481" s="26"/>
      <c r="W481" s="26"/>
      <c r="X481" s="26"/>
      <c r="Y481" s="26"/>
      <c r="Z481" s="26"/>
      <c r="AA481" s="26"/>
      <c r="AB481" s="26"/>
      <c r="AC481" s="26"/>
      <c r="AD481" s="26"/>
      <c r="AE481" s="115"/>
      <c r="AF481" s="85"/>
      <c r="AG481" s="67"/>
      <c r="AH481" s="67"/>
      <c r="AI481" s="85"/>
      <c r="AJ481" s="85"/>
      <c r="AK481" s="85"/>
      <c r="AL481" s="85"/>
    </row>
    <row r="482" spans="1:38">
      <c r="A482" s="26"/>
      <c r="B482" s="26"/>
      <c r="C482" s="26"/>
      <c r="D482" s="26"/>
      <c r="E482" s="26"/>
      <c r="F482" s="26"/>
      <c r="G482" s="26"/>
      <c r="H482" s="26"/>
      <c r="I482" s="26"/>
      <c r="J482" s="26"/>
      <c r="K482" s="112"/>
      <c r="L482" s="26"/>
      <c r="M482" s="26"/>
      <c r="N482" s="26"/>
      <c r="O482" s="113"/>
      <c r="P482" s="26"/>
      <c r="Q482" s="26"/>
      <c r="R482" s="26"/>
      <c r="S482" s="26"/>
      <c r="T482" s="26"/>
      <c r="U482" s="26"/>
      <c r="V482" s="26"/>
      <c r="W482" s="26"/>
      <c r="X482" s="26"/>
      <c r="Y482" s="26"/>
      <c r="Z482" s="26"/>
      <c r="AA482" s="26"/>
      <c r="AB482" s="26"/>
      <c r="AC482" s="26"/>
      <c r="AD482" s="26"/>
      <c r="AE482" s="115"/>
      <c r="AF482" s="85"/>
      <c r="AG482" s="67"/>
      <c r="AH482" s="67"/>
      <c r="AI482" s="85"/>
      <c r="AJ482" s="85"/>
      <c r="AK482" s="85"/>
      <c r="AL482" s="85"/>
    </row>
    <row r="483" spans="1:38">
      <c r="A483" s="26"/>
      <c r="B483" s="26"/>
      <c r="C483" s="26"/>
      <c r="D483" s="26"/>
      <c r="E483" s="26"/>
      <c r="F483" s="26"/>
      <c r="G483" s="26"/>
      <c r="H483" s="26"/>
      <c r="I483" s="26"/>
      <c r="J483" s="26"/>
      <c r="K483" s="112"/>
      <c r="L483" s="26"/>
      <c r="M483" s="26"/>
      <c r="N483" s="26"/>
      <c r="O483" s="113"/>
      <c r="P483" s="26"/>
      <c r="Q483" s="26"/>
      <c r="R483" s="26"/>
      <c r="S483" s="26"/>
      <c r="T483" s="26"/>
      <c r="U483" s="26"/>
      <c r="V483" s="26"/>
      <c r="W483" s="26"/>
      <c r="X483" s="26"/>
      <c r="Y483" s="26"/>
      <c r="Z483" s="26"/>
      <c r="AA483" s="26"/>
      <c r="AB483" s="26"/>
      <c r="AC483" s="26"/>
      <c r="AD483" s="26"/>
      <c r="AE483" s="115"/>
      <c r="AF483" s="85"/>
      <c r="AG483" s="67"/>
      <c r="AH483" s="67"/>
      <c r="AI483" s="85"/>
      <c r="AJ483" s="85"/>
      <c r="AK483" s="85"/>
      <c r="AL483" s="85"/>
    </row>
    <row r="484" spans="1:38">
      <c r="A484" s="26"/>
      <c r="B484" s="26"/>
      <c r="C484" s="26"/>
      <c r="D484" s="26"/>
      <c r="E484" s="26"/>
      <c r="F484" s="26"/>
      <c r="G484" s="26"/>
      <c r="H484" s="26"/>
      <c r="I484" s="26"/>
      <c r="J484" s="26"/>
      <c r="K484" s="112"/>
      <c r="L484" s="26"/>
      <c r="M484" s="26"/>
      <c r="N484" s="26"/>
      <c r="O484" s="113"/>
      <c r="P484" s="26"/>
      <c r="Q484" s="26"/>
      <c r="R484" s="26"/>
      <c r="S484" s="26"/>
      <c r="T484" s="26"/>
      <c r="U484" s="26"/>
      <c r="V484" s="26"/>
      <c r="W484" s="26"/>
      <c r="X484" s="26"/>
      <c r="Y484" s="26"/>
      <c r="Z484" s="26"/>
      <c r="AA484" s="26"/>
      <c r="AB484" s="26"/>
      <c r="AC484" s="26"/>
      <c r="AD484" s="26"/>
      <c r="AE484" s="115"/>
      <c r="AF484" s="85"/>
      <c r="AG484" s="67"/>
      <c r="AH484" s="67"/>
      <c r="AI484" s="85"/>
      <c r="AJ484" s="85"/>
      <c r="AK484" s="85"/>
      <c r="AL484" s="85"/>
    </row>
    <row r="485" spans="1:38">
      <c r="A485" s="26"/>
      <c r="B485" s="26"/>
      <c r="C485" s="26"/>
      <c r="D485" s="26"/>
      <c r="E485" s="26"/>
      <c r="F485" s="26"/>
      <c r="G485" s="26"/>
      <c r="H485" s="26"/>
      <c r="I485" s="26"/>
      <c r="J485" s="26"/>
      <c r="K485" s="112"/>
      <c r="L485" s="26"/>
      <c r="M485" s="26"/>
      <c r="N485" s="26"/>
      <c r="O485" s="113"/>
      <c r="P485" s="26"/>
      <c r="Q485" s="26"/>
      <c r="R485" s="26"/>
      <c r="S485" s="26"/>
      <c r="T485" s="26"/>
      <c r="U485" s="26"/>
      <c r="V485" s="26"/>
      <c r="W485" s="26"/>
      <c r="X485" s="26"/>
      <c r="Y485" s="26"/>
      <c r="Z485" s="26"/>
      <c r="AA485" s="26"/>
      <c r="AB485" s="26"/>
      <c r="AC485" s="26"/>
      <c r="AD485" s="26"/>
      <c r="AE485" s="115"/>
      <c r="AF485" s="85"/>
      <c r="AG485" s="67"/>
      <c r="AH485" s="67"/>
      <c r="AI485" s="85"/>
      <c r="AJ485" s="85"/>
      <c r="AK485" s="85"/>
      <c r="AL485" s="85"/>
    </row>
    <row r="486" spans="1:38">
      <c r="A486" s="26"/>
      <c r="B486" s="26"/>
      <c r="C486" s="26"/>
      <c r="D486" s="26"/>
      <c r="E486" s="26"/>
      <c r="F486" s="26"/>
      <c r="G486" s="26"/>
      <c r="H486" s="26"/>
      <c r="I486" s="26"/>
      <c r="J486" s="26"/>
      <c r="K486" s="112"/>
      <c r="L486" s="26"/>
      <c r="M486" s="26"/>
      <c r="N486" s="26"/>
      <c r="O486" s="113"/>
      <c r="P486" s="26"/>
      <c r="Q486" s="26"/>
      <c r="R486" s="26"/>
      <c r="S486" s="26"/>
      <c r="T486" s="26"/>
      <c r="U486" s="26"/>
      <c r="V486" s="26"/>
      <c r="W486" s="26"/>
      <c r="X486" s="26"/>
      <c r="Y486" s="26"/>
      <c r="Z486" s="26"/>
      <c r="AA486" s="26"/>
      <c r="AB486" s="26"/>
      <c r="AC486" s="26"/>
      <c r="AD486" s="26"/>
      <c r="AE486" s="115"/>
      <c r="AF486" s="85"/>
      <c r="AG486" s="67"/>
      <c r="AH486" s="67"/>
      <c r="AI486" s="85"/>
      <c r="AJ486" s="85"/>
      <c r="AK486" s="85"/>
      <c r="AL486" s="85"/>
    </row>
    <row r="487" spans="1:38">
      <c r="A487" s="26"/>
      <c r="B487" s="26"/>
      <c r="C487" s="26"/>
      <c r="D487" s="26"/>
      <c r="E487" s="26"/>
      <c r="F487" s="26"/>
      <c r="G487" s="26"/>
      <c r="H487" s="26"/>
      <c r="I487" s="26"/>
      <c r="J487" s="26"/>
      <c r="K487" s="112"/>
      <c r="L487" s="26"/>
      <c r="M487" s="26"/>
      <c r="N487" s="26"/>
      <c r="O487" s="113"/>
      <c r="P487" s="26"/>
      <c r="Q487" s="26"/>
      <c r="R487" s="26"/>
      <c r="S487" s="26"/>
      <c r="T487" s="26"/>
      <c r="U487" s="26"/>
      <c r="V487" s="26"/>
      <c r="W487" s="26"/>
      <c r="X487" s="26"/>
      <c r="Y487" s="26"/>
      <c r="Z487" s="26"/>
      <c r="AA487" s="26"/>
      <c r="AB487" s="26"/>
      <c r="AC487" s="26"/>
      <c r="AD487" s="26"/>
      <c r="AE487" s="115"/>
      <c r="AF487" s="85"/>
      <c r="AG487" s="67"/>
      <c r="AH487" s="67"/>
      <c r="AI487" s="85"/>
      <c r="AJ487" s="85"/>
      <c r="AK487" s="85"/>
      <c r="AL487" s="85"/>
    </row>
    <row r="488" spans="1:38">
      <c r="A488" s="26"/>
      <c r="B488" s="26"/>
      <c r="C488" s="26"/>
      <c r="D488" s="26"/>
      <c r="E488" s="26"/>
      <c r="F488" s="26"/>
      <c r="G488" s="26"/>
      <c r="H488" s="26"/>
      <c r="I488" s="26"/>
      <c r="J488" s="26"/>
      <c r="K488" s="112"/>
      <c r="L488" s="26"/>
      <c r="M488" s="26"/>
      <c r="N488" s="26"/>
      <c r="O488" s="113"/>
      <c r="P488" s="26"/>
      <c r="Q488" s="26"/>
      <c r="R488" s="26"/>
      <c r="S488" s="26"/>
      <c r="T488" s="26"/>
      <c r="U488" s="26"/>
      <c r="V488" s="26"/>
      <c r="W488" s="26"/>
      <c r="X488" s="26"/>
      <c r="Y488" s="26"/>
      <c r="Z488" s="26"/>
      <c r="AA488" s="26"/>
      <c r="AB488" s="26"/>
      <c r="AC488" s="26"/>
      <c r="AD488" s="26"/>
      <c r="AE488" s="115"/>
      <c r="AF488" s="85"/>
      <c r="AG488" s="67"/>
      <c r="AH488" s="67"/>
      <c r="AI488" s="85"/>
      <c r="AJ488" s="85"/>
      <c r="AK488" s="85"/>
      <c r="AL488" s="85"/>
    </row>
    <row r="489" spans="1:38">
      <c r="A489" s="26"/>
      <c r="B489" s="26"/>
      <c r="C489" s="26"/>
      <c r="D489" s="26"/>
      <c r="E489" s="26"/>
      <c r="F489" s="26"/>
      <c r="G489" s="26"/>
      <c r="H489" s="26"/>
      <c r="I489" s="26"/>
      <c r="J489" s="26"/>
      <c r="K489" s="112"/>
      <c r="L489" s="26"/>
      <c r="M489" s="26"/>
      <c r="N489" s="26"/>
      <c r="O489" s="113"/>
      <c r="P489" s="26"/>
      <c r="Q489" s="26"/>
      <c r="R489" s="26"/>
      <c r="S489" s="26"/>
      <c r="T489" s="26"/>
      <c r="U489" s="26"/>
      <c r="V489" s="26"/>
      <c r="W489" s="26"/>
      <c r="X489" s="26"/>
      <c r="Y489" s="26"/>
      <c r="Z489" s="26"/>
      <c r="AA489" s="26"/>
      <c r="AB489" s="26"/>
      <c r="AC489" s="26"/>
      <c r="AD489" s="26"/>
      <c r="AE489" s="115"/>
      <c r="AF489" s="85"/>
      <c r="AG489" s="67"/>
      <c r="AH489" s="67"/>
      <c r="AI489" s="85"/>
      <c r="AJ489" s="85"/>
      <c r="AK489" s="85"/>
      <c r="AL489" s="85"/>
    </row>
    <row r="490" spans="1:38">
      <c r="A490" s="26"/>
      <c r="B490" s="26"/>
      <c r="C490" s="26"/>
      <c r="D490" s="26"/>
      <c r="E490" s="26"/>
      <c r="F490" s="26"/>
      <c r="G490" s="26"/>
      <c r="H490" s="26"/>
      <c r="I490" s="26"/>
      <c r="J490" s="26"/>
      <c r="K490" s="112"/>
      <c r="L490" s="26"/>
      <c r="M490" s="26"/>
      <c r="N490" s="26"/>
      <c r="O490" s="113"/>
      <c r="P490" s="26"/>
      <c r="Q490" s="26"/>
      <c r="R490" s="26"/>
      <c r="S490" s="26"/>
      <c r="T490" s="26"/>
      <c r="U490" s="26"/>
      <c r="V490" s="26"/>
      <c r="W490" s="26"/>
      <c r="X490" s="26"/>
      <c r="Y490" s="26"/>
      <c r="Z490" s="26"/>
      <c r="AA490" s="26"/>
      <c r="AB490" s="26"/>
      <c r="AC490" s="26"/>
      <c r="AD490" s="26"/>
      <c r="AE490" s="115"/>
      <c r="AF490" s="85"/>
      <c r="AG490" s="67"/>
      <c r="AH490" s="67"/>
      <c r="AI490" s="85"/>
      <c r="AJ490" s="85"/>
      <c r="AK490" s="85"/>
      <c r="AL490" s="85"/>
    </row>
    <row r="491" spans="1:38">
      <c r="A491" s="26"/>
      <c r="B491" s="26"/>
      <c r="C491" s="26"/>
      <c r="D491" s="26"/>
      <c r="E491" s="26"/>
      <c r="F491" s="26"/>
      <c r="G491" s="26"/>
      <c r="H491" s="26"/>
      <c r="I491" s="26"/>
      <c r="J491" s="26"/>
      <c r="K491" s="112"/>
      <c r="L491" s="26"/>
      <c r="M491" s="26"/>
      <c r="N491" s="26"/>
      <c r="O491" s="113"/>
      <c r="P491" s="26"/>
      <c r="Q491" s="26"/>
      <c r="R491" s="26"/>
      <c r="S491" s="26"/>
      <c r="T491" s="26"/>
      <c r="U491" s="26"/>
      <c r="V491" s="26"/>
      <c r="W491" s="26"/>
      <c r="X491" s="26"/>
      <c r="Y491" s="26"/>
      <c r="Z491" s="26"/>
      <c r="AA491" s="26"/>
      <c r="AB491" s="26"/>
      <c r="AC491" s="26"/>
      <c r="AD491" s="26"/>
      <c r="AE491" s="115"/>
      <c r="AF491" s="85"/>
      <c r="AG491" s="67"/>
      <c r="AH491" s="67"/>
      <c r="AI491" s="85"/>
      <c r="AJ491" s="85"/>
      <c r="AK491" s="85"/>
      <c r="AL491" s="85"/>
    </row>
    <row r="492" spans="1:38">
      <c r="A492" s="26"/>
      <c r="B492" s="26"/>
      <c r="C492" s="26"/>
      <c r="D492" s="26"/>
      <c r="E492" s="26"/>
      <c r="F492" s="26"/>
      <c r="G492" s="26"/>
      <c r="H492" s="26"/>
      <c r="I492" s="26"/>
      <c r="J492" s="26"/>
      <c r="K492" s="112"/>
      <c r="L492" s="26"/>
      <c r="M492" s="26"/>
      <c r="N492" s="26"/>
      <c r="O492" s="113"/>
      <c r="P492" s="26"/>
      <c r="Q492" s="26"/>
      <c r="R492" s="26"/>
      <c r="S492" s="26"/>
      <c r="T492" s="26"/>
      <c r="U492" s="26"/>
      <c r="V492" s="26"/>
      <c r="W492" s="26"/>
      <c r="X492" s="26"/>
      <c r="Y492" s="26"/>
      <c r="Z492" s="26"/>
      <c r="AA492" s="26"/>
      <c r="AB492" s="26"/>
      <c r="AC492" s="26"/>
      <c r="AD492" s="26"/>
      <c r="AE492" s="115"/>
      <c r="AF492" s="85"/>
      <c r="AG492" s="67"/>
      <c r="AH492" s="67"/>
      <c r="AI492" s="85"/>
      <c r="AJ492" s="85"/>
      <c r="AK492" s="85"/>
      <c r="AL492" s="85"/>
    </row>
    <row r="493" spans="1:38">
      <c r="A493" s="26"/>
      <c r="B493" s="26"/>
      <c r="C493" s="26"/>
      <c r="D493" s="26"/>
      <c r="E493" s="26"/>
      <c r="F493" s="26"/>
      <c r="G493" s="26"/>
      <c r="H493" s="26"/>
      <c r="I493" s="26"/>
      <c r="J493" s="26"/>
      <c r="K493" s="112"/>
      <c r="L493" s="26"/>
      <c r="M493" s="26"/>
      <c r="N493" s="26"/>
      <c r="O493" s="113"/>
      <c r="P493" s="26"/>
      <c r="Q493" s="26"/>
      <c r="R493" s="26"/>
      <c r="S493" s="26"/>
      <c r="T493" s="26"/>
      <c r="U493" s="26"/>
      <c r="V493" s="26"/>
      <c r="W493" s="26"/>
      <c r="X493" s="26"/>
      <c r="Y493" s="26"/>
      <c r="Z493" s="26"/>
      <c r="AA493" s="26"/>
      <c r="AB493" s="26"/>
      <c r="AC493" s="26"/>
      <c r="AD493" s="26"/>
      <c r="AE493" s="115"/>
      <c r="AF493" s="85"/>
      <c r="AG493" s="67"/>
      <c r="AH493" s="67"/>
      <c r="AI493" s="85"/>
      <c r="AJ493" s="85"/>
      <c r="AK493" s="85"/>
      <c r="AL493" s="85"/>
    </row>
    <row r="494" spans="1:38">
      <c r="A494" s="26"/>
      <c r="B494" s="26"/>
      <c r="C494" s="26"/>
      <c r="D494" s="26"/>
      <c r="E494" s="26"/>
      <c r="F494" s="26"/>
      <c r="G494" s="26"/>
      <c r="H494" s="26"/>
      <c r="I494" s="26"/>
      <c r="J494" s="26"/>
      <c r="K494" s="112"/>
      <c r="L494" s="26"/>
      <c r="M494" s="26"/>
      <c r="N494" s="26"/>
      <c r="O494" s="113"/>
      <c r="P494" s="26"/>
      <c r="Q494" s="26"/>
      <c r="R494" s="26"/>
      <c r="S494" s="26"/>
      <c r="T494" s="26"/>
      <c r="U494" s="26"/>
      <c r="V494" s="26"/>
      <c r="W494" s="26"/>
      <c r="X494" s="26"/>
      <c r="Y494" s="26"/>
      <c r="Z494" s="26"/>
      <c r="AA494" s="26"/>
      <c r="AB494" s="26"/>
      <c r="AC494" s="26"/>
      <c r="AD494" s="26"/>
      <c r="AE494" s="115"/>
      <c r="AF494" s="85"/>
      <c r="AG494" s="67"/>
      <c r="AH494" s="67"/>
      <c r="AI494" s="85"/>
      <c r="AJ494" s="85"/>
      <c r="AK494" s="85"/>
      <c r="AL494" s="85"/>
    </row>
    <row r="495" spans="1:38">
      <c r="A495" s="26"/>
      <c r="B495" s="26"/>
      <c r="C495" s="26"/>
      <c r="D495" s="26"/>
      <c r="E495" s="26"/>
      <c r="F495" s="26"/>
      <c r="G495" s="26"/>
      <c r="H495" s="26"/>
      <c r="I495" s="26"/>
      <c r="J495" s="26"/>
      <c r="K495" s="112"/>
      <c r="L495" s="26"/>
      <c r="M495" s="26"/>
      <c r="N495" s="26"/>
      <c r="O495" s="113"/>
      <c r="P495" s="26"/>
      <c r="Q495" s="26"/>
      <c r="R495" s="26"/>
      <c r="S495" s="26"/>
      <c r="T495" s="26"/>
      <c r="U495" s="26"/>
      <c r="V495" s="26"/>
      <c r="W495" s="26"/>
      <c r="X495" s="26"/>
      <c r="Y495" s="26"/>
      <c r="Z495" s="26"/>
      <c r="AA495" s="26"/>
      <c r="AB495" s="26"/>
      <c r="AC495" s="26"/>
      <c r="AD495" s="26"/>
      <c r="AE495" s="115"/>
      <c r="AF495" s="85"/>
      <c r="AG495" s="67"/>
      <c r="AH495" s="67"/>
      <c r="AI495" s="85"/>
      <c r="AJ495" s="85"/>
      <c r="AK495" s="85"/>
      <c r="AL495" s="85"/>
    </row>
    <row r="496" spans="1:38">
      <c r="A496" s="26"/>
      <c r="B496" s="26"/>
      <c r="C496" s="26"/>
      <c r="D496" s="26"/>
      <c r="E496" s="26"/>
      <c r="F496" s="26"/>
      <c r="G496" s="26"/>
      <c r="H496" s="26"/>
      <c r="I496" s="26"/>
      <c r="J496" s="26"/>
      <c r="K496" s="112"/>
      <c r="L496" s="26"/>
      <c r="M496" s="26"/>
      <c r="N496" s="26"/>
      <c r="O496" s="113"/>
      <c r="P496" s="26"/>
      <c r="Q496" s="26"/>
      <c r="R496" s="26"/>
      <c r="S496" s="26"/>
      <c r="T496" s="26"/>
      <c r="U496" s="26"/>
      <c r="V496" s="26"/>
      <c r="W496" s="26"/>
      <c r="X496" s="26"/>
      <c r="Y496" s="26"/>
      <c r="Z496" s="26"/>
      <c r="AA496" s="26"/>
      <c r="AB496" s="26"/>
      <c r="AC496" s="26"/>
      <c r="AD496" s="26"/>
      <c r="AE496" s="115"/>
      <c r="AF496" s="85"/>
      <c r="AG496" s="67"/>
      <c r="AH496" s="67"/>
      <c r="AI496" s="85"/>
      <c r="AJ496" s="85"/>
      <c r="AK496" s="85"/>
      <c r="AL496" s="85"/>
    </row>
    <row r="497" spans="1:38">
      <c r="A497" s="26"/>
      <c r="B497" s="26"/>
      <c r="C497" s="26"/>
      <c r="D497" s="26"/>
      <c r="E497" s="26"/>
      <c r="F497" s="26"/>
      <c r="G497" s="26"/>
      <c r="H497" s="26"/>
      <c r="I497" s="26"/>
      <c r="J497" s="26"/>
      <c r="K497" s="112"/>
      <c r="L497" s="26"/>
      <c r="M497" s="26"/>
      <c r="N497" s="26"/>
      <c r="O497" s="113"/>
      <c r="P497" s="26"/>
      <c r="Q497" s="26"/>
      <c r="R497" s="26"/>
      <c r="S497" s="26"/>
      <c r="T497" s="26"/>
      <c r="U497" s="26"/>
      <c r="V497" s="26"/>
      <c r="W497" s="26"/>
      <c r="X497" s="26"/>
      <c r="Y497" s="26"/>
      <c r="Z497" s="26"/>
      <c r="AA497" s="26"/>
      <c r="AB497" s="26"/>
      <c r="AC497" s="26"/>
      <c r="AD497" s="26"/>
      <c r="AE497" s="115"/>
      <c r="AF497" s="85"/>
      <c r="AG497" s="67"/>
      <c r="AH497" s="67"/>
      <c r="AI497" s="85"/>
      <c r="AJ497" s="85"/>
      <c r="AK497" s="85"/>
      <c r="AL497" s="85"/>
    </row>
    <row r="498" spans="1:38">
      <c r="A498" s="26"/>
      <c r="B498" s="26"/>
      <c r="C498" s="26"/>
      <c r="D498" s="26"/>
      <c r="E498" s="26"/>
      <c r="F498" s="26"/>
      <c r="G498" s="26"/>
      <c r="H498" s="26"/>
      <c r="I498" s="26"/>
      <c r="J498" s="26"/>
      <c r="K498" s="112"/>
      <c r="L498" s="26"/>
      <c r="M498" s="26"/>
      <c r="N498" s="26"/>
      <c r="O498" s="113"/>
      <c r="P498" s="26"/>
      <c r="Q498" s="26"/>
      <c r="R498" s="26"/>
      <c r="S498" s="26"/>
      <c r="T498" s="26"/>
      <c r="U498" s="26"/>
      <c r="V498" s="26"/>
      <c r="W498" s="26"/>
      <c r="X498" s="26"/>
      <c r="Y498" s="26"/>
      <c r="Z498" s="26"/>
      <c r="AA498" s="26"/>
      <c r="AB498" s="26"/>
      <c r="AC498" s="26"/>
      <c r="AD498" s="26"/>
      <c r="AE498" s="115"/>
      <c r="AF498" s="85"/>
      <c r="AG498" s="67"/>
      <c r="AH498" s="67"/>
      <c r="AI498" s="85"/>
      <c r="AJ498" s="85"/>
      <c r="AK498" s="85"/>
      <c r="AL498" s="85"/>
    </row>
    <row r="499" spans="1:38">
      <c r="A499" s="26"/>
      <c r="B499" s="26"/>
      <c r="C499" s="26"/>
      <c r="D499" s="26"/>
      <c r="E499" s="26"/>
      <c r="F499" s="26"/>
      <c r="G499" s="26"/>
      <c r="H499" s="26"/>
      <c r="I499" s="26"/>
      <c r="J499" s="26"/>
      <c r="K499" s="112"/>
      <c r="L499" s="26"/>
      <c r="M499" s="26"/>
      <c r="N499" s="26"/>
      <c r="O499" s="113"/>
      <c r="P499" s="26"/>
      <c r="Q499" s="26"/>
      <c r="R499" s="26"/>
      <c r="S499" s="26"/>
      <c r="T499" s="26"/>
      <c r="U499" s="26"/>
      <c r="V499" s="26"/>
      <c r="W499" s="26"/>
      <c r="X499" s="26"/>
      <c r="Y499" s="26"/>
      <c r="Z499" s="26"/>
      <c r="AA499" s="26"/>
      <c r="AB499" s="26"/>
      <c r="AC499" s="26"/>
      <c r="AD499" s="26"/>
      <c r="AE499" s="115"/>
      <c r="AF499" s="85"/>
      <c r="AG499" s="67"/>
      <c r="AH499" s="67"/>
      <c r="AI499" s="85"/>
      <c r="AJ499" s="85"/>
      <c r="AK499" s="85"/>
      <c r="AL499" s="85"/>
    </row>
    <row r="500" spans="1:38">
      <c r="A500" s="26"/>
      <c r="B500" s="26"/>
      <c r="C500" s="26"/>
      <c r="D500" s="26"/>
      <c r="E500" s="26"/>
      <c r="F500" s="26"/>
      <c r="G500" s="26"/>
      <c r="H500" s="26"/>
      <c r="I500" s="26"/>
      <c r="J500" s="26"/>
      <c r="K500" s="112"/>
      <c r="L500" s="26"/>
      <c r="M500" s="26"/>
      <c r="N500" s="26"/>
      <c r="O500" s="113"/>
      <c r="P500" s="26"/>
      <c r="Q500" s="26"/>
      <c r="R500" s="26"/>
      <c r="S500" s="26"/>
      <c r="T500" s="26"/>
      <c r="U500" s="26"/>
      <c r="V500" s="26"/>
      <c r="W500" s="26"/>
      <c r="X500" s="26"/>
      <c r="Y500" s="26"/>
      <c r="Z500" s="26"/>
      <c r="AA500" s="26"/>
      <c r="AB500" s="26"/>
      <c r="AC500" s="26"/>
      <c r="AD500" s="26"/>
      <c r="AE500" s="115"/>
      <c r="AF500" s="85"/>
      <c r="AG500" s="67"/>
      <c r="AH500" s="67"/>
      <c r="AI500" s="85"/>
      <c r="AJ500" s="85"/>
      <c r="AK500" s="85"/>
      <c r="AL500" s="85"/>
    </row>
    <row r="501" spans="1:38">
      <c r="A501" s="26"/>
      <c r="B501" s="26"/>
      <c r="C501" s="26"/>
      <c r="D501" s="26"/>
      <c r="E501" s="26"/>
      <c r="F501" s="26"/>
      <c r="G501" s="26"/>
      <c r="H501" s="26"/>
      <c r="I501" s="26"/>
      <c r="J501" s="26"/>
      <c r="K501" s="112"/>
      <c r="L501" s="26"/>
      <c r="M501" s="26"/>
      <c r="N501" s="26"/>
      <c r="O501" s="113"/>
      <c r="P501" s="26"/>
      <c r="Q501" s="26"/>
      <c r="R501" s="26"/>
      <c r="S501" s="26"/>
      <c r="T501" s="26"/>
      <c r="U501" s="26"/>
      <c r="V501" s="26"/>
      <c r="W501" s="26"/>
      <c r="X501" s="26"/>
      <c r="Y501" s="26"/>
      <c r="Z501" s="26"/>
      <c r="AA501" s="26"/>
      <c r="AB501" s="26"/>
      <c r="AC501" s="26"/>
      <c r="AD501" s="26"/>
      <c r="AE501" s="115"/>
      <c r="AF501" s="85"/>
      <c r="AG501" s="67"/>
      <c r="AH501" s="67"/>
      <c r="AI501" s="85"/>
      <c r="AJ501" s="85"/>
      <c r="AK501" s="85"/>
      <c r="AL501" s="85"/>
    </row>
    <row r="502" spans="1:38">
      <c r="A502" s="26"/>
      <c r="B502" s="26"/>
      <c r="C502" s="26"/>
      <c r="D502" s="26"/>
      <c r="E502" s="26"/>
      <c r="F502" s="26"/>
      <c r="G502" s="26"/>
      <c r="H502" s="26"/>
      <c r="I502" s="26"/>
      <c r="J502" s="26"/>
      <c r="K502" s="112"/>
      <c r="L502" s="26"/>
      <c r="M502" s="26"/>
      <c r="N502" s="26"/>
      <c r="O502" s="113"/>
      <c r="P502" s="26"/>
      <c r="Q502" s="26"/>
      <c r="R502" s="26"/>
      <c r="S502" s="26"/>
      <c r="T502" s="26"/>
      <c r="U502" s="26"/>
      <c r="V502" s="26"/>
      <c r="W502" s="26"/>
      <c r="X502" s="26"/>
      <c r="Y502" s="26"/>
      <c r="Z502" s="26"/>
      <c r="AA502" s="26"/>
      <c r="AB502" s="26"/>
      <c r="AC502" s="26"/>
      <c r="AD502" s="26"/>
      <c r="AE502" s="115"/>
      <c r="AF502" s="85"/>
      <c r="AG502" s="67"/>
      <c r="AH502" s="67"/>
      <c r="AI502" s="85"/>
      <c r="AJ502" s="85"/>
      <c r="AK502" s="85"/>
      <c r="AL502" s="85"/>
    </row>
    <row r="503" spans="1:38">
      <c r="A503" s="26"/>
      <c r="B503" s="26"/>
      <c r="C503" s="26"/>
      <c r="D503" s="26"/>
      <c r="E503" s="26"/>
      <c r="F503" s="26"/>
      <c r="G503" s="26"/>
      <c r="H503" s="26"/>
      <c r="I503" s="26"/>
      <c r="J503" s="26"/>
      <c r="K503" s="112"/>
      <c r="L503" s="26"/>
      <c r="M503" s="26"/>
      <c r="N503" s="26"/>
      <c r="O503" s="113"/>
      <c r="P503" s="26"/>
      <c r="Q503" s="26"/>
      <c r="R503" s="26"/>
      <c r="S503" s="26"/>
      <c r="T503" s="26"/>
      <c r="U503" s="26"/>
      <c r="V503" s="26"/>
      <c r="W503" s="26"/>
      <c r="X503" s="26"/>
      <c r="Y503" s="26"/>
      <c r="Z503" s="26"/>
      <c r="AA503" s="26"/>
      <c r="AB503" s="26"/>
      <c r="AC503" s="26"/>
      <c r="AD503" s="26"/>
      <c r="AE503" s="115"/>
      <c r="AF503" s="85"/>
      <c r="AG503" s="67"/>
      <c r="AH503" s="67"/>
      <c r="AI503" s="85"/>
      <c r="AJ503" s="85"/>
      <c r="AK503" s="85"/>
      <c r="AL503" s="85"/>
    </row>
    <row r="504" spans="1:38">
      <c r="A504" s="26"/>
      <c r="B504" s="26"/>
      <c r="C504" s="26"/>
      <c r="D504" s="26"/>
      <c r="E504" s="26"/>
      <c r="F504" s="26"/>
      <c r="G504" s="26"/>
      <c r="H504" s="26"/>
      <c r="I504" s="26"/>
      <c r="J504" s="26"/>
      <c r="K504" s="112"/>
      <c r="L504" s="26"/>
      <c r="M504" s="26"/>
      <c r="N504" s="26"/>
      <c r="O504" s="113"/>
      <c r="P504" s="26"/>
      <c r="Q504" s="26"/>
      <c r="R504" s="26"/>
      <c r="S504" s="26"/>
      <c r="T504" s="26"/>
      <c r="U504" s="26"/>
      <c r="V504" s="26"/>
      <c r="W504" s="26"/>
      <c r="X504" s="26"/>
      <c r="Y504" s="26"/>
      <c r="Z504" s="26"/>
      <c r="AA504" s="26"/>
      <c r="AB504" s="26"/>
      <c r="AC504" s="26"/>
      <c r="AD504" s="26"/>
      <c r="AE504" s="115"/>
      <c r="AF504" s="85"/>
      <c r="AG504" s="67"/>
      <c r="AH504" s="67"/>
      <c r="AI504" s="85"/>
      <c r="AJ504" s="85"/>
      <c r="AK504" s="85"/>
      <c r="AL504" s="85"/>
    </row>
    <row r="505" spans="1:38">
      <c r="A505" s="26"/>
      <c r="B505" s="26"/>
      <c r="C505" s="26"/>
      <c r="D505" s="26"/>
      <c r="E505" s="26"/>
      <c r="F505" s="26"/>
      <c r="G505" s="26"/>
      <c r="H505" s="26"/>
      <c r="I505" s="26"/>
      <c r="J505" s="26"/>
      <c r="K505" s="112"/>
      <c r="L505" s="26"/>
      <c r="M505" s="26"/>
      <c r="N505" s="26"/>
      <c r="O505" s="113"/>
      <c r="P505" s="26"/>
      <c r="Q505" s="26"/>
      <c r="R505" s="26"/>
      <c r="S505" s="26"/>
      <c r="T505" s="26"/>
      <c r="U505" s="26"/>
      <c r="V505" s="26"/>
      <c r="W505" s="26"/>
      <c r="X505" s="26"/>
      <c r="Y505" s="26"/>
      <c r="Z505" s="26"/>
      <c r="AA505" s="26"/>
      <c r="AB505" s="26"/>
      <c r="AC505" s="26"/>
      <c r="AD505" s="26"/>
      <c r="AE505" s="115"/>
      <c r="AF505" s="85"/>
      <c r="AG505" s="67"/>
      <c r="AH505" s="67"/>
      <c r="AI505" s="85"/>
      <c r="AJ505" s="85"/>
      <c r="AK505" s="85"/>
      <c r="AL505" s="85"/>
    </row>
    <row r="506" spans="1:38">
      <c r="A506" s="26"/>
      <c r="B506" s="26"/>
      <c r="C506" s="26"/>
      <c r="D506" s="26"/>
      <c r="E506" s="26"/>
      <c r="F506" s="26"/>
      <c r="G506" s="26"/>
      <c r="H506" s="26"/>
      <c r="I506" s="26"/>
      <c r="J506" s="26"/>
      <c r="K506" s="112"/>
      <c r="L506" s="26"/>
      <c r="M506" s="26"/>
      <c r="N506" s="26"/>
      <c r="O506" s="113"/>
      <c r="P506" s="26"/>
      <c r="Q506" s="26"/>
      <c r="R506" s="26"/>
      <c r="S506" s="26"/>
      <c r="T506" s="26"/>
      <c r="U506" s="26"/>
      <c r="V506" s="26"/>
      <c r="W506" s="26"/>
      <c r="X506" s="26"/>
      <c r="Y506" s="26"/>
      <c r="Z506" s="26"/>
      <c r="AA506" s="26"/>
      <c r="AB506" s="26"/>
      <c r="AC506" s="26"/>
      <c r="AD506" s="26"/>
      <c r="AE506" s="115"/>
      <c r="AF506" s="85"/>
      <c r="AG506" s="67"/>
      <c r="AH506" s="67"/>
      <c r="AI506" s="85"/>
      <c r="AJ506" s="85"/>
      <c r="AK506" s="85"/>
      <c r="AL506" s="85"/>
    </row>
    <row r="507" spans="1:38">
      <c r="A507" s="26"/>
      <c r="B507" s="26"/>
      <c r="C507" s="26"/>
      <c r="D507" s="26"/>
      <c r="E507" s="26"/>
      <c r="F507" s="26"/>
      <c r="G507" s="26"/>
      <c r="H507" s="26"/>
      <c r="I507" s="26"/>
      <c r="J507" s="26"/>
      <c r="K507" s="112"/>
      <c r="L507" s="26"/>
      <c r="M507" s="26"/>
      <c r="N507" s="26"/>
      <c r="O507" s="113"/>
      <c r="P507" s="26"/>
      <c r="Q507" s="26"/>
      <c r="R507" s="26"/>
      <c r="S507" s="26"/>
      <c r="T507" s="26"/>
      <c r="U507" s="26"/>
      <c r="V507" s="26"/>
      <c r="W507" s="26"/>
      <c r="X507" s="26"/>
      <c r="Y507" s="26"/>
      <c r="Z507" s="26"/>
      <c r="AA507" s="26"/>
      <c r="AB507" s="26"/>
      <c r="AC507" s="26"/>
      <c r="AD507" s="26"/>
      <c r="AE507" s="115"/>
      <c r="AF507" s="85"/>
      <c r="AG507" s="67"/>
      <c r="AH507" s="67"/>
      <c r="AI507" s="85"/>
      <c r="AJ507" s="85"/>
      <c r="AK507" s="85"/>
      <c r="AL507" s="85"/>
    </row>
    <row r="508" spans="1:38">
      <c r="A508" s="26"/>
      <c r="B508" s="26"/>
      <c r="C508" s="26"/>
      <c r="D508" s="26"/>
      <c r="E508" s="26"/>
      <c r="F508" s="26"/>
      <c r="G508" s="26"/>
      <c r="H508" s="26"/>
      <c r="I508" s="26"/>
      <c r="J508" s="26"/>
      <c r="K508" s="112"/>
      <c r="L508" s="26"/>
      <c r="M508" s="26"/>
      <c r="N508" s="26"/>
      <c r="O508" s="113"/>
      <c r="P508" s="26"/>
      <c r="Q508" s="26"/>
      <c r="R508" s="26"/>
      <c r="S508" s="26"/>
      <c r="T508" s="26"/>
      <c r="U508" s="26"/>
      <c r="V508" s="26"/>
      <c r="W508" s="26"/>
      <c r="X508" s="26"/>
      <c r="Y508" s="26"/>
      <c r="Z508" s="26"/>
      <c r="AA508" s="26"/>
      <c r="AB508" s="26"/>
      <c r="AC508" s="26"/>
      <c r="AD508" s="26"/>
      <c r="AE508" s="115"/>
      <c r="AF508" s="85"/>
      <c r="AG508" s="67"/>
      <c r="AH508" s="67"/>
      <c r="AI508" s="85"/>
      <c r="AJ508" s="85"/>
      <c r="AK508" s="85"/>
      <c r="AL508" s="85"/>
    </row>
    <row r="509" spans="1:38">
      <c r="A509" s="26"/>
      <c r="B509" s="26"/>
      <c r="C509" s="26"/>
      <c r="D509" s="26"/>
      <c r="E509" s="26"/>
      <c r="F509" s="26"/>
      <c r="G509" s="26"/>
      <c r="H509" s="26"/>
      <c r="I509" s="26"/>
      <c r="J509" s="26"/>
      <c r="K509" s="112"/>
      <c r="L509" s="26"/>
      <c r="M509" s="26"/>
      <c r="N509" s="26"/>
      <c r="O509" s="113"/>
      <c r="P509" s="26"/>
      <c r="Q509" s="26"/>
      <c r="R509" s="26"/>
      <c r="S509" s="26"/>
      <c r="T509" s="26"/>
      <c r="U509" s="26"/>
      <c r="V509" s="26"/>
      <c r="W509" s="26"/>
      <c r="X509" s="26"/>
      <c r="Y509" s="26"/>
      <c r="Z509" s="26"/>
      <c r="AA509" s="26"/>
      <c r="AB509" s="26"/>
      <c r="AC509" s="26"/>
      <c r="AD509" s="26"/>
      <c r="AE509" s="115"/>
      <c r="AF509" s="85"/>
      <c r="AG509" s="67"/>
      <c r="AH509" s="67"/>
      <c r="AI509" s="85"/>
      <c r="AJ509" s="85"/>
      <c r="AK509" s="85"/>
      <c r="AL509" s="85"/>
    </row>
    <row r="510" spans="1:38">
      <c r="A510" s="26"/>
      <c r="B510" s="26"/>
      <c r="C510" s="26"/>
      <c r="D510" s="26"/>
      <c r="E510" s="26"/>
      <c r="F510" s="26"/>
      <c r="G510" s="26"/>
      <c r="H510" s="26"/>
      <c r="I510" s="26"/>
      <c r="J510" s="26"/>
      <c r="K510" s="112"/>
      <c r="L510" s="26"/>
      <c r="M510" s="26"/>
      <c r="N510" s="26"/>
      <c r="O510" s="113"/>
      <c r="P510" s="26"/>
      <c r="Q510" s="26"/>
      <c r="R510" s="26"/>
      <c r="S510" s="26"/>
      <c r="T510" s="26"/>
      <c r="U510" s="26"/>
      <c r="V510" s="26"/>
      <c r="W510" s="26"/>
      <c r="X510" s="26"/>
      <c r="Y510" s="26"/>
      <c r="Z510" s="26"/>
      <c r="AA510" s="26"/>
      <c r="AB510" s="26"/>
      <c r="AC510" s="26"/>
      <c r="AD510" s="26"/>
      <c r="AE510" s="115"/>
      <c r="AF510" s="85"/>
      <c r="AG510" s="67"/>
      <c r="AH510" s="67"/>
      <c r="AI510" s="85"/>
      <c r="AJ510" s="85"/>
      <c r="AK510" s="85"/>
      <c r="AL510" s="85"/>
    </row>
    <row r="511" spans="1:38">
      <c r="A511" s="26"/>
      <c r="B511" s="26"/>
      <c r="C511" s="26"/>
      <c r="D511" s="26"/>
      <c r="E511" s="26"/>
      <c r="F511" s="26"/>
      <c r="G511" s="26"/>
      <c r="H511" s="26"/>
      <c r="I511" s="26"/>
      <c r="J511" s="26"/>
      <c r="K511" s="112"/>
      <c r="L511" s="26"/>
      <c r="M511" s="26"/>
      <c r="N511" s="26"/>
      <c r="O511" s="113"/>
      <c r="P511" s="26"/>
      <c r="Q511" s="26"/>
      <c r="R511" s="26"/>
      <c r="S511" s="26"/>
      <c r="T511" s="26"/>
      <c r="U511" s="26"/>
      <c r="V511" s="26"/>
      <c r="W511" s="26"/>
      <c r="X511" s="26"/>
      <c r="Y511" s="26"/>
      <c r="Z511" s="26"/>
      <c r="AA511" s="26"/>
      <c r="AB511" s="26"/>
      <c r="AC511" s="26"/>
      <c r="AD511" s="26"/>
      <c r="AE511" s="115"/>
      <c r="AF511" s="85"/>
      <c r="AG511" s="67"/>
      <c r="AH511" s="67"/>
      <c r="AI511" s="85"/>
      <c r="AJ511" s="85"/>
      <c r="AK511" s="85"/>
      <c r="AL511" s="85"/>
    </row>
    <row r="512" spans="1:38">
      <c r="A512" s="26"/>
      <c r="B512" s="26"/>
      <c r="C512" s="26"/>
      <c r="D512" s="26"/>
      <c r="E512" s="26"/>
      <c r="F512" s="26"/>
      <c r="G512" s="26"/>
      <c r="H512" s="26"/>
      <c r="I512" s="26"/>
      <c r="J512" s="26"/>
      <c r="K512" s="112"/>
      <c r="L512" s="26"/>
      <c r="M512" s="26"/>
      <c r="N512" s="26"/>
      <c r="O512" s="113"/>
      <c r="P512" s="26"/>
      <c r="Q512" s="26"/>
      <c r="R512" s="26"/>
      <c r="S512" s="26"/>
      <c r="T512" s="26"/>
      <c r="U512" s="26"/>
      <c r="V512" s="26"/>
      <c r="W512" s="26"/>
      <c r="X512" s="26"/>
      <c r="Y512" s="26"/>
      <c r="Z512" s="26"/>
      <c r="AA512" s="26"/>
      <c r="AB512" s="26"/>
      <c r="AC512" s="26"/>
      <c r="AD512" s="26"/>
      <c r="AE512" s="115"/>
      <c r="AF512" s="85"/>
      <c r="AG512" s="67"/>
      <c r="AH512" s="67"/>
      <c r="AI512" s="85"/>
      <c r="AJ512" s="85"/>
      <c r="AK512" s="85"/>
      <c r="AL512" s="85"/>
    </row>
    <row r="513" spans="1:38">
      <c r="A513" s="26"/>
      <c r="B513" s="26"/>
      <c r="C513" s="26"/>
      <c r="D513" s="26"/>
      <c r="E513" s="26"/>
      <c r="F513" s="26"/>
      <c r="G513" s="26"/>
      <c r="H513" s="26"/>
      <c r="I513" s="26"/>
      <c r="J513" s="26"/>
      <c r="K513" s="112"/>
      <c r="L513" s="26"/>
      <c r="M513" s="26"/>
      <c r="N513" s="26"/>
      <c r="O513" s="113"/>
      <c r="P513" s="26"/>
      <c r="Q513" s="26"/>
      <c r="R513" s="26"/>
      <c r="S513" s="26"/>
      <c r="T513" s="26"/>
      <c r="U513" s="26"/>
      <c r="V513" s="26"/>
      <c r="W513" s="26"/>
      <c r="X513" s="26"/>
      <c r="Y513" s="26"/>
      <c r="Z513" s="26"/>
      <c r="AA513" s="26"/>
      <c r="AB513" s="26"/>
      <c r="AC513" s="26"/>
      <c r="AD513" s="26"/>
      <c r="AE513" s="115"/>
      <c r="AF513" s="85"/>
      <c r="AG513" s="67"/>
      <c r="AH513" s="67"/>
      <c r="AI513" s="85"/>
      <c r="AJ513" s="85"/>
      <c r="AK513" s="85"/>
      <c r="AL513" s="85"/>
    </row>
    <row r="514" spans="1:38">
      <c r="A514" s="26"/>
      <c r="B514" s="26"/>
      <c r="C514" s="26"/>
      <c r="D514" s="26"/>
      <c r="E514" s="26"/>
      <c r="F514" s="26"/>
      <c r="G514" s="26"/>
      <c r="H514" s="26"/>
      <c r="I514" s="26"/>
      <c r="J514" s="26"/>
      <c r="K514" s="112"/>
      <c r="L514" s="26"/>
      <c r="M514" s="26"/>
      <c r="N514" s="26"/>
      <c r="O514" s="113"/>
      <c r="P514" s="26"/>
      <c r="Q514" s="26"/>
      <c r="R514" s="26"/>
      <c r="S514" s="26"/>
      <c r="T514" s="26"/>
      <c r="U514" s="26"/>
      <c r="V514" s="26"/>
      <c r="W514" s="26"/>
      <c r="X514" s="26"/>
      <c r="Y514" s="26"/>
      <c r="Z514" s="26"/>
      <c r="AA514" s="26"/>
      <c r="AB514" s="26"/>
      <c r="AC514" s="26"/>
      <c r="AD514" s="26"/>
      <c r="AE514" s="115"/>
      <c r="AF514" s="85"/>
      <c r="AG514" s="67"/>
      <c r="AH514" s="67"/>
      <c r="AI514" s="85"/>
      <c r="AJ514" s="85"/>
      <c r="AK514" s="85"/>
      <c r="AL514" s="85"/>
    </row>
    <row r="515" spans="1:38">
      <c r="A515" s="26"/>
      <c r="B515" s="26"/>
      <c r="C515" s="26"/>
      <c r="D515" s="26"/>
      <c r="E515" s="26"/>
      <c r="F515" s="26"/>
      <c r="G515" s="26"/>
      <c r="H515" s="26"/>
      <c r="I515" s="26"/>
      <c r="J515" s="26"/>
      <c r="K515" s="112"/>
      <c r="L515" s="26"/>
      <c r="M515" s="26"/>
      <c r="N515" s="26"/>
      <c r="O515" s="113"/>
      <c r="P515" s="26"/>
      <c r="Q515" s="26"/>
      <c r="R515" s="26"/>
      <c r="S515" s="26"/>
      <c r="T515" s="26"/>
      <c r="U515" s="26"/>
      <c r="V515" s="26"/>
      <c r="W515" s="26"/>
      <c r="X515" s="26"/>
      <c r="Y515" s="26"/>
      <c r="Z515" s="26"/>
      <c r="AA515" s="26"/>
      <c r="AB515" s="26"/>
      <c r="AC515" s="26"/>
      <c r="AD515" s="26"/>
      <c r="AE515" s="115"/>
      <c r="AF515" s="85"/>
      <c r="AG515" s="67"/>
      <c r="AH515" s="67"/>
      <c r="AI515" s="85"/>
      <c r="AJ515" s="85"/>
      <c r="AK515" s="85"/>
      <c r="AL515" s="85"/>
    </row>
    <row r="516" spans="1:38">
      <c r="A516" s="26"/>
      <c r="B516" s="26"/>
      <c r="C516" s="26"/>
      <c r="D516" s="26"/>
      <c r="E516" s="26"/>
      <c r="F516" s="26"/>
      <c r="G516" s="26"/>
      <c r="H516" s="26"/>
      <c r="I516" s="26"/>
      <c r="J516" s="26"/>
      <c r="K516" s="112"/>
      <c r="L516" s="26"/>
      <c r="M516" s="26"/>
      <c r="N516" s="26"/>
      <c r="O516" s="113"/>
      <c r="P516" s="26"/>
      <c r="Q516" s="26"/>
      <c r="R516" s="26"/>
      <c r="S516" s="26"/>
      <c r="T516" s="26"/>
      <c r="U516" s="26"/>
      <c r="V516" s="26"/>
      <c r="W516" s="26"/>
      <c r="X516" s="26"/>
      <c r="Y516" s="26"/>
      <c r="Z516" s="26"/>
      <c r="AA516" s="26"/>
      <c r="AB516" s="26"/>
      <c r="AC516" s="26"/>
      <c r="AD516" s="26"/>
      <c r="AE516" s="115"/>
      <c r="AF516" s="85"/>
      <c r="AG516" s="67"/>
      <c r="AH516" s="67"/>
      <c r="AI516" s="85"/>
      <c r="AJ516" s="85"/>
      <c r="AK516" s="85"/>
      <c r="AL516" s="85"/>
    </row>
    <row r="517" spans="1:38">
      <c r="A517" s="26"/>
      <c r="B517" s="26"/>
      <c r="C517" s="26"/>
      <c r="D517" s="26"/>
      <c r="E517" s="26"/>
      <c r="F517" s="26"/>
      <c r="G517" s="26"/>
      <c r="H517" s="26"/>
      <c r="I517" s="26"/>
      <c r="J517" s="26"/>
      <c r="K517" s="112"/>
      <c r="L517" s="26"/>
      <c r="M517" s="26"/>
      <c r="N517" s="26"/>
      <c r="O517" s="113"/>
      <c r="P517" s="26"/>
      <c r="Q517" s="26"/>
      <c r="R517" s="26"/>
      <c r="S517" s="26"/>
      <c r="T517" s="26"/>
      <c r="U517" s="26"/>
      <c r="V517" s="26"/>
      <c r="W517" s="26"/>
      <c r="X517" s="26"/>
      <c r="Y517" s="26"/>
      <c r="Z517" s="26"/>
      <c r="AA517" s="26"/>
      <c r="AB517" s="26"/>
      <c r="AC517" s="26"/>
      <c r="AD517" s="26"/>
      <c r="AE517" s="115"/>
      <c r="AF517" s="85"/>
      <c r="AG517" s="67"/>
      <c r="AH517" s="67"/>
      <c r="AI517" s="85"/>
      <c r="AJ517" s="85"/>
      <c r="AK517" s="85"/>
      <c r="AL517" s="85"/>
    </row>
    <row r="518" spans="1:38">
      <c r="A518" s="26"/>
      <c r="B518" s="26"/>
      <c r="C518" s="26"/>
      <c r="D518" s="26"/>
      <c r="E518" s="26"/>
      <c r="F518" s="26"/>
      <c r="G518" s="26"/>
      <c r="H518" s="26"/>
      <c r="I518" s="26"/>
      <c r="J518" s="26"/>
      <c r="K518" s="112"/>
      <c r="L518" s="26"/>
      <c r="M518" s="26"/>
      <c r="N518" s="26"/>
      <c r="O518" s="113"/>
      <c r="P518" s="26"/>
      <c r="Q518" s="26"/>
      <c r="R518" s="26"/>
      <c r="S518" s="26"/>
      <c r="T518" s="26"/>
      <c r="U518" s="26"/>
      <c r="V518" s="26"/>
      <c r="W518" s="26"/>
      <c r="X518" s="26"/>
      <c r="Y518" s="26"/>
      <c r="Z518" s="26"/>
      <c r="AA518" s="26"/>
      <c r="AB518" s="26"/>
      <c r="AC518" s="26"/>
      <c r="AD518" s="26"/>
      <c r="AE518" s="115"/>
      <c r="AF518" s="85"/>
      <c r="AG518" s="67"/>
      <c r="AH518" s="67"/>
      <c r="AI518" s="85"/>
      <c r="AJ518" s="85"/>
      <c r="AK518" s="85"/>
      <c r="AL518" s="85"/>
    </row>
    <row r="519" spans="1:38">
      <c r="A519" s="26"/>
      <c r="B519" s="26"/>
      <c r="C519" s="26"/>
      <c r="D519" s="26"/>
      <c r="E519" s="26"/>
      <c r="F519" s="26"/>
      <c r="G519" s="26"/>
      <c r="H519" s="26"/>
      <c r="I519" s="26"/>
      <c r="J519" s="26"/>
      <c r="K519" s="112"/>
      <c r="L519" s="26"/>
      <c r="M519" s="26"/>
      <c r="N519" s="26"/>
      <c r="O519" s="113"/>
      <c r="P519" s="26"/>
      <c r="Q519" s="26"/>
      <c r="R519" s="26"/>
      <c r="S519" s="26"/>
      <c r="T519" s="26"/>
      <c r="U519" s="26"/>
      <c r="V519" s="26"/>
      <c r="W519" s="26"/>
      <c r="X519" s="26"/>
      <c r="Y519" s="26"/>
      <c r="Z519" s="26"/>
      <c r="AA519" s="26"/>
      <c r="AB519" s="26"/>
      <c r="AC519" s="26"/>
      <c r="AD519" s="26"/>
      <c r="AE519" s="115"/>
      <c r="AF519" s="85"/>
      <c r="AG519" s="67"/>
      <c r="AH519" s="67"/>
      <c r="AI519" s="85"/>
      <c r="AJ519" s="85"/>
      <c r="AK519" s="85"/>
      <c r="AL519" s="85"/>
    </row>
    <row r="520" spans="1:38">
      <c r="A520" s="26"/>
      <c r="B520" s="26"/>
      <c r="C520" s="26"/>
      <c r="D520" s="26"/>
      <c r="E520" s="26"/>
      <c r="F520" s="26"/>
      <c r="G520" s="26"/>
      <c r="H520" s="26"/>
      <c r="I520" s="26"/>
      <c r="J520" s="26"/>
      <c r="K520" s="112"/>
      <c r="L520" s="26"/>
      <c r="M520" s="26"/>
      <c r="N520" s="26"/>
      <c r="O520" s="113"/>
      <c r="P520" s="26"/>
      <c r="Q520" s="26"/>
      <c r="R520" s="26"/>
      <c r="S520" s="26"/>
      <c r="T520" s="26"/>
      <c r="U520" s="26"/>
      <c r="V520" s="26"/>
      <c r="W520" s="26"/>
      <c r="X520" s="26"/>
      <c r="Y520" s="26"/>
      <c r="Z520" s="26"/>
      <c r="AA520" s="26"/>
      <c r="AB520" s="26"/>
      <c r="AC520" s="26"/>
      <c r="AD520" s="26"/>
      <c r="AE520" s="115"/>
      <c r="AF520" s="85"/>
      <c r="AG520" s="67"/>
      <c r="AH520" s="67"/>
      <c r="AI520" s="85"/>
      <c r="AJ520" s="85"/>
      <c r="AK520" s="85"/>
      <c r="AL520" s="85"/>
    </row>
    <row r="521" spans="1:38">
      <c r="A521" s="26"/>
      <c r="B521" s="26"/>
      <c r="C521" s="26"/>
      <c r="D521" s="26"/>
      <c r="E521" s="26"/>
      <c r="F521" s="26"/>
      <c r="G521" s="26"/>
      <c r="H521" s="26"/>
      <c r="I521" s="26"/>
      <c r="J521" s="26"/>
      <c r="K521" s="112"/>
      <c r="L521" s="26"/>
      <c r="M521" s="26"/>
      <c r="N521" s="26"/>
      <c r="O521" s="113"/>
      <c r="P521" s="26"/>
      <c r="Q521" s="26"/>
      <c r="R521" s="26"/>
      <c r="S521" s="26"/>
      <c r="T521" s="26"/>
      <c r="U521" s="26"/>
      <c r="V521" s="26"/>
      <c r="W521" s="26"/>
      <c r="X521" s="26"/>
      <c r="Y521" s="26"/>
      <c r="Z521" s="26"/>
      <c r="AA521" s="26"/>
      <c r="AB521" s="26"/>
      <c r="AC521" s="26"/>
      <c r="AD521" s="26"/>
      <c r="AE521" s="115"/>
      <c r="AF521" s="85"/>
      <c r="AG521" s="67"/>
      <c r="AH521" s="67"/>
      <c r="AI521" s="85"/>
      <c r="AJ521" s="85"/>
      <c r="AK521" s="85"/>
      <c r="AL521" s="85"/>
    </row>
    <row r="522" spans="1:38">
      <c r="A522" s="26"/>
      <c r="B522" s="26"/>
      <c r="C522" s="26"/>
      <c r="D522" s="26"/>
      <c r="E522" s="26"/>
      <c r="F522" s="26"/>
      <c r="G522" s="26"/>
      <c r="H522" s="26"/>
      <c r="I522" s="26"/>
      <c r="J522" s="26"/>
      <c r="K522" s="112"/>
      <c r="L522" s="26"/>
      <c r="M522" s="26"/>
      <c r="N522" s="26"/>
      <c r="O522" s="113"/>
      <c r="P522" s="26"/>
      <c r="Q522" s="26"/>
      <c r="R522" s="26"/>
      <c r="S522" s="26"/>
      <c r="T522" s="26"/>
      <c r="U522" s="26"/>
      <c r="V522" s="26"/>
      <c r="W522" s="26"/>
      <c r="X522" s="26"/>
      <c r="Y522" s="26"/>
      <c r="Z522" s="26"/>
      <c r="AA522" s="26"/>
      <c r="AB522" s="26"/>
      <c r="AC522" s="26"/>
      <c r="AD522" s="26"/>
      <c r="AE522" s="115"/>
      <c r="AF522" s="85"/>
      <c r="AG522" s="67"/>
      <c r="AH522" s="67"/>
      <c r="AI522" s="85"/>
      <c r="AJ522" s="85"/>
      <c r="AK522" s="85"/>
      <c r="AL522" s="85"/>
    </row>
    <row r="523" spans="1:38">
      <c r="A523" s="26"/>
      <c r="B523" s="26"/>
      <c r="C523" s="26"/>
      <c r="D523" s="26"/>
      <c r="E523" s="26"/>
      <c r="F523" s="26"/>
      <c r="G523" s="26"/>
      <c r="H523" s="26"/>
      <c r="I523" s="26"/>
      <c r="J523" s="26"/>
      <c r="K523" s="112"/>
      <c r="L523" s="26"/>
      <c r="M523" s="26"/>
      <c r="N523" s="26"/>
      <c r="O523" s="113"/>
      <c r="P523" s="26"/>
      <c r="Q523" s="26"/>
      <c r="R523" s="26"/>
      <c r="S523" s="26"/>
      <c r="T523" s="26"/>
      <c r="U523" s="26"/>
      <c r="V523" s="26"/>
      <c r="W523" s="26"/>
      <c r="X523" s="26"/>
      <c r="Y523" s="26"/>
      <c r="Z523" s="26"/>
      <c r="AA523" s="26"/>
      <c r="AB523" s="26"/>
      <c r="AC523" s="26"/>
      <c r="AD523" s="26"/>
      <c r="AE523" s="115"/>
      <c r="AF523" s="85"/>
      <c r="AG523" s="67"/>
      <c r="AH523" s="67"/>
      <c r="AI523" s="85"/>
      <c r="AJ523" s="85"/>
      <c r="AK523" s="85"/>
      <c r="AL523" s="85"/>
    </row>
    <row r="524" spans="1:38">
      <c r="A524" s="26"/>
      <c r="B524" s="26"/>
      <c r="C524" s="26"/>
      <c r="D524" s="26"/>
      <c r="E524" s="26"/>
      <c r="F524" s="26"/>
      <c r="G524" s="26"/>
      <c r="H524" s="26"/>
      <c r="I524" s="26"/>
      <c r="J524" s="26"/>
      <c r="K524" s="112"/>
      <c r="L524" s="26"/>
      <c r="M524" s="26"/>
      <c r="N524" s="26"/>
      <c r="O524" s="113"/>
      <c r="P524" s="26"/>
      <c r="Q524" s="26"/>
      <c r="R524" s="26"/>
      <c r="S524" s="26"/>
      <c r="T524" s="26"/>
      <c r="U524" s="26"/>
      <c r="V524" s="26"/>
      <c r="W524" s="26"/>
      <c r="X524" s="26"/>
      <c r="Y524" s="26"/>
      <c r="Z524" s="26"/>
      <c r="AA524" s="26"/>
      <c r="AB524" s="26"/>
      <c r="AC524" s="26"/>
      <c r="AD524" s="26"/>
      <c r="AE524" s="115"/>
      <c r="AF524" s="85"/>
      <c r="AG524" s="67"/>
      <c r="AH524" s="67"/>
      <c r="AI524" s="85"/>
      <c r="AJ524" s="85"/>
      <c r="AK524" s="85"/>
      <c r="AL524" s="85"/>
    </row>
    <row r="525" spans="1:38">
      <c r="A525" s="26"/>
      <c r="B525" s="26"/>
      <c r="C525" s="26"/>
      <c r="D525" s="26"/>
      <c r="E525" s="26"/>
      <c r="F525" s="26"/>
      <c r="G525" s="26"/>
      <c r="H525" s="26"/>
      <c r="I525" s="26"/>
      <c r="J525" s="26"/>
      <c r="K525" s="112"/>
      <c r="L525" s="26"/>
      <c r="M525" s="26"/>
      <c r="N525" s="26"/>
      <c r="O525" s="113"/>
      <c r="P525" s="26"/>
      <c r="Q525" s="26"/>
      <c r="R525" s="26"/>
      <c r="S525" s="26"/>
      <c r="T525" s="26"/>
      <c r="U525" s="26"/>
      <c r="V525" s="26"/>
      <c r="W525" s="26"/>
      <c r="X525" s="26"/>
      <c r="Y525" s="26"/>
      <c r="Z525" s="26"/>
      <c r="AA525" s="26"/>
      <c r="AB525" s="26"/>
      <c r="AC525" s="26"/>
      <c r="AD525" s="26"/>
      <c r="AE525" s="115"/>
      <c r="AF525" s="85"/>
      <c r="AG525" s="67"/>
      <c r="AH525" s="67"/>
      <c r="AI525" s="85"/>
      <c r="AJ525" s="85"/>
      <c r="AK525" s="85"/>
      <c r="AL525" s="85"/>
    </row>
    <row r="526" spans="1:38">
      <c r="A526" s="26"/>
      <c r="B526" s="26"/>
      <c r="C526" s="26"/>
      <c r="D526" s="26"/>
      <c r="E526" s="26"/>
      <c r="F526" s="26"/>
      <c r="G526" s="26"/>
      <c r="H526" s="26"/>
      <c r="I526" s="26"/>
      <c r="J526" s="26"/>
      <c r="K526" s="112"/>
      <c r="L526" s="26"/>
      <c r="M526" s="26"/>
      <c r="N526" s="26"/>
      <c r="O526" s="113"/>
      <c r="P526" s="26"/>
      <c r="Q526" s="26"/>
      <c r="R526" s="26"/>
      <c r="S526" s="26"/>
      <c r="T526" s="26"/>
      <c r="U526" s="26"/>
      <c r="V526" s="26"/>
      <c r="W526" s="26"/>
      <c r="X526" s="26"/>
      <c r="Y526" s="26"/>
      <c r="Z526" s="26"/>
      <c r="AA526" s="26"/>
      <c r="AB526" s="26"/>
      <c r="AC526" s="26"/>
      <c r="AD526" s="26"/>
      <c r="AE526" s="115"/>
      <c r="AF526" s="85"/>
      <c r="AG526" s="67"/>
      <c r="AH526" s="67"/>
      <c r="AI526" s="85"/>
      <c r="AJ526" s="85"/>
      <c r="AK526" s="85"/>
      <c r="AL526" s="85"/>
    </row>
    <row r="527" spans="1:38">
      <c r="A527" s="26"/>
      <c r="B527" s="26"/>
      <c r="C527" s="26"/>
      <c r="D527" s="26"/>
      <c r="E527" s="26"/>
      <c r="F527" s="26"/>
      <c r="G527" s="26"/>
      <c r="H527" s="26"/>
      <c r="I527" s="26"/>
      <c r="J527" s="26"/>
      <c r="K527" s="112"/>
      <c r="L527" s="26"/>
      <c r="M527" s="26"/>
      <c r="N527" s="26"/>
      <c r="O527" s="113"/>
      <c r="P527" s="26"/>
      <c r="Q527" s="26"/>
      <c r="R527" s="26"/>
      <c r="S527" s="26"/>
      <c r="T527" s="26"/>
      <c r="U527" s="26"/>
      <c r="V527" s="26"/>
      <c r="W527" s="26"/>
      <c r="X527" s="26"/>
      <c r="Y527" s="26"/>
      <c r="Z527" s="26"/>
      <c r="AA527" s="26"/>
      <c r="AB527" s="26"/>
      <c r="AC527" s="26"/>
      <c r="AD527" s="26"/>
      <c r="AE527" s="115"/>
      <c r="AF527" s="85"/>
      <c r="AG527" s="67"/>
      <c r="AH527" s="67"/>
      <c r="AI527" s="85"/>
      <c r="AJ527" s="85"/>
      <c r="AK527" s="85"/>
      <c r="AL527" s="85"/>
    </row>
    <row r="528" spans="1:38">
      <c r="A528" s="26"/>
      <c r="B528" s="26"/>
      <c r="C528" s="26"/>
      <c r="D528" s="26"/>
      <c r="E528" s="26"/>
      <c r="F528" s="26"/>
      <c r="G528" s="26"/>
      <c r="H528" s="26"/>
      <c r="I528" s="26"/>
      <c r="J528" s="26"/>
      <c r="K528" s="112"/>
      <c r="L528" s="26"/>
      <c r="M528" s="26"/>
      <c r="N528" s="26"/>
      <c r="O528" s="113"/>
      <c r="P528" s="26"/>
      <c r="Q528" s="26"/>
      <c r="R528" s="26"/>
      <c r="S528" s="26"/>
      <c r="T528" s="26"/>
      <c r="U528" s="26"/>
      <c r="V528" s="26"/>
      <c r="W528" s="26"/>
      <c r="X528" s="26"/>
      <c r="Y528" s="26"/>
      <c r="Z528" s="26"/>
      <c r="AA528" s="26"/>
      <c r="AB528" s="26"/>
      <c r="AC528" s="26"/>
      <c r="AD528" s="26"/>
      <c r="AE528" s="115"/>
      <c r="AF528" s="85"/>
      <c r="AG528" s="67"/>
      <c r="AH528" s="67"/>
      <c r="AI528" s="85"/>
      <c r="AJ528" s="85"/>
      <c r="AK528" s="85"/>
      <c r="AL528" s="85"/>
    </row>
    <row r="529" spans="1:38">
      <c r="A529" s="26"/>
      <c r="B529" s="26"/>
      <c r="C529" s="26"/>
      <c r="D529" s="26"/>
      <c r="E529" s="26"/>
      <c r="F529" s="26"/>
      <c r="G529" s="26"/>
      <c r="H529" s="26"/>
      <c r="I529" s="26"/>
      <c r="J529" s="26"/>
      <c r="K529" s="112"/>
      <c r="L529" s="26"/>
      <c r="M529" s="26"/>
      <c r="N529" s="26"/>
      <c r="O529" s="113"/>
      <c r="P529" s="26"/>
      <c r="Q529" s="26"/>
      <c r="R529" s="26"/>
      <c r="S529" s="26"/>
      <c r="T529" s="26"/>
      <c r="U529" s="26"/>
      <c r="V529" s="26"/>
      <c r="W529" s="26"/>
      <c r="X529" s="26"/>
      <c r="Y529" s="26"/>
      <c r="Z529" s="26"/>
      <c r="AA529" s="26"/>
      <c r="AB529" s="26"/>
      <c r="AC529" s="26"/>
      <c r="AD529" s="26"/>
      <c r="AE529" s="115"/>
      <c r="AF529" s="85"/>
      <c r="AG529" s="67"/>
      <c r="AH529" s="67"/>
      <c r="AI529" s="85"/>
      <c r="AJ529" s="85"/>
      <c r="AK529" s="85"/>
      <c r="AL529" s="85"/>
    </row>
    <row r="530" spans="1:38">
      <c r="A530" s="26"/>
      <c r="B530" s="26"/>
      <c r="C530" s="26"/>
      <c r="D530" s="26"/>
      <c r="E530" s="26"/>
      <c r="F530" s="26"/>
      <c r="G530" s="26"/>
      <c r="H530" s="26"/>
      <c r="I530" s="26"/>
      <c r="J530" s="26"/>
      <c r="K530" s="112"/>
      <c r="L530" s="26"/>
      <c r="M530" s="26"/>
      <c r="N530" s="26"/>
      <c r="O530" s="113"/>
      <c r="P530" s="26"/>
      <c r="Q530" s="26"/>
      <c r="R530" s="26"/>
      <c r="S530" s="26"/>
      <c r="T530" s="26"/>
      <c r="U530" s="26"/>
      <c r="V530" s="26"/>
      <c r="W530" s="26"/>
      <c r="X530" s="26"/>
      <c r="Y530" s="26"/>
      <c r="Z530" s="26"/>
      <c r="AA530" s="26"/>
      <c r="AB530" s="26"/>
      <c r="AC530" s="26"/>
      <c r="AD530" s="26"/>
      <c r="AE530" s="115"/>
      <c r="AF530" s="85"/>
      <c r="AG530" s="67"/>
      <c r="AH530" s="67"/>
      <c r="AI530" s="85"/>
      <c r="AJ530" s="85"/>
      <c r="AK530" s="85"/>
      <c r="AL530" s="85"/>
    </row>
    <row r="531" spans="1:38">
      <c r="A531" s="26"/>
      <c r="B531" s="26"/>
      <c r="C531" s="26"/>
      <c r="D531" s="26"/>
      <c r="E531" s="26"/>
      <c r="F531" s="26"/>
      <c r="G531" s="26"/>
      <c r="H531" s="26"/>
      <c r="I531" s="26"/>
      <c r="J531" s="26"/>
      <c r="K531" s="112"/>
      <c r="L531" s="26"/>
      <c r="M531" s="26"/>
      <c r="N531" s="26"/>
      <c r="O531" s="113"/>
      <c r="P531" s="26"/>
      <c r="Q531" s="26"/>
      <c r="R531" s="26"/>
      <c r="S531" s="26"/>
      <c r="T531" s="26"/>
      <c r="U531" s="26"/>
      <c r="V531" s="26"/>
      <c r="W531" s="26"/>
      <c r="X531" s="26"/>
      <c r="Y531" s="26"/>
      <c r="Z531" s="26"/>
      <c r="AA531" s="26"/>
      <c r="AB531" s="26"/>
      <c r="AC531" s="26"/>
      <c r="AD531" s="26"/>
      <c r="AE531" s="115"/>
      <c r="AF531" s="85"/>
      <c r="AG531" s="67"/>
      <c r="AH531" s="67"/>
      <c r="AI531" s="85"/>
      <c r="AJ531" s="85"/>
      <c r="AK531" s="85"/>
      <c r="AL531" s="85"/>
    </row>
    <row r="532" spans="1:38">
      <c r="A532" s="26"/>
      <c r="B532" s="26"/>
      <c r="C532" s="26"/>
      <c r="D532" s="26"/>
      <c r="E532" s="26"/>
      <c r="F532" s="26"/>
      <c r="G532" s="26"/>
      <c r="H532" s="26"/>
      <c r="I532" s="26"/>
      <c r="J532" s="26"/>
      <c r="K532" s="112"/>
      <c r="L532" s="26"/>
      <c r="M532" s="26"/>
      <c r="N532" s="26"/>
      <c r="O532" s="113"/>
      <c r="P532" s="26"/>
      <c r="Q532" s="26"/>
      <c r="R532" s="26"/>
      <c r="S532" s="26"/>
      <c r="T532" s="26"/>
      <c r="U532" s="26"/>
      <c r="V532" s="26"/>
      <c r="W532" s="26"/>
      <c r="X532" s="26"/>
      <c r="Y532" s="26"/>
      <c r="Z532" s="26"/>
      <c r="AA532" s="26"/>
      <c r="AB532" s="26"/>
      <c r="AC532" s="26"/>
      <c r="AD532" s="26"/>
      <c r="AE532" s="115"/>
      <c r="AF532" s="85"/>
      <c r="AG532" s="67"/>
      <c r="AH532" s="67"/>
      <c r="AI532" s="85"/>
      <c r="AJ532" s="85"/>
      <c r="AK532" s="85"/>
      <c r="AL532" s="85"/>
    </row>
    <row r="533" spans="1:38">
      <c r="A533" s="26"/>
      <c r="B533" s="26"/>
      <c r="C533" s="26"/>
      <c r="D533" s="26"/>
      <c r="E533" s="26"/>
      <c r="F533" s="26"/>
      <c r="G533" s="26"/>
      <c r="H533" s="26"/>
      <c r="I533" s="26"/>
      <c r="J533" s="26"/>
      <c r="K533" s="112"/>
      <c r="L533" s="26"/>
      <c r="M533" s="26"/>
      <c r="N533" s="26"/>
      <c r="O533" s="113"/>
      <c r="P533" s="26"/>
      <c r="Q533" s="26"/>
      <c r="R533" s="26"/>
      <c r="S533" s="26"/>
      <c r="T533" s="26"/>
      <c r="U533" s="26"/>
      <c r="V533" s="26"/>
      <c r="W533" s="26"/>
      <c r="X533" s="26"/>
      <c r="Y533" s="26"/>
      <c r="Z533" s="26"/>
      <c r="AA533" s="26"/>
      <c r="AB533" s="26"/>
      <c r="AC533" s="26"/>
      <c r="AD533" s="26"/>
      <c r="AE533" s="115"/>
      <c r="AF533" s="85"/>
      <c r="AG533" s="67"/>
      <c r="AH533" s="67"/>
      <c r="AI533" s="85"/>
      <c r="AJ533" s="85"/>
      <c r="AK533" s="85"/>
      <c r="AL533" s="85"/>
    </row>
    <row r="534" spans="1:38">
      <c r="A534" s="26"/>
      <c r="B534" s="26"/>
      <c r="C534" s="26"/>
      <c r="D534" s="26"/>
      <c r="E534" s="26"/>
      <c r="F534" s="26"/>
      <c r="G534" s="26"/>
      <c r="H534" s="26"/>
      <c r="I534" s="26"/>
      <c r="J534" s="26"/>
      <c r="K534" s="112"/>
      <c r="L534" s="26"/>
      <c r="M534" s="26"/>
      <c r="N534" s="26"/>
      <c r="O534" s="113"/>
      <c r="P534" s="26"/>
      <c r="Q534" s="26"/>
      <c r="R534" s="26"/>
      <c r="S534" s="26"/>
      <c r="T534" s="26"/>
      <c r="U534" s="26"/>
      <c r="V534" s="26"/>
      <c r="W534" s="26"/>
      <c r="X534" s="26"/>
      <c r="Y534" s="26"/>
      <c r="Z534" s="26"/>
      <c r="AA534" s="26"/>
      <c r="AB534" s="26"/>
      <c r="AC534" s="26"/>
      <c r="AD534" s="26"/>
      <c r="AE534" s="115"/>
      <c r="AF534" s="85"/>
      <c r="AG534" s="67"/>
      <c r="AH534" s="67"/>
      <c r="AI534" s="85"/>
      <c r="AJ534" s="85"/>
      <c r="AK534" s="85"/>
      <c r="AL534" s="85"/>
    </row>
    <row r="535" spans="1:38">
      <c r="A535" s="26"/>
      <c r="B535" s="26"/>
      <c r="C535" s="26"/>
      <c r="D535" s="26"/>
      <c r="E535" s="26"/>
      <c r="F535" s="26"/>
      <c r="G535" s="26"/>
      <c r="H535" s="26"/>
      <c r="I535" s="26"/>
      <c r="J535" s="26"/>
      <c r="K535" s="112"/>
      <c r="L535" s="26"/>
      <c r="M535" s="26"/>
      <c r="N535" s="26"/>
      <c r="O535" s="113"/>
      <c r="P535" s="26"/>
      <c r="Q535" s="26"/>
      <c r="R535" s="26"/>
      <c r="S535" s="26"/>
      <c r="T535" s="26"/>
      <c r="U535" s="26"/>
      <c r="V535" s="26"/>
      <c r="W535" s="26"/>
      <c r="X535" s="26"/>
      <c r="Y535" s="26"/>
      <c r="Z535" s="26"/>
      <c r="AA535" s="26"/>
      <c r="AB535" s="26"/>
      <c r="AC535" s="26"/>
      <c r="AD535" s="26"/>
      <c r="AE535" s="115"/>
      <c r="AF535" s="85"/>
      <c r="AG535" s="67"/>
      <c r="AH535" s="67"/>
      <c r="AI535" s="85"/>
      <c r="AJ535" s="85"/>
      <c r="AK535" s="85"/>
      <c r="AL535" s="85"/>
    </row>
    <row r="536" spans="1:38">
      <c r="A536" s="26"/>
      <c r="B536" s="26"/>
      <c r="C536" s="26"/>
      <c r="D536" s="26"/>
      <c r="E536" s="26"/>
      <c r="F536" s="26"/>
      <c r="G536" s="26"/>
      <c r="H536" s="26"/>
      <c r="I536" s="26"/>
      <c r="J536" s="26"/>
      <c r="K536" s="112"/>
      <c r="L536" s="26"/>
      <c r="M536" s="26"/>
      <c r="N536" s="26"/>
      <c r="O536" s="113"/>
      <c r="P536" s="26"/>
      <c r="Q536" s="26"/>
      <c r="R536" s="26"/>
      <c r="S536" s="26"/>
      <c r="T536" s="26"/>
      <c r="U536" s="26"/>
      <c r="V536" s="26"/>
      <c r="W536" s="26"/>
      <c r="X536" s="26"/>
      <c r="Y536" s="26"/>
      <c r="Z536" s="26"/>
      <c r="AA536" s="26"/>
      <c r="AB536" s="26"/>
      <c r="AC536" s="26"/>
      <c r="AD536" s="26"/>
      <c r="AE536" s="115"/>
      <c r="AF536" s="85"/>
      <c r="AG536" s="67"/>
      <c r="AH536" s="67"/>
      <c r="AI536" s="85"/>
      <c r="AJ536" s="85"/>
      <c r="AK536" s="85"/>
      <c r="AL536" s="85"/>
    </row>
    <row r="537" spans="1:38">
      <c r="A537" s="26"/>
      <c r="B537" s="26"/>
      <c r="C537" s="26"/>
      <c r="D537" s="26"/>
      <c r="E537" s="26"/>
      <c r="F537" s="26"/>
      <c r="G537" s="26"/>
      <c r="H537" s="26"/>
      <c r="I537" s="26"/>
      <c r="J537" s="26"/>
      <c r="K537" s="112"/>
      <c r="L537" s="26"/>
      <c r="M537" s="26"/>
      <c r="N537" s="26"/>
      <c r="O537" s="113"/>
      <c r="P537" s="26"/>
      <c r="Q537" s="26"/>
      <c r="R537" s="26"/>
      <c r="S537" s="26"/>
      <c r="T537" s="26"/>
      <c r="U537" s="26"/>
      <c r="V537" s="26"/>
      <c r="W537" s="26"/>
      <c r="X537" s="26"/>
      <c r="Y537" s="26"/>
      <c r="Z537" s="26"/>
      <c r="AA537" s="26"/>
      <c r="AB537" s="26"/>
      <c r="AC537" s="26"/>
      <c r="AD537" s="26"/>
      <c r="AE537" s="115"/>
      <c r="AF537" s="85"/>
      <c r="AG537" s="67"/>
      <c r="AH537" s="67"/>
      <c r="AI537" s="85"/>
      <c r="AJ537" s="85"/>
      <c r="AK537" s="85"/>
      <c r="AL537" s="85"/>
    </row>
    <row r="538" spans="1:38">
      <c r="A538" s="26"/>
      <c r="B538" s="26"/>
      <c r="C538" s="26"/>
      <c r="D538" s="26"/>
      <c r="E538" s="26"/>
      <c r="F538" s="26"/>
      <c r="G538" s="26"/>
      <c r="H538" s="26"/>
      <c r="I538" s="26"/>
      <c r="J538" s="26"/>
      <c r="K538" s="112"/>
      <c r="L538" s="26"/>
      <c r="M538" s="26"/>
      <c r="N538" s="26"/>
      <c r="O538" s="113"/>
      <c r="P538" s="26"/>
      <c r="Q538" s="26"/>
      <c r="R538" s="26"/>
      <c r="S538" s="26"/>
      <c r="T538" s="26"/>
      <c r="U538" s="26"/>
      <c r="V538" s="26"/>
      <c r="W538" s="26"/>
      <c r="X538" s="26"/>
      <c r="Y538" s="26"/>
      <c r="Z538" s="26"/>
      <c r="AA538" s="26"/>
      <c r="AB538" s="26"/>
      <c r="AC538" s="26"/>
      <c r="AD538" s="26"/>
      <c r="AE538" s="115"/>
      <c r="AF538" s="85"/>
      <c r="AG538" s="67"/>
      <c r="AH538" s="67"/>
      <c r="AI538" s="85"/>
      <c r="AJ538" s="85"/>
      <c r="AK538" s="85"/>
      <c r="AL538" s="85"/>
    </row>
    <row r="539" spans="1:38">
      <c r="A539" s="26"/>
      <c r="B539" s="26"/>
      <c r="C539" s="26"/>
      <c r="D539" s="26"/>
      <c r="E539" s="26"/>
      <c r="F539" s="26"/>
      <c r="G539" s="26"/>
      <c r="H539" s="26"/>
      <c r="I539" s="26"/>
      <c r="J539" s="26"/>
      <c r="K539" s="112"/>
      <c r="L539" s="26"/>
      <c r="M539" s="26"/>
      <c r="N539" s="26"/>
      <c r="O539" s="113"/>
      <c r="P539" s="26"/>
      <c r="Q539" s="26"/>
      <c r="R539" s="26"/>
      <c r="S539" s="26"/>
      <c r="T539" s="26"/>
      <c r="U539" s="26"/>
      <c r="V539" s="26"/>
      <c r="W539" s="26"/>
      <c r="X539" s="26"/>
      <c r="Y539" s="26"/>
      <c r="Z539" s="26"/>
      <c r="AA539" s="26"/>
      <c r="AB539" s="26"/>
      <c r="AC539" s="26"/>
      <c r="AD539" s="26"/>
      <c r="AE539" s="115"/>
      <c r="AF539" s="85"/>
      <c r="AG539" s="67"/>
      <c r="AH539" s="67"/>
      <c r="AI539" s="85"/>
      <c r="AJ539" s="85"/>
      <c r="AK539" s="85"/>
      <c r="AL539" s="85"/>
    </row>
    <row r="540" spans="1:38">
      <c r="A540" s="26"/>
      <c r="B540" s="26"/>
      <c r="C540" s="26"/>
      <c r="D540" s="26"/>
      <c r="E540" s="26"/>
      <c r="F540" s="26"/>
      <c r="G540" s="26"/>
      <c r="H540" s="26"/>
      <c r="I540" s="26"/>
      <c r="J540" s="26"/>
      <c r="K540" s="112"/>
      <c r="L540" s="26"/>
      <c r="M540" s="26"/>
      <c r="N540" s="26"/>
      <c r="O540" s="113"/>
      <c r="P540" s="26"/>
      <c r="Q540" s="26"/>
      <c r="R540" s="26"/>
      <c r="S540" s="26"/>
      <c r="T540" s="26"/>
      <c r="U540" s="26"/>
      <c r="V540" s="26"/>
      <c r="W540" s="26"/>
      <c r="X540" s="26"/>
      <c r="Y540" s="26"/>
      <c r="Z540" s="26"/>
      <c r="AA540" s="26"/>
      <c r="AB540" s="26"/>
      <c r="AC540" s="26"/>
      <c r="AD540" s="26"/>
      <c r="AE540" s="115"/>
      <c r="AF540" s="85"/>
      <c r="AG540" s="67"/>
      <c r="AH540" s="67"/>
      <c r="AI540" s="85"/>
      <c r="AJ540" s="85"/>
      <c r="AK540" s="85"/>
      <c r="AL540" s="85"/>
    </row>
    <row r="541" spans="1:38">
      <c r="A541" s="26"/>
      <c r="B541" s="26"/>
      <c r="C541" s="26"/>
      <c r="D541" s="26"/>
      <c r="E541" s="26"/>
      <c r="F541" s="26"/>
      <c r="G541" s="26"/>
      <c r="H541" s="26"/>
      <c r="I541" s="26"/>
      <c r="J541" s="26"/>
      <c r="K541" s="112"/>
      <c r="L541" s="26"/>
      <c r="M541" s="26"/>
      <c r="N541" s="26"/>
      <c r="O541" s="113"/>
      <c r="P541" s="26"/>
      <c r="Q541" s="26"/>
      <c r="R541" s="26"/>
      <c r="S541" s="26"/>
      <c r="T541" s="26"/>
      <c r="U541" s="26"/>
      <c r="V541" s="26"/>
      <c r="W541" s="26"/>
      <c r="X541" s="26"/>
      <c r="Y541" s="26"/>
      <c r="Z541" s="26"/>
      <c r="AA541" s="26"/>
      <c r="AB541" s="26"/>
      <c r="AC541" s="26"/>
      <c r="AD541" s="26"/>
      <c r="AE541" s="115"/>
      <c r="AF541" s="85"/>
      <c r="AG541" s="67"/>
      <c r="AH541" s="67"/>
      <c r="AI541" s="85"/>
      <c r="AJ541" s="85"/>
      <c r="AK541" s="85"/>
      <c r="AL541" s="85"/>
    </row>
    <row r="542" spans="1:38">
      <c r="A542" s="26"/>
      <c r="B542" s="26"/>
      <c r="C542" s="26"/>
      <c r="D542" s="26"/>
      <c r="E542" s="26"/>
      <c r="F542" s="26"/>
      <c r="G542" s="26"/>
      <c r="H542" s="26"/>
      <c r="I542" s="26"/>
      <c r="J542" s="26"/>
      <c r="K542" s="112"/>
      <c r="L542" s="26"/>
      <c r="M542" s="26"/>
      <c r="N542" s="26"/>
      <c r="O542" s="113"/>
      <c r="P542" s="26"/>
      <c r="Q542" s="26"/>
      <c r="R542" s="26"/>
      <c r="S542" s="26"/>
      <c r="T542" s="26"/>
      <c r="U542" s="26"/>
      <c r="V542" s="26"/>
      <c r="W542" s="26"/>
      <c r="X542" s="26"/>
      <c r="Y542" s="26"/>
      <c r="Z542" s="26"/>
      <c r="AA542" s="26"/>
      <c r="AB542" s="26"/>
      <c r="AC542" s="26"/>
      <c r="AD542" s="26"/>
      <c r="AE542" s="115"/>
      <c r="AF542" s="85"/>
      <c r="AG542" s="67"/>
      <c r="AH542" s="67"/>
      <c r="AI542" s="85"/>
      <c r="AJ542" s="85"/>
      <c r="AK542" s="85"/>
      <c r="AL542" s="85"/>
    </row>
    <row r="543" spans="1:38">
      <c r="A543" s="26"/>
      <c r="B543" s="26"/>
      <c r="C543" s="26"/>
      <c r="D543" s="26"/>
      <c r="E543" s="26"/>
      <c r="F543" s="26"/>
      <c r="G543" s="26"/>
      <c r="H543" s="26"/>
      <c r="I543" s="26"/>
      <c r="J543" s="26"/>
      <c r="K543" s="112"/>
      <c r="L543" s="26"/>
      <c r="M543" s="26"/>
      <c r="N543" s="26"/>
      <c r="O543" s="113"/>
      <c r="P543" s="26"/>
      <c r="Q543" s="26"/>
      <c r="R543" s="26"/>
      <c r="S543" s="26"/>
      <c r="T543" s="26"/>
      <c r="U543" s="26"/>
      <c r="V543" s="26"/>
      <c r="W543" s="26"/>
      <c r="X543" s="26"/>
      <c r="Y543" s="26"/>
      <c r="Z543" s="26"/>
      <c r="AA543" s="26"/>
      <c r="AB543" s="26"/>
      <c r="AC543" s="26"/>
      <c r="AD543" s="26"/>
      <c r="AE543" s="115"/>
      <c r="AF543" s="85"/>
      <c r="AG543" s="67"/>
      <c r="AH543" s="67"/>
      <c r="AI543" s="85"/>
      <c r="AJ543" s="85"/>
      <c r="AK543" s="85"/>
      <c r="AL543" s="85"/>
    </row>
    <row r="544" spans="1:38">
      <c r="A544" s="26"/>
      <c r="B544" s="26"/>
      <c r="C544" s="26"/>
      <c r="D544" s="26"/>
      <c r="E544" s="26"/>
      <c r="F544" s="26"/>
      <c r="G544" s="26"/>
      <c r="H544" s="26"/>
      <c r="I544" s="26"/>
      <c r="J544" s="26"/>
      <c r="K544" s="112"/>
      <c r="L544" s="26"/>
      <c r="M544" s="26"/>
      <c r="N544" s="26"/>
      <c r="O544" s="113"/>
      <c r="P544" s="26"/>
      <c r="Q544" s="26"/>
      <c r="R544" s="26"/>
      <c r="S544" s="26"/>
      <c r="T544" s="26"/>
      <c r="U544" s="26"/>
      <c r="V544" s="26"/>
      <c r="W544" s="26"/>
      <c r="X544" s="26"/>
      <c r="Y544" s="26"/>
      <c r="Z544" s="26"/>
      <c r="AA544" s="26"/>
      <c r="AB544" s="26"/>
      <c r="AC544" s="26"/>
      <c r="AD544" s="26"/>
      <c r="AE544" s="115"/>
      <c r="AF544" s="85"/>
      <c r="AG544" s="67"/>
      <c r="AH544" s="67"/>
      <c r="AI544" s="85"/>
      <c r="AJ544" s="85"/>
      <c r="AK544" s="85"/>
      <c r="AL544" s="85"/>
    </row>
    <row r="545" spans="1:38">
      <c r="A545" s="26"/>
      <c r="B545" s="26"/>
      <c r="C545" s="26"/>
      <c r="D545" s="26"/>
      <c r="E545" s="26"/>
      <c r="F545" s="26"/>
      <c r="G545" s="26"/>
      <c r="H545" s="26"/>
      <c r="I545" s="26"/>
      <c r="J545" s="26"/>
      <c r="K545" s="112"/>
      <c r="L545" s="26"/>
      <c r="M545" s="26"/>
      <c r="N545" s="26"/>
      <c r="O545" s="113"/>
      <c r="P545" s="26"/>
      <c r="Q545" s="26"/>
      <c r="R545" s="26"/>
      <c r="S545" s="26"/>
      <c r="T545" s="26"/>
      <c r="U545" s="26"/>
      <c r="V545" s="26"/>
      <c r="W545" s="26"/>
      <c r="X545" s="26"/>
      <c r="Y545" s="26"/>
      <c r="Z545" s="26"/>
      <c r="AA545" s="26"/>
      <c r="AB545" s="26"/>
      <c r="AC545" s="26"/>
      <c r="AD545" s="26"/>
      <c r="AE545" s="115"/>
      <c r="AF545" s="85"/>
      <c r="AG545" s="67"/>
      <c r="AH545" s="67"/>
      <c r="AI545" s="85"/>
      <c r="AJ545" s="85"/>
      <c r="AK545" s="85"/>
      <c r="AL545" s="85"/>
    </row>
    <row r="546" spans="1:38">
      <c r="A546" s="26"/>
      <c r="B546" s="26"/>
      <c r="C546" s="26"/>
      <c r="D546" s="26"/>
      <c r="E546" s="26"/>
      <c r="F546" s="26"/>
      <c r="G546" s="26"/>
      <c r="H546" s="26"/>
      <c r="I546" s="26"/>
      <c r="J546" s="26"/>
      <c r="K546" s="112"/>
      <c r="L546" s="26"/>
      <c r="M546" s="26"/>
      <c r="N546" s="26"/>
      <c r="O546" s="113"/>
      <c r="P546" s="26"/>
      <c r="Q546" s="26"/>
      <c r="R546" s="26"/>
      <c r="S546" s="26"/>
      <c r="T546" s="26"/>
      <c r="U546" s="26"/>
      <c r="V546" s="26"/>
      <c r="W546" s="26"/>
      <c r="X546" s="26"/>
      <c r="Y546" s="26"/>
      <c r="Z546" s="26"/>
      <c r="AA546" s="26"/>
      <c r="AB546" s="26"/>
      <c r="AC546" s="26"/>
      <c r="AD546" s="26"/>
      <c r="AE546" s="115"/>
      <c r="AF546" s="85"/>
      <c r="AG546" s="67"/>
      <c r="AH546" s="67"/>
      <c r="AI546" s="85"/>
      <c r="AJ546" s="85"/>
      <c r="AK546" s="85"/>
      <c r="AL546" s="85"/>
    </row>
    <row r="547" spans="1:38">
      <c r="A547" s="26"/>
      <c r="B547" s="26"/>
      <c r="C547" s="26"/>
      <c r="D547" s="26"/>
      <c r="E547" s="26"/>
      <c r="F547" s="26"/>
      <c r="G547" s="26"/>
      <c r="H547" s="26"/>
      <c r="I547" s="26"/>
      <c r="J547" s="26"/>
      <c r="K547" s="112"/>
      <c r="L547" s="26"/>
      <c r="M547" s="26"/>
      <c r="N547" s="26"/>
      <c r="O547" s="113"/>
      <c r="P547" s="26"/>
      <c r="Q547" s="26"/>
      <c r="R547" s="26"/>
      <c r="S547" s="26"/>
      <c r="T547" s="26"/>
      <c r="U547" s="26"/>
      <c r="V547" s="26"/>
      <c r="W547" s="26"/>
      <c r="X547" s="26"/>
      <c r="Y547" s="26"/>
      <c r="Z547" s="26"/>
      <c r="AA547" s="26"/>
      <c r="AB547" s="26"/>
      <c r="AC547" s="26"/>
      <c r="AD547" s="26"/>
      <c r="AE547" s="115"/>
      <c r="AF547" s="85"/>
      <c r="AG547" s="67"/>
      <c r="AH547" s="67"/>
      <c r="AI547" s="85"/>
      <c r="AJ547" s="85"/>
      <c r="AK547" s="85"/>
      <c r="AL547" s="85"/>
    </row>
    <row r="548" spans="1:38">
      <c r="A548" s="26"/>
      <c r="B548" s="26"/>
      <c r="C548" s="26"/>
      <c r="D548" s="26"/>
      <c r="E548" s="26"/>
      <c r="F548" s="26"/>
      <c r="G548" s="26"/>
      <c r="H548" s="26"/>
      <c r="I548" s="26"/>
      <c r="J548" s="26"/>
      <c r="K548" s="112"/>
      <c r="L548" s="26"/>
      <c r="M548" s="26"/>
      <c r="N548" s="26"/>
      <c r="O548" s="113"/>
      <c r="P548" s="26"/>
      <c r="Q548" s="26"/>
      <c r="R548" s="26"/>
      <c r="S548" s="26"/>
      <c r="T548" s="26"/>
      <c r="U548" s="26"/>
      <c r="V548" s="26"/>
      <c r="W548" s="26"/>
      <c r="X548" s="26"/>
      <c r="Y548" s="26"/>
      <c r="Z548" s="26"/>
      <c r="AA548" s="26"/>
      <c r="AB548" s="26"/>
      <c r="AC548" s="26"/>
      <c r="AD548" s="26"/>
      <c r="AE548" s="115"/>
      <c r="AF548" s="85"/>
      <c r="AG548" s="67"/>
      <c r="AH548" s="67"/>
      <c r="AI548" s="85"/>
      <c r="AJ548" s="85"/>
      <c r="AK548" s="85"/>
      <c r="AL548" s="85"/>
    </row>
    <row r="549" spans="1:38">
      <c r="A549" s="26"/>
      <c r="B549" s="26"/>
      <c r="C549" s="26"/>
      <c r="D549" s="26"/>
      <c r="E549" s="26"/>
      <c r="F549" s="26"/>
      <c r="G549" s="26"/>
      <c r="H549" s="26"/>
      <c r="I549" s="26"/>
      <c r="J549" s="26"/>
      <c r="K549" s="112"/>
      <c r="L549" s="26"/>
      <c r="M549" s="26"/>
      <c r="N549" s="26"/>
      <c r="O549" s="113"/>
      <c r="P549" s="26"/>
      <c r="Q549" s="26"/>
      <c r="R549" s="26"/>
      <c r="S549" s="26"/>
      <c r="T549" s="26"/>
      <c r="U549" s="26"/>
      <c r="V549" s="26"/>
      <c r="W549" s="26"/>
      <c r="X549" s="26"/>
      <c r="Y549" s="26"/>
      <c r="Z549" s="26"/>
      <c r="AA549" s="26"/>
      <c r="AB549" s="26"/>
      <c r="AC549" s="26"/>
      <c r="AD549" s="26"/>
      <c r="AE549" s="115"/>
      <c r="AF549" s="85"/>
      <c r="AG549" s="67"/>
      <c r="AH549" s="67"/>
      <c r="AI549" s="85"/>
      <c r="AJ549" s="85"/>
      <c r="AK549" s="85"/>
      <c r="AL549" s="85"/>
    </row>
    <row r="550" spans="1:38">
      <c r="A550" s="26"/>
      <c r="B550" s="26"/>
      <c r="C550" s="26"/>
      <c r="D550" s="26"/>
      <c r="E550" s="26"/>
      <c r="F550" s="26"/>
      <c r="G550" s="26"/>
      <c r="H550" s="26"/>
      <c r="I550" s="26"/>
      <c r="J550" s="26"/>
      <c r="K550" s="112"/>
      <c r="L550" s="26"/>
      <c r="M550" s="26"/>
      <c r="N550" s="26"/>
      <c r="O550" s="113"/>
      <c r="P550" s="26"/>
      <c r="Q550" s="26"/>
      <c r="R550" s="26"/>
      <c r="S550" s="26"/>
      <c r="T550" s="26"/>
      <c r="U550" s="26"/>
      <c r="V550" s="26"/>
      <c r="W550" s="26"/>
      <c r="X550" s="26"/>
      <c r="Y550" s="26"/>
      <c r="Z550" s="26"/>
      <c r="AA550" s="26"/>
      <c r="AB550" s="26"/>
      <c r="AC550" s="26"/>
      <c r="AD550" s="26"/>
      <c r="AE550" s="115"/>
      <c r="AF550" s="85"/>
      <c r="AG550" s="67"/>
      <c r="AH550" s="67"/>
      <c r="AI550" s="85"/>
      <c r="AJ550" s="85"/>
      <c r="AK550" s="85"/>
      <c r="AL550" s="85"/>
    </row>
    <row r="551" spans="1:38">
      <c r="A551" s="26"/>
      <c r="B551" s="26"/>
      <c r="C551" s="26"/>
      <c r="D551" s="26"/>
      <c r="E551" s="26"/>
      <c r="F551" s="26"/>
      <c r="G551" s="26"/>
      <c r="H551" s="26"/>
      <c r="I551" s="26"/>
      <c r="J551" s="26"/>
      <c r="K551" s="112"/>
      <c r="L551" s="26"/>
      <c r="M551" s="26"/>
      <c r="N551" s="26"/>
      <c r="O551" s="113"/>
      <c r="P551" s="26"/>
      <c r="Q551" s="26"/>
      <c r="R551" s="26"/>
      <c r="S551" s="26"/>
      <c r="T551" s="26"/>
      <c r="U551" s="26"/>
      <c r="V551" s="26"/>
      <c r="W551" s="26"/>
      <c r="X551" s="26"/>
      <c r="Y551" s="26"/>
      <c r="Z551" s="26"/>
      <c r="AA551" s="26"/>
      <c r="AB551" s="26"/>
      <c r="AC551" s="26"/>
      <c r="AD551" s="26"/>
      <c r="AE551" s="115"/>
      <c r="AF551" s="85"/>
      <c r="AG551" s="67"/>
      <c r="AH551" s="67"/>
      <c r="AI551" s="85"/>
      <c r="AJ551" s="85"/>
      <c r="AK551" s="85"/>
      <c r="AL551" s="85"/>
    </row>
    <row r="552" spans="1:38">
      <c r="A552" s="26"/>
      <c r="B552" s="26"/>
      <c r="C552" s="26"/>
      <c r="D552" s="26"/>
      <c r="E552" s="26"/>
      <c r="F552" s="26"/>
      <c r="G552" s="26"/>
      <c r="H552" s="26"/>
      <c r="I552" s="26"/>
      <c r="J552" s="26"/>
      <c r="K552" s="112"/>
      <c r="L552" s="26"/>
      <c r="M552" s="26"/>
      <c r="N552" s="26"/>
      <c r="O552" s="113"/>
      <c r="P552" s="26"/>
      <c r="Q552" s="26"/>
      <c r="R552" s="26"/>
      <c r="S552" s="26"/>
      <c r="T552" s="26"/>
      <c r="U552" s="26"/>
      <c r="V552" s="26"/>
      <c r="W552" s="26"/>
      <c r="X552" s="26"/>
      <c r="Y552" s="26"/>
      <c r="Z552" s="26"/>
      <c r="AA552" s="26"/>
      <c r="AB552" s="26"/>
      <c r="AC552" s="26"/>
      <c r="AD552" s="26"/>
      <c r="AE552" s="115"/>
      <c r="AF552" s="85"/>
      <c r="AG552" s="67"/>
      <c r="AH552" s="67"/>
      <c r="AI552" s="85"/>
      <c r="AJ552" s="85"/>
      <c r="AK552" s="85"/>
      <c r="AL552" s="85"/>
    </row>
    <row r="553" spans="1:38">
      <c r="A553" s="26"/>
      <c r="B553" s="26"/>
      <c r="C553" s="26"/>
      <c r="D553" s="26"/>
      <c r="E553" s="26"/>
      <c r="F553" s="26"/>
      <c r="G553" s="26"/>
      <c r="H553" s="26"/>
      <c r="I553" s="26"/>
      <c r="J553" s="26"/>
      <c r="K553" s="112"/>
      <c r="L553" s="26"/>
      <c r="M553" s="26"/>
      <c r="N553" s="26"/>
      <c r="O553" s="113"/>
      <c r="P553" s="26"/>
      <c r="Q553" s="26"/>
      <c r="R553" s="26"/>
      <c r="S553" s="26"/>
      <c r="T553" s="26"/>
      <c r="U553" s="26"/>
      <c r="V553" s="26"/>
      <c r="W553" s="26"/>
      <c r="X553" s="26"/>
      <c r="Y553" s="26"/>
      <c r="Z553" s="26"/>
      <c r="AA553" s="26"/>
      <c r="AB553" s="26"/>
      <c r="AC553" s="26"/>
      <c r="AD553" s="26"/>
      <c r="AE553" s="115"/>
      <c r="AF553" s="85"/>
      <c r="AG553" s="67"/>
      <c r="AH553" s="67"/>
      <c r="AI553" s="85"/>
      <c r="AJ553" s="85"/>
      <c r="AK553" s="85"/>
      <c r="AL553" s="85"/>
    </row>
    <row r="554" spans="1:38">
      <c r="A554" s="26"/>
      <c r="B554" s="26"/>
      <c r="C554" s="26"/>
      <c r="D554" s="26"/>
      <c r="E554" s="26"/>
      <c r="F554" s="26"/>
      <c r="G554" s="26"/>
      <c r="H554" s="26"/>
      <c r="I554" s="26"/>
      <c r="J554" s="26"/>
      <c r="K554" s="112"/>
      <c r="L554" s="26"/>
      <c r="M554" s="26"/>
      <c r="N554" s="26"/>
      <c r="O554" s="113"/>
      <c r="P554" s="26"/>
      <c r="Q554" s="26"/>
      <c r="R554" s="26"/>
      <c r="S554" s="26"/>
      <c r="T554" s="26"/>
      <c r="U554" s="26"/>
      <c r="V554" s="26"/>
      <c r="W554" s="26"/>
      <c r="X554" s="26"/>
      <c r="Y554" s="26"/>
      <c r="Z554" s="26"/>
      <c r="AA554" s="26"/>
      <c r="AB554" s="26"/>
      <c r="AC554" s="26"/>
      <c r="AD554" s="26"/>
      <c r="AE554" s="115"/>
      <c r="AF554" s="85"/>
      <c r="AG554" s="67"/>
      <c r="AH554" s="67"/>
      <c r="AI554" s="85"/>
      <c r="AJ554" s="85"/>
      <c r="AK554" s="85"/>
      <c r="AL554" s="85"/>
    </row>
    <row r="555" spans="1:38">
      <c r="A555" s="26"/>
      <c r="B555" s="26"/>
      <c r="C555" s="26"/>
      <c r="D555" s="26"/>
      <c r="E555" s="26"/>
      <c r="F555" s="26"/>
      <c r="G555" s="26"/>
      <c r="H555" s="26"/>
      <c r="I555" s="26"/>
      <c r="J555" s="26"/>
      <c r="K555" s="112"/>
      <c r="L555" s="26"/>
      <c r="M555" s="26"/>
      <c r="N555" s="26"/>
      <c r="O555" s="113"/>
      <c r="P555" s="26"/>
      <c r="Q555" s="26"/>
      <c r="R555" s="26"/>
      <c r="S555" s="26"/>
      <c r="T555" s="26"/>
      <c r="U555" s="26"/>
      <c r="V555" s="26"/>
      <c r="W555" s="26"/>
      <c r="X555" s="26"/>
      <c r="Y555" s="26"/>
      <c r="Z555" s="26"/>
      <c r="AA555" s="26"/>
      <c r="AB555" s="26"/>
      <c r="AC555" s="26"/>
      <c r="AD555" s="26"/>
      <c r="AE555" s="115"/>
      <c r="AF555" s="85"/>
      <c r="AG555" s="67"/>
      <c r="AH555" s="67"/>
      <c r="AI555" s="85"/>
      <c r="AJ555" s="85"/>
      <c r="AK555" s="85"/>
      <c r="AL555" s="85"/>
    </row>
    <row r="556" spans="1:38">
      <c r="A556" s="26"/>
      <c r="B556" s="26"/>
      <c r="C556" s="26"/>
      <c r="D556" s="26"/>
      <c r="E556" s="26"/>
      <c r="F556" s="26"/>
      <c r="G556" s="26"/>
      <c r="H556" s="26"/>
      <c r="I556" s="26"/>
      <c r="J556" s="26"/>
      <c r="K556" s="112"/>
      <c r="L556" s="26"/>
      <c r="M556" s="26"/>
      <c r="N556" s="26"/>
      <c r="O556" s="113"/>
      <c r="P556" s="26"/>
      <c r="Q556" s="26"/>
      <c r="R556" s="26"/>
      <c r="S556" s="26"/>
      <c r="T556" s="26"/>
      <c r="U556" s="26"/>
      <c r="V556" s="26"/>
      <c r="W556" s="26"/>
      <c r="X556" s="26"/>
      <c r="Y556" s="26"/>
      <c r="Z556" s="26"/>
      <c r="AA556" s="26"/>
      <c r="AB556" s="26"/>
      <c r="AC556" s="26"/>
      <c r="AD556" s="26"/>
      <c r="AE556" s="115"/>
      <c r="AF556" s="85"/>
      <c r="AG556" s="67"/>
      <c r="AH556" s="67"/>
      <c r="AI556" s="85"/>
      <c r="AJ556" s="85"/>
      <c r="AK556" s="85"/>
      <c r="AL556" s="85"/>
    </row>
    <row r="557" spans="1:38">
      <c r="A557" s="26"/>
      <c r="B557" s="26"/>
      <c r="C557" s="26"/>
      <c r="D557" s="26"/>
      <c r="E557" s="26"/>
      <c r="F557" s="26"/>
      <c r="G557" s="26"/>
      <c r="H557" s="26"/>
      <c r="I557" s="26"/>
      <c r="J557" s="26"/>
      <c r="K557" s="112"/>
      <c r="L557" s="26"/>
      <c r="M557" s="26"/>
      <c r="N557" s="26"/>
      <c r="O557" s="113"/>
      <c r="P557" s="26"/>
      <c r="Q557" s="26"/>
      <c r="R557" s="26"/>
      <c r="S557" s="26"/>
      <c r="T557" s="26"/>
      <c r="U557" s="26"/>
      <c r="V557" s="26"/>
      <c r="W557" s="26"/>
      <c r="X557" s="26"/>
      <c r="Y557" s="26"/>
      <c r="Z557" s="26"/>
      <c r="AA557" s="26"/>
      <c r="AB557" s="26"/>
      <c r="AC557" s="26"/>
      <c r="AD557" s="26"/>
      <c r="AE557" s="115"/>
      <c r="AF557" s="85"/>
      <c r="AG557" s="67"/>
      <c r="AH557" s="67"/>
      <c r="AI557" s="85"/>
      <c r="AJ557" s="85"/>
      <c r="AK557" s="85"/>
      <c r="AL557" s="85"/>
    </row>
    <row r="558" spans="1:38">
      <c r="A558" s="26"/>
      <c r="B558" s="26"/>
      <c r="C558" s="26"/>
      <c r="D558" s="26"/>
      <c r="E558" s="26"/>
      <c r="F558" s="26"/>
      <c r="G558" s="26"/>
      <c r="H558" s="26"/>
      <c r="I558" s="26"/>
      <c r="J558" s="26"/>
      <c r="K558" s="112"/>
      <c r="L558" s="26"/>
      <c r="M558" s="26"/>
      <c r="N558" s="26"/>
      <c r="O558" s="113"/>
      <c r="P558" s="26"/>
      <c r="Q558" s="26"/>
      <c r="R558" s="26"/>
      <c r="S558" s="26"/>
      <c r="T558" s="26"/>
      <c r="U558" s="26"/>
      <c r="V558" s="26"/>
      <c r="W558" s="26"/>
      <c r="X558" s="26"/>
      <c r="Y558" s="26"/>
      <c r="Z558" s="26"/>
      <c r="AA558" s="26"/>
      <c r="AB558" s="26"/>
      <c r="AC558" s="26"/>
      <c r="AD558" s="26"/>
      <c r="AE558" s="115"/>
      <c r="AF558" s="85"/>
      <c r="AG558" s="67"/>
      <c r="AH558" s="67"/>
      <c r="AI558" s="85"/>
      <c r="AJ558" s="85"/>
      <c r="AK558" s="85"/>
      <c r="AL558" s="85"/>
    </row>
    <row r="559" spans="1:38">
      <c r="A559" s="26"/>
      <c r="B559" s="26"/>
      <c r="C559" s="26"/>
      <c r="D559" s="26"/>
      <c r="E559" s="26"/>
      <c r="F559" s="26"/>
      <c r="G559" s="26"/>
      <c r="H559" s="26"/>
      <c r="I559" s="26"/>
      <c r="J559" s="26"/>
      <c r="K559" s="112"/>
      <c r="L559" s="26"/>
      <c r="M559" s="26"/>
      <c r="N559" s="26"/>
      <c r="O559" s="113"/>
      <c r="P559" s="26"/>
      <c r="Q559" s="26"/>
      <c r="R559" s="26"/>
      <c r="S559" s="26"/>
      <c r="T559" s="26"/>
      <c r="U559" s="26"/>
      <c r="V559" s="26"/>
      <c r="W559" s="26"/>
      <c r="X559" s="26"/>
      <c r="Y559" s="26"/>
      <c r="Z559" s="26"/>
      <c r="AA559" s="26"/>
      <c r="AB559" s="26"/>
      <c r="AC559" s="26"/>
      <c r="AD559" s="26"/>
      <c r="AE559" s="115"/>
      <c r="AF559" s="85"/>
      <c r="AG559" s="67"/>
      <c r="AH559" s="67"/>
      <c r="AI559" s="85"/>
      <c r="AJ559" s="85"/>
      <c r="AK559" s="85"/>
      <c r="AL559" s="85"/>
    </row>
    <row r="560" spans="1:38">
      <c r="A560" s="26"/>
      <c r="B560" s="26"/>
      <c r="C560" s="26"/>
      <c r="D560" s="26"/>
      <c r="E560" s="26"/>
      <c r="F560" s="26"/>
      <c r="G560" s="26"/>
      <c r="H560" s="26"/>
      <c r="I560" s="26"/>
      <c r="J560" s="26"/>
      <c r="K560" s="112"/>
      <c r="L560" s="26"/>
      <c r="M560" s="26"/>
      <c r="N560" s="26"/>
      <c r="O560" s="113"/>
      <c r="P560" s="26"/>
      <c r="Q560" s="26"/>
      <c r="R560" s="26"/>
      <c r="S560" s="26"/>
      <c r="T560" s="26"/>
      <c r="U560" s="26"/>
      <c r="V560" s="26"/>
      <c r="W560" s="26"/>
      <c r="X560" s="26"/>
      <c r="Y560" s="26"/>
      <c r="Z560" s="26"/>
      <c r="AA560" s="26"/>
      <c r="AB560" s="26"/>
      <c r="AC560" s="26"/>
      <c r="AD560" s="26"/>
      <c r="AE560" s="115"/>
      <c r="AF560" s="85"/>
      <c r="AG560" s="67"/>
      <c r="AH560" s="67"/>
      <c r="AI560" s="85"/>
      <c r="AJ560" s="85"/>
      <c r="AK560" s="85"/>
      <c r="AL560" s="85"/>
    </row>
    <row r="561" spans="1:38">
      <c r="A561" s="26"/>
      <c r="B561" s="26"/>
      <c r="C561" s="26"/>
      <c r="D561" s="26"/>
      <c r="E561" s="26"/>
      <c r="F561" s="26"/>
      <c r="G561" s="26"/>
      <c r="H561" s="26"/>
      <c r="I561" s="26"/>
      <c r="J561" s="26"/>
      <c r="K561" s="112"/>
      <c r="L561" s="26"/>
      <c r="M561" s="26"/>
      <c r="N561" s="26"/>
      <c r="O561" s="113"/>
      <c r="P561" s="26"/>
      <c r="Q561" s="26"/>
      <c r="R561" s="26"/>
      <c r="S561" s="26"/>
      <c r="T561" s="26"/>
      <c r="U561" s="26"/>
      <c r="V561" s="26"/>
      <c r="W561" s="26"/>
      <c r="X561" s="26"/>
      <c r="Y561" s="26"/>
      <c r="Z561" s="26"/>
      <c r="AA561" s="26"/>
      <c r="AB561" s="26"/>
      <c r="AC561" s="26"/>
      <c r="AD561" s="26"/>
      <c r="AE561" s="115"/>
      <c r="AF561" s="85"/>
      <c r="AG561" s="67"/>
      <c r="AH561" s="67"/>
      <c r="AI561" s="85"/>
      <c r="AJ561" s="85"/>
      <c r="AK561" s="85"/>
      <c r="AL561" s="85"/>
    </row>
    <row r="562" spans="1:38">
      <c r="A562" s="26"/>
      <c r="B562" s="26"/>
      <c r="C562" s="26"/>
      <c r="D562" s="26"/>
      <c r="E562" s="26"/>
      <c r="F562" s="26"/>
      <c r="G562" s="26"/>
      <c r="H562" s="26"/>
      <c r="I562" s="26"/>
      <c r="J562" s="26"/>
      <c r="K562" s="112"/>
      <c r="L562" s="26"/>
      <c r="M562" s="26"/>
      <c r="N562" s="26"/>
      <c r="O562" s="113"/>
      <c r="P562" s="26"/>
      <c r="Q562" s="26"/>
      <c r="R562" s="26"/>
      <c r="S562" s="26"/>
      <c r="T562" s="26"/>
      <c r="U562" s="26"/>
      <c r="V562" s="26"/>
      <c r="W562" s="26"/>
      <c r="X562" s="26"/>
      <c r="Y562" s="26"/>
      <c r="Z562" s="26"/>
      <c r="AA562" s="26"/>
      <c r="AB562" s="26"/>
      <c r="AC562" s="26"/>
      <c r="AD562" s="26"/>
      <c r="AE562" s="115"/>
      <c r="AF562" s="85"/>
      <c r="AG562" s="67"/>
      <c r="AH562" s="67"/>
      <c r="AI562" s="85"/>
      <c r="AJ562" s="85"/>
      <c r="AK562" s="85"/>
      <c r="AL562" s="85"/>
    </row>
    <row r="563" spans="1:38">
      <c r="A563" s="26"/>
      <c r="B563" s="26"/>
      <c r="C563" s="26"/>
      <c r="D563" s="26"/>
      <c r="E563" s="26"/>
      <c r="F563" s="26"/>
      <c r="G563" s="26"/>
      <c r="H563" s="26"/>
      <c r="I563" s="26"/>
      <c r="J563" s="26"/>
      <c r="K563" s="112"/>
      <c r="L563" s="26"/>
      <c r="M563" s="26"/>
      <c r="N563" s="26"/>
      <c r="O563" s="113"/>
      <c r="P563" s="26"/>
      <c r="Q563" s="26"/>
      <c r="R563" s="26"/>
      <c r="S563" s="26"/>
      <c r="T563" s="26"/>
      <c r="U563" s="26"/>
      <c r="V563" s="26"/>
      <c r="W563" s="26"/>
      <c r="X563" s="26"/>
      <c r="Y563" s="26"/>
      <c r="Z563" s="26"/>
      <c r="AA563" s="26"/>
      <c r="AB563" s="26"/>
      <c r="AC563" s="26"/>
      <c r="AD563" s="26"/>
      <c r="AE563" s="115"/>
      <c r="AF563" s="85"/>
      <c r="AG563" s="67"/>
      <c r="AH563" s="67"/>
      <c r="AI563" s="85"/>
      <c r="AJ563" s="85"/>
      <c r="AK563" s="85"/>
      <c r="AL563" s="85"/>
    </row>
    <row r="564" spans="1:38">
      <c r="A564" s="26"/>
      <c r="B564" s="26"/>
      <c r="C564" s="26"/>
      <c r="D564" s="26"/>
      <c r="E564" s="26"/>
      <c r="F564" s="26"/>
      <c r="G564" s="26"/>
      <c r="H564" s="26"/>
      <c r="I564" s="26"/>
      <c r="J564" s="26"/>
      <c r="K564" s="112"/>
      <c r="L564" s="26"/>
      <c r="M564" s="26"/>
      <c r="N564" s="26"/>
      <c r="O564" s="113"/>
      <c r="P564" s="26"/>
      <c r="Q564" s="26"/>
      <c r="R564" s="26"/>
      <c r="S564" s="26"/>
      <c r="T564" s="26"/>
      <c r="U564" s="26"/>
      <c r="V564" s="26"/>
      <c r="W564" s="26"/>
      <c r="X564" s="26"/>
      <c r="Y564" s="26"/>
      <c r="Z564" s="26"/>
      <c r="AA564" s="26"/>
      <c r="AB564" s="26"/>
      <c r="AC564" s="26"/>
      <c r="AD564" s="26"/>
      <c r="AE564" s="115"/>
      <c r="AF564" s="85"/>
      <c r="AG564" s="67"/>
      <c r="AH564" s="67"/>
      <c r="AI564" s="85"/>
      <c r="AJ564" s="85"/>
      <c r="AK564" s="85"/>
      <c r="AL564" s="85"/>
    </row>
    <row r="565" spans="1:38">
      <c r="A565" s="26"/>
      <c r="B565" s="26"/>
      <c r="C565" s="26"/>
      <c r="D565" s="26"/>
      <c r="E565" s="26"/>
      <c r="F565" s="26"/>
      <c r="G565" s="26"/>
      <c r="H565" s="26"/>
      <c r="I565" s="26"/>
      <c r="J565" s="26"/>
      <c r="K565" s="112"/>
      <c r="L565" s="26"/>
      <c r="M565" s="26"/>
      <c r="N565" s="26"/>
      <c r="O565" s="113"/>
      <c r="P565" s="26"/>
      <c r="Q565" s="26"/>
      <c r="R565" s="26"/>
      <c r="S565" s="26"/>
      <c r="T565" s="26"/>
      <c r="U565" s="26"/>
      <c r="V565" s="26"/>
      <c r="W565" s="26"/>
      <c r="X565" s="26"/>
      <c r="Y565" s="26"/>
      <c r="Z565" s="26"/>
      <c r="AA565" s="26"/>
      <c r="AB565" s="26"/>
      <c r="AC565" s="26"/>
      <c r="AD565" s="26"/>
      <c r="AE565" s="115"/>
      <c r="AF565" s="85"/>
      <c r="AG565" s="67"/>
      <c r="AH565" s="67"/>
      <c r="AI565" s="85"/>
      <c r="AJ565" s="85"/>
      <c r="AK565" s="85"/>
      <c r="AL565" s="85"/>
    </row>
    <row r="566" spans="1:38">
      <c r="A566" s="26"/>
      <c r="B566" s="26"/>
      <c r="C566" s="26"/>
      <c r="D566" s="26"/>
      <c r="E566" s="26"/>
      <c r="F566" s="26"/>
      <c r="G566" s="26"/>
      <c r="H566" s="26"/>
      <c r="I566" s="26"/>
      <c r="J566" s="26"/>
      <c r="K566" s="112"/>
      <c r="L566" s="26"/>
      <c r="M566" s="26"/>
      <c r="N566" s="26"/>
      <c r="O566" s="113"/>
      <c r="P566" s="26"/>
      <c r="Q566" s="26"/>
      <c r="R566" s="26"/>
      <c r="S566" s="26"/>
      <c r="T566" s="26"/>
      <c r="U566" s="26"/>
      <c r="V566" s="26"/>
      <c r="W566" s="26"/>
      <c r="X566" s="26"/>
      <c r="Y566" s="26"/>
      <c r="Z566" s="26"/>
      <c r="AA566" s="26"/>
      <c r="AB566" s="26"/>
      <c r="AC566" s="26"/>
      <c r="AD566" s="26"/>
      <c r="AE566" s="115"/>
      <c r="AF566" s="85"/>
      <c r="AG566" s="67"/>
      <c r="AH566" s="67"/>
      <c r="AI566" s="85"/>
      <c r="AJ566" s="85"/>
      <c r="AK566" s="85"/>
      <c r="AL566" s="85"/>
    </row>
    <row r="567" spans="1:38">
      <c r="A567" s="26"/>
      <c r="B567" s="26"/>
      <c r="C567" s="26"/>
      <c r="D567" s="26"/>
      <c r="E567" s="26"/>
      <c r="F567" s="26"/>
      <c r="G567" s="26"/>
      <c r="H567" s="26"/>
      <c r="I567" s="26"/>
      <c r="J567" s="26"/>
      <c r="K567" s="112"/>
      <c r="L567" s="26"/>
      <c r="M567" s="26"/>
      <c r="N567" s="26"/>
      <c r="O567" s="113"/>
      <c r="P567" s="26"/>
      <c r="Q567" s="26"/>
      <c r="R567" s="26"/>
      <c r="S567" s="26"/>
      <c r="T567" s="26"/>
      <c r="U567" s="26"/>
      <c r="V567" s="26"/>
      <c r="W567" s="26"/>
      <c r="X567" s="26"/>
      <c r="Y567" s="26"/>
      <c r="Z567" s="26"/>
      <c r="AA567" s="26"/>
      <c r="AB567" s="26"/>
      <c r="AC567" s="26"/>
      <c r="AD567" s="26"/>
      <c r="AE567" s="115"/>
      <c r="AF567" s="85"/>
      <c r="AG567" s="67"/>
      <c r="AH567" s="67"/>
      <c r="AI567" s="85"/>
      <c r="AJ567" s="85"/>
      <c r="AK567" s="85"/>
      <c r="AL567" s="85"/>
    </row>
    <row r="568" spans="1:38">
      <c r="A568" s="26"/>
      <c r="B568" s="26"/>
      <c r="C568" s="26"/>
      <c r="D568" s="26"/>
      <c r="E568" s="26"/>
      <c r="F568" s="26"/>
      <c r="G568" s="26"/>
      <c r="H568" s="26"/>
      <c r="I568" s="26"/>
      <c r="J568" s="26"/>
      <c r="K568" s="112"/>
      <c r="L568" s="26"/>
      <c r="M568" s="26"/>
      <c r="N568" s="26"/>
      <c r="O568" s="113"/>
      <c r="P568" s="26"/>
      <c r="Q568" s="26"/>
      <c r="R568" s="26"/>
      <c r="S568" s="26"/>
      <c r="T568" s="26"/>
      <c r="U568" s="26"/>
      <c r="V568" s="26"/>
      <c r="W568" s="26"/>
      <c r="X568" s="26"/>
      <c r="Y568" s="26"/>
      <c r="Z568" s="26"/>
      <c r="AA568" s="26"/>
      <c r="AB568" s="26"/>
      <c r="AC568" s="26"/>
      <c r="AD568" s="26"/>
      <c r="AE568" s="115"/>
      <c r="AF568" s="85"/>
      <c r="AG568" s="67"/>
      <c r="AH568" s="67"/>
      <c r="AI568" s="85"/>
      <c r="AJ568" s="85"/>
      <c r="AK568" s="85"/>
      <c r="AL568" s="85"/>
    </row>
    <row r="569" spans="1:38">
      <c r="A569" s="26"/>
      <c r="B569" s="26"/>
      <c r="C569" s="26"/>
      <c r="D569" s="26"/>
      <c r="E569" s="26"/>
      <c r="F569" s="26"/>
      <c r="G569" s="26"/>
      <c r="H569" s="26"/>
      <c r="I569" s="26"/>
      <c r="J569" s="26"/>
      <c r="K569" s="112"/>
      <c r="L569" s="26"/>
      <c r="M569" s="26"/>
      <c r="N569" s="26"/>
      <c r="O569" s="113"/>
      <c r="P569" s="26"/>
      <c r="Q569" s="26"/>
      <c r="R569" s="26"/>
      <c r="S569" s="26"/>
      <c r="T569" s="26"/>
      <c r="U569" s="26"/>
      <c r="V569" s="26"/>
      <c r="W569" s="26"/>
      <c r="X569" s="26"/>
      <c r="Y569" s="26"/>
      <c r="Z569" s="26"/>
      <c r="AA569" s="26"/>
      <c r="AB569" s="26"/>
      <c r="AC569" s="26"/>
      <c r="AD569" s="26"/>
      <c r="AE569" s="115"/>
      <c r="AF569" s="85"/>
      <c r="AG569" s="67"/>
      <c r="AH569" s="67"/>
      <c r="AI569" s="85"/>
      <c r="AJ569" s="85"/>
      <c r="AK569" s="85"/>
      <c r="AL569" s="85"/>
    </row>
    <row r="570" spans="1:38">
      <c r="A570" s="26"/>
      <c r="B570" s="26"/>
      <c r="C570" s="26"/>
      <c r="D570" s="26"/>
      <c r="E570" s="26"/>
      <c r="F570" s="26"/>
      <c r="G570" s="26"/>
      <c r="H570" s="26"/>
      <c r="I570" s="26"/>
      <c r="J570" s="26"/>
      <c r="K570" s="112"/>
      <c r="L570" s="26"/>
      <c r="M570" s="26"/>
      <c r="N570" s="26"/>
      <c r="O570" s="113"/>
      <c r="P570" s="26"/>
      <c r="Q570" s="26"/>
      <c r="R570" s="26"/>
      <c r="S570" s="26"/>
      <c r="T570" s="26"/>
      <c r="U570" s="26"/>
      <c r="V570" s="26"/>
      <c r="W570" s="26"/>
      <c r="X570" s="26"/>
      <c r="Y570" s="26"/>
      <c r="Z570" s="26"/>
      <c r="AA570" s="26"/>
      <c r="AB570" s="26"/>
      <c r="AC570" s="26"/>
      <c r="AD570" s="26"/>
      <c r="AE570" s="115"/>
      <c r="AF570" s="85"/>
      <c r="AG570" s="67"/>
      <c r="AH570" s="67"/>
      <c r="AI570" s="85"/>
      <c r="AJ570" s="85"/>
      <c r="AK570" s="85"/>
      <c r="AL570" s="85"/>
    </row>
    <row r="571" spans="1:38">
      <c r="A571" s="26"/>
      <c r="B571" s="26"/>
      <c r="C571" s="26"/>
      <c r="D571" s="26"/>
      <c r="E571" s="26"/>
      <c r="F571" s="26"/>
      <c r="G571" s="26"/>
      <c r="H571" s="26"/>
      <c r="I571" s="26"/>
      <c r="J571" s="26"/>
      <c r="K571" s="112"/>
      <c r="L571" s="26"/>
      <c r="M571" s="26"/>
      <c r="N571" s="26"/>
      <c r="O571" s="113"/>
      <c r="P571" s="26"/>
      <c r="Q571" s="26"/>
      <c r="R571" s="26"/>
      <c r="S571" s="26"/>
      <c r="T571" s="26"/>
      <c r="U571" s="26"/>
      <c r="V571" s="26"/>
      <c r="W571" s="26"/>
      <c r="X571" s="26"/>
      <c r="Y571" s="26"/>
      <c r="Z571" s="26"/>
      <c r="AA571" s="26"/>
      <c r="AB571" s="26"/>
      <c r="AC571" s="26"/>
      <c r="AD571" s="26"/>
      <c r="AE571" s="115"/>
      <c r="AF571" s="85"/>
      <c r="AG571" s="67"/>
      <c r="AH571" s="67"/>
      <c r="AI571" s="85"/>
      <c r="AJ571" s="85"/>
      <c r="AK571" s="85"/>
      <c r="AL571" s="85"/>
    </row>
    <row r="572" spans="1:38">
      <c r="A572" s="26"/>
      <c r="B572" s="26"/>
      <c r="C572" s="26"/>
      <c r="D572" s="26"/>
      <c r="E572" s="26"/>
      <c r="F572" s="26"/>
      <c r="G572" s="26"/>
      <c r="H572" s="26"/>
      <c r="I572" s="26"/>
      <c r="J572" s="26"/>
      <c r="K572" s="112"/>
      <c r="L572" s="26"/>
      <c r="M572" s="26"/>
      <c r="N572" s="26"/>
      <c r="O572" s="113"/>
      <c r="P572" s="26"/>
      <c r="Q572" s="26"/>
      <c r="R572" s="26"/>
      <c r="S572" s="26"/>
      <c r="T572" s="26"/>
      <c r="U572" s="26"/>
      <c r="V572" s="26"/>
      <c r="W572" s="26"/>
      <c r="X572" s="26"/>
      <c r="Y572" s="26"/>
      <c r="Z572" s="26"/>
      <c r="AA572" s="26"/>
      <c r="AB572" s="26"/>
      <c r="AC572" s="26"/>
      <c r="AD572" s="26"/>
      <c r="AE572" s="115"/>
      <c r="AF572" s="85"/>
      <c r="AG572" s="67"/>
      <c r="AH572" s="67"/>
      <c r="AI572" s="85"/>
      <c r="AJ572" s="85"/>
      <c r="AK572" s="85"/>
      <c r="AL572" s="85"/>
    </row>
    <row r="573" spans="1:38">
      <c r="A573" s="26"/>
      <c r="B573" s="26"/>
      <c r="C573" s="26"/>
      <c r="D573" s="26"/>
      <c r="E573" s="26"/>
      <c r="F573" s="26"/>
      <c r="G573" s="26"/>
      <c r="H573" s="26"/>
      <c r="I573" s="26"/>
      <c r="J573" s="26"/>
      <c r="K573" s="112"/>
      <c r="L573" s="26"/>
      <c r="M573" s="26"/>
      <c r="N573" s="26"/>
      <c r="O573" s="113"/>
      <c r="P573" s="26"/>
      <c r="Q573" s="26"/>
      <c r="R573" s="26"/>
      <c r="S573" s="26"/>
      <c r="T573" s="26"/>
      <c r="U573" s="26"/>
      <c r="V573" s="26"/>
      <c r="W573" s="26"/>
      <c r="X573" s="26"/>
      <c r="Y573" s="26"/>
      <c r="Z573" s="26"/>
      <c r="AA573" s="26"/>
      <c r="AB573" s="26"/>
      <c r="AC573" s="26"/>
      <c r="AD573" s="26"/>
      <c r="AE573" s="115"/>
      <c r="AF573" s="85"/>
      <c r="AG573" s="67"/>
      <c r="AH573" s="67"/>
      <c r="AI573" s="85"/>
      <c r="AJ573" s="85"/>
      <c r="AK573" s="85"/>
      <c r="AL573" s="85"/>
    </row>
    <row r="574" spans="1:38">
      <c r="A574" s="26"/>
      <c r="B574" s="26"/>
      <c r="C574" s="26"/>
      <c r="D574" s="26"/>
      <c r="E574" s="26"/>
      <c r="F574" s="26"/>
      <c r="G574" s="26"/>
      <c r="H574" s="26"/>
      <c r="I574" s="26"/>
      <c r="J574" s="26"/>
      <c r="K574" s="112"/>
      <c r="L574" s="26"/>
      <c r="M574" s="26"/>
      <c r="N574" s="26"/>
      <c r="O574" s="113"/>
      <c r="P574" s="26"/>
      <c r="Q574" s="26"/>
      <c r="R574" s="26"/>
      <c r="S574" s="26"/>
      <c r="T574" s="26"/>
      <c r="U574" s="26"/>
      <c r="V574" s="26"/>
      <c r="W574" s="26"/>
      <c r="X574" s="26"/>
      <c r="Y574" s="26"/>
      <c r="Z574" s="26"/>
      <c r="AA574" s="26"/>
      <c r="AB574" s="26"/>
      <c r="AC574" s="26"/>
      <c r="AD574" s="26"/>
      <c r="AE574" s="115"/>
      <c r="AF574" s="85"/>
      <c r="AG574" s="67"/>
      <c r="AH574" s="67"/>
      <c r="AI574" s="85"/>
      <c r="AJ574" s="85"/>
      <c r="AK574" s="85"/>
      <c r="AL574" s="85"/>
    </row>
    <row r="575" spans="1:38">
      <c r="A575" s="26"/>
      <c r="B575" s="26"/>
      <c r="C575" s="26"/>
      <c r="D575" s="26"/>
      <c r="E575" s="26"/>
      <c r="F575" s="26"/>
      <c r="G575" s="26"/>
      <c r="H575" s="26"/>
      <c r="I575" s="26"/>
      <c r="J575" s="26"/>
      <c r="K575" s="112"/>
      <c r="L575" s="26"/>
      <c r="M575" s="26"/>
      <c r="N575" s="26"/>
      <c r="O575" s="113"/>
      <c r="P575" s="26"/>
      <c r="Q575" s="26"/>
      <c r="R575" s="26"/>
      <c r="S575" s="26"/>
      <c r="T575" s="26"/>
      <c r="U575" s="26"/>
      <c r="V575" s="26"/>
      <c r="W575" s="26"/>
      <c r="X575" s="26"/>
      <c r="Y575" s="26"/>
      <c r="Z575" s="26"/>
      <c r="AA575" s="26"/>
      <c r="AB575" s="26"/>
      <c r="AC575" s="26"/>
      <c r="AD575" s="26"/>
      <c r="AE575" s="115"/>
      <c r="AF575" s="85"/>
      <c r="AG575" s="67"/>
      <c r="AH575" s="67"/>
      <c r="AI575" s="85"/>
      <c r="AJ575" s="85"/>
      <c r="AK575" s="85"/>
      <c r="AL575" s="85"/>
    </row>
    <row r="576" spans="1:38">
      <c r="A576" s="26"/>
      <c r="B576" s="26"/>
      <c r="C576" s="26"/>
      <c r="D576" s="26"/>
      <c r="E576" s="26"/>
      <c r="F576" s="26"/>
      <c r="G576" s="26"/>
      <c r="H576" s="26"/>
      <c r="I576" s="26"/>
      <c r="J576" s="26"/>
      <c r="K576" s="112"/>
      <c r="L576" s="26"/>
      <c r="M576" s="26"/>
      <c r="N576" s="26"/>
      <c r="O576" s="113"/>
      <c r="P576" s="26"/>
      <c r="Q576" s="26"/>
      <c r="R576" s="26"/>
      <c r="S576" s="26"/>
      <c r="T576" s="26"/>
      <c r="U576" s="26"/>
      <c r="V576" s="26"/>
      <c r="W576" s="26"/>
      <c r="X576" s="26"/>
      <c r="Y576" s="26"/>
      <c r="Z576" s="26"/>
      <c r="AA576" s="26"/>
      <c r="AB576" s="26"/>
      <c r="AC576" s="26"/>
      <c r="AD576" s="26"/>
      <c r="AE576" s="115"/>
      <c r="AF576" s="85"/>
      <c r="AG576" s="67"/>
      <c r="AH576" s="67"/>
      <c r="AI576" s="85"/>
      <c r="AJ576" s="85"/>
      <c r="AK576" s="85"/>
      <c r="AL576" s="85"/>
    </row>
    <row r="577" spans="1:38">
      <c r="A577" s="26"/>
      <c r="B577" s="26"/>
      <c r="C577" s="26"/>
      <c r="D577" s="26"/>
      <c r="E577" s="26"/>
      <c r="F577" s="26"/>
      <c r="G577" s="26"/>
      <c r="H577" s="26"/>
      <c r="I577" s="26"/>
      <c r="J577" s="26"/>
      <c r="K577" s="112"/>
      <c r="L577" s="26"/>
      <c r="M577" s="26"/>
      <c r="N577" s="26"/>
      <c r="O577" s="113"/>
      <c r="P577" s="26"/>
      <c r="Q577" s="26"/>
      <c r="R577" s="26"/>
      <c r="S577" s="26"/>
      <c r="T577" s="26"/>
      <c r="U577" s="26"/>
      <c r="V577" s="26"/>
      <c r="W577" s="26"/>
      <c r="X577" s="26"/>
      <c r="Y577" s="26"/>
      <c r="Z577" s="26"/>
      <c r="AA577" s="26"/>
      <c r="AB577" s="26"/>
      <c r="AC577" s="26"/>
      <c r="AD577" s="26"/>
      <c r="AE577" s="115"/>
      <c r="AF577" s="85"/>
      <c r="AG577" s="67"/>
      <c r="AH577" s="67"/>
      <c r="AI577" s="85"/>
      <c r="AJ577" s="85"/>
      <c r="AK577" s="85"/>
      <c r="AL577" s="85"/>
    </row>
    <row r="578" spans="1:38">
      <c r="A578" s="26"/>
      <c r="B578" s="26"/>
      <c r="C578" s="26"/>
      <c r="D578" s="26"/>
      <c r="E578" s="26"/>
      <c r="F578" s="26"/>
      <c r="G578" s="26"/>
      <c r="H578" s="26"/>
      <c r="I578" s="26"/>
      <c r="J578" s="26"/>
      <c r="K578" s="112"/>
      <c r="L578" s="26"/>
      <c r="M578" s="26"/>
      <c r="N578" s="26"/>
      <c r="O578" s="113"/>
      <c r="P578" s="26"/>
      <c r="Q578" s="26"/>
      <c r="R578" s="26"/>
      <c r="S578" s="26"/>
      <c r="T578" s="26"/>
      <c r="U578" s="26"/>
      <c r="V578" s="26"/>
      <c r="W578" s="26"/>
      <c r="X578" s="26"/>
      <c r="Y578" s="26"/>
      <c r="Z578" s="26"/>
      <c r="AA578" s="26"/>
      <c r="AB578" s="26"/>
      <c r="AC578" s="26"/>
      <c r="AD578" s="26"/>
      <c r="AE578" s="115"/>
      <c r="AF578" s="85"/>
      <c r="AG578" s="67"/>
      <c r="AH578" s="67"/>
      <c r="AI578" s="85"/>
      <c r="AJ578" s="85"/>
      <c r="AK578" s="85"/>
      <c r="AL578" s="85"/>
    </row>
    <row r="579" spans="1:38">
      <c r="A579" s="26"/>
      <c r="B579" s="26"/>
      <c r="C579" s="26"/>
      <c r="D579" s="26"/>
      <c r="E579" s="26"/>
      <c r="F579" s="26"/>
      <c r="G579" s="26"/>
      <c r="H579" s="26"/>
      <c r="I579" s="26"/>
      <c r="J579" s="26"/>
      <c r="K579" s="112"/>
      <c r="L579" s="26"/>
      <c r="M579" s="26"/>
      <c r="N579" s="26"/>
      <c r="O579" s="113"/>
      <c r="P579" s="26"/>
      <c r="Q579" s="26"/>
      <c r="R579" s="26"/>
      <c r="S579" s="26"/>
      <c r="T579" s="26"/>
      <c r="U579" s="26"/>
      <c r="V579" s="26"/>
      <c r="W579" s="26"/>
      <c r="X579" s="26"/>
      <c r="Y579" s="26"/>
      <c r="Z579" s="26"/>
      <c r="AA579" s="26"/>
      <c r="AB579" s="26"/>
      <c r="AC579" s="26"/>
      <c r="AD579" s="26"/>
      <c r="AE579" s="115"/>
      <c r="AF579" s="85"/>
      <c r="AG579" s="67"/>
      <c r="AH579" s="67"/>
      <c r="AI579" s="85"/>
      <c r="AJ579" s="85"/>
      <c r="AK579" s="85"/>
      <c r="AL579" s="85"/>
    </row>
    <row r="580" spans="1:38">
      <c r="A580" s="26"/>
      <c r="B580" s="26"/>
      <c r="C580" s="26"/>
      <c r="D580" s="26"/>
      <c r="E580" s="26"/>
      <c r="F580" s="26"/>
      <c r="G580" s="26"/>
      <c r="H580" s="26"/>
      <c r="I580" s="26"/>
      <c r="J580" s="26"/>
      <c r="K580" s="112"/>
      <c r="L580" s="26"/>
      <c r="M580" s="26"/>
      <c r="N580" s="26"/>
      <c r="O580" s="113"/>
      <c r="P580" s="26"/>
      <c r="Q580" s="26"/>
      <c r="R580" s="26"/>
      <c r="S580" s="26"/>
      <c r="T580" s="26"/>
      <c r="U580" s="26"/>
      <c r="V580" s="26"/>
      <c r="W580" s="26"/>
      <c r="X580" s="26"/>
      <c r="Y580" s="26"/>
      <c r="Z580" s="26"/>
      <c r="AA580" s="26"/>
      <c r="AB580" s="26"/>
      <c r="AC580" s="26"/>
      <c r="AD580" s="26"/>
      <c r="AE580" s="115"/>
      <c r="AF580" s="85"/>
      <c r="AG580" s="67"/>
      <c r="AH580" s="67"/>
      <c r="AI580" s="85"/>
      <c r="AJ580" s="85"/>
      <c r="AK580" s="85"/>
      <c r="AL580" s="85"/>
    </row>
    <row r="581" spans="1:38">
      <c r="A581" s="26"/>
      <c r="B581" s="26"/>
      <c r="C581" s="26"/>
      <c r="D581" s="26"/>
      <c r="E581" s="26"/>
      <c r="F581" s="26"/>
      <c r="G581" s="26"/>
      <c r="H581" s="26"/>
      <c r="I581" s="26"/>
      <c r="J581" s="26"/>
      <c r="K581" s="112"/>
      <c r="L581" s="26"/>
      <c r="M581" s="26"/>
      <c r="N581" s="26"/>
      <c r="O581" s="113"/>
      <c r="P581" s="26"/>
      <c r="Q581" s="26"/>
      <c r="R581" s="26"/>
      <c r="S581" s="26"/>
      <c r="T581" s="26"/>
      <c r="U581" s="26"/>
      <c r="V581" s="26"/>
      <c r="W581" s="26"/>
      <c r="X581" s="26"/>
      <c r="Y581" s="26"/>
      <c r="Z581" s="26"/>
      <c r="AA581" s="26"/>
      <c r="AB581" s="26"/>
      <c r="AC581" s="26"/>
      <c r="AD581" s="26"/>
      <c r="AE581" s="115"/>
      <c r="AF581" s="85"/>
      <c r="AG581" s="67"/>
      <c r="AH581" s="67"/>
      <c r="AI581" s="85"/>
      <c r="AJ581" s="85"/>
      <c r="AK581" s="85"/>
      <c r="AL581" s="85"/>
    </row>
    <row r="582" spans="1:38">
      <c r="A582" s="26"/>
      <c r="B582" s="26"/>
      <c r="C582" s="26"/>
      <c r="D582" s="26"/>
      <c r="E582" s="26"/>
      <c r="F582" s="26"/>
      <c r="G582" s="26"/>
      <c r="H582" s="26"/>
      <c r="I582" s="26"/>
      <c r="J582" s="26"/>
      <c r="K582" s="112"/>
      <c r="L582" s="26"/>
      <c r="M582" s="26"/>
      <c r="N582" s="26"/>
      <c r="O582" s="113"/>
      <c r="P582" s="26"/>
      <c r="Q582" s="26"/>
      <c r="R582" s="26"/>
      <c r="S582" s="26"/>
      <c r="T582" s="26"/>
      <c r="U582" s="26"/>
      <c r="V582" s="26"/>
      <c r="W582" s="26"/>
      <c r="X582" s="26"/>
      <c r="Y582" s="26"/>
      <c r="Z582" s="26"/>
      <c r="AA582" s="26"/>
      <c r="AB582" s="26"/>
      <c r="AC582" s="26"/>
      <c r="AD582" s="26"/>
      <c r="AE582" s="115"/>
      <c r="AF582" s="85"/>
      <c r="AG582" s="67"/>
      <c r="AH582" s="67"/>
      <c r="AI582" s="85"/>
      <c r="AJ582" s="85"/>
      <c r="AK582" s="85"/>
      <c r="AL582" s="85"/>
    </row>
    <row r="583" spans="1:38">
      <c r="A583" s="26"/>
      <c r="B583" s="26"/>
      <c r="C583" s="26"/>
      <c r="D583" s="26"/>
      <c r="E583" s="26"/>
      <c r="F583" s="26"/>
      <c r="G583" s="26"/>
      <c r="H583" s="26"/>
      <c r="I583" s="26"/>
      <c r="J583" s="26"/>
      <c r="K583" s="112"/>
      <c r="L583" s="26"/>
      <c r="M583" s="26"/>
      <c r="N583" s="26"/>
      <c r="O583" s="113"/>
      <c r="P583" s="26"/>
      <c r="Q583" s="26"/>
      <c r="R583" s="26"/>
      <c r="S583" s="26"/>
      <c r="T583" s="26"/>
      <c r="U583" s="26"/>
      <c r="V583" s="26"/>
      <c r="W583" s="26"/>
      <c r="X583" s="26"/>
      <c r="Y583" s="26"/>
      <c r="Z583" s="26"/>
      <c r="AA583" s="26"/>
      <c r="AB583" s="26"/>
      <c r="AC583" s="26"/>
      <c r="AD583" s="26"/>
      <c r="AE583" s="115"/>
      <c r="AF583" s="85"/>
      <c r="AG583" s="67"/>
      <c r="AH583" s="67"/>
      <c r="AI583" s="85"/>
      <c r="AJ583" s="85"/>
      <c r="AK583" s="85"/>
      <c r="AL583" s="85"/>
    </row>
    <row r="584" spans="1:38">
      <c r="A584" s="26"/>
      <c r="B584" s="26"/>
      <c r="C584" s="26"/>
      <c r="D584" s="26"/>
      <c r="E584" s="26"/>
      <c r="F584" s="26"/>
      <c r="G584" s="26"/>
      <c r="H584" s="26"/>
      <c r="I584" s="26"/>
      <c r="J584" s="26"/>
      <c r="K584" s="112"/>
      <c r="L584" s="26"/>
      <c r="M584" s="26"/>
      <c r="N584" s="26"/>
      <c r="O584" s="113"/>
      <c r="P584" s="26"/>
      <c r="Q584" s="26"/>
      <c r="R584" s="26"/>
      <c r="S584" s="26"/>
      <c r="T584" s="26"/>
      <c r="U584" s="26"/>
      <c r="V584" s="26"/>
      <c r="W584" s="26"/>
      <c r="X584" s="26"/>
      <c r="Y584" s="26"/>
      <c r="Z584" s="26"/>
      <c r="AA584" s="26"/>
      <c r="AB584" s="26"/>
      <c r="AC584" s="26"/>
      <c r="AD584" s="26"/>
      <c r="AE584" s="115"/>
      <c r="AF584" s="85"/>
      <c r="AG584" s="67"/>
      <c r="AH584" s="67"/>
      <c r="AI584" s="85"/>
      <c r="AJ584" s="85"/>
      <c r="AK584" s="85"/>
      <c r="AL584" s="85"/>
    </row>
    <row r="585" spans="1:38">
      <c r="A585" s="26"/>
      <c r="B585" s="26"/>
      <c r="C585" s="26"/>
      <c r="D585" s="26"/>
      <c r="E585" s="26"/>
      <c r="F585" s="26"/>
      <c r="G585" s="26"/>
      <c r="H585" s="26"/>
      <c r="I585" s="26"/>
      <c r="J585" s="26"/>
      <c r="K585" s="112"/>
      <c r="L585" s="26"/>
      <c r="M585" s="26"/>
      <c r="N585" s="26"/>
      <c r="O585" s="113"/>
      <c r="P585" s="26"/>
      <c r="Q585" s="26"/>
      <c r="R585" s="26"/>
      <c r="S585" s="26"/>
      <c r="T585" s="26"/>
      <c r="U585" s="26"/>
      <c r="V585" s="26"/>
      <c r="W585" s="26"/>
      <c r="X585" s="26"/>
      <c r="Y585" s="26"/>
      <c r="Z585" s="26"/>
      <c r="AA585" s="26"/>
      <c r="AB585" s="26"/>
      <c r="AC585" s="26"/>
      <c r="AD585" s="26"/>
      <c r="AE585" s="115"/>
      <c r="AF585" s="85"/>
      <c r="AG585" s="67"/>
      <c r="AH585" s="67"/>
      <c r="AI585" s="85"/>
      <c r="AJ585" s="85"/>
      <c r="AK585" s="85"/>
      <c r="AL585" s="85"/>
    </row>
    <row r="586" spans="1:38">
      <c r="A586" s="26"/>
      <c r="B586" s="26"/>
      <c r="C586" s="26"/>
      <c r="D586" s="26"/>
      <c r="E586" s="26"/>
      <c r="F586" s="26"/>
      <c r="G586" s="26"/>
      <c r="H586" s="26"/>
      <c r="I586" s="26"/>
      <c r="J586" s="26"/>
      <c r="K586" s="112"/>
      <c r="L586" s="26"/>
      <c r="M586" s="26"/>
      <c r="N586" s="26"/>
      <c r="O586" s="113"/>
      <c r="P586" s="26"/>
      <c r="Q586" s="26"/>
      <c r="R586" s="26"/>
      <c r="S586" s="26"/>
      <c r="T586" s="26"/>
      <c r="U586" s="26"/>
      <c r="V586" s="26"/>
      <c r="W586" s="26"/>
      <c r="X586" s="26"/>
      <c r="Y586" s="26"/>
      <c r="Z586" s="26"/>
      <c r="AA586" s="26"/>
      <c r="AB586" s="26"/>
      <c r="AC586" s="26"/>
      <c r="AD586" s="26"/>
      <c r="AE586" s="115"/>
      <c r="AF586" s="85"/>
      <c r="AG586" s="67"/>
      <c r="AH586" s="67"/>
      <c r="AI586" s="85"/>
      <c r="AJ586" s="85"/>
      <c r="AK586" s="85"/>
      <c r="AL586" s="85"/>
    </row>
    <row r="587" spans="1:38">
      <c r="A587" s="26"/>
      <c r="B587" s="26"/>
      <c r="C587" s="26"/>
      <c r="D587" s="26"/>
      <c r="E587" s="26"/>
      <c r="F587" s="26"/>
      <c r="G587" s="26"/>
      <c r="H587" s="26"/>
      <c r="I587" s="26"/>
      <c r="J587" s="26"/>
      <c r="K587" s="112"/>
      <c r="L587" s="26"/>
      <c r="M587" s="26"/>
      <c r="N587" s="26"/>
      <c r="O587" s="113"/>
      <c r="P587" s="26"/>
      <c r="Q587" s="26"/>
      <c r="R587" s="26"/>
      <c r="S587" s="26"/>
      <c r="T587" s="26"/>
      <c r="U587" s="26"/>
      <c r="V587" s="26"/>
      <c r="W587" s="26"/>
      <c r="X587" s="26"/>
      <c r="Y587" s="26"/>
      <c r="Z587" s="26"/>
      <c r="AA587" s="26"/>
      <c r="AB587" s="26"/>
      <c r="AC587" s="26"/>
      <c r="AD587" s="26"/>
      <c r="AE587" s="115"/>
      <c r="AF587" s="85"/>
      <c r="AG587" s="67"/>
      <c r="AH587" s="67"/>
      <c r="AI587" s="85"/>
      <c r="AJ587" s="85"/>
      <c r="AK587" s="85"/>
      <c r="AL587" s="85"/>
    </row>
    <row r="588" spans="1:38">
      <c r="A588" s="26"/>
      <c r="B588" s="26"/>
      <c r="C588" s="26"/>
      <c r="D588" s="26"/>
      <c r="E588" s="26"/>
      <c r="F588" s="26"/>
      <c r="G588" s="26"/>
      <c r="H588" s="26"/>
      <c r="I588" s="26"/>
      <c r="J588" s="26"/>
      <c r="K588" s="112"/>
      <c r="L588" s="26"/>
      <c r="M588" s="26"/>
      <c r="N588" s="26"/>
      <c r="O588" s="113"/>
      <c r="P588" s="26"/>
      <c r="Q588" s="26"/>
      <c r="R588" s="26"/>
      <c r="S588" s="26"/>
      <c r="T588" s="26"/>
      <c r="U588" s="26"/>
      <c r="V588" s="26"/>
      <c r="W588" s="26"/>
      <c r="X588" s="26"/>
      <c r="Y588" s="26"/>
      <c r="Z588" s="26"/>
      <c r="AA588" s="26"/>
      <c r="AB588" s="26"/>
      <c r="AC588" s="26"/>
      <c r="AD588" s="26"/>
      <c r="AE588" s="115"/>
      <c r="AF588" s="85"/>
      <c r="AG588" s="67"/>
      <c r="AH588" s="67"/>
      <c r="AI588" s="85"/>
      <c r="AJ588" s="85"/>
      <c r="AK588" s="85"/>
      <c r="AL588" s="85"/>
    </row>
    <row r="589" spans="1:38">
      <c r="A589" s="26"/>
      <c r="B589" s="26"/>
      <c r="C589" s="26"/>
      <c r="D589" s="26"/>
      <c r="E589" s="26"/>
      <c r="F589" s="26"/>
      <c r="G589" s="26"/>
      <c r="H589" s="26"/>
      <c r="I589" s="26"/>
      <c r="J589" s="26"/>
      <c r="K589" s="112"/>
      <c r="L589" s="26"/>
      <c r="M589" s="26"/>
      <c r="N589" s="26"/>
      <c r="O589" s="113"/>
      <c r="P589" s="26"/>
      <c r="Q589" s="26"/>
      <c r="R589" s="26"/>
      <c r="S589" s="26"/>
      <c r="T589" s="26"/>
      <c r="U589" s="26"/>
      <c r="V589" s="26"/>
      <c r="W589" s="26"/>
      <c r="X589" s="26"/>
      <c r="Y589" s="26"/>
      <c r="Z589" s="26"/>
      <c r="AA589" s="26"/>
      <c r="AB589" s="26"/>
      <c r="AC589" s="26"/>
      <c r="AD589" s="26"/>
      <c r="AE589" s="115"/>
      <c r="AF589" s="85"/>
      <c r="AG589" s="67"/>
      <c r="AH589" s="67"/>
      <c r="AI589" s="85"/>
      <c r="AJ589" s="85"/>
      <c r="AK589" s="85"/>
      <c r="AL589" s="85"/>
    </row>
    <row r="590" spans="1:38">
      <c r="A590" s="26"/>
      <c r="B590" s="26"/>
      <c r="C590" s="26"/>
      <c r="D590" s="26"/>
      <c r="E590" s="26"/>
      <c r="F590" s="26"/>
      <c r="G590" s="26"/>
      <c r="H590" s="26"/>
      <c r="I590" s="26"/>
      <c r="J590" s="26"/>
      <c r="K590" s="112"/>
      <c r="L590" s="26"/>
      <c r="M590" s="26"/>
      <c r="N590" s="26"/>
      <c r="O590" s="113"/>
      <c r="P590" s="26"/>
      <c r="Q590" s="26"/>
      <c r="R590" s="26"/>
      <c r="S590" s="26"/>
      <c r="T590" s="26"/>
      <c r="U590" s="26"/>
      <c r="V590" s="26"/>
      <c r="W590" s="26"/>
      <c r="X590" s="26"/>
      <c r="Y590" s="26"/>
      <c r="Z590" s="26"/>
      <c r="AA590" s="26"/>
      <c r="AB590" s="26"/>
      <c r="AC590" s="26"/>
      <c r="AD590" s="26"/>
      <c r="AE590" s="115"/>
      <c r="AF590" s="85"/>
      <c r="AG590" s="67"/>
      <c r="AH590" s="67"/>
      <c r="AI590" s="85"/>
      <c r="AJ590" s="85"/>
      <c r="AK590" s="85"/>
      <c r="AL590" s="85"/>
    </row>
    <row r="591" spans="1:38">
      <c r="A591" s="26"/>
      <c r="B591" s="26"/>
      <c r="C591" s="26"/>
      <c r="D591" s="26"/>
      <c r="E591" s="26"/>
      <c r="F591" s="26"/>
      <c r="G591" s="26"/>
      <c r="H591" s="26"/>
      <c r="I591" s="26"/>
      <c r="J591" s="26"/>
      <c r="K591" s="112"/>
      <c r="L591" s="26"/>
      <c r="M591" s="26"/>
      <c r="N591" s="26"/>
      <c r="O591" s="113"/>
      <c r="P591" s="26"/>
      <c r="Q591" s="26"/>
      <c r="R591" s="26"/>
      <c r="S591" s="26"/>
      <c r="T591" s="26"/>
      <c r="U591" s="26"/>
      <c r="V591" s="26"/>
      <c r="W591" s="26"/>
      <c r="X591" s="26"/>
      <c r="Y591" s="26"/>
      <c r="Z591" s="26"/>
      <c r="AA591" s="26"/>
      <c r="AB591" s="26"/>
      <c r="AC591" s="26"/>
      <c r="AD591" s="26"/>
      <c r="AE591" s="115"/>
      <c r="AF591" s="85"/>
      <c r="AG591" s="67"/>
      <c r="AH591" s="67"/>
      <c r="AI591" s="85"/>
      <c r="AJ591" s="85"/>
      <c r="AK591" s="85"/>
      <c r="AL591" s="85"/>
    </row>
    <row r="592" spans="1:38">
      <c r="A592" s="26"/>
      <c r="B592" s="26"/>
      <c r="C592" s="26"/>
      <c r="D592" s="26"/>
      <c r="E592" s="26"/>
      <c r="F592" s="26"/>
      <c r="G592" s="26"/>
      <c r="H592" s="26"/>
      <c r="I592" s="26"/>
      <c r="J592" s="26"/>
      <c r="K592" s="112"/>
      <c r="L592" s="26"/>
      <c r="M592" s="26"/>
      <c r="N592" s="26"/>
      <c r="O592" s="113"/>
      <c r="P592" s="26"/>
      <c r="Q592" s="26"/>
      <c r="R592" s="26"/>
      <c r="S592" s="26"/>
      <c r="T592" s="26"/>
      <c r="U592" s="26"/>
      <c r="V592" s="26"/>
      <c r="W592" s="26"/>
      <c r="X592" s="26"/>
      <c r="Y592" s="26"/>
      <c r="Z592" s="26"/>
      <c r="AA592" s="26"/>
      <c r="AB592" s="26"/>
      <c r="AC592" s="26"/>
      <c r="AD592" s="26"/>
      <c r="AE592" s="115"/>
      <c r="AF592" s="85"/>
      <c r="AG592" s="67"/>
      <c r="AH592" s="67"/>
      <c r="AI592" s="85"/>
      <c r="AJ592" s="85"/>
      <c r="AK592" s="85"/>
      <c r="AL592" s="85"/>
    </row>
    <row r="593" spans="1:38">
      <c r="A593" s="26"/>
      <c r="B593" s="26"/>
      <c r="C593" s="26"/>
      <c r="D593" s="26"/>
      <c r="E593" s="26"/>
      <c r="F593" s="26"/>
      <c r="G593" s="26"/>
      <c r="H593" s="26"/>
      <c r="I593" s="26"/>
      <c r="J593" s="26"/>
      <c r="K593" s="112"/>
      <c r="L593" s="26"/>
      <c r="M593" s="26"/>
      <c r="N593" s="26"/>
      <c r="O593" s="113"/>
      <c r="P593" s="26"/>
      <c r="Q593" s="26"/>
      <c r="R593" s="26"/>
      <c r="S593" s="26"/>
      <c r="T593" s="26"/>
      <c r="U593" s="26"/>
      <c r="V593" s="26"/>
      <c r="W593" s="26"/>
      <c r="X593" s="26"/>
      <c r="Y593" s="26"/>
      <c r="Z593" s="26"/>
      <c r="AA593" s="26"/>
      <c r="AB593" s="26"/>
      <c r="AC593" s="26"/>
      <c r="AD593" s="26"/>
      <c r="AE593" s="115"/>
      <c r="AF593" s="85"/>
      <c r="AG593" s="67"/>
      <c r="AH593" s="67"/>
      <c r="AI593" s="85"/>
      <c r="AJ593" s="85"/>
      <c r="AK593" s="85"/>
      <c r="AL593" s="85"/>
    </row>
    <row r="594" spans="1:38">
      <c r="A594" s="26"/>
      <c r="B594" s="26"/>
      <c r="C594" s="26"/>
      <c r="D594" s="26"/>
      <c r="E594" s="26"/>
      <c r="F594" s="26"/>
      <c r="G594" s="26"/>
      <c r="H594" s="26"/>
      <c r="I594" s="26"/>
      <c r="J594" s="26"/>
      <c r="K594" s="112"/>
      <c r="L594" s="26"/>
      <c r="M594" s="26"/>
      <c r="N594" s="26"/>
      <c r="O594" s="113"/>
      <c r="P594" s="26"/>
      <c r="Q594" s="26"/>
      <c r="R594" s="26"/>
      <c r="S594" s="26"/>
      <c r="T594" s="26"/>
      <c r="U594" s="26"/>
      <c r="V594" s="26"/>
      <c r="W594" s="26"/>
      <c r="X594" s="26"/>
      <c r="Y594" s="26"/>
      <c r="Z594" s="26"/>
      <c r="AA594" s="26"/>
      <c r="AB594" s="26"/>
      <c r="AC594" s="26"/>
      <c r="AD594" s="26"/>
      <c r="AE594" s="115"/>
      <c r="AF594" s="85"/>
      <c r="AG594" s="67"/>
      <c r="AH594" s="67"/>
      <c r="AI594" s="85"/>
      <c r="AJ594" s="85"/>
      <c r="AK594" s="85"/>
      <c r="AL594" s="85"/>
    </row>
    <row r="595" spans="1:38">
      <c r="A595" s="26"/>
      <c r="B595" s="26"/>
      <c r="C595" s="26"/>
      <c r="D595" s="26"/>
      <c r="E595" s="26"/>
      <c r="F595" s="26"/>
      <c r="G595" s="26"/>
      <c r="H595" s="26"/>
      <c r="I595" s="26"/>
      <c r="J595" s="26"/>
      <c r="K595" s="112"/>
      <c r="L595" s="26"/>
      <c r="M595" s="26"/>
      <c r="N595" s="26"/>
      <c r="O595" s="113"/>
      <c r="P595" s="26"/>
      <c r="Q595" s="26"/>
      <c r="R595" s="26"/>
      <c r="S595" s="26"/>
      <c r="T595" s="26"/>
      <c r="U595" s="26"/>
      <c r="V595" s="26"/>
      <c r="W595" s="26"/>
      <c r="X595" s="26"/>
      <c r="Y595" s="26"/>
      <c r="Z595" s="26"/>
      <c r="AA595" s="26"/>
      <c r="AB595" s="26"/>
      <c r="AC595" s="26"/>
      <c r="AD595" s="26"/>
      <c r="AE595" s="115"/>
      <c r="AF595" s="85"/>
      <c r="AG595" s="67"/>
      <c r="AH595" s="67"/>
      <c r="AI595" s="85"/>
      <c r="AJ595" s="85"/>
      <c r="AK595" s="85"/>
      <c r="AL595" s="85"/>
    </row>
    <row r="596" spans="1:38">
      <c r="A596" s="26"/>
      <c r="B596" s="26"/>
      <c r="C596" s="26"/>
      <c r="D596" s="26"/>
      <c r="E596" s="26"/>
      <c r="F596" s="26"/>
      <c r="G596" s="26"/>
      <c r="H596" s="26"/>
      <c r="I596" s="26"/>
      <c r="J596" s="26"/>
      <c r="K596" s="112"/>
      <c r="L596" s="26"/>
      <c r="M596" s="26"/>
      <c r="N596" s="26"/>
      <c r="O596" s="113"/>
      <c r="P596" s="26"/>
      <c r="Q596" s="26"/>
      <c r="R596" s="26"/>
      <c r="S596" s="26"/>
      <c r="T596" s="26"/>
      <c r="U596" s="26"/>
      <c r="V596" s="26"/>
      <c r="W596" s="26"/>
      <c r="X596" s="26"/>
      <c r="Y596" s="26"/>
      <c r="Z596" s="26"/>
      <c r="AA596" s="26"/>
      <c r="AB596" s="26"/>
      <c r="AC596" s="26"/>
      <c r="AD596" s="26"/>
      <c r="AE596" s="115"/>
      <c r="AF596" s="85"/>
      <c r="AG596" s="67"/>
      <c r="AH596" s="67"/>
      <c r="AI596" s="85"/>
      <c r="AJ596" s="85"/>
      <c r="AK596" s="85"/>
      <c r="AL596" s="85"/>
    </row>
    <row r="597" spans="1:38">
      <c r="A597" s="26"/>
      <c r="B597" s="26"/>
      <c r="C597" s="26"/>
      <c r="D597" s="26"/>
      <c r="E597" s="26"/>
      <c r="F597" s="26"/>
      <c r="G597" s="26"/>
      <c r="H597" s="26"/>
      <c r="I597" s="26"/>
      <c r="J597" s="26"/>
      <c r="K597" s="112"/>
      <c r="L597" s="26"/>
      <c r="M597" s="26"/>
      <c r="N597" s="26"/>
      <c r="O597" s="113"/>
      <c r="P597" s="26"/>
      <c r="Q597" s="26"/>
      <c r="R597" s="26"/>
      <c r="S597" s="26"/>
      <c r="T597" s="26"/>
      <c r="U597" s="26"/>
      <c r="V597" s="26"/>
      <c r="W597" s="26"/>
      <c r="X597" s="26"/>
      <c r="Y597" s="26"/>
      <c r="Z597" s="26"/>
      <c r="AA597" s="26"/>
      <c r="AB597" s="26"/>
      <c r="AC597" s="26"/>
      <c r="AD597" s="26"/>
      <c r="AE597" s="115"/>
      <c r="AF597" s="85"/>
      <c r="AG597" s="67"/>
      <c r="AH597" s="67"/>
      <c r="AI597" s="85"/>
      <c r="AJ597" s="85"/>
      <c r="AK597" s="85"/>
      <c r="AL597" s="85"/>
    </row>
    <row r="598" spans="1:38">
      <c r="A598" s="26"/>
      <c r="B598" s="26"/>
      <c r="C598" s="26"/>
      <c r="D598" s="26"/>
      <c r="E598" s="26"/>
      <c r="F598" s="26"/>
      <c r="G598" s="26"/>
      <c r="H598" s="26"/>
      <c r="I598" s="26"/>
      <c r="J598" s="26"/>
      <c r="K598" s="112"/>
      <c r="L598" s="26"/>
      <c r="M598" s="26"/>
      <c r="N598" s="26"/>
      <c r="O598" s="113"/>
      <c r="P598" s="26"/>
      <c r="Q598" s="26"/>
      <c r="R598" s="26"/>
      <c r="S598" s="26"/>
      <c r="T598" s="26"/>
      <c r="U598" s="26"/>
      <c r="V598" s="26"/>
      <c r="W598" s="26"/>
      <c r="X598" s="26"/>
      <c r="Y598" s="26"/>
      <c r="Z598" s="26"/>
      <c r="AA598" s="26"/>
      <c r="AB598" s="26"/>
      <c r="AC598" s="26"/>
      <c r="AD598" s="26"/>
      <c r="AE598" s="115"/>
      <c r="AF598" s="85"/>
      <c r="AG598" s="67"/>
      <c r="AH598" s="67"/>
      <c r="AI598" s="85"/>
      <c r="AJ598" s="85"/>
      <c r="AK598" s="85"/>
      <c r="AL598" s="85"/>
    </row>
    <row r="599" spans="1:38">
      <c r="A599" s="26"/>
      <c r="B599" s="26"/>
      <c r="C599" s="26"/>
      <c r="D599" s="26"/>
      <c r="E599" s="26"/>
      <c r="F599" s="26"/>
      <c r="G599" s="26"/>
      <c r="H599" s="26"/>
      <c r="I599" s="26"/>
      <c r="J599" s="26"/>
      <c r="K599" s="112"/>
      <c r="L599" s="26"/>
      <c r="M599" s="26"/>
      <c r="N599" s="26"/>
      <c r="O599" s="113"/>
      <c r="P599" s="26"/>
      <c r="Q599" s="26"/>
      <c r="R599" s="26"/>
      <c r="S599" s="26"/>
      <c r="T599" s="26"/>
      <c r="U599" s="26"/>
      <c r="V599" s="26"/>
      <c r="W599" s="26"/>
      <c r="X599" s="26"/>
      <c r="Y599" s="26"/>
      <c r="Z599" s="26"/>
      <c r="AA599" s="26"/>
      <c r="AB599" s="26"/>
      <c r="AC599" s="26"/>
      <c r="AD599" s="26"/>
      <c r="AE599" s="115"/>
      <c r="AF599" s="85"/>
      <c r="AG599" s="67"/>
      <c r="AH599" s="67"/>
      <c r="AI599" s="85"/>
      <c r="AJ599" s="85"/>
      <c r="AK599" s="85"/>
      <c r="AL599" s="85"/>
    </row>
    <row r="600" spans="1:38">
      <c r="A600" s="26"/>
      <c r="B600" s="26"/>
      <c r="C600" s="26"/>
      <c r="D600" s="26"/>
      <c r="E600" s="26"/>
      <c r="F600" s="26"/>
      <c r="G600" s="26"/>
      <c r="H600" s="26"/>
      <c r="I600" s="26"/>
      <c r="J600" s="26"/>
      <c r="K600" s="112"/>
      <c r="L600" s="26"/>
      <c r="M600" s="26"/>
      <c r="N600" s="26"/>
      <c r="O600" s="113"/>
      <c r="P600" s="26"/>
      <c r="Q600" s="26"/>
      <c r="R600" s="26"/>
      <c r="S600" s="26"/>
      <c r="T600" s="26"/>
      <c r="U600" s="26"/>
      <c r="V600" s="26"/>
      <c r="W600" s="26"/>
      <c r="X600" s="26"/>
      <c r="Y600" s="26"/>
      <c r="Z600" s="26"/>
      <c r="AA600" s="26"/>
      <c r="AB600" s="26"/>
      <c r="AC600" s="26"/>
      <c r="AD600" s="26"/>
      <c r="AE600" s="115"/>
      <c r="AF600" s="85"/>
      <c r="AG600" s="67"/>
      <c r="AH600" s="67"/>
      <c r="AI600" s="85"/>
      <c r="AJ600" s="85"/>
      <c r="AK600" s="85"/>
      <c r="AL600" s="85"/>
    </row>
    <row r="601" spans="1:38">
      <c r="A601" s="26"/>
      <c r="B601" s="26"/>
      <c r="C601" s="26"/>
      <c r="D601" s="26"/>
      <c r="E601" s="26"/>
      <c r="F601" s="26"/>
      <c r="G601" s="26"/>
      <c r="H601" s="26"/>
      <c r="I601" s="26"/>
      <c r="J601" s="26"/>
      <c r="K601" s="112"/>
      <c r="L601" s="26"/>
      <c r="M601" s="26"/>
      <c r="N601" s="26"/>
      <c r="O601" s="113"/>
      <c r="P601" s="26"/>
      <c r="Q601" s="26"/>
      <c r="R601" s="26"/>
      <c r="S601" s="26"/>
      <c r="T601" s="26"/>
      <c r="U601" s="26"/>
      <c r="V601" s="26"/>
      <c r="W601" s="26"/>
      <c r="X601" s="26"/>
      <c r="Y601" s="26"/>
      <c r="Z601" s="26"/>
      <c r="AA601" s="26"/>
      <c r="AB601" s="26"/>
      <c r="AC601" s="26"/>
      <c r="AD601" s="26"/>
      <c r="AE601" s="115"/>
      <c r="AF601" s="85"/>
      <c r="AG601" s="67"/>
      <c r="AH601" s="67"/>
      <c r="AI601" s="85"/>
      <c r="AJ601" s="85"/>
      <c r="AK601" s="85"/>
      <c r="AL601" s="85"/>
    </row>
    <row r="602" spans="1:38">
      <c r="A602" s="26"/>
      <c r="B602" s="26"/>
      <c r="C602" s="26"/>
      <c r="D602" s="26"/>
      <c r="E602" s="26"/>
      <c r="F602" s="26"/>
      <c r="G602" s="26"/>
      <c r="H602" s="26"/>
      <c r="I602" s="26"/>
      <c r="J602" s="26"/>
      <c r="K602" s="112"/>
      <c r="L602" s="26"/>
      <c r="M602" s="26"/>
      <c r="N602" s="26"/>
      <c r="O602" s="113"/>
      <c r="P602" s="26"/>
      <c r="Q602" s="26"/>
      <c r="R602" s="26"/>
      <c r="S602" s="26"/>
      <c r="T602" s="26"/>
      <c r="U602" s="26"/>
      <c r="V602" s="26"/>
      <c r="W602" s="26"/>
      <c r="X602" s="26"/>
      <c r="Y602" s="26"/>
      <c r="Z602" s="26"/>
      <c r="AA602" s="26"/>
      <c r="AB602" s="26"/>
      <c r="AC602" s="26"/>
      <c r="AD602" s="26"/>
      <c r="AE602" s="115"/>
      <c r="AF602" s="85"/>
      <c r="AG602" s="67"/>
      <c r="AH602" s="67"/>
      <c r="AI602" s="85"/>
      <c r="AJ602" s="85"/>
      <c r="AK602" s="85"/>
      <c r="AL602" s="85"/>
    </row>
    <row r="603" spans="1:38">
      <c r="A603" s="26"/>
      <c r="B603" s="26"/>
      <c r="C603" s="26"/>
      <c r="D603" s="26"/>
      <c r="E603" s="26"/>
      <c r="F603" s="26"/>
      <c r="G603" s="26"/>
      <c r="H603" s="26"/>
      <c r="I603" s="26"/>
      <c r="J603" s="26"/>
      <c r="K603" s="112"/>
      <c r="L603" s="26"/>
      <c r="M603" s="26"/>
      <c r="N603" s="26"/>
      <c r="O603" s="113"/>
      <c r="P603" s="26"/>
      <c r="Q603" s="26"/>
      <c r="R603" s="26"/>
      <c r="S603" s="26"/>
      <c r="T603" s="26"/>
      <c r="U603" s="26"/>
      <c r="V603" s="26"/>
      <c r="W603" s="26"/>
      <c r="X603" s="26"/>
      <c r="Y603" s="26"/>
      <c r="Z603" s="26"/>
      <c r="AA603" s="26"/>
      <c r="AB603" s="26"/>
      <c r="AC603" s="26"/>
      <c r="AD603" s="26"/>
      <c r="AE603" s="115"/>
      <c r="AF603" s="85"/>
      <c r="AG603" s="67"/>
      <c r="AH603" s="67"/>
      <c r="AI603" s="85"/>
      <c r="AJ603" s="85"/>
      <c r="AK603" s="85"/>
      <c r="AL603" s="85"/>
    </row>
    <row r="604" spans="1:38">
      <c r="A604" s="26"/>
      <c r="B604" s="26"/>
      <c r="C604" s="26"/>
      <c r="D604" s="26"/>
      <c r="E604" s="26"/>
      <c r="F604" s="26"/>
      <c r="G604" s="26"/>
      <c r="H604" s="26"/>
      <c r="I604" s="26"/>
      <c r="J604" s="26"/>
      <c r="K604" s="112"/>
      <c r="L604" s="26"/>
      <c r="M604" s="26"/>
      <c r="N604" s="26"/>
      <c r="O604" s="113"/>
      <c r="P604" s="26"/>
      <c r="Q604" s="26"/>
      <c r="R604" s="26"/>
      <c r="S604" s="26"/>
      <c r="T604" s="26"/>
      <c r="U604" s="26"/>
      <c r="V604" s="26"/>
      <c r="W604" s="26"/>
      <c r="X604" s="26"/>
      <c r="Y604" s="26"/>
      <c r="Z604" s="26"/>
      <c r="AA604" s="26"/>
      <c r="AB604" s="26"/>
      <c r="AC604" s="26"/>
      <c r="AD604" s="26"/>
      <c r="AE604" s="115"/>
      <c r="AF604" s="85"/>
      <c r="AG604" s="67"/>
      <c r="AH604" s="67"/>
      <c r="AI604" s="85"/>
      <c r="AJ604" s="85"/>
      <c r="AK604" s="85"/>
      <c r="AL604" s="85"/>
    </row>
    <row r="605" spans="1:38">
      <c r="A605" s="26"/>
      <c r="B605" s="26"/>
      <c r="C605" s="26"/>
      <c r="D605" s="26"/>
      <c r="E605" s="26"/>
      <c r="F605" s="26"/>
      <c r="G605" s="26"/>
      <c r="H605" s="26"/>
      <c r="I605" s="26"/>
      <c r="J605" s="26"/>
      <c r="K605" s="112"/>
      <c r="L605" s="26"/>
      <c r="M605" s="26"/>
      <c r="N605" s="26"/>
      <c r="O605" s="113"/>
      <c r="P605" s="26"/>
      <c r="Q605" s="26"/>
      <c r="R605" s="26"/>
      <c r="S605" s="26"/>
      <c r="T605" s="26"/>
      <c r="U605" s="26"/>
      <c r="V605" s="26"/>
      <c r="W605" s="26"/>
      <c r="X605" s="26"/>
      <c r="Y605" s="26"/>
      <c r="Z605" s="26"/>
      <c r="AA605" s="26"/>
      <c r="AB605" s="26"/>
      <c r="AC605" s="26"/>
      <c r="AD605" s="26"/>
      <c r="AE605" s="115"/>
      <c r="AF605" s="85"/>
      <c r="AG605" s="67"/>
      <c r="AH605" s="67"/>
      <c r="AI605" s="85"/>
      <c r="AJ605" s="85"/>
      <c r="AK605" s="85"/>
      <c r="AL605" s="85"/>
    </row>
    <row r="606" spans="1:38">
      <c r="A606" s="26"/>
      <c r="B606" s="26"/>
      <c r="C606" s="26"/>
      <c r="D606" s="26"/>
      <c r="E606" s="26"/>
      <c r="F606" s="26"/>
      <c r="G606" s="26"/>
      <c r="H606" s="26"/>
      <c r="I606" s="26"/>
      <c r="J606" s="26"/>
      <c r="K606" s="112"/>
      <c r="L606" s="26"/>
      <c r="M606" s="26"/>
      <c r="N606" s="26"/>
      <c r="O606" s="113"/>
      <c r="P606" s="26"/>
      <c r="Q606" s="26"/>
      <c r="R606" s="26"/>
      <c r="S606" s="26"/>
      <c r="T606" s="26"/>
      <c r="U606" s="26"/>
      <c r="V606" s="26"/>
      <c r="W606" s="26"/>
      <c r="X606" s="26"/>
      <c r="Y606" s="26"/>
      <c r="Z606" s="26"/>
      <c r="AA606" s="26"/>
      <c r="AB606" s="26"/>
      <c r="AC606" s="26"/>
      <c r="AD606" s="26"/>
      <c r="AE606" s="115"/>
      <c r="AF606" s="85"/>
      <c r="AG606" s="67"/>
      <c r="AH606" s="67"/>
      <c r="AI606" s="85"/>
      <c r="AJ606" s="85"/>
      <c r="AK606" s="85"/>
      <c r="AL606" s="85"/>
    </row>
    <row r="607" spans="1:38">
      <c r="A607" s="26"/>
      <c r="B607" s="26"/>
      <c r="C607" s="26"/>
      <c r="D607" s="26"/>
      <c r="E607" s="26"/>
      <c r="F607" s="26"/>
      <c r="G607" s="26"/>
      <c r="H607" s="26"/>
      <c r="I607" s="26"/>
      <c r="J607" s="26"/>
      <c r="K607" s="112"/>
      <c r="L607" s="26"/>
      <c r="M607" s="26"/>
      <c r="N607" s="26"/>
      <c r="O607" s="113"/>
      <c r="P607" s="26"/>
      <c r="Q607" s="26"/>
      <c r="R607" s="26"/>
      <c r="S607" s="26"/>
      <c r="T607" s="26"/>
      <c r="U607" s="26"/>
      <c r="V607" s="26"/>
      <c r="W607" s="26"/>
      <c r="X607" s="26"/>
      <c r="Y607" s="26"/>
      <c r="Z607" s="26"/>
      <c r="AA607" s="26"/>
      <c r="AB607" s="26"/>
      <c r="AC607" s="26"/>
      <c r="AD607" s="26"/>
      <c r="AE607" s="115"/>
      <c r="AF607" s="85"/>
      <c r="AG607" s="67"/>
      <c r="AH607" s="67"/>
      <c r="AI607" s="85"/>
      <c r="AJ607" s="85"/>
      <c r="AK607" s="85"/>
      <c r="AL607" s="85"/>
    </row>
    <row r="608" spans="1:38">
      <c r="A608" s="26"/>
      <c r="B608" s="26"/>
      <c r="C608" s="26"/>
      <c r="D608" s="26"/>
      <c r="E608" s="26"/>
      <c r="F608" s="26"/>
      <c r="G608" s="26"/>
      <c r="H608" s="26"/>
      <c r="I608" s="26"/>
      <c r="J608" s="26"/>
      <c r="K608" s="112"/>
      <c r="L608" s="26"/>
      <c r="M608" s="26"/>
      <c r="N608" s="26"/>
      <c r="O608" s="113"/>
      <c r="P608" s="26"/>
      <c r="Q608" s="26"/>
      <c r="R608" s="26"/>
      <c r="S608" s="26"/>
      <c r="T608" s="26"/>
      <c r="U608" s="26"/>
      <c r="V608" s="26"/>
      <c r="W608" s="26"/>
      <c r="X608" s="26"/>
      <c r="Y608" s="26"/>
      <c r="Z608" s="26"/>
      <c r="AA608" s="26"/>
      <c r="AB608" s="26"/>
      <c r="AC608" s="26"/>
      <c r="AD608" s="26"/>
      <c r="AE608" s="115"/>
      <c r="AF608" s="85"/>
      <c r="AG608" s="67"/>
      <c r="AH608" s="67"/>
      <c r="AI608" s="85"/>
      <c r="AJ608" s="85"/>
      <c r="AK608" s="85"/>
      <c r="AL608" s="85"/>
    </row>
    <row r="609" spans="1:38">
      <c r="A609" s="26"/>
      <c r="B609" s="26"/>
      <c r="C609" s="26"/>
      <c r="D609" s="26"/>
      <c r="E609" s="26"/>
      <c r="F609" s="26"/>
      <c r="G609" s="26"/>
      <c r="H609" s="26"/>
      <c r="I609" s="26"/>
      <c r="J609" s="26"/>
      <c r="K609" s="112"/>
      <c r="L609" s="26"/>
      <c r="M609" s="26"/>
      <c r="N609" s="26"/>
      <c r="O609" s="113"/>
      <c r="P609" s="26"/>
      <c r="Q609" s="26"/>
      <c r="R609" s="26"/>
      <c r="S609" s="26"/>
      <c r="T609" s="26"/>
      <c r="U609" s="26"/>
      <c r="V609" s="26"/>
      <c r="W609" s="26"/>
      <c r="X609" s="26"/>
      <c r="Y609" s="26"/>
      <c r="Z609" s="26"/>
      <c r="AA609" s="26"/>
      <c r="AB609" s="26"/>
      <c r="AC609" s="26"/>
      <c r="AD609" s="26"/>
      <c r="AE609" s="115"/>
      <c r="AF609" s="85"/>
      <c r="AG609" s="67"/>
      <c r="AH609" s="67"/>
      <c r="AI609" s="85"/>
      <c r="AJ609" s="85"/>
      <c r="AK609" s="85"/>
      <c r="AL609" s="85"/>
    </row>
    <row r="610" spans="1:38">
      <c r="A610" s="26"/>
      <c r="B610" s="26"/>
      <c r="C610" s="26"/>
      <c r="D610" s="26"/>
      <c r="E610" s="26"/>
      <c r="F610" s="26"/>
      <c r="G610" s="26"/>
      <c r="H610" s="26"/>
      <c r="I610" s="26"/>
      <c r="J610" s="26"/>
      <c r="K610" s="112"/>
      <c r="L610" s="26"/>
      <c r="M610" s="26"/>
      <c r="N610" s="26"/>
      <c r="O610" s="113"/>
      <c r="P610" s="26"/>
      <c r="Q610" s="26"/>
      <c r="R610" s="26"/>
      <c r="S610" s="26"/>
      <c r="T610" s="26"/>
      <c r="U610" s="26"/>
      <c r="V610" s="26"/>
      <c r="W610" s="26"/>
      <c r="X610" s="26"/>
      <c r="Y610" s="26"/>
      <c r="Z610" s="26"/>
      <c r="AA610" s="26"/>
      <c r="AB610" s="26"/>
      <c r="AC610" s="26"/>
      <c r="AD610" s="26"/>
      <c r="AE610" s="115"/>
      <c r="AF610" s="85"/>
      <c r="AG610" s="67"/>
      <c r="AH610" s="67"/>
      <c r="AI610" s="85"/>
      <c r="AJ610" s="85"/>
      <c r="AK610" s="85"/>
      <c r="AL610" s="85"/>
    </row>
    <row r="611" spans="1:38">
      <c r="A611" s="26"/>
      <c r="B611" s="26"/>
      <c r="C611" s="26"/>
      <c r="D611" s="26"/>
      <c r="E611" s="26"/>
      <c r="F611" s="26"/>
      <c r="G611" s="26"/>
      <c r="H611" s="26"/>
      <c r="I611" s="26"/>
      <c r="J611" s="26"/>
      <c r="K611" s="112"/>
      <c r="L611" s="26"/>
      <c r="M611" s="26"/>
      <c r="N611" s="26"/>
      <c r="O611" s="113"/>
      <c r="P611" s="26"/>
      <c r="Q611" s="26"/>
      <c r="R611" s="26"/>
      <c r="S611" s="26"/>
      <c r="T611" s="26"/>
      <c r="U611" s="26"/>
      <c r="V611" s="26"/>
      <c r="W611" s="26"/>
      <c r="X611" s="26"/>
      <c r="Y611" s="26"/>
      <c r="Z611" s="26"/>
      <c r="AA611" s="26"/>
      <c r="AB611" s="26"/>
      <c r="AC611" s="26"/>
      <c r="AD611" s="26"/>
      <c r="AE611" s="115"/>
      <c r="AF611" s="85"/>
      <c r="AG611" s="67"/>
      <c r="AH611" s="67"/>
      <c r="AI611" s="85"/>
      <c r="AJ611" s="85"/>
      <c r="AK611" s="85"/>
      <c r="AL611" s="85"/>
    </row>
    <row r="612" spans="1:38">
      <c r="A612" s="26"/>
      <c r="B612" s="26"/>
      <c r="C612" s="26"/>
      <c r="D612" s="26"/>
      <c r="E612" s="26"/>
      <c r="F612" s="26"/>
      <c r="G612" s="26"/>
      <c r="H612" s="26"/>
      <c r="I612" s="26"/>
      <c r="J612" s="26"/>
      <c r="K612" s="112"/>
      <c r="L612" s="26"/>
      <c r="M612" s="26"/>
      <c r="N612" s="26"/>
      <c r="O612" s="113"/>
      <c r="P612" s="26"/>
      <c r="Q612" s="26"/>
      <c r="R612" s="26"/>
      <c r="S612" s="26"/>
      <c r="T612" s="26"/>
      <c r="U612" s="26"/>
      <c r="V612" s="26"/>
      <c r="W612" s="26"/>
      <c r="X612" s="26"/>
      <c r="Y612" s="26"/>
      <c r="Z612" s="26"/>
      <c r="AA612" s="26"/>
      <c r="AB612" s="26"/>
      <c r="AC612" s="26"/>
      <c r="AD612" s="26"/>
      <c r="AE612" s="115"/>
      <c r="AF612" s="85"/>
      <c r="AG612" s="67"/>
      <c r="AH612" s="67"/>
      <c r="AI612" s="85"/>
      <c r="AJ612" s="85"/>
      <c r="AK612" s="85"/>
      <c r="AL612" s="85"/>
    </row>
    <row r="613" spans="1:38">
      <c r="A613" s="26"/>
      <c r="B613" s="26"/>
      <c r="C613" s="26"/>
      <c r="D613" s="26"/>
      <c r="E613" s="26"/>
      <c r="F613" s="26"/>
      <c r="G613" s="26"/>
      <c r="H613" s="26"/>
      <c r="I613" s="26"/>
      <c r="J613" s="26"/>
      <c r="K613" s="112"/>
      <c r="L613" s="26"/>
      <c r="M613" s="26"/>
      <c r="N613" s="26"/>
      <c r="O613" s="113"/>
      <c r="P613" s="26"/>
      <c r="Q613" s="26"/>
      <c r="R613" s="26"/>
      <c r="S613" s="26"/>
      <c r="T613" s="26"/>
      <c r="U613" s="26"/>
      <c r="V613" s="26"/>
      <c r="W613" s="26"/>
      <c r="X613" s="26"/>
      <c r="Y613" s="26"/>
      <c r="Z613" s="26"/>
      <c r="AA613" s="26"/>
      <c r="AB613" s="26"/>
      <c r="AC613" s="26"/>
      <c r="AD613" s="26"/>
      <c r="AE613" s="115"/>
      <c r="AF613" s="85"/>
      <c r="AG613" s="67"/>
      <c r="AH613" s="67"/>
      <c r="AI613" s="85"/>
      <c r="AJ613" s="85"/>
      <c r="AK613" s="85"/>
      <c r="AL613" s="85"/>
    </row>
    <row r="614" spans="1:38">
      <c r="A614" s="26"/>
      <c r="B614" s="26"/>
      <c r="C614" s="26"/>
      <c r="D614" s="26"/>
      <c r="E614" s="26"/>
      <c r="F614" s="26"/>
      <c r="G614" s="26"/>
      <c r="H614" s="26"/>
      <c r="I614" s="26"/>
      <c r="J614" s="26"/>
      <c r="K614" s="112"/>
      <c r="L614" s="26"/>
      <c r="M614" s="26"/>
      <c r="N614" s="26"/>
      <c r="O614" s="113"/>
      <c r="P614" s="26"/>
      <c r="Q614" s="26"/>
      <c r="R614" s="26"/>
      <c r="S614" s="26"/>
      <c r="T614" s="26"/>
      <c r="U614" s="26"/>
      <c r="V614" s="26"/>
      <c r="W614" s="26"/>
      <c r="X614" s="26"/>
      <c r="Y614" s="26"/>
      <c r="Z614" s="26"/>
      <c r="AA614" s="26"/>
      <c r="AB614" s="26"/>
      <c r="AC614" s="26"/>
      <c r="AD614" s="26"/>
      <c r="AE614" s="115"/>
      <c r="AF614" s="85"/>
      <c r="AG614" s="67"/>
      <c r="AH614" s="67"/>
      <c r="AI614" s="85"/>
      <c r="AJ614" s="85"/>
      <c r="AK614" s="85"/>
      <c r="AL614" s="85"/>
    </row>
    <row r="615" spans="1:38">
      <c r="A615" s="26"/>
      <c r="B615" s="26"/>
      <c r="C615" s="26"/>
      <c r="D615" s="26"/>
      <c r="E615" s="26"/>
      <c r="F615" s="26"/>
      <c r="G615" s="26"/>
      <c r="H615" s="26"/>
      <c r="I615" s="26"/>
      <c r="J615" s="26"/>
      <c r="K615" s="112"/>
      <c r="L615" s="26"/>
      <c r="M615" s="26"/>
      <c r="N615" s="26"/>
      <c r="O615" s="113"/>
      <c r="P615" s="26"/>
      <c r="Q615" s="26"/>
      <c r="R615" s="26"/>
      <c r="S615" s="26"/>
      <c r="T615" s="26"/>
      <c r="U615" s="26"/>
      <c r="V615" s="26"/>
      <c r="W615" s="26"/>
      <c r="X615" s="26"/>
      <c r="Y615" s="26"/>
      <c r="Z615" s="26"/>
      <c r="AA615" s="26"/>
      <c r="AB615" s="26"/>
      <c r="AC615" s="26"/>
      <c r="AD615" s="26"/>
      <c r="AE615" s="115"/>
      <c r="AF615" s="85"/>
      <c r="AG615" s="67"/>
      <c r="AH615" s="67"/>
      <c r="AI615" s="85"/>
      <c r="AJ615" s="85"/>
      <c r="AK615" s="85"/>
      <c r="AL615" s="85"/>
    </row>
    <row r="616" spans="1:38">
      <c r="A616" s="26"/>
      <c r="B616" s="26"/>
      <c r="C616" s="26"/>
      <c r="D616" s="26"/>
      <c r="E616" s="26"/>
      <c r="F616" s="26"/>
      <c r="G616" s="26"/>
      <c r="H616" s="26"/>
      <c r="I616" s="26"/>
      <c r="J616" s="26"/>
      <c r="K616" s="112"/>
      <c r="L616" s="26"/>
      <c r="M616" s="26"/>
      <c r="N616" s="26"/>
      <c r="O616" s="113"/>
      <c r="P616" s="26"/>
      <c r="Q616" s="26"/>
      <c r="R616" s="26"/>
      <c r="S616" s="26"/>
      <c r="T616" s="26"/>
      <c r="U616" s="26"/>
      <c r="V616" s="26"/>
      <c r="W616" s="26"/>
      <c r="X616" s="26"/>
      <c r="Y616" s="26"/>
      <c r="Z616" s="26"/>
      <c r="AA616" s="26"/>
      <c r="AB616" s="26"/>
      <c r="AC616" s="26"/>
      <c r="AD616" s="26"/>
      <c r="AE616" s="115"/>
      <c r="AF616" s="85"/>
      <c r="AG616" s="67"/>
      <c r="AH616" s="67"/>
      <c r="AI616" s="85"/>
      <c r="AJ616" s="85"/>
      <c r="AK616" s="85"/>
      <c r="AL616" s="85"/>
    </row>
    <row r="617" spans="1:38">
      <c r="A617" s="26"/>
      <c r="B617" s="26"/>
      <c r="C617" s="26"/>
      <c r="D617" s="26"/>
      <c r="E617" s="26"/>
      <c r="F617" s="26"/>
      <c r="G617" s="26"/>
      <c r="H617" s="26"/>
      <c r="I617" s="26"/>
      <c r="J617" s="26"/>
      <c r="K617" s="112"/>
      <c r="L617" s="26"/>
      <c r="M617" s="26"/>
      <c r="N617" s="26"/>
      <c r="O617" s="113"/>
      <c r="P617" s="26"/>
      <c r="Q617" s="26"/>
      <c r="R617" s="26"/>
      <c r="S617" s="26"/>
      <c r="T617" s="26"/>
      <c r="U617" s="26"/>
      <c r="V617" s="26"/>
      <c r="W617" s="26"/>
      <c r="X617" s="26"/>
      <c r="Y617" s="26"/>
      <c r="Z617" s="26"/>
      <c r="AA617" s="26"/>
      <c r="AB617" s="26"/>
      <c r="AC617" s="26"/>
      <c r="AD617" s="26"/>
      <c r="AE617" s="115"/>
      <c r="AF617" s="85"/>
      <c r="AG617" s="67"/>
      <c r="AH617" s="67"/>
      <c r="AI617" s="85"/>
      <c r="AJ617" s="85"/>
      <c r="AK617" s="85"/>
      <c r="AL617" s="85"/>
    </row>
    <row r="618" spans="1:38">
      <c r="A618" s="26"/>
      <c r="B618" s="26"/>
      <c r="C618" s="26"/>
      <c r="D618" s="26"/>
      <c r="E618" s="26"/>
      <c r="F618" s="26"/>
      <c r="G618" s="26"/>
      <c r="H618" s="26"/>
      <c r="I618" s="26"/>
      <c r="J618" s="26"/>
      <c r="K618" s="112"/>
      <c r="L618" s="26"/>
      <c r="M618" s="26"/>
      <c r="N618" s="26"/>
      <c r="O618" s="113"/>
      <c r="P618" s="26"/>
      <c r="Q618" s="26"/>
      <c r="R618" s="26"/>
      <c r="S618" s="26"/>
      <c r="T618" s="26"/>
      <c r="U618" s="26"/>
      <c r="V618" s="26"/>
      <c r="W618" s="26"/>
      <c r="X618" s="26"/>
      <c r="Y618" s="26"/>
      <c r="Z618" s="26"/>
      <c r="AA618" s="26"/>
      <c r="AB618" s="26"/>
      <c r="AC618" s="26"/>
      <c r="AD618" s="26"/>
      <c r="AE618" s="115"/>
      <c r="AF618" s="85"/>
      <c r="AG618" s="67"/>
      <c r="AH618" s="67"/>
      <c r="AI618" s="85"/>
      <c r="AJ618" s="85"/>
      <c r="AK618" s="85"/>
      <c r="AL618" s="85"/>
    </row>
    <row r="619" spans="1:38">
      <c r="A619" s="26"/>
      <c r="B619" s="26"/>
      <c r="C619" s="26"/>
      <c r="D619" s="26"/>
      <c r="E619" s="26"/>
      <c r="F619" s="26"/>
      <c r="G619" s="26"/>
      <c r="H619" s="26"/>
      <c r="I619" s="26"/>
      <c r="J619" s="26"/>
      <c r="K619" s="112"/>
      <c r="L619" s="26"/>
      <c r="M619" s="26"/>
      <c r="N619" s="26"/>
      <c r="O619" s="113"/>
      <c r="P619" s="26"/>
      <c r="Q619" s="26"/>
      <c r="R619" s="26"/>
      <c r="S619" s="26"/>
      <c r="T619" s="26"/>
      <c r="U619" s="26"/>
      <c r="V619" s="26"/>
      <c r="W619" s="26"/>
      <c r="X619" s="26"/>
      <c r="Y619" s="26"/>
      <c r="Z619" s="26"/>
      <c r="AA619" s="26"/>
      <c r="AB619" s="26"/>
      <c r="AC619" s="26"/>
      <c r="AD619" s="26"/>
      <c r="AE619" s="115"/>
      <c r="AF619" s="85"/>
      <c r="AG619" s="67"/>
      <c r="AH619" s="67"/>
      <c r="AI619" s="85"/>
      <c r="AJ619" s="85"/>
      <c r="AK619" s="85"/>
      <c r="AL619" s="85"/>
    </row>
    <row r="620" spans="1:38">
      <c r="A620" s="26"/>
      <c r="B620" s="26"/>
      <c r="C620" s="26"/>
      <c r="D620" s="26"/>
      <c r="E620" s="26"/>
      <c r="F620" s="26"/>
      <c r="G620" s="26"/>
      <c r="H620" s="26"/>
      <c r="I620" s="26"/>
      <c r="J620" s="26"/>
      <c r="K620" s="112"/>
      <c r="L620" s="26"/>
      <c r="M620" s="26"/>
      <c r="N620" s="26"/>
      <c r="O620" s="113"/>
      <c r="P620" s="26"/>
      <c r="Q620" s="26"/>
      <c r="R620" s="26"/>
      <c r="S620" s="26"/>
      <c r="T620" s="26"/>
      <c r="U620" s="26"/>
      <c r="V620" s="26"/>
      <c r="W620" s="26"/>
      <c r="X620" s="26"/>
      <c r="Y620" s="26"/>
      <c r="Z620" s="26"/>
      <c r="AA620" s="26"/>
      <c r="AB620" s="26"/>
      <c r="AC620" s="26"/>
      <c r="AD620" s="26"/>
      <c r="AE620" s="115"/>
      <c r="AF620" s="85"/>
      <c r="AG620" s="67"/>
      <c r="AH620" s="67"/>
      <c r="AI620" s="85"/>
      <c r="AJ620" s="85"/>
      <c r="AK620" s="85"/>
      <c r="AL620" s="85"/>
    </row>
    <row r="621" spans="1:38">
      <c r="A621" s="26"/>
      <c r="B621" s="26"/>
      <c r="C621" s="26"/>
      <c r="D621" s="26"/>
      <c r="E621" s="26"/>
      <c r="F621" s="26"/>
      <c r="G621" s="26"/>
      <c r="H621" s="26"/>
      <c r="I621" s="26"/>
      <c r="J621" s="26"/>
      <c r="K621" s="112"/>
      <c r="L621" s="26"/>
      <c r="M621" s="26"/>
      <c r="N621" s="26"/>
      <c r="O621" s="113"/>
      <c r="P621" s="26"/>
      <c r="Q621" s="26"/>
      <c r="R621" s="26"/>
      <c r="S621" s="26"/>
      <c r="T621" s="26"/>
      <c r="U621" s="26"/>
      <c r="V621" s="26"/>
      <c r="W621" s="26"/>
      <c r="X621" s="26"/>
      <c r="Y621" s="26"/>
      <c r="Z621" s="26"/>
      <c r="AA621" s="26"/>
      <c r="AB621" s="26"/>
      <c r="AC621" s="26"/>
      <c r="AD621" s="26"/>
      <c r="AE621" s="115"/>
      <c r="AF621" s="85"/>
      <c r="AG621" s="67"/>
      <c r="AH621" s="67"/>
      <c r="AI621" s="85"/>
      <c r="AJ621" s="85"/>
      <c r="AK621" s="85"/>
      <c r="AL621" s="85"/>
    </row>
    <row r="622" spans="1:38">
      <c r="A622" s="26"/>
      <c r="B622" s="26"/>
      <c r="C622" s="26"/>
      <c r="D622" s="26"/>
      <c r="E622" s="26"/>
      <c r="F622" s="26"/>
      <c r="G622" s="26"/>
      <c r="H622" s="26"/>
      <c r="I622" s="26"/>
      <c r="J622" s="26"/>
      <c r="K622" s="112"/>
      <c r="L622" s="26"/>
      <c r="M622" s="26"/>
      <c r="N622" s="26"/>
      <c r="O622" s="113"/>
      <c r="P622" s="26"/>
      <c r="Q622" s="26"/>
      <c r="R622" s="26"/>
      <c r="S622" s="26"/>
      <c r="T622" s="26"/>
      <c r="U622" s="26"/>
      <c r="V622" s="26"/>
      <c r="W622" s="26"/>
      <c r="X622" s="26"/>
      <c r="Y622" s="26"/>
      <c r="Z622" s="26"/>
      <c r="AA622" s="26"/>
      <c r="AB622" s="26"/>
      <c r="AC622" s="26"/>
      <c r="AD622" s="26"/>
      <c r="AE622" s="115"/>
      <c r="AF622" s="85"/>
      <c r="AG622" s="67"/>
      <c r="AH622" s="67"/>
      <c r="AI622" s="85"/>
      <c r="AJ622" s="85"/>
      <c r="AK622" s="85"/>
      <c r="AL622" s="85"/>
    </row>
    <row r="623" spans="1:38">
      <c r="A623" s="26"/>
      <c r="B623" s="26"/>
      <c r="C623" s="26"/>
      <c r="D623" s="26"/>
      <c r="E623" s="26"/>
      <c r="F623" s="26"/>
      <c r="G623" s="26"/>
      <c r="H623" s="26"/>
      <c r="I623" s="26"/>
      <c r="J623" s="26"/>
      <c r="K623" s="112"/>
      <c r="L623" s="26"/>
      <c r="M623" s="26"/>
      <c r="N623" s="26"/>
      <c r="O623" s="113"/>
      <c r="P623" s="26"/>
      <c r="Q623" s="26"/>
      <c r="R623" s="26"/>
      <c r="S623" s="26"/>
      <c r="T623" s="26"/>
      <c r="U623" s="26"/>
      <c r="V623" s="26"/>
      <c r="W623" s="26"/>
      <c r="X623" s="26"/>
      <c r="Y623" s="26"/>
      <c r="Z623" s="26"/>
      <c r="AA623" s="26"/>
      <c r="AB623" s="26"/>
      <c r="AC623" s="26"/>
      <c r="AD623" s="26"/>
      <c r="AE623" s="115"/>
      <c r="AF623" s="85"/>
      <c r="AG623" s="67"/>
      <c r="AH623" s="67"/>
      <c r="AI623" s="85"/>
      <c r="AJ623" s="85"/>
      <c r="AK623" s="85"/>
      <c r="AL623" s="85"/>
    </row>
    <row r="624" spans="1:38">
      <c r="A624" s="26"/>
      <c r="B624" s="26"/>
      <c r="C624" s="26"/>
      <c r="D624" s="26"/>
      <c r="E624" s="26"/>
      <c r="F624" s="26"/>
      <c r="G624" s="26"/>
      <c r="H624" s="26"/>
      <c r="I624" s="26"/>
      <c r="J624" s="26"/>
      <c r="K624" s="112"/>
      <c r="L624" s="26"/>
      <c r="M624" s="26"/>
      <c r="N624" s="26"/>
      <c r="O624" s="113"/>
      <c r="P624" s="26"/>
      <c r="Q624" s="26"/>
      <c r="R624" s="26"/>
      <c r="S624" s="26"/>
      <c r="T624" s="26"/>
      <c r="U624" s="26"/>
      <c r="V624" s="26"/>
      <c r="W624" s="26"/>
      <c r="X624" s="26"/>
      <c r="Y624" s="26"/>
      <c r="Z624" s="26"/>
      <c r="AA624" s="26"/>
      <c r="AB624" s="26"/>
      <c r="AC624" s="26"/>
      <c r="AD624" s="26"/>
      <c r="AE624" s="115"/>
      <c r="AF624" s="85"/>
      <c r="AG624" s="67"/>
      <c r="AH624" s="67"/>
      <c r="AI624" s="85"/>
      <c r="AJ624" s="85"/>
      <c r="AK624" s="85"/>
      <c r="AL624" s="85"/>
    </row>
    <row r="625" spans="1:38">
      <c r="A625" s="26"/>
      <c r="B625" s="26"/>
      <c r="C625" s="26"/>
      <c r="D625" s="26"/>
      <c r="E625" s="26"/>
      <c r="F625" s="26"/>
      <c r="G625" s="26"/>
      <c r="H625" s="26"/>
      <c r="I625" s="26"/>
      <c r="J625" s="26"/>
      <c r="K625" s="112"/>
      <c r="L625" s="26"/>
      <c r="M625" s="26"/>
      <c r="N625" s="26"/>
      <c r="O625" s="113"/>
      <c r="P625" s="26"/>
      <c r="Q625" s="26"/>
      <c r="R625" s="26"/>
      <c r="S625" s="26"/>
      <c r="T625" s="26"/>
      <c r="U625" s="26"/>
      <c r="V625" s="26"/>
      <c r="W625" s="26"/>
      <c r="X625" s="26"/>
      <c r="Y625" s="26"/>
      <c r="Z625" s="26"/>
      <c r="AA625" s="26"/>
      <c r="AB625" s="26"/>
      <c r="AC625" s="26"/>
      <c r="AD625" s="26"/>
      <c r="AE625" s="115"/>
      <c r="AF625" s="85"/>
      <c r="AG625" s="67"/>
      <c r="AH625" s="67"/>
      <c r="AI625" s="85"/>
      <c r="AJ625" s="85"/>
      <c r="AK625" s="85"/>
      <c r="AL625" s="85"/>
    </row>
    <row r="626" spans="1:38">
      <c r="A626" s="26"/>
      <c r="B626" s="26"/>
      <c r="C626" s="26"/>
      <c r="D626" s="26"/>
      <c r="E626" s="26"/>
      <c r="F626" s="26"/>
      <c r="G626" s="26"/>
      <c r="H626" s="26"/>
      <c r="I626" s="26"/>
      <c r="J626" s="26"/>
      <c r="K626" s="112"/>
      <c r="L626" s="26"/>
      <c r="M626" s="26"/>
      <c r="N626" s="26"/>
      <c r="O626" s="113"/>
      <c r="P626" s="26"/>
      <c r="Q626" s="26"/>
      <c r="R626" s="26"/>
      <c r="S626" s="26"/>
      <c r="T626" s="26"/>
      <c r="U626" s="26"/>
      <c r="V626" s="26"/>
      <c r="W626" s="26"/>
      <c r="X626" s="26"/>
      <c r="Y626" s="26"/>
      <c r="Z626" s="26"/>
      <c r="AA626" s="26"/>
      <c r="AB626" s="26"/>
      <c r="AC626" s="26"/>
      <c r="AD626" s="26"/>
      <c r="AE626" s="115"/>
      <c r="AF626" s="85"/>
      <c r="AG626" s="67"/>
      <c r="AH626" s="67"/>
      <c r="AI626" s="85"/>
      <c r="AJ626" s="85"/>
      <c r="AK626" s="85"/>
      <c r="AL626" s="85"/>
    </row>
    <row r="627" spans="1:38">
      <c r="A627" s="26"/>
      <c r="B627" s="26"/>
      <c r="C627" s="26"/>
      <c r="D627" s="26"/>
      <c r="E627" s="26"/>
      <c r="F627" s="26"/>
      <c r="G627" s="26"/>
      <c r="H627" s="26"/>
      <c r="I627" s="26"/>
      <c r="J627" s="26"/>
      <c r="K627" s="112"/>
      <c r="L627" s="26"/>
      <c r="M627" s="26"/>
      <c r="N627" s="26"/>
      <c r="O627" s="113"/>
      <c r="P627" s="26"/>
      <c r="Q627" s="26"/>
      <c r="R627" s="26"/>
      <c r="S627" s="26"/>
      <c r="T627" s="26"/>
      <c r="U627" s="26"/>
      <c r="V627" s="26"/>
      <c r="W627" s="26"/>
      <c r="X627" s="26"/>
      <c r="Y627" s="26"/>
      <c r="Z627" s="26"/>
      <c r="AA627" s="26"/>
      <c r="AB627" s="26"/>
      <c r="AC627" s="26"/>
      <c r="AD627" s="26"/>
      <c r="AE627" s="115"/>
      <c r="AF627" s="85"/>
      <c r="AG627" s="67"/>
      <c r="AH627" s="67"/>
      <c r="AI627" s="85"/>
      <c r="AJ627" s="85"/>
      <c r="AK627" s="85"/>
      <c r="AL627" s="85"/>
    </row>
    <row r="628" spans="1:38">
      <c r="A628" s="26"/>
      <c r="B628" s="26"/>
      <c r="C628" s="26"/>
      <c r="D628" s="26"/>
      <c r="E628" s="26"/>
      <c r="F628" s="26"/>
      <c r="G628" s="26"/>
      <c r="H628" s="26"/>
      <c r="I628" s="26"/>
      <c r="J628" s="26"/>
      <c r="K628" s="112"/>
      <c r="L628" s="26"/>
      <c r="M628" s="26"/>
      <c r="N628" s="26"/>
      <c r="O628" s="113"/>
      <c r="P628" s="26"/>
      <c r="Q628" s="26"/>
      <c r="R628" s="26"/>
      <c r="S628" s="26"/>
      <c r="T628" s="26"/>
      <c r="U628" s="26"/>
      <c r="V628" s="26"/>
      <c r="W628" s="26"/>
      <c r="X628" s="26"/>
      <c r="Y628" s="26"/>
      <c r="Z628" s="26"/>
      <c r="AA628" s="26"/>
      <c r="AB628" s="26"/>
      <c r="AC628" s="26"/>
      <c r="AD628" s="26"/>
      <c r="AE628" s="115"/>
      <c r="AF628" s="85"/>
      <c r="AG628" s="67"/>
      <c r="AH628" s="67"/>
      <c r="AI628" s="85"/>
      <c r="AJ628" s="85"/>
      <c r="AK628" s="85"/>
      <c r="AL628" s="85"/>
    </row>
    <row r="629" spans="1:38">
      <c r="A629" s="26"/>
      <c r="B629" s="26"/>
      <c r="C629" s="26"/>
      <c r="D629" s="26"/>
      <c r="E629" s="26"/>
      <c r="F629" s="26"/>
      <c r="G629" s="26"/>
      <c r="H629" s="26"/>
      <c r="I629" s="26"/>
      <c r="J629" s="26"/>
      <c r="K629" s="112"/>
      <c r="L629" s="26"/>
      <c r="M629" s="26"/>
      <c r="N629" s="26"/>
      <c r="O629" s="113"/>
      <c r="P629" s="26"/>
      <c r="Q629" s="26"/>
      <c r="R629" s="26"/>
      <c r="S629" s="26"/>
      <c r="T629" s="26"/>
      <c r="U629" s="26"/>
      <c r="V629" s="26"/>
      <c r="W629" s="26"/>
      <c r="X629" s="26"/>
      <c r="Y629" s="26"/>
      <c r="Z629" s="26"/>
      <c r="AA629" s="26"/>
      <c r="AB629" s="26"/>
      <c r="AC629" s="26"/>
      <c r="AD629" s="26"/>
      <c r="AE629" s="115"/>
      <c r="AF629" s="85"/>
      <c r="AG629" s="67"/>
      <c r="AH629" s="67"/>
      <c r="AI629" s="85"/>
      <c r="AJ629" s="85"/>
      <c r="AK629" s="85"/>
      <c r="AL629" s="85"/>
    </row>
    <row r="630" spans="1:38">
      <c r="A630" s="26"/>
      <c r="B630" s="26"/>
      <c r="C630" s="26"/>
      <c r="D630" s="26"/>
      <c r="E630" s="26"/>
      <c r="F630" s="26"/>
      <c r="G630" s="26"/>
      <c r="H630" s="26"/>
      <c r="I630" s="26"/>
      <c r="J630" s="26"/>
      <c r="K630" s="112"/>
      <c r="L630" s="26"/>
      <c r="M630" s="26"/>
      <c r="N630" s="26"/>
      <c r="O630" s="113"/>
      <c r="P630" s="26"/>
      <c r="Q630" s="26"/>
      <c r="R630" s="26"/>
      <c r="S630" s="26"/>
      <c r="T630" s="26"/>
      <c r="U630" s="26"/>
      <c r="V630" s="26"/>
      <c r="W630" s="26"/>
      <c r="X630" s="26"/>
      <c r="Y630" s="26"/>
      <c r="Z630" s="26"/>
      <c r="AA630" s="26"/>
      <c r="AB630" s="26"/>
      <c r="AC630" s="26"/>
      <c r="AD630" s="26"/>
      <c r="AE630" s="115"/>
      <c r="AF630" s="85"/>
      <c r="AG630" s="67"/>
      <c r="AH630" s="67"/>
      <c r="AI630" s="85"/>
      <c r="AJ630" s="85"/>
      <c r="AK630" s="85"/>
      <c r="AL630" s="85"/>
    </row>
    <row r="631" spans="1:38">
      <c r="A631" s="26"/>
      <c r="B631" s="26"/>
      <c r="C631" s="26"/>
      <c r="D631" s="26"/>
      <c r="E631" s="26"/>
      <c r="F631" s="26"/>
      <c r="G631" s="26"/>
      <c r="H631" s="26"/>
      <c r="I631" s="26"/>
      <c r="J631" s="26"/>
      <c r="K631" s="112"/>
      <c r="L631" s="26"/>
      <c r="M631" s="26"/>
      <c r="N631" s="26"/>
      <c r="O631" s="113"/>
      <c r="P631" s="26"/>
      <c r="Q631" s="26"/>
      <c r="R631" s="26"/>
      <c r="S631" s="26"/>
      <c r="T631" s="26"/>
      <c r="U631" s="26"/>
      <c r="V631" s="26"/>
      <c r="W631" s="26"/>
      <c r="X631" s="26"/>
      <c r="Y631" s="26"/>
      <c r="Z631" s="26"/>
      <c r="AA631" s="26"/>
      <c r="AB631" s="26"/>
      <c r="AC631" s="26"/>
      <c r="AD631" s="26"/>
      <c r="AE631" s="115"/>
      <c r="AF631" s="85"/>
      <c r="AG631" s="67"/>
      <c r="AH631" s="67"/>
      <c r="AI631" s="85"/>
      <c r="AJ631" s="85"/>
      <c r="AK631" s="85"/>
      <c r="AL631" s="85"/>
    </row>
    <row r="632" spans="1:38">
      <c r="A632" s="26"/>
      <c r="B632" s="26"/>
      <c r="C632" s="26"/>
      <c r="D632" s="26"/>
      <c r="E632" s="26"/>
      <c r="F632" s="26"/>
      <c r="G632" s="26"/>
      <c r="H632" s="26"/>
      <c r="I632" s="26"/>
      <c r="J632" s="26"/>
      <c r="K632" s="112"/>
      <c r="L632" s="26"/>
      <c r="M632" s="26"/>
      <c r="N632" s="26"/>
      <c r="O632" s="113"/>
      <c r="P632" s="26"/>
      <c r="Q632" s="26"/>
      <c r="R632" s="26"/>
      <c r="S632" s="26"/>
      <c r="T632" s="26"/>
      <c r="U632" s="26"/>
      <c r="V632" s="26"/>
      <c r="W632" s="26"/>
      <c r="X632" s="26"/>
      <c r="Y632" s="26"/>
      <c r="Z632" s="26"/>
      <c r="AA632" s="26"/>
      <c r="AB632" s="26"/>
      <c r="AC632" s="26"/>
      <c r="AD632" s="26"/>
      <c r="AE632" s="115"/>
      <c r="AF632" s="85"/>
      <c r="AG632" s="67"/>
      <c r="AH632" s="67"/>
      <c r="AI632" s="85"/>
      <c r="AJ632" s="85"/>
      <c r="AK632" s="85"/>
      <c r="AL632" s="85"/>
    </row>
    <row r="633" spans="1:38">
      <c r="A633" s="26"/>
      <c r="B633" s="26"/>
      <c r="C633" s="26"/>
      <c r="D633" s="26"/>
      <c r="E633" s="26"/>
      <c r="F633" s="26"/>
      <c r="G633" s="26"/>
      <c r="H633" s="26"/>
      <c r="I633" s="26"/>
      <c r="J633" s="26"/>
      <c r="K633" s="112"/>
      <c r="L633" s="26"/>
      <c r="M633" s="26"/>
      <c r="N633" s="26"/>
      <c r="O633" s="113"/>
      <c r="P633" s="26"/>
      <c r="Q633" s="26"/>
      <c r="R633" s="26"/>
      <c r="S633" s="26"/>
      <c r="T633" s="26"/>
      <c r="U633" s="26"/>
      <c r="V633" s="26"/>
      <c r="W633" s="26"/>
      <c r="X633" s="26"/>
      <c r="Y633" s="26"/>
      <c r="Z633" s="26"/>
      <c r="AA633" s="26"/>
      <c r="AB633" s="26"/>
      <c r="AC633" s="26"/>
      <c r="AD633" s="26"/>
      <c r="AE633" s="115"/>
      <c r="AF633" s="85"/>
      <c r="AG633" s="67"/>
      <c r="AH633" s="67"/>
      <c r="AI633" s="85"/>
      <c r="AJ633" s="85"/>
      <c r="AK633" s="85"/>
      <c r="AL633" s="85"/>
    </row>
    <row r="634" spans="1:38">
      <c r="A634" s="26"/>
      <c r="B634" s="26"/>
      <c r="C634" s="26"/>
      <c r="D634" s="26"/>
      <c r="E634" s="26"/>
      <c r="F634" s="26"/>
      <c r="G634" s="26"/>
      <c r="H634" s="26"/>
      <c r="I634" s="26"/>
      <c r="J634" s="26"/>
      <c r="K634" s="112"/>
      <c r="L634" s="26"/>
      <c r="M634" s="26"/>
      <c r="N634" s="26"/>
      <c r="O634" s="113"/>
      <c r="P634" s="26"/>
      <c r="Q634" s="26"/>
      <c r="R634" s="26"/>
      <c r="S634" s="26"/>
      <c r="T634" s="26"/>
      <c r="U634" s="26"/>
      <c r="V634" s="26"/>
      <c r="W634" s="26"/>
      <c r="X634" s="26"/>
      <c r="Y634" s="26"/>
      <c r="Z634" s="26"/>
      <c r="AA634" s="26"/>
      <c r="AB634" s="26"/>
      <c r="AC634" s="26"/>
      <c r="AD634" s="26"/>
      <c r="AE634" s="115"/>
      <c r="AF634" s="85"/>
      <c r="AG634" s="67"/>
      <c r="AH634" s="67"/>
      <c r="AI634" s="85"/>
      <c r="AJ634" s="85"/>
      <c r="AK634" s="85"/>
      <c r="AL634" s="85"/>
    </row>
    <row r="635" spans="1:38">
      <c r="A635" s="26"/>
      <c r="B635" s="26"/>
      <c r="C635" s="26"/>
      <c r="D635" s="26"/>
      <c r="E635" s="26"/>
      <c r="F635" s="26"/>
      <c r="G635" s="26"/>
      <c r="H635" s="26"/>
      <c r="I635" s="26"/>
      <c r="J635" s="26"/>
      <c r="K635" s="112"/>
      <c r="L635" s="26"/>
      <c r="M635" s="26"/>
      <c r="N635" s="26"/>
      <c r="O635" s="113"/>
      <c r="P635" s="26"/>
      <c r="Q635" s="26"/>
      <c r="R635" s="26"/>
      <c r="S635" s="26"/>
      <c r="T635" s="26"/>
      <c r="U635" s="26"/>
      <c r="V635" s="26"/>
      <c r="W635" s="26"/>
      <c r="X635" s="26"/>
      <c r="Y635" s="26"/>
      <c r="Z635" s="26"/>
      <c r="AA635" s="26"/>
      <c r="AB635" s="26"/>
      <c r="AC635" s="26"/>
      <c r="AD635" s="26"/>
      <c r="AE635" s="115"/>
      <c r="AF635" s="85"/>
      <c r="AG635" s="67"/>
      <c r="AH635" s="67"/>
      <c r="AI635" s="85"/>
      <c r="AJ635" s="85"/>
      <c r="AK635" s="85"/>
      <c r="AL635" s="85"/>
    </row>
    <row r="636" spans="1:38">
      <c r="A636" s="26"/>
      <c r="B636" s="26"/>
      <c r="C636" s="26"/>
      <c r="D636" s="26"/>
      <c r="E636" s="26"/>
      <c r="F636" s="26"/>
      <c r="G636" s="26"/>
      <c r="H636" s="26"/>
      <c r="I636" s="26"/>
      <c r="J636" s="26"/>
      <c r="K636" s="112"/>
      <c r="L636" s="26"/>
      <c r="M636" s="26"/>
      <c r="N636" s="26"/>
      <c r="O636" s="113"/>
      <c r="P636" s="26"/>
      <c r="Q636" s="26"/>
      <c r="R636" s="26"/>
      <c r="S636" s="26"/>
      <c r="T636" s="26"/>
      <c r="U636" s="26"/>
      <c r="V636" s="26"/>
      <c r="W636" s="26"/>
      <c r="X636" s="26"/>
      <c r="Y636" s="26"/>
      <c r="Z636" s="26"/>
      <c r="AA636" s="26"/>
      <c r="AB636" s="26"/>
      <c r="AC636" s="26"/>
      <c r="AD636" s="26"/>
      <c r="AE636" s="115"/>
      <c r="AF636" s="85"/>
      <c r="AG636" s="67"/>
      <c r="AH636" s="67"/>
      <c r="AI636" s="85"/>
      <c r="AJ636" s="85"/>
      <c r="AK636" s="85"/>
      <c r="AL636" s="85"/>
    </row>
    <row r="637" spans="1:38">
      <c r="A637" s="26"/>
      <c r="B637" s="26"/>
      <c r="C637" s="26"/>
      <c r="D637" s="26"/>
      <c r="E637" s="26"/>
      <c r="F637" s="26"/>
      <c r="G637" s="26"/>
      <c r="H637" s="26"/>
      <c r="I637" s="26"/>
      <c r="J637" s="26"/>
      <c r="K637" s="112"/>
      <c r="L637" s="26"/>
      <c r="M637" s="26"/>
      <c r="N637" s="26"/>
      <c r="O637" s="113"/>
      <c r="P637" s="26"/>
      <c r="Q637" s="26"/>
      <c r="R637" s="26"/>
      <c r="S637" s="26"/>
      <c r="T637" s="26"/>
      <c r="U637" s="26"/>
      <c r="V637" s="26"/>
      <c r="W637" s="26"/>
      <c r="X637" s="26"/>
      <c r="Y637" s="26"/>
      <c r="Z637" s="26"/>
      <c r="AA637" s="26"/>
      <c r="AB637" s="26"/>
      <c r="AC637" s="26"/>
      <c r="AD637" s="26"/>
      <c r="AE637" s="115"/>
      <c r="AF637" s="85"/>
      <c r="AG637" s="67"/>
      <c r="AH637" s="67"/>
      <c r="AI637" s="85"/>
      <c r="AJ637" s="85"/>
      <c r="AK637" s="85"/>
      <c r="AL637" s="85"/>
    </row>
    <row r="638" spans="1:38">
      <c r="A638" s="26"/>
      <c r="B638" s="26"/>
      <c r="C638" s="26"/>
      <c r="D638" s="26"/>
      <c r="E638" s="26"/>
      <c r="F638" s="26"/>
      <c r="G638" s="26"/>
      <c r="H638" s="26"/>
      <c r="I638" s="26"/>
      <c r="J638" s="26"/>
      <c r="K638" s="112"/>
      <c r="L638" s="26"/>
      <c r="M638" s="26"/>
      <c r="N638" s="26"/>
      <c r="O638" s="113"/>
      <c r="P638" s="26"/>
      <c r="Q638" s="26"/>
      <c r="R638" s="26"/>
      <c r="S638" s="26"/>
      <c r="T638" s="26"/>
      <c r="U638" s="26"/>
      <c r="V638" s="26"/>
      <c r="W638" s="26"/>
      <c r="X638" s="26"/>
      <c r="Y638" s="26"/>
      <c r="Z638" s="26"/>
      <c r="AA638" s="26"/>
      <c r="AB638" s="26"/>
      <c r="AC638" s="26"/>
      <c r="AD638" s="26"/>
      <c r="AE638" s="115"/>
      <c r="AF638" s="85"/>
      <c r="AG638" s="67"/>
      <c r="AH638" s="67"/>
      <c r="AI638" s="85"/>
      <c r="AJ638" s="85"/>
      <c r="AK638" s="85"/>
      <c r="AL638" s="85"/>
    </row>
    <row r="639" spans="1:38">
      <c r="A639" s="26"/>
      <c r="B639" s="26"/>
      <c r="C639" s="26"/>
      <c r="D639" s="26"/>
      <c r="E639" s="26"/>
      <c r="F639" s="26"/>
      <c r="G639" s="26"/>
      <c r="H639" s="26"/>
      <c r="I639" s="26"/>
      <c r="J639" s="26"/>
      <c r="K639" s="112"/>
      <c r="L639" s="26"/>
      <c r="M639" s="26"/>
      <c r="N639" s="26"/>
      <c r="O639" s="113"/>
      <c r="P639" s="26"/>
      <c r="Q639" s="26"/>
      <c r="R639" s="26"/>
      <c r="S639" s="26"/>
      <c r="T639" s="26"/>
      <c r="U639" s="26"/>
      <c r="V639" s="26"/>
      <c r="W639" s="26"/>
      <c r="X639" s="26"/>
      <c r="Y639" s="26"/>
      <c r="Z639" s="26"/>
      <c r="AA639" s="26"/>
      <c r="AB639" s="26"/>
      <c r="AC639" s="26"/>
      <c r="AD639" s="26"/>
      <c r="AE639" s="115"/>
      <c r="AF639" s="85"/>
      <c r="AG639" s="67"/>
      <c r="AH639" s="67"/>
      <c r="AI639" s="85"/>
      <c r="AJ639" s="85"/>
      <c r="AK639" s="85"/>
      <c r="AL639" s="85"/>
    </row>
    <row r="640" spans="1:38">
      <c r="A640" s="26"/>
      <c r="B640" s="26"/>
      <c r="C640" s="26"/>
      <c r="D640" s="26"/>
      <c r="E640" s="26"/>
      <c r="F640" s="26"/>
      <c r="G640" s="26"/>
      <c r="H640" s="26"/>
      <c r="I640" s="26"/>
      <c r="J640" s="26"/>
      <c r="K640" s="112"/>
      <c r="L640" s="26"/>
      <c r="M640" s="26"/>
      <c r="N640" s="26"/>
      <c r="O640" s="113"/>
      <c r="P640" s="26"/>
      <c r="Q640" s="26"/>
      <c r="R640" s="26"/>
      <c r="S640" s="26"/>
      <c r="T640" s="26"/>
      <c r="U640" s="26"/>
      <c r="V640" s="26"/>
      <c r="W640" s="26"/>
      <c r="X640" s="26"/>
      <c r="Y640" s="26"/>
      <c r="Z640" s="26"/>
      <c r="AA640" s="26"/>
      <c r="AB640" s="26"/>
      <c r="AC640" s="26"/>
      <c r="AD640" s="26"/>
      <c r="AE640" s="115"/>
      <c r="AF640" s="85"/>
      <c r="AG640" s="67"/>
      <c r="AH640" s="67"/>
      <c r="AI640" s="85"/>
      <c r="AJ640" s="85"/>
      <c r="AK640" s="85"/>
      <c r="AL640" s="85"/>
    </row>
    <row r="641" spans="1:38">
      <c r="A641" s="26"/>
      <c r="B641" s="26"/>
      <c r="C641" s="26"/>
      <c r="D641" s="26"/>
      <c r="E641" s="26"/>
      <c r="F641" s="26"/>
      <c r="G641" s="26"/>
      <c r="H641" s="26"/>
      <c r="I641" s="26"/>
      <c r="J641" s="26"/>
      <c r="K641" s="112"/>
      <c r="L641" s="26"/>
      <c r="M641" s="26"/>
      <c r="N641" s="26"/>
      <c r="O641" s="113"/>
      <c r="P641" s="26"/>
      <c r="Q641" s="26"/>
      <c r="R641" s="26"/>
      <c r="S641" s="26"/>
      <c r="T641" s="26"/>
      <c r="U641" s="26"/>
      <c r="V641" s="26"/>
      <c r="W641" s="26"/>
      <c r="X641" s="26"/>
      <c r="Y641" s="26"/>
      <c r="Z641" s="26"/>
      <c r="AA641" s="26"/>
      <c r="AB641" s="26"/>
      <c r="AC641" s="26"/>
      <c r="AD641" s="26"/>
      <c r="AE641" s="115"/>
      <c r="AF641" s="85"/>
      <c r="AG641" s="67"/>
      <c r="AH641" s="67"/>
      <c r="AI641" s="85"/>
      <c r="AJ641" s="85"/>
      <c r="AK641" s="85"/>
      <c r="AL641" s="85"/>
    </row>
    <row r="642" spans="1:38">
      <c r="A642" s="26"/>
      <c r="B642" s="26"/>
      <c r="C642" s="26"/>
      <c r="D642" s="26"/>
      <c r="E642" s="26"/>
      <c r="F642" s="26"/>
      <c r="G642" s="26"/>
      <c r="H642" s="26"/>
      <c r="I642" s="26"/>
      <c r="J642" s="26"/>
      <c r="K642" s="112"/>
      <c r="L642" s="26"/>
      <c r="M642" s="26"/>
      <c r="N642" s="26"/>
      <c r="O642" s="113"/>
      <c r="P642" s="26"/>
      <c r="Q642" s="26"/>
      <c r="R642" s="26"/>
      <c r="S642" s="26"/>
      <c r="T642" s="26"/>
      <c r="U642" s="26"/>
      <c r="V642" s="26"/>
      <c r="W642" s="26"/>
      <c r="X642" s="26"/>
      <c r="Y642" s="26"/>
      <c r="Z642" s="26"/>
      <c r="AA642" s="26"/>
      <c r="AB642" s="26"/>
      <c r="AC642" s="26"/>
      <c r="AD642" s="26"/>
      <c r="AE642" s="115"/>
      <c r="AF642" s="85"/>
      <c r="AG642" s="67"/>
      <c r="AH642" s="67"/>
      <c r="AI642" s="85"/>
      <c r="AJ642" s="85"/>
      <c r="AK642" s="85"/>
      <c r="AL642" s="85"/>
    </row>
    <row r="643" spans="1:38">
      <c r="A643" s="26"/>
      <c r="B643" s="26"/>
      <c r="C643" s="26"/>
      <c r="D643" s="26"/>
      <c r="E643" s="26"/>
      <c r="F643" s="26"/>
      <c r="G643" s="26"/>
      <c r="H643" s="26"/>
      <c r="I643" s="26"/>
      <c r="J643" s="26"/>
      <c r="K643" s="112"/>
      <c r="L643" s="26"/>
      <c r="M643" s="26"/>
      <c r="N643" s="26"/>
      <c r="O643" s="113"/>
      <c r="P643" s="26"/>
      <c r="Q643" s="26"/>
      <c r="R643" s="26"/>
      <c r="S643" s="26"/>
      <c r="T643" s="26"/>
      <c r="U643" s="26"/>
      <c r="V643" s="26"/>
      <c r="W643" s="26"/>
      <c r="X643" s="26"/>
      <c r="Y643" s="26"/>
      <c r="Z643" s="26"/>
      <c r="AA643" s="26"/>
      <c r="AB643" s="26"/>
      <c r="AC643" s="26"/>
      <c r="AD643" s="26"/>
      <c r="AE643" s="115"/>
      <c r="AF643" s="85"/>
      <c r="AG643" s="67"/>
      <c r="AH643" s="67"/>
      <c r="AI643" s="85"/>
      <c r="AJ643" s="85"/>
      <c r="AK643" s="85"/>
      <c r="AL643" s="85"/>
    </row>
    <row r="644" spans="1:38">
      <c r="A644" s="26"/>
      <c r="B644" s="26"/>
      <c r="C644" s="26"/>
      <c r="D644" s="26"/>
      <c r="E644" s="26"/>
      <c r="F644" s="26"/>
      <c r="G644" s="26"/>
      <c r="H644" s="26"/>
      <c r="I644" s="26"/>
      <c r="J644" s="26"/>
      <c r="K644" s="112"/>
      <c r="L644" s="26"/>
      <c r="M644" s="26"/>
      <c r="N644" s="26"/>
      <c r="O644" s="113"/>
      <c r="P644" s="26"/>
      <c r="Q644" s="26"/>
      <c r="R644" s="26"/>
      <c r="S644" s="26"/>
      <c r="T644" s="26"/>
      <c r="U644" s="26"/>
      <c r="V644" s="26"/>
      <c r="W644" s="26"/>
      <c r="X644" s="26"/>
      <c r="Y644" s="26"/>
      <c r="Z644" s="26"/>
      <c r="AA644" s="26"/>
      <c r="AB644" s="26"/>
      <c r="AC644" s="26"/>
      <c r="AD644" s="26"/>
      <c r="AE644" s="115"/>
      <c r="AF644" s="85"/>
      <c r="AG644" s="67"/>
      <c r="AH644" s="67"/>
      <c r="AI644" s="85"/>
      <c r="AJ644" s="85"/>
      <c r="AK644" s="85"/>
      <c r="AL644" s="85"/>
    </row>
    <row r="645" spans="1:38">
      <c r="A645" s="26"/>
      <c r="B645" s="26"/>
      <c r="C645" s="26"/>
      <c r="D645" s="26"/>
      <c r="E645" s="26"/>
      <c r="F645" s="26"/>
      <c r="G645" s="26"/>
      <c r="H645" s="26"/>
      <c r="I645" s="26"/>
      <c r="J645" s="26"/>
      <c r="K645" s="112"/>
      <c r="L645" s="26"/>
      <c r="M645" s="26"/>
      <c r="N645" s="26"/>
      <c r="O645" s="113"/>
      <c r="P645" s="26"/>
      <c r="Q645" s="26"/>
      <c r="R645" s="26"/>
      <c r="S645" s="26"/>
      <c r="T645" s="26"/>
      <c r="U645" s="26"/>
      <c r="V645" s="26"/>
      <c r="W645" s="26"/>
      <c r="X645" s="26"/>
      <c r="Y645" s="26"/>
      <c r="Z645" s="26"/>
      <c r="AA645" s="26"/>
      <c r="AB645" s="26"/>
      <c r="AC645" s="26"/>
      <c r="AD645" s="26"/>
      <c r="AE645" s="115"/>
      <c r="AF645" s="85"/>
      <c r="AG645" s="67"/>
      <c r="AH645" s="67"/>
      <c r="AI645" s="85"/>
      <c r="AJ645" s="85"/>
      <c r="AK645" s="85"/>
      <c r="AL645" s="85"/>
    </row>
    <row r="646" spans="1:38">
      <c r="A646" s="26"/>
      <c r="B646" s="26"/>
      <c r="C646" s="26"/>
      <c r="D646" s="26"/>
      <c r="E646" s="26"/>
      <c r="F646" s="26"/>
      <c r="G646" s="26"/>
      <c r="H646" s="26"/>
      <c r="I646" s="26"/>
      <c r="J646" s="26"/>
      <c r="K646" s="112"/>
      <c r="L646" s="26"/>
      <c r="M646" s="26"/>
      <c r="N646" s="26"/>
      <c r="O646" s="113"/>
      <c r="P646" s="26"/>
      <c r="Q646" s="26"/>
      <c r="R646" s="26"/>
      <c r="S646" s="26"/>
      <c r="T646" s="26"/>
      <c r="U646" s="26"/>
      <c r="V646" s="26"/>
      <c r="W646" s="26"/>
      <c r="X646" s="26"/>
      <c r="Y646" s="26"/>
      <c r="Z646" s="26"/>
      <c r="AA646" s="26"/>
      <c r="AB646" s="26"/>
      <c r="AC646" s="26"/>
      <c r="AD646" s="26"/>
      <c r="AE646" s="115"/>
      <c r="AF646" s="85"/>
      <c r="AG646" s="67"/>
      <c r="AH646" s="67"/>
      <c r="AI646" s="85"/>
      <c r="AJ646" s="85"/>
      <c r="AK646" s="85"/>
      <c r="AL646" s="85"/>
    </row>
    <row r="647" spans="1:38">
      <c r="A647" s="26"/>
      <c r="B647" s="26"/>
      <c r="C647" s="26"/>
      <c r="D647" s="26"/>
      <c r="E647" s="26"/>
      <c r="F647" s="26"/>
      <c r="G647" s="26"/>
      <c r="H647" s="26"/>
      <c r="I647" s="26"/>
      <c r="J647" s="26"/>
      <c r="K647" s="112"/>
      <c r="L647" s="26"/>
      <c r="M647" s="26"/>
      <c r="N647" s="26"/>
      <c r="O647" s="113"/>
      <c r="P647" s="26"/>
      <c r="Q647" s="26"/>
      <c r="R647" s="26"/>
      <c r="S647" s="26"/>
      <c r="T647" s="26"/>
      <c r="U647" s="26"/>
      <c r="V647" s="26"/>
      <c r="W647" s="26"/>
      <c r="X647" s="26"/>
      <c r="Y647" s="26"/>
      <c r="Z647" s="26"/>
      <c r="AA647" s="26"/>
      <c r="AB647" s="26"/>
      <c r="AC647" s="26"/>
      <c r="AD647" s="26"/>
      <c r="AE647" s="115"/>
      <c r="AF647" s="85"/>
      <c r="AG647" s="67"/>
      <c r="AH647" s="67"/>
      <c r="AI647" s="85"/>
      <c r="AJ647" s="85"/>
      <c r="AK647" s="85"/>
      <c r="AL647" s="85"/>
    </row>
    <row r="648" spans="1:38">
      <c r="A648" s="26"/>
      <c r="B648" s="26"/>
      <c r="C648" s="26"/>
      <c r="D648" s="26"/>
      <c r="E648" s="26"/>
      <c r="F648" s="26"/>
      <c r="G648" s="26"/>
      <c r="H648" s="26"/>
      <c r="I648" s="26"/>
      <c r="J648" s="26"/>
      <c r="K648" s="112"/>
      <c r="L648" s="26"/>
      <c r="M648" s="26"/>
      <c r="N648" s="26"/>
      <c r="O648" s="113"/>
      <c r="P648" s="26"/>
      <c r="Q648" s="26"/>
      <c r="R648" s="26"/>
      <c r="S648" s="26"/>
      <c r="T648" s="26"/>
      <c r="U648" s="26"/>
      <c r="V648" s="26"/>
      <c r="W648" s="26"/>
      <c r="X648" s="26"/>
      <c r="Y648" s="26"/>
      <c r="Z648" s="26"/>
      <c r="AA648" s="26"/>
      <c r="AB648" s="26"/>
      <c r="AC648" s="26"/>
      <c r="AD648" s="26"/>
      <c r="AE648" s="115"/>
      <c r="AF648" s="85"/>
      <c r="AG648" s="67"/>
      <c r="AH648" s="67"/>
      <c r="AI648" s="85"/>
      <c r="AJ648" s="85"/>
      <c r="AK648" s="85"/>
      <c r="AL648" s="85"/>
    </row>
    <row r="649" spans="1:38">
      <c r="A649" s="26"/>
      <c r="B649" s="26"/>
      <c r="C649" s="26"/>
      <c r="D649" s="26"/>
      <c r="E649" s="26"/>
      <c r="F649" s="26"/>
      <c r="G649" s="26"/>
      <c r="H649" s="26"/>
      <c r="I649" s="26"/>
      <c r="J649" s="26"/>
      <c r="K649" s="112"/>
      <c r="L649" s="26"/>
      <c r="M649" s="26"/>
      <c r="N649" s="26"/>
      <c r="O649" s="113"/>
      <c r="P649" s="26"/>
      <c r="Q649" s="26"/>
      <c r="R649" s="26"/>
      <c r="S649" s="26"/>
      <c r="T649" s="26"/>
      <c r="U649" s="26"/>
      <c r="V649" s="26"/>
      <c r="W649" s="26"/>
      <c r="X649" s="26"/>
      <c r="Y649" s="26"/>
      <c r="Z649" s="26"/>
      <c r="AA649" s="26"/>
      <c r="AB649" s="26"/>
      <c r="AC649" s="26"/>
      <c r="AD649" s="26"/>
      <c r="AE649" s="115"/>
      <c r="AF649" s="85"/>
      <c r="AG649" s="67"/>
      <c r="AH649" s="67"/>
      <c r="AI649" s="85"/>
      <c r="AJ649" s="85"/>
      <c r="AK649" s="85"/>
      <c r="AL649" s="85"/>
    </row>
    <row r="650" spans="1:38">
      <c r="A650" s="26"/>
      <c r="B650" s="26"/>
      <c r="C650" s="26"/>
      <c r="D650" s="26"/>
      <c r="E650" s="26"/>
      <c r="F650" s="26"/>
      <c r="G650" s="26"/>
      <c r="H650" s="26"/>
      <c r="I650" s="26"/>
      <c r="J650" s="26"/>
      <c r="K650" s="112"/>
      <c r="L650" s="26"/>
      <c r="M650" s="26"/>
      <c r="N650" s="26"/>
      <c r="O650" s="113"/>
      <c r="P650" s="26"/>
      <c r="Q650" s="26"/>
      <c r="R650" s="26"/>
      <c r="S650" s="26"/>
      <c r="T650" s="26"/>
      <c r="U650" s="26"/>
      <c r="V650" s="26"/>
      <c r="W650" s="26"/>
      <c r="X650" s="26"/>
      <c r="Y650" s="26"/>
      <c r="Z650" s="26"/>
      <c r="AA650" s="26"/>
      <c r="AB650" s="26"/>
      <c r="AC650" s="26"/>
      <c r="AD650" s="26"/>
      <c r="AE650" s="115"/>
      <c r="AF650" s="85"/>
      <c r="AG650" s="67"/>
      <c r="AH650" s="67"/>
      <c r="AI650" s="85"/>
      <c r="AJ650" s="85"/>
      <c r="AK650" s="85"/>
      <c r="AL650" s="85"/>
    </row>
    <row r="651" spans="1:38">
      <c r="A651" s="26"/>
      <c r="B651" s="26"/>
      <c r="C651" s="26"/>
      <c r="D651" s="26"/>
      <c r="E651" s="26"/>
      <c r="F651" s="26"/>
      <c r="G651" s="26"/>
      <c r="H651" s="26"/>
      <c r="I651" s="26"/>
      <c r="J651" s="26"/>
      <c r="K651" s="112"/>
      <c r="L651" s="26"/>
      <c r="M651" s="26"/>
      <c r="N651" s="26"/>
      <c r="O651" s="113"/>
      <c r="P651" s="26"/>
      <c r="Q651" s="26"/>
      <c r="R651" s="26"/>
      <c r="S651" s="26"/>
      <c r="T651" s="26"/>
      <c r="U651" s="26"/>
      <c r="V651" s="26"/>
      <c r="W651" s="26"/>
      <c r="X651" s="26"/>
      <c r="Y651" s="26"/>
      <c r="Z651" s="26"/>
      <c r="AA651" s="26"/>
      <c r="AB651" s="26"/>
      <c r="AC651" s="26"/>
      <c r="AD651" s="26"/>
      <c r="AE651" s="115"/>
      <c r="AF651" s="85"/>
      <c r="AG651" s="67"/>
      <c r="AH651" s="67"/>
      <c r="AI651" s="85"/>
      <c r="AJ651" s="85"/>
      <c r="AK651" s="85"/>
      <c r="AL651" s="85"/>
    </row>
    <row r="652" spans="1:38">
      <c r="A652" s="26"/>
      <c r="B652" s="26"/>
      <c r="C652" s="26"/>
      <c r="D652" s="26"/>
      <c r="E652" s="26"/>
      <c r="F652" s="26"/>
      <c r="G652" s="26"/>
      <c r="H652" s="26"/>
      <c r="I652" s="26"/>
      <c r="J652" s="26"/>
      <c r="K652" s="112"/>
      <c r="L652" s="26"/>
      <c r="M652" s="26"/>
      <c r="N652" s="26"/>
      <c r="O652" s="113"/>
      <c r="P652" s="26"/>
      <c r="Q652" s="26"/>
      <c r="R652" s="26"/>
      <c r="S652" s="26"/>
      <c r="T652" s="26"/>
      <c r="U652" s="26"/>
      <c r="V652" s="26"/>
      <c r="W652" s="26"/>
      <c r="X652" s="26"/>
      <c r="Y652" s="26"/>
      <c r="Z652" s="26"/>
      <c r="AA652" s="26"/>
      <c r="AB652" s="26"/>
      <c r="AC652" s="26"/>
      <c r="AD652" s="26"/>
      <c r="AE652" s="115"/>
      <c r="AF652" s="85"/>
      <c r="AG652" s="67"/>
      <c r="AH652" s="67"/>
      <c r="AI652" s="85"/>
      <c r="AJ652" s="85"/>
      <c r="AK652" s="85"/>
      <c r="AL652" s="85"/>
    </row>
    <row r="653" spans="1:38">
      <c r="A653" s="26"/>
      <c r="B653" s="26"/>
      <c r="C653" s="26"/>
      <c r="D653" s="26"/>
      <c r="E653" s="26"/>
      <c r="F653" s="26"/>
      <c r="G653" s="26"/>
      <c r="H653" s="26"/>
      <c r="I653" s="26"/>
      <c r="J653" s="26"/>
      <c r="K653" s="112"/>
      <c r="L653" s="26"/>
      <c r="M653" s="26"/>
      <c r="N653" s="26"/>
      <c r="O653" s="113"/>
      <c r="P653" s="26"/>
      <c r="Q653" s="26"/>
      <c r="R653" s="26"/>
      <c r="S653" s="26"/>
      <c r="T653" s="26"/>
      <c r="U653" s="26"/>
      <c r="V653" s="26"/>
      <c r="W653" s="26"/>
      <c r="X653" s="26"/>
      <c r="Y653" s="26"/>
      <c r="Z653" s="26"/>
      <c r="AA653" s="26"/>
      <c r="AB653" s="26"/>
      <c r="AC653" s="26"/>
      <c r="AD653" s="26"/>
      <c r="AE653" s="115"/>
      <c r="AF653" s="85"/>
      <c r="AG653" s="67"/>
      <c r="AH653" s="67"/>
      <c r="AI653" s="85"/>
      <c r="AJ653" s="85"/>
      <c r="AK653" s="85"/>
      <c r="AL653" s="85"/>
    </row>
    <row r="654" spans="1:38">
      <c r="A654" s="26"/>
      <c r="B654" s="26"/>
      <c r="C654" s="26"/>
      <c r="D654" s="26"/>
      <c r="E654" s="26"/>
      <c r="F654" s="26"/>
      <c r="G654" s="26"/>
      <c r="H654" s="26"/>
      <c r="I654" s="26"/>
      <c r="J654" s="26"/>
      <c r="K654" s="112"/>
      <c r="L654" s="26"/>
      <c r="M654" s="26"/>
      <c r="N654" s="26"/>
      <c r="O654" s="113"/>
      <c r="P654" s="26"/>
      <c r="Q654" s="26"/>
      <c r="R654" s="26"/>
      <c r="S654" s="26"/>
      <c r="T654" s="26"/>
      <c r="U654" s="26"/>
      <c r="V654" s="26"/>
      <c r="W654" s="26"/>
      <c r="X654" s="26"/>
      <c r="Y654" s="26"/>
      <c r="Z654" s="26"/>
      <c r="AA654" s="26"/>
      <c r="AB654" s="26"/>
      <c r="AC654" s="26"/>
      <c r="AD654" s="26"/>
      <c r="AE654" s="115"/>
      <c r="AF654" s="85"/>
      <c r="AG654" s="67"/>
      <c r="AH654" s="67"/>
      <c r="AI654" s="85"/>
      <c r="AJ654" s="85"/>
      <c r="AK654" s="85"/>
      <c r="AL654" s="85"/>
    </row>
    <row r="655" spans="1:38">
      <c r="A655" s="26"/>
      <c r="B655" s="26"/>
      <c r="C655" s="26"/>
      <c r="D655" s="26"/>
      <c r="E655" s="26"/>
      <c r="F655" s="26"/>
      <c r="G655" s="26"/>
      <c r="H655" s="26"/>
      <c r="I655" s="26"/>
      <c r="J655" s="26"/>
      <c r="K655" s="112"/>
      <c r="L655" s="26"/>
      <c r="M655" s="26"/>
      <c r="N655" s="26"/>
      <c r="O655" s="113"/>
      <c r="P655" s="26"/>
      <c r="Q655" s="26"/>
      <c r="R655" s="26"/>
      <c r="S655" s="26"/>
      <c r="T655" s="26"/>
      <c r="U655" s="26"/>
      <c r="V655" s="26"/>
      <c r="W655" s="26"/>
      <c r="X655" s="26"/>
      <c r="Y655" s="26"/>
      <c r="Z655" s="26"/>
      <c r="AA655" s="26"/>
      <c r="AB655" s="26"/>
      <c r="AC655" s="26"/>
      <c r="AD655" s="26"/>
      <c r="AE655" s="115"/>
      <c r="AF655" s="85"/>
      <c r="AG655" s="67"/>
      <c r="AH655" s="67"/>
      <c r="AI655" s="85"/>
      <c r="AJ655" s="85"/>
      <c r="AK655" s="85"/>
      <c r="AL655" s="85"/>
    </row>
    <row r="656" spans="1:38">
      <c r="A656" s="26"/>
      <c r="B656" s="26"/>
      <c r="C656" s="26"/>
      <c r="D656" s="26"/>
      <c r="E656" s="26"/>
      <c r="F656" s="26"/>
      <c r="G656" s="26"/>
      <c r="H656" s="26"/>
      <c r="I656" s="26"/>
      <c r="J656" s="26"/>
      <c r="K656" s="112"/>
      <c r="L656" s="26"/>
      <c r="M656" s="26"/>
      <c r="N656" s="26"/>
      <c r="O656" s="113"/>
      <c r="P656" s="26"/>
      <c r="Q656" s="26"/>
      <c r="R656" s="26"/>
      <c r="S656" s="26"/>
      <c r="T656" s="26"/>
      <c r="U656" s="26"/>
      <c r="V656" s="26"/>
      <c r="W656" s="26"/>
      <c r="X656" s="26"/>
      <c r="Y656" s="26"/>
      <c r="Z656" s="26"/>
      <c r="AA656" s="26"/>
      <c r="AB656" s="26"/>
      <c r="AC656" s="26"/>
      <c r="AD656" s="26"/>
      <c r="AE656" s="115"/>
      <c r="AF656" s="85"/>
      <c r="AG656" s="67"/>
      <c r="AH656" s="67"/>
      <c r="AI656" s="85"/>
      <c r="AJ656" s="85"/>
      <c r="AK656" s="85"/>
      <c r="AL656" s="85"/>
    </row>
    <row r="657" spans="1:38">
      <c r="A657" s="26"/>
      <c r="B657" s="26"/>
      <c r="C657" s="26"/>
      <c r="D657" s="26"/>
      <c r="E657" s="26"/>
      <c r="F657" s="26"/>
      <c r="G657" s="26"/>
      <c r="H657" s="26"/>
      <c r="I657" s="26"/>
      <c r="J657" s="26"/>
      <c r="K657" s="112"/>
      <c r="L657" s="26"/>
      <c r="M657" s="26"/>
      <c r="N657" s="26"/>
      <c r="O657" s="113"/>
      <c r="P657" s="26"/>
      <c r="Q657" s="26"/>
      <c r="R657" s="26"/>
      <c r="S657" s="26"/>
      <c r="T657" s="26"/>
      <c r="U657" s="26"/>
      <c r="V657" s="26"/>
      <c r="W657" s="26"/>
      <c r="X657" s="26"/>
      <c r="Y657" s="26"/>
      <c r="Z657" s="26"/>
      <c r="AA657" s="26"/>
      <c r="AB657" s="26"/>
      <c r="AC657" s="26"/>
      <c r="AD657" s="26"/>
      <c r="AE657" s="115"/>
      <c r="AF657" s="85"/>
      <c r="AG657" s="67"/>
      <c r="AH657" s="67"/>
      <c r="AI657" s="85"/>
      <c r="AJ657" s="85"/>
      <c r="AK657" s="85"/>
      <c r="AL657" s="85"/>
    </row>
    <row r="658" spans="1:38">
      <c r="A658" s="26"/>
      <c r="B658" s="26"/>
      <c r="C658" s="26"/>
      <c r="D658" s="26"/>
      <c r="E658" s="26"/>
      <c r="F658" s="26"/>
      <c r="G658" s="26"/>
      <c r="H658" s="26"/>
      <c r="I658" s="26"/>
      <c r="J658" s="26"/>
      <c r="K658" s="112"/>
      <c r="L658" s="26"/>
      <c r="M658" s="26"/>
      <c r="N658" s="26"/>
      <c r="O658" s="113"/>
      <c r="P658" s="26"/>
      <c r="Q658" s="26"/>
      <c r="R658" s="26"/>
      <c r="S658" s="26"/>
      <c r="T658" s="26"/>
      <c r="U658" s="26"/>
      <c r="V658" s="26"/>
      <c r="W658" s="26"/>
      <c r="X658" s="26"/>
      <c r="Y658" s="26"/>
      <c r="Z658" s="26"/>
      <c r="AA658" s="26"/>
      <c r="AB658" s="26"/>
      <c r="AC658" s="26"/>
      <c r="AD658" s="26"/>
      <c r="AE658" s="115"/>
      <c r="AF658" s="85"/>
      <c r="AG658" s="67"/>
      <c r="AH658" s="67"/>
      <c r="AI658" s="85"/>
      <c r="AJ658" s="85"/>
      <c r="AK658" s="85"/>
      <c r="AL658" s="85"/>
    </row>
    <row r="659" spans="1:38">
      <c r="A659" s="26"/>
      <c r="B659" s="26"/>
      <c r="C659" s="26"/>
      <c r="D659" s="26"/>
      <c r="E659" s="26"/>
      <c r="F659" s="26"/>
      <c r="G659" s="26"/>
      <c r="H659" s="26"/>
      <c r="I659" s="26"/>
      <c r="J659" s="26"/>
      <c r="K659" s="112"/>
      <c r="L659" s="26"/>
      <c r="M659" s="26"/>
      <c r="N659" s="26"/>
      <c r="O659" s="113"/>
      <c r="P659" s="26"/>
      <c r="Q659" s="26"/>
      <c r="R659" s="26"/>
      <c r="S659" s="26"/>
      <c r="T659" s="26"/>
      <c r="U659" s="26"/>
      <c r="V659" s="26"/>
      <c r="W659" s="26"/>
      <c r="X659" s="26"/>
      <c r="Y659" s="26"/>
      <c r="Z659" s="26"/>
      <c r="AA659" s="26"/>
      <c r="AB659" s="26"/>
      <c r="AC659" s="26"/>
      <c r="AD659" s="26"/>
      <c r="AE659" s="115"/>
      <c r="AF659" s="85"/>
      <c r="AG659" s="67"/>
      <c r="AH659" s="67"/>
      <c r="AI659" s="85"/>
      <c r="AJ659" s="85"/>
      <c r="AK659" s="85"/>
      <c r="AL659" s="85"/>
    </row>
    <row r="660" spans="1:38">
      <c r="A660" s="26"/>
      <c r="B660" s="26"/>
      <c r="C660" s="26"/>
      <c r="D660" s="26"/>
      <c r="E660" s="26"/>
      <c r="F660" s="26"/>
      <c r="G660" s="26"/>
      <c r="H660" s="26"/>
      <c r="I660" s="26"/>
      <c r="J660" s="26"/>
      <c r="K660" s="112"/>
      <c r="L660" s="26"/>
      <c r="M660" s="26"/>
      <c r="N660" s="26"/>
      <c r="O660" s="113"/>
      <c r="P660" s="26"/>
      <c r="Q660" s="26"/>
      <c r="R660" s="26"/>
      <c r="S660" s="26"/>
      <c r="T660" s="26"/>
      <c r="U660" s="26"/>
      <c r="V660" s="26"/>
      <c r="W660" s="26"/>
      <c r="X660" s="26"/>
      <c r="Y660" s="26"/>
      <c r="Z660" s="26"/>
      <c r="AA660" s="26"/>
      <c r="AB660" s="26"/>
      <c r="AC660" s="26"/>
      <c r="AD660" s="26"/>
      <c r="AE660" s="115"/>
      <c r="AF660" s="85"/>
      <c r="AG660" s="67"/>
      <c r="AH660" s="67"/>
      <c r="AI660" s="85"/>
      <c r="AJ660" s="85"/>
      <c r="AK660" s="85"/>
      <c r="AL660" s="85"/>
    </row>
    <row r="661" spans="1:38">
      <c r="A661" s="26"/>
      <c r="B661" s="26"/>
      <c r="C661" s="26"/>
      <c r="D661" s="26"/>
      <c r="E661" s="26"/>
      <c r="F661" s="26"/>
      <c r="G661" s="26"/>
      <c r="H661" s="26"/>
      <c r="I661" s="26"/>
      <c r="J661" s="26"/>
      <c r="K661" s="112"/>
      <c r="L661" s="26"/>
      <c r="M661" s="26"/>
      <c r="N661" s="26"/>
      <c r="O661" s="113"/>
      <c r="P661" s="26"/>
      <c r="Q661" s="26"/>
      <c r="R661" s="26"/>
      <c r="S661" s="26"/>
      <c r="T661" s="26"/>
      <c r="U661" s="26"/>
      <c r="V661" s="26"/>
      <c r="W661" s="26"/>
      <c r="X661" s="26"/>
      <c r="Y661" s="26"/>
      <c r="Z661" s="26"/>
      <c r="AA661" s="26"/>
      <c r="AB661" s="26"/>
      <c r="AC661" s="26"/>
      <c r="AD661" s="26"/>
      <c r="AE661" s="115"/>
      <c r="AF661" s="85"/>
      <c r="AG661" s="67"/>
      <c r="AH661" s="67"/>
      <c r="AI661" s="85"/>
      <c r="AJ661" s="85"/>
      <c r="AK661" s="85"/>
      <c r="AL661" s="85"/>
    </row>
    <row r="662" spans="1:38">
      <c r="A662" s="26"/>
      <c r="B662" s="26"/>
      <c r="C662" s="26"/>
      <c r="D662" s="26"/>
      <c r="E662" s="26"/>
      <c r="F662" s="26"/>
      <c r="G662" s="26"/>
      <c r="H662" s="26"/>
      <c r="I662" s="26"/>
      <c r="J662" s="26"/>
      <c r="K662" s="112"/>
      <c r="L662" s="26"/>
      <c r="M662" s="26"/>
      <c r="N662" s="26"/>
      <c r="O662" s="113"/>
      <c r="P662" s="26"/>
      <c r="Q662" s="26"/>
      <c r="R662" s="26"/>
      <c r="S662" s="26"/>
      <c r="T662" s="26"/>
      <c r="U662" s="26"/>
      <c r="V662" s="26"/>
      <c r="W662" s="26"/>
      <c r="X662" s="26"/>
      <c r="Y662" s="26"/>
      <c r="Z662" s="26"/>
      <c r="AA662" s="26"/>
      <c r="AB662" s="26"/>
      <c r="AC662" s="26"/>
      <c r="AD662" s="26"/>
      <c r="AE662" s="115"/>
      <c r="AF662" s="85"/>
      <c r="AG662" s="67"/>
      <c r="AH662" s="67"/>
      <c r="AI662" s="85"/>
      <c r="AJ662" s="85"/>
      <c r="AK662" s="85"/>
      <c r="AL662" s="85"/>
    </row>
    <row r="663" spans="1:38">
      <c r="A663" s="26"/>
      <c r="B663" s="26"/>
      <c r="C663" s="26"/>
      <c r="D663" s="26"/>
      <c r="E663" s="26"/>
      <c r="F663" s="26"/>
      <c r="G663" s="26"/>
      <c r="H663" s="26"/>
      <c r="I663" s="26"/>
      <c r="J663" s="26"/>
      <c r="K663" s="112"/>
      <c r="L663" s="26"/>
      <c r="M663" s="26"/>
      <c r="N663" s="26"/>
      <c r="O663" s="113"/>
      <c r="P663" s="26"/>
      <c r="Q663" s="26"/>
      <c r="R663" s="26"/>
      <c r="S663" s="26"/>
      <c r="T663" s="26"/>
      <c r="U663" s="26"/>
      <c r="V663" s="26"/>
      <c r="W663" s="26"/>
      <c r="X663" s="26"/>
      <c r="Y663" s="26"/>
      <c r="Z663" s="26"/>
      <c r="AA663" s="26"/>
      <c r="AB663" s="26"/>
      <c r="AC663" s="26"/>
      <c r="AD663" s="26"/>
      <c r="AE663" s="115"/>
      <c r="AF663" s="85"/>
      <c r="AG663" s="67"/>
      <c r="AH663" s="67"/>
      <c r="AI663" s="85"/>
      <c r="AJ663" s="85"/>
      <c r="AK663" s="85"/>
      <c r="AL663" s="85"/>
    </row>
    <row r="664" spans="1:38">
      <c r="A664" s="26"/>
      <c r="B664" s="26"/>
      <c r="C664" s="26"/>
      <c r="D664" s="26"/>
      <c r="E664" s="26"/>
      <c r="F664" s="26"/>
      <c r="G664" s="26"/>
      <c r="H664" s="26"/>
      <c r="I664" s="26"/>
      <c r="J664" s="26"/>
      <c r="K664" s="112"/>
      <c r="L664" s="26"/>
      <c r="M664" s="26"/>
      <c r="N664" s="26"/>
      <c r="O664" s="113"/>
      <c r="P664" s="26"/>
      <c r="Q664" s="26"/>
      <c r="R664" s="26"/>
      <c r="S664" s="26"/>
      <c r="T664" s="26"/>
      <c r="U664" s="26"/>
      <c r="V664" s="26"/>
      <c r="W664" s="26"/>
      <c r="X664" s="26"/>
      <c r="Y664" s="26"/>
      <c r="Z664" s="26"/>
      <c r="AA664" s="26"/>
      <c r="AB664" s="26"/>
      <c r="AC664" s="26"/>
      <c r="AD664" s="26"/>
      <c r="AE664" s="115"/>
      <c r="AF664" s="85"/>
      <c r="AG664" s="67"/>
      <c r="AH664" s="67"/>
      <c r="AI664" s="85"/>
      <c r="AJ664" s="85"/>
      <c r="AK664" s="85"/>
      <c r="AL664" s="85"/>
    </row>
    <row r="665" spans="1:38">
      <c r="A665" s="26"/>
      <c r="B665" s="26"/>
      <c r="C665" s="26"/>
      <c r="D665" s="26"/>
      <c r="E665" s="26"/>
      <c r="F665" s="26"/>
      <c r="G665" s="26"/>
      <c r="H665" s="26"/>
      <c r="I665" s="26"/>
      <c r="J665" s="26"/>
      <c r="K665" s="112"/>
      <c r="L665" s="26"/>
      <c r="M665" s="26"/>
      <c r="N665" s="26"/>
      <c r="O665" s="113"/>
      <c r="P665" s="26"/>
      <c r="Q665" s="26"/>
      <c r="R665" s="26"/>
      <c r="S665" s="26"/>
      <c r="T665" s="26"/>
      <c r="U665" s="26"/>
      <c r="V665" s="26"/>
      <c r="W665" s="26"/>
      <c r="X665" s="26"/>
      <c r="Y665" s="26"/>
      <c r="Z665" s="26"/>
      <c r="AA665" s="26"/>
      <c r="AB665" s="26"/>
      <c r="AC665" s="26"/>
      <c r="AD665" s="26"/>
      <c r="AE665" s="115"/>
      <c r="AF665" s="85"/>
      <c r="AG665" s="67"/>
      <c r="AH665" s="67"/>
      <c r="AI665" s="85"/>
      <c r="AJ665" s="85"/>
      <c r="AK665" s="85"/>
      <c r="AL665" s="85"/>
    </row>
    <row r="666" spans="1:38">
      <c r="A666" s="26"/>
      <c r="B666" s="26"/>
      <c r="C666" s="26"/>
      <c r="D666" s="26"/>
      <c r="E666" s="26"/>
      <c r="F666" s="26"/>
      <c r="G666" s="26"/>
      <c r="H666" s="26"/>
      <c r="I666" s="26"/>
      <c r="J666" s="26"/>
      <c r="K666" s="112"/>
      <c r="L666" s="26"/>
      <c r="M666" s="26"/>
      <c r="N666" s="26"/>
      <c r="O666" s="113"/>
      <c r="P666" s="26"/>
      <c r="Q666" s="26"/>
      <c r="R666" s="26"/>
      <c r="S666" s="26"/>
      <c r="T666" s="26"/>
      <c r="U666" s="26"/>
      <c r="V666" s="26"/>
      <c r="W666" s="26"/>
      <c r="X666" s="26"/>
      <c r="Y666" s="26"/>
      <c r="Z666" s="26"/>
      <c r="AA666" s="26"/>
      <c r="AB666" s="26"/>
      <c r="AC666" s="26"/>
      <c r="AD666" s="26"/>
      <c r="AE666" s="115"/>
      <c r="AF666" s="85"/>
      <c r="AG666" s="67"/>
      <c r="AH666" s="67"/>
      <c r="AI666" s="85"/>
      <c r="AJ666" s="85"/>
      <c r="AK666" s="85"/>
      <c r="AL666" s="85"/>
    </row>
    <row r="667" spans="1:38">
      <c r="A667" s="26"/>
      <c r="B667" s="26"/>
      <c r="C667" s="26"/>
      <c r="D667" s="26"/>
      <c r="E667" s="26"/>
      <c r="F667" s="26"/>
      <c r="G667" s="26"/>
      <c r="H667" s="26"/>
      <c r="I667" s="26"/>
      <c r="J667" s="26"/>
      <c r="K667" s="112"/>
      <c r="L667" s="26"/>
      <c r="M667" s="26"/>
      <c r="N667" s="26"/>
      <c r="O667" s="113"/>
      <c r="P667" s="26"/>
      <c r="Q667" s="26"/>
      <c r="R667" s="26"/>
      <c r="S667" s="26"/>
      <c r="T667" s="26"/>
      <c r="U667" s="26"/>
      <c r="V667" s="26"/>
      <c r="W667" s="26"/>
      <c r="X667" s="26"/>
      <c r="Y667" s="26"/>
      <c r="Z667" s="26"/>
      <c r="AA667" s="26"/>
      <c r="AB667" s="26"/>
      <c r="AC667" s="26"/>
      <c r="AD667" s="26"/>
      <c r="AE667" s="115"/>
      <c r="AF667" s="85"/>
      <c r="AG667" s="67"/>
      <c r="AH667" s="67"/>
      <c r="AI667" s="85"/>
      <c r="AJ667" s="85"/>
      <c r="AK667" s="85"/>
      <c r="AL667" s="85"/>
    </row>
    <row r="668" spans="1:38">
      <c r="A668" s="26"/>
      <c r="B668" s="26"/>
      <c r="C668" s="26"/>
      <c r="D668" s="26"/>
      <c r="E668" s="26"/>
      <c r="F668" s="26"/>
      <c r="G668" s="26"/>
      <c r="H668" s="26"/>
      <c r="I668" s="26"/>
      <c r="J668" s="26"/>
      <c r="K668" s="112"/>
      <c r="L668" s="26"/>
      <c r="M668" s="26"/>
      <c r="N668" s="26"/>
      <c r="O668" s="113"/>
      <c r="P668" s="26"/>
      <c r="Q668" s="26"/>
      <c r="R668" s="26"/>
      <c r="S668" s="26"/>
      <c r="T668" s="26"/>
      <c r="U668" s="26"/>
      <c r="V668" s="26"/>
      <c r="W668" s="26"/>
      <c r="X668" s="26"/>
      <c r="Y668" s="26"/>
      <c r="Z668" s="26"/>
      <c r="AA668" s="26"/>
      <c r="AB668" s="26"/>
      <c r="AC668" s="26"/>
      <c r="AD668" s="26"/>
      <c r="AE668" s="115"/>
      <c r="AF668" s="85"/>
      <c r="AG668" s="67"/>
      <c r="AH668" s="67"/>
      <c r="AI668" s="85"/>
      <c r="AJ668" s="85"/>
      <c r="AK668" s="85"/>
      <c r="AL668" s="85"/>
    </row>
    <row r="669" spans="1:38">
      <c r="A669" s="26"/>
      <c r="B669" s="26"/>
      <c r="C669" s="26"/>
      <c r="D669" s="26"/>
      <c r="E669" s="26"/>
      <c r="F669" s="26"/>
      <c r="G669" s="26"/>
      <c r="H669" s="26"/>
      <c r="I669" s="26"/>
      <c r="J669" s="26"/>
      <c r="K669" s="112"/>
      <c r="L669" s="26"/>
      <c r="M669" s="26"/>
      <c r="N669" s="26"/>
      <c r="O669" s="113"/>
      <c r="P669" s="26"/>
      <c r="Q669" s="26"/>
      <c r="R669" s="26"/>
      <c r="S669" s="26"/>
      <c r="T669" s="26"/>
      <c r="U669" s="26"/>
      <c r="V669" s="26"/>
      <c r="W669" s="26"/>
      <c r="X669" s="26"/>
      <c r="Y669" s="26"/>
      <c r="Z669" s="26"/>
      <c r="AA669" s="26"/>
      <c r="AB669" s="26"/>
      <c r="AC669" s="26"/>
      <c r="AD669" s="26"/>
      <c r="AE669" s="115"/>
      <c r="AF669" s="85"/>
      <c r="AG669" s="67"/>
      <c r="AH669" s="67"/>
      <c r="AI669" s="85"/>
      <c r="AJ669" s="85"/>
      <c r="AK669" s="85"/>
      <c r="AL669" s="85"/>
    </row>
    <row r="670" spans="1:38">
      <c r="A670" s="26"/>
      <c r="B670" s="26"/>
      <c r="C670" s="26"/>
      <c r="D670" s="26"/>
      <c r="E670" s="26"/>
      <c r="F670" s="26"/>
      <c r="G670" s="26"/>
      <c r="H670" s="26"/>
      <c r="I670" s="26"/>
      <c r="J670" s="26"/>
      <c r="K670" s="112"/>
      <c r="L670" s="26"/>
      <c r="M670" s="26"/>
      <c r="N670" s="26"/>
      <c r="O670" s="113"/>
      <c r="P670" s="26"/>
      <c r="Q670" s="26"/>
      <c r="R670" s="26"/>
      <c r="S670" s="26"/>
      <c r="T670" s="26"/>
      <c r="U670" s="26"/>
      <c r="V670" s="26"/>
      <c r="W670" s="26"/>
      <c r="X670" s="26"/>
      <c r="Y670" s="26"/>
      <c r="Z670" s="26"/>
      <c r="AA670" s="26"/>
      <c r="AB670" s="26"/>
      <c r="AC670" s="26"/>
      <c r="AD670" s="26"/>
      <c r="AE670" s="115"/>
      <c r="AF670" s="85"/>
      <c r="AG670" s="67"/>
      <c r="AH670" s="67"/>
      <c r="AI670" s="85"/>
      <c r="AJ670" s="85"/>
      <c r="AK670" s="85"/>
      <c r="AL670" s="85"/>
    </row>
    <row r="671" spans="1:38">
      <c r="A671" s="26"/>
      <c r="B671" s="26"/>
      <c r="C671" s="26"/>
      <c r="D671" s="26"/>
      <c r="E671" s="26"/>
      <c r="F671" s="26"/>
      <c r="G671" s="26"/>
      <c r="H671" s="26"/>
      <c r="I671" s="26"/>
      <c r="J671" s="26"/>
      <c r="K671" s="112"/>
      <c r="L671" s="26"/>
      <c r="M671" s="26"/>
      <c r="N671" s="26"/>
      <c r="O671" s="113"/>
      <c r="P671" s="26"/>
      <c r="Q671" s="26"/>
      <c r="R671" s="26"/>
      <c r="S671" s="26"/>
      <c r="T671" s="26"/>
      <c r="U671" s="26"/>
      <c r="V671" s="26"/>
      <c r="W671" s="26"/>
      <c r="X671" s="26"/>
      <c r="Y671" s="26"/>
      <c r="Z671" s="26"/>
      <c r="AA671" s="26"/>
      <c r="AB671" s="26"/>
      <c r="AC671" s="26"/>
      <c r="AD671" s="26"/>
      <c r="AE671" s="115"/>
      <c r="AF671" s="85"/>
      <c r="AG671" s="67"/>
      <c r="AH671" s="67"/>
      <c r="AI671" s="85"/>
      <c r="AJ671" s="85"/>
      <c r="AK671" s="85"/>
      <c r="AL671" s="85"/>
    </row>
    <row r="672" spans="1:38">
      <c r="A672" s="26"/>
      <c r="B672" s="26"/>
      <c r="C672" s="26"/>
      <c r="D672" s="26"/>
      <c r="E672" s="26"/>
      <c r="F672" s="26"/>
      <c r="G672" s="26"/>
      <c r="H672" s="26"/>
      <c r="I672" s="26"/>
      <c r="J672" s="26"/>
      <c r="K672" s="112"/>
      <c r="L672" s="26"/>
      <c r="M672" s="26"/>
      <c r="N672" s="26"/>
      <c r="O672" s="113"/>
      <c r="P672" s="26"/>
      <c r="Q672" s="26"/>
      <c r="R672" s="26"/>
      <c r="S672" s="26"/>
      <c r="T672" s="26"/>
      <c r="U672" s="26"/>
      <c r="V672" s="26"/>
      <c r="W672" s="26"/>
      <c r="X672" s="26"/>
      <c r="Y672" s="26"/>
      <c r="Z672" s="26"/>
      <c r="AA672" s="26"/>
      <c r="AB672" s="26"/>
      <c r="AC672" s="26"/>
      <c r="AD672" s="26"/>
      <c r="AE672" s="115"/>
      <c r="AF672" s="85"/>
      <c r="AG672" s="67"/>
      <c r="AH672" s="67"/>
      <c r="AI672" s="85"/>
      <c r="AJ672" s="85"/>
      <c r="AK672" s="85"/>
      <c r="AL672" s="85"/>
    </row>
    <row r="673" spans="1:38">
      <c r="A673" s="26"/>
      <c r="B673" s="26"/>
      <c r="C673" s="26"/>
      <c r="D673" s="26"/>
      <c r="E673" s="26"/>
      <c r="F673" s="26"/>
      <c r="G673" s="26"/>
      <c r="H673" s="26"/>
      <c r="I673" s="26"/>
      <c r="J673" s="26"/>
      <c r="K673" s="112"/>
      <c r="L673" s="26"/>
      <c r="M673" s="26"/>
      <c r="N673" s="26"/>
      <c r="O673" s="113"/>
      <c r="P673" s="26"/>
      <c r="Q673" s="26"/>
      <c r="R673" s="26"/>
      <c r="S673" s="26"/>
      <c r="T673" s="26"/>
      <c r="U673" s="26"/>
      <c r="V673" s="26"/>
      <c r="W673" s="26"/>
      <c r="X673" s="26"/>
      <c r="Y673" s="26"/>
      <c r="Z673" s="26"/>
      <c r="AA673" s="26"/>
      <c r="AB673" s="26"/>
      <c r="AC673" s="26"/>
      <c r="AD673" s="26"/>
      <c r="AE673" s="115"/>
      <c r="AF673" s="85"/>
      <c r="AG673" s="67"/>
      <c r="AH673" s="67"/>
      <c r="AI673" s="85"/>
      <c r="AJ673" s="85"/>
      <c r="AK673" s="85"/>
      <c r="AL673" s="85"/>
    </row>
    <row r="674" spans="1:38">
      <c r="A674" s="26"/>
      <c r="B674" s="26"/>
      <c r="C674" s="26"/>
      <c r="D674" s="26"/>
      <c r="E674" s="26"/>
      <c r="F674" s="26"/>
      <c r="G674" s="26"/>
      <c r="H674" s="26"/>
      <c r="I674" s="26"/>
      <c r="J674" s="26"/>
      <c r="K674" s="112"/>
      <c r="L674" s="26"/>
      <c r="M674" s="26"/>
      <c r="N674" s="26"/>
      <c r="O674" s="113"/>
      <c r="P674" s="26"/>
      <c r="Q674" s="26"/>
      <c r="R674" s="26"/>
      <c r="S674" s="26"/>
      <c r="T674" s="26"/>
      <c r="U674" s="26"/>
      <c r="V674" s="26"/>
      <c r="W674" s="26"/>
      <c r="X674" s="26"/>
      <c r="Y674" s="26"/>
      <c r="Z674" s="26"/>
      <c r="AA674" s="26"/>
      <c r="AB674" s="26"/>
      <c r="AC674" s="26"/>
      <c r="AD674" s="26"/>
      <c r="AE674" s="115"/>
      <c r="AF674" s="85"/>
      <c r="AG674" s="67"/>
      <c r="AH674" s="67"/>
      <c r="AI674" s="85"/>
      <c r="AJ674" s="85"/>
      <c r="AK674" s="85"/>
      <c r="AL674" s="85"/>
    </row>
    <row r="675" spans="1:38">
      <c r="A675" s="26"/>
      <c r="B675" s="26"/>
      <c r="C675" s="26"/>
      <c r="D675" s="26"/>
      <c r="E675" s="26"/>
      <c r="F675" s="26"/>
      <c r="G675" s="26"/>
      <c r="H675" s="26"/>
      <c r="I675" s="26"/>
      <c r="J675" s="26"/>
      <c r="K675" s="112"/>
      <c r="L675" s="26"/>
      <c r="M675" s="26"/>
      <c r="N675" s="26"/>
      <c r="O675" s="113"/>
      <c r="P675" s="26"/>
      <c r="Q675" s="26"/>
      <c r="R675" s="26"/>
      <c r="S675" s="26"/>
      <c r="T675" s="26"/>
      <c r="U675" s="26"/>
      <c r="V675" s="26"/>
      <c r="W675" s="26"/>
      <c r="X675" s="26"/>
      <c r="Y675" s="26"/>
      <c r="Z675" s="26"/>
      <c r="AA675" s="26"/>
      <c r="AB675" s="26"/>
      <c r="AC675" s="26"/>
      <c r="AD675" s="26"/>
      <c r="AE675" s="115"/>
      <c r="AF675" s="85"/>
      <c r="AG675" s="67"/>
      <c r="AH675" s="67"/>
      <c r="AI675" s="85"/>
      <c r="AJ675" s="85"/>
      <c r="AK675" s="85"/>
      <c r="AL675" s="85"/>
    </row>
    <row r="676" spans="1:38">
      <c r="A676" s="26"/>
      <c r="B676" s="26"/>
      <c r="C676" s="26"/>
      <c r="D676" s="26"/>
      <c r="E676" s="26"/>
      <c r="F676" s="26"/>
      <c r="G676" s="26"/>
      <c r="H676" s="26"/>
      <c r="I676" s="26"/>
      <c r="J676" s="26"/>
      <c r="K676" s="112"/>
      <c r="L676" s="26"/>
      <c r="M676" s="26"/>
      <c r="N676" s="26"/>
      <c r="O676" s="113"/>
      <c r="P676" s="26"/>
      <c r="Q676" s="26"/>
      <c r="R676" s="26"/>
      <c r="S676" s="26"/>
      <c r="T676" s="26"/>
      <c r="U676" s="26"/>
      <c r="V676" s="26"/>
      <c r="W676" s="26"/>
      <c r="X676" s="26"/>
      <c r="Y676" s="26"/>
      <c r="Z676" s="26"/>
      <c r="AA676" s="26"/>
      <c r="AB676" s="26"/>
      <c r="AC676" s="26"/>
      <c r="AD676" s="26"/>
      <c r="AE676" s="115"/>
      <c r="AF676" s="85"/>
      <c r="AG676" s="67"/>
      <c r="AH676" s="67"/>
      <c r="AI676" s="85"/>
      <c r="AJ676" s="85"/>
      <c r="AK676" s="85"/>
      <c r="AL676" s="85"/>
    </row>
    <row r="677" spans="1:38">
      <c r="A677" s="26"/>
      <c r="B677" s="26"/>
      <c r="C677" s="26"/>
      <c r="D677" s="26"/>
      <c r="E677" s="26"/>
      <c r="F677" s="26"/>
      <c r="G677" s="26"/>
      <c r="H677" s="26"/>
      <c r="I677" s="26"/>
      <c r="J677" s="26"/>
      <c r="K677" s="112"/>
      <c r="L677" s="26"/>
      <c r="M677" s="26"/>
      <c r="N677" s="26"/>
      <c r="O677" s="113"/>
      <c r="P677" s="26"/>
      <c r="Q677" s="26"/>
      <c r="R677" s="26"/>
      <c r="S677" s="26"/>
      <c r="T677" s="26"/>
      <c r="U677" s="26"/>
      <c r="V677" s="26"/>
      <c r="W677" s="26"/>
      <c r="X677" s="26"/>
      <c r="Y677" s="26"/>
      <c r="Z677" s="26"/>
      <c r="AA677" s="26"/>
      <c r="AB677" s="26"/>
      <c r="AC677" s="26"/>
      <c r="AD677" s="26"/>
      <c r="AE677" s="115"/>
      <c r="AF677" s="85"/>
      <c r="AG677" s="67"/>
      <c r="AH677" s="67"/>
      <c r="AI677" s="85"/>
      <c r="AJ677" s="85"/>
      <c r="AK677" s="85"/>
      <c r="AL677" s="85"/>
    </row>
    <row r="678" spans="1:38">
      <c r="A678" s="26"/>
      <c r="B678" s="26"/>
      <c r="C678" s="26"/>
      <c r="D678" s="26"/>
      <c r="E678" s="26"/>
      <c r="F678" s="26"/>
      <c r="G678" s="26"/>
      <c r="H678" s="26"/>
      <c r="I678" s="26"/>
      <c r="J678" s="26"/>
      <c r="K678" s="112"/>
      <c r="L678" s="26"/>
      <c r="M678" s="26"/>
      <c r="N678" s="26"/>
      <c r="O678" s="113"/>
      <c r="P678" s="26"/>
      <c r="Q678" s="26"/>
      <c r="R678" s="26"/>
      <c r="S678" s="26"/>
      <c r="T678" s="26"/>
      <c r="U678" s="26"/>
      <c r="V678" s="26"/>
      <c r="W678" s="26"/>
      <c r="X678" s="26"/>
      <c r="Y678" s="26"/>
      <c r="Z678" s="26"/>
      <c r="AA678" s="26"/>
      <c r="AB678" s="26"/>
      <c r="AC678" s="26"/>
      <c r="AD678" s="26"/>
      <c r="AE678" s="115"/>
      <c r="AF678" s="85"/>
      <c r="AG678" s="67"/>
      <c r="AH678" s="67"/>
      <c r="AI678" s="85"/>
      <c r="AJ678" s="85"/>
      <c r="AK678" s="85"/>
      <c r="AL678" s="85"/>
    </row>
    <row r="679" spans="1:38">
      <c r="A679" s="26"/>
      <c r="B679" s="26"/>
      <c r="C679" s="26"/>
      <c r="D679" s="26"/>
      <c r="E679" s="26"/>
      <c r="F679" s="26"/>
      <c r="G679" s="26"/>
      <c r="H679" s="26"/>
      <c r="I679" s="26"/>
      <c r="J679" s="26"/>
      <c r="K679" s="112"/>
      <c r="L679" s="26"/>
      <c r="M679" s="26"/>
      <c r="N679" s="26"/>
      <c r="O679" s="113"/>
      <c r="P679" s="26"/>
      <c r="Q679" s="26"/>
      <c r="R679" s="26"/>
      <c r="S679" s="26"/>
      <c r="T679" s="26"/>
      <c r="U679" s="26"/>
      <c r="V679" s="26"/>
      <c r="W679" s="26"/>
      <c r="X679" s="26"/>
      <c r="Y679" s="26"/>
      <c r="Z679" s="26"/>
      <c r="AA679" s="26"/>
      <c r="AB679" s="26"/>
      <c r="AC679" s="26"/>
      <c r="AD679" s="26"/>
      <c r="AE679" s="115"/>
      <c r="AF679" s="85"/>
      <c r="AG679" s="67"/>
      <c r="AH679" s="67"/>
      <c r="AI679" s="85"/>
      <c r="AJ679" s="85"/>
      <c r="AK679" s="85"/>
      <c r="AL679" s="85"/>
    </row>
    <row r="680" spans="1:38">
      <c r="A680" s="26"/>
      <c r="B680" s="26"/>
      <c r="C680" s="26"/>
      <c r="D680" s="26"/>
      <c r="E680" s="26"/>
      <c r="F680" s="26"/>
      <c r="G680" s="26"/>
      <c r="H680" s="26"/>
      <c r="I680" s="26"/>
      <c r="J680" s="26"/>
      <c r="K680" s="112"/>
      <c r="L680" s="26"/>
      <c r="M680" s="26"/>
      <c r="N680" s="26"/>
      <c r="O680" s="113"/>
      <c r="P680" s="26"/>
      <c r="Q680" s="26"/>
      <c r="R680" s="26"/>
      <c r="S680" s="26"/>
      <c r="T680" s="26"/>
      <c r="U680" s="26"/>
      <c r="V680" s="26"/>
      <c r="W680" s="26"/>
      <c r="X680" s="26"/>
      <c r="Y680" s="26"/>
      <c r="Z680" s="26"/>
      <c r="AA680" s="26"/>
      <c r="AB680" s="26"/>
      <c r="AC680" s="26"/>
      <c r="AD680" s="26"/>
      <c r="AE680" s="115"/>
      <c r="AF680" s="85"/>
      <c r="AG680" s="67"/>
      <c r="AH680" s="67"/>
      <c r="AI680" s="85"/>
      <c r="AJ680" s="85"/>
      <c r="AK680" s="85"/>
      <c r="AL680" s="85"/>
    </row>
    <row r="681" spans="1:38">
      <c r="A681" s="26"/>
      <c r="B681" s="26"/>
      <c r="C681" s="26"/>
      <c r="D681" s="26"/>
      <c r="E681" s="26"/>
      <c r="F681" s="26"/>
      <c r="G681" s="26"/>
      <c r="H681" s="26"/>
      <c r="I681" s="26"/>
      <c r="J681" s="26"/>
      <c r="K681" s="112"/>
      <c r="L681" s="26"/>
      <c r="M681" s="26"/>
      <c r="N681" s="26"/>
      <c r="O681" s="113"/>
      <c r="P681" s="26"/>
      <c r="Q681" s="26"/>
      <c r="R681" s="26"/>
      <c r="S681" s="26"/>
      <c r="T681" s="26"/>
      <c r="U681" s="26"/>
      <c r="V681" s="26"/>
      <c r="W681" s="26"/>
      <c r="X681" s="26"/>
      <c r="Y681" s="26"/>
      <c r="Z681" s="26"/>
      <c r="AA681" s="26"/>
      <c r="AB681" s="26"/>
      <c r="AC681" s="26"/>
      <c r="AD681" s="26"/>
      <c r="AE681" s="115"/>
      <c r="AF681" s="85"/>
      <c r="AG681" s="67"/>
      <c r="AH681" s="67"/>
      <c r="AI681" s="85"/>
      <c r="AJ681" s="85"/>
      <c r="AK681" s="85"/>
      <c r="AL681" s="85"/>
    </row>
    <row r="682" spans="1:38">
      <c r="A682" s="26"/>
      <c r="B682" s="26"/>
      <c r="C682" s="26"/>
      <c r="D682" s="26"/>
      <c r="E682" s="26"/>
      <c r="F682" s="26"/>
      <c r="G682" s="26"/>
      <c r="H682" s="26"/>
      <c r="I682" s="26"/>
      <c r="J682" s="26"/>
      <c r="K682" s="112"/>
      <c r="L682" s="26"/>
      <c r="M682" s="26"/>
      <c r="N682" s="26"/>
      <c r="O682" s="113"/>
      <c r="P682" s="26"/>
      <c r="Q682" s="26"/>
      <c r="R682" s="26"/>
      <c r="S682" s="26"/>
      <c r="T682" s="26"/>
      <c r="U682" s="26"/>
      <c r="V682" s="26"/>
      <c r="W682" s="26"/>
      <c r="X682" s="26"/>
      <c r="Y682" s="26"/>
      <c r="Z682" s="26"/>
      <c r="AA682" s="26"/>
      <c r="AB682" s="26"/>
      <c r="AC682" s="26"/>
      <c r="AD682" s="26"/>
      <c r="AE682" s="115"/>
      <c r="AF682" s="85"/>
      <c r="AG682" s="67"/>
      <c r="AH682" s="67"/>
      <c r="AI682" s="85"/>
      <c r="AJ682" s="85"/>
      <c r="AK682" s="85"/>
      <c r="AL682" s="85"/>
    </row>
    <row r="683" spans="1:38">
      <c r="A683" s="26"/>
      <c r="B683" s="26"/>
      <c r="C683" s="26"/>
      <c r="D683" s="26"/>
      <c r="E683" s="26"/>
      <c r="F683" s="26"/>
      <c r="G683" s="26"/>
      <c r="H683" s="26"/>
      <c r="I683" s="26"/>
      <c r="J683" s="26"/>
      <c r="K683" s="112"/>
      <c r="L683" s="26"/>
      <c r="M683" s="26"/>
      <c r="N683" s="26"/>
      <c r="O683" s="113"/>
      <c r="P683" s="26"/>
      <c r="Q683" s="26"/>
      <c r="R683" s="26"/>
      <c r="S683" s="26"/>
      <c r="T683" s="26"/>
      <c r="U683" s="26"/>
      <c r="V683" s="26"/>
      <c r="W683" s="26"/>
      <c r="X683" s="26"/>
      <c r="Y683" s="26"/>
      <c r="Z683" s="26"/>
      <c r="AA683" s="26"/>
      <c r="AB683" s="26"/>
      <c r="AC683" s="26"/>
      <c r="AD683" s="26"/>
      <c r="AE683" s="115"/>
      <c r="AF683" s="85"/>
      <c r="AG683" s="67"/>
      <c r="AH683" s="67"/>
      <c r="AI683" s="85"/>
      <c r="AJ683" s="85"/>
      <c r="AK683" s="85"/>
      <c r="AL683" s="85"/>
    </row>
    <row r="684" spans="1:38">
      <c r="A684" s="26"/>
      <c r="B684" s="26"/>
      <c r="C684" s="26"/>
      <c r="D684" s="26"/>
      <c r="E684" s="26"/>
      <c r="F684" s="26"/>
      <c r="G684" s="26"/>
      <c r="H684" s="26"/>
      <c r="I684" s="26"/>
      <c r="J684" s="26"/>
      <c r="K684" s="112"/>
      <c r="L684" s="26"/>
      <c r="M684" s="26"/>
      <c r="N684" s="26"/>
      <c r="O684" s="113"/>
      <c r="P684" s="26"/>
      <c r="Q684" s="26"/>
      <c r="R684" s="26"/>
      <c r="S684" s="26"/>
      <c r="T684" s="26"/>
      <c r="U684" s="26"/>
      <c r="V684" s="26"/>
      <c r="W684" s="26"/>
      <c r="X684" s="26"/>
      <c r="Y684" s="26"/>
      <c r="Z684" s="26"/>
      <c r="AA684" s="26"/>
      <c r="AB684" s="26"/>
      <c r="AC684" s="26"/>
      <c r="AD684" s="26"/>
      <c r="AE684" s="115"/>
      <c r="AF684" s="85"/>
      <c r="AG684" s="67"/>
      <c r="AH684" s="67"/>
      <c r="AI684" s="85"/>
      <c r="AJ684" s="85"/>
      <c r="AK684" s="85"/>
      <c r="AL684" s="85"/>
    </row>
    <row r="685" spans="1:38">
      <c r="A685" s="26"/>
      <c r="B685" s="26"/>
      <c r="C685" s="26"/>
      <c r="D685" s="26"/>
      <c r="E685" s="26"/>
      <c r="F685" s="26"/>
      <c r="G685" s="26"/>
      <c r="H685" s="26"/>
      <c r="I685" s="26"/>
      <c r="J685" s="26"/>
      <c r="K685" s="112"/>
      <c r="L685" s="26"/>
      <c r="M685" s="26"/>
      <c r="N685" s="26"/>
      <c r="O685" s="113"/>
      <c r="P685" s="26"/>
      <c r="Q685" s="26"/>
      <c r="R685" s="26"/>
      <c r="S685" s="26"/>
      <c r="T685" s="26"/>
      <c r="U685" s="26"/>
      <c r="V685" s="26"/>
      <c r="W685" s="26"/>
      <c r="X685" s="26"/>
      <c r="Y685" s="26"/>
      <c r="Z685" s="26"/>
      <c r="AA685" s="26"/>
      <c r="AB685" s="26"/>
      <c r="AC685" s="26"/>
      <c r="AD685" s="26"/>
      <c r="AE685" s="115"/>
      <c r="AF685" s="85"/>
      <c r="AG685" s="67"/>
      <c r="AH685" s="67"/>
      <c r="AI685" s="85"/>
      <c r="AJ685" s="85"/>
      <c r="AK685" s="85"/>
      <c r="AL685" s="85"/>
    </row>
    <row r="686" spans="1:38">
      <c r="A686" s="26"/>
      <c r="B686" s="26"/>
      <c r="C686" s="26"/>
      <c r="D686" s="26"/>
      <c r="E686" s="26"/>
      <c r="F686" s="26"/>
      <c r="G686" s="26"/>
      <c r="H686" s="26"/>
      <c r="I686" s="26"/>
      <c r="J686" s="26"/>
      <c r="K686" s="112"/>
      <c r="L686" s="26"/>
      <c r="M686" s="26"/>
      <c r="N686" s="26"/>
      <c r="O686" s="113"/>
      <c r="P686" s="26"/>
      <c r="Q686" s="26"/>
      <c r="R686" s="26"/>
      <c r="S686" s="26"/>
      <c r="T686" s="26"/>
      <c r="U686" s="26"/>
      <c r="V686" s="26"/>
      <c r="W686" s="26"/>
      <c r="X686" s="26"/>
      <c r="Y686" s="26"/>
      <c r="Z686" s="26"/>
      <c r="AA686" s="26"/>
      <c r="AB686" s="26"/>
      <c r="AC686" s="26"/>
      <c r="AD686" s="26"/>
      <c r="AE686" s="115"/>
      <c r="AF686" s="85"/>
      <c r="AG686" s="67"/>
      <c r="AH686" s="67"/>
      <c r="AI686" s="85"/>
      <c r="AJ686" s="85"/>
      <c r="AK686" s="85"/>
      <c r="AL686" s="85"/>
    </row>
    <row r="687" spans="1:38">
      <c r="A687" s="26"/>
      <c r="B687" s="26"/>
      <c r="C687" s="26"/>
      <c r="D687" s="26"/>
      <c r="E687" s="26"/>
      <c r="F687" s="26"/>
      <c r="G687" s="26"/>
      <c r="H687" s="26"/>
      <c r="I687" s="26"/>
      <c r="J687" s="26"/>
      <c r="K687" s="112"/>
      <c r="L687" s="26"/>
      <c r="M687" s="26"/>
      <c r="N687" s="26"/>
      <c r="O687" s="113"/>
      <c r="P687" s="26"/>
      <c r="Q687" s="26"/>
      <c r="R687" s="26"/>
      <c r="S687" s="26"/>
      <c r="T687" s="26"/>
      <c r="U687" s="26"/>
      <c r="V687" s="26"/>
      <c r="W687" s="26"/>
      <c r="X687" s="26"/>
      <c r="Y687" s="26"/>
      <c r="Z687" s="26"/>
      <c r="AA687" s="26"/>
      <c r="AB687" s="26"/>
      <c r="AC687" s="26"/>
      <c r="AD687" s="26"/>
      <c r="AE687" s="115"/>
      <c r="AF687" s="85"/>
      <c r="AG687" s="67"/>
      <c r="AH687" s="67"/>
      <c r="AI687" s="85"/>
      <c r="AJ687" s="85"/>
      <c r="AK687" s="85"/>
      <c r="AL687" s="85"/>
    </row>
    <row r="688" spans="1:38">
      <c r="A688" s="26"/>
      <c r="B688" s="26"/>
      <c r="C688" s="26"/>
      <c r="D688" s="26"/>
      <c r="E688" s="26"/>
      <c r="F688" s="26"/>
      <c r="G688" s="26"/>
      <c r="H688" s="26"/>
      <c r="I688" s="26"/>
      <c r="J688" s="26"/>
      <c r="K688" s="112"/>
      <c r="L688" s="26"/>
      <c r="M688" s="26"/>
      <c r="N688" s="26"/>
      <c r="O688" s="113"/>
      <c r="P688" s="26"/>
      <c r="Q688" s="26"/>
      <c r="R688" s="26"/>
      <c r="S688" s="26"/>
      <c r="T688" s="26"/>
      <c r="U688" s="26"/>
      <c r="V688" s="26"/>
      <c r="W688" s="26"/>
      <c r="X688" s="26"/>
      <c r="Y688" s="26"/>
      <c r="Z688" s="26"/>
      <c r="AA688" s="26"/>
      <c r="AB688" s="26"/>
      <c r="AC688" s="26"/>
      <c r="AD688" s="26"/>
      <c r="AE688" s="115"/>
      <c r="AF688" s="85"/>
      <c r="AG688" s="67"/>
      <c r="AH688" s="67"/>
      <c r="AI688" s="85"/>
      <c r="AJ688" s="85"/>
      <c r="AK688" s="85"/>
      <c r="AL688" s="85"/>
    </row>
    <row r="689" spans="1:38">
      <c r="A689" s="26"/>
      <c r="B689" s="26"/>
      <c r="C689" s="26"/>
      <c r="D689" s="26"/>
      <c r="E689" s="26"/>
      <c r="F689" s="26"/>
      <c r="G689" s="26"/>
      <c r="H689" s="26"/>
      <c r="I689" s="26"/>
      <c r="J689" s="26"/>
      <c r="K689" s="112"/>
      <c r="L689" s="26"/>
      <c r="M689" s="26"/>
      <c r="N689" s="26"/>
      <c r="O689" s="113"/>
      <c r="P689" s="26"/>
      <c r="Q689" s="26"/>
      <c r="R689" s="26"/>
      <c r="S689" s="26"/>
      <c r="T689" s="26"/>
      <c r="U689" s="26"/>
      <c r="V689" s="26"/>
      <c r="W689" s="26"/>
      <c r="X689" s="26"/>
      <c r="Y689" s="26"/>
      <c r="Z689" s="26"/>
      <c r="AA689" s="26"/>
      <c r="AB689" s="26"/>
      <c r="AC689" s="26"/>
      <c r="AD689" s="26"/>
      <c r="AE689" s="115"/>
      <c r="AF689" s="85"/>
      <c r="AG689" s="67"/>
      <c r="AH689" s="67"/>
      <c r="AI689" s="85"/>
      <c r="AJ689" s="85"/>
      <c r="AK689" s="85"/>
      <c r="AL689" s="85"/>
    </row>
    <row r="690" spans="1:38">
      <c r="A690" s="26"/>
      <c r="B690" s="26"/>
      <c r="C690" s="26"/>
      <c r="D690" s="26"/>
      <c r="E690" s="26"/>
      <c r="F690" s="26"/>
      <c r="G690" s="26"/>
      <c r="H690" s="26"/>
      <c r="I690" s="26"/>
      <c r="J690" s="26"/>
      <c r="K690" s="112"/>
      <c r="L690" s="26"/>
      <c r="M690" s="26"/>
      <c r="N690" s="26"/>
      <c r="O690" s="113"/>
      <c r="P690" s="26"/>
      <c r="Q690" s="26"/>
      <c r="R690" s="26"/>
      <c r="S690" s="26"/>
      <c r="T690" s="26"/>
      <c r="U690" s="26"/>
      <c r="V690" s="26"/>
      <c r="W690" s="26"/>
      <c r="X690" s="26"/>
      <c r="Y690" s="26"/>
      <c r="Z690" s="26"/>
      <c r="AA690" s="26"/>
      <c r="AB690" s="26"/>
      <c r="AC690" s="26"/>
      <c r="AD690" s="26"/>
      <c r="AE690" s="115"/>
      <c r="AF690" s="85"/>
      <c r="AG690" s="67"/>
      <c r="AH690" s="67"/>
      <c r="AI690" s="85"/>
      <c r="AJ690" s="85"/>
      <c r="AK690" s="85"/>
      <c r="AL690" s="85"/>
    </row>
    <row r="691" spans="1:38">
      <c r="A691" s="26"/>
      <c r="B691" s="26"/>
      <c r="C691" s="26"/>
      <c r="D691" s="26"/>
      <c r="E691" s="26"/>
      <c r="F691" s="26"/>
      <c r="G691" s="26"/>
      <c r="H691" s="26"/>
      <c r="I691" s="26"/>
      <c r="J691" s="26"/>
      <c r="K691" s="112"/>
      <c r="L691" s="26"/>
      <c r="M691" s="26"/>
      <c r="N691" s="26"/>
      <c r="O691" s="113"/>
      <c r="P691" s="26"/>
      <c r="Q691" s="26"/>
      <c r="R691" s="26"/>
      <c r="S691" s="26"/>
      <c r="T691" s="26"/>
      <c r="U691" s="26"/>
      <c r="V691" s="26"/>
      <c r="W691" s="26"/>
      <c r="X691" s="26"/>
      <c r="Y691" s="26"/>
      <c r="Z691" s="26"/>
      <c r="AA691" s="26"/>
      <c r="AB691" s="26"/>
      <c r="AC691" s="26"/>
      <c r="AD691" s="26"/>
      <c r="AE691" s="115"/>
      <c r="AF691" s="85"/>
      <c r="AG691" s="67"/>
      <c r="AH691" s="67"/>
      <c r="AI691" s="85"/>
      <c r="AJ691" s="85"/>
      <c r="AK691" s="85"/>
      <c r="AL691" s="85"/>
    </row>
    <row r="692" spans="1:38">
      <c r="A692" s="26"/>
      <c r="B692" s="26"/>
      <c r="C692" s="26"/>
      <c r="D692" s="26"/>
      <c r="E692" s="26"/>
      <c r="F692" s="26"/>
      <c r="G692" s="26"/>
      <c r="H692" s="26"/>
      <c r="I692" s="26"/>
      <c r="J692" s="26"/>
      <c r="K692" s="112"/>
      <c r="L692" s="26"/>
      <c r="M692" s="26"/>
      <c r="N692" s="26"/>
      <c r="O692" s="113"/>
      <c r="P692" s="26"/>
      <c r="Q692" s="26"/>
      <c r="R692" s="26"/>
      <c r="S692" s="26"/>
      <c r="T692" s="26"/>
      <c r="U692" s="26"/>
      <c r="V692" s="26"/>
      <c r="W692" s="26"/>
      <c r="X692" s="26"/>
      <c r="Y692" s="26"/>
      <c r="Z692" s="26"/>
      <c r="AA692" s="26"/>
      <c r="AB692" s="26"/>
      <c r="AC692" s="26"/>
      <c r="AD692" s="26"/>
      <c r="AE692" s="115"/>
      <c r="AF692" s="85"/>
      <c r="AG692" s="67"/>
      <c r="AH692" s="67"/>
      <c r="AI692" s="85"/>
      <c r="AJ692" s="85"/>
      <c r="AK692" s="85"/>
      <c r="AL692" s="85"/>
    </row>
    <row r="693" spans="1:38">
      <c r="A693" s="26"/>
      <c r="B693" s="26"/>
      <c r="C693" s="26"/>
      <c r="D693" s="26"/>
      <c r="E693" s="26"/>
      <c r="F693" s="26"/>
      <c r="G693" s="26"/>
      <c r="H693" s="26"/>
      <c r="I693" s="26"/>
      <c r="J693" s="26"/>
      <c r="K693" s="112"/>
      <c r="L693" s="26"/>
      <c r="M693" s="26"/>
      <c r="N693" s="26"/>
      <c r="O693" s="113"/>
      <c r="P693" s="26"/>
      <c r="Q693" s="26"/>
      <c r="R693" s="26"/>
      <c r="S693" s="26"/>
      <c r="T693" s="26"/>
      <c r="U693" s="26"/>
      <c r="V693" s="26"/>
      <c r="W693" s="26"/>
      <c r="X693" s="26"/>
      <c r="Y693" s="26"/>
      <c r="Z693" s="26"/>
      <c r="AA693" s="26"/>
      <c r="AB693" s="26"/>
      <c r="AC693" s="26"/>
      <c r="AD693" s="26"/>
      <c r="AE693" s="115"/>
      <c r="AF693" s="85"/>
      <c r="AG693" s="67"/>
      <c r="AH693" s="67"/>
      <c r="AI693" s="85"/>
      <c r="AJ693" s="85"/>
      <c r="AK693" s="85"/>
      <c r="AL693" s="85"/>
    </row>
    <row r="694" spans="1:38">
      <c r="A694" s="26"/>
      <c r="B694" s="26"/>
      <c r="C694" s="26"/>
      <c r="D694" s="26"/>
      <c r="E694" s="26"/>
      <c r="F694" s="26"/>
      <c r="G694" s="26"/>
      <c r="H694" s="26"/>
      <c r="I694" s="26"/>
      <c r="J694" s="26"/>
      <c r="K694" s="112"/>
      <c r="L694" s="26"/>
      <c r="M694" s="26"/>
      <c r="N694" s="26"/>
      <c r="O694" s="113"/>
      <c r="P694" s="26"/>
      <c r="Q694" s="26"/>
      <c r="R694" s="26"/>
      <c r="S694" s="26"/>
      <c r="T694" s="26"/>
      <c r="U694" s="26"/>
      <c r="V694" s="26"/>
      <c r="W694" s="26"/>
      <c r="X694" s="26"/>
      <c r="Y694" s="26"/>
      <c r="Z694" s="26"/>
      <c r="AA694" s="26"/>
      <c r="AB694" s="26"/>
      <c r="AC694" s="26"/>
      <c r="AD694" s="26"/>
      <c r="AE694" s="115"/>
      <c r="AF694" s="85"/>
      <c r="AG694" s="67"/>
      <c r="AH694" s="67"/>
      <c r="AI694" s="85"/>
      <c r="AJ694" s="85"/>
      <c r="AK694" s="85"/>
      <c r="AL694" s="85"/>
    </row>
    <row r="695" spans="1:38">
      <c r="A695" s="26"/>
      <c r="B695" s="26"/>
      <c r="C695" s="26"/>
      <c r="D695" s="26"/>
      <c r="E695" s="26"/>
      <c r="F695" s="26"/>
      <c r="G695" s="26"/>
      <c r="H695" s="26"/>
      <c r="I695" s="26"/>
      <c r="J695" s="26"/>
      <c r="K695" s="112"/>
      <c r="L695" s="26"/>
      <c r="M695" s="26"/>
      <c r="N695" s="26"/>
      <c r="O695" s="113"/>
      <c r="P695" s="26"/>
      <c r="Q695" s="26"/>
      <c r="R695" s="26"/>
      <c r="S695" s="26"/>
      <c r="T695" s="26"/>
      <c r="U695" s="26"/>
      <c r="V695" s="26"/>
      <c r="W695" s="26"/>
      <c r="X695" s="26"/>
      <c r="Y695" s="26"/>
      <c r="Z695" s="26"/>
      <c r="AA695" s="26"/>
      <c r="AB695" s="26"/>
      <c r="AC695" s="26"/>
      <c r="AD695" s="26"/>
      <c r="AE695" s="115"/>
      <c r="AF695" s="85"/>
      <c r="AG695" s="67"/>
      <c r="AH695" s="67"/>
      <c r="AI695" s="85"/>
      <c r="AJ695" s="85"/>
      <c r="AK695" s="85"/>
      <c r="AL695" s="85"/>
    </row>
    <row r="696" spans="1:38">
      <c r="A696" s="26"/>
      <c r="B696" s="26"/>
      <c r="C696" s="26"/>
      <c r="D696" s="26"/>
      <c r="E696" s="26"/>
      <c r="F696" s="26"/>
      <c r="G696" s="26"/>
      <c r="H696" s="26"/>
      <c r="I696" s="26"/>
      <c r="J696" s="26"/>
      <c r="K696" s="112"/>
      <c r="L696" s="26"/>
      <c r="M696" s="26"/>
      <c r="N696" s="26"/>
      <c r="O696" s="113"/>
      <c r="P696" s="26"/>
      <c r="Q696" s="26"/>
      <c r="R696" s="26"/>
      <c r="S696" s="26"/>
      <c r="T696" s="26"/>
      <c r="U696" s="26"/>
      <c r="V696" s="26"/>
      <c r="W696" s="26"/>
      <c r="X696" s="26"/>
      <c r="Y696" s="26"/>
      <c r="Z696" s="26"/>
      <c r="AA696" s="26"/>
      <c r="AB696" s="26"/>
      <c r="AC696" s="26"/>
      <c r="AD696" s="26"/>
      <c r="AE696" s="115"/>
      <c r="AF696" s="85"/>
      <c r="AG696" s="67"/>
      <c r="AH696" s="67"/>
      <c r="AI696" s="85"/>
      <c r="AJ696" s="85"/>
      <c r="AK696" s="85"/>
      <c r="AL696" s="85"/>
    </row>
    <row r="697" spans="1:38">
      <c r="A697" s="26"/>
      <c r="B697" s="26"/>
      <c r="C697" s="26"/>
      <c r="D697" s="26"/>
      <c r="E697" s="26"/>
      <c r="F697" s="26"/>
      <c r="G697" s="26"/>
      <c r="H697" s="26"/>
      <c r="I697" s="26"/>
      <c r="J697" s="26"/>
      <c r="K697" s="112"/>
      <c r="L697" s="26"/>
      <c r="M697" s="26"/>
      <c r="N697" s="26"/>
      <c r="O697" s="113"/>
      <c r="P697" s="26"/>
      <c r="Q697" s="26"/>
      <c r="R697" s="26"/>
      <c r="S697" s="26"/>
      <c r="T697" s="26"/>
      <c r="U697" s="26"/>
      <c r="V697" s="26"/>
      <c r="W697" s="26"/>
      <c r="X697" s="26"/>
      <c r="Y697" s="26"/>
      <c r="Z697" s="26"/>
      <c r="AA697" s="26"/>
      <c r="AB697" s="26"/>
      <c r="AC697" s="26"/>
      <c r="AD697" s="26"/>
      <c r="AE697" s="115"/>
      <c r="AF697" s="85"/>
      <c r="AG697" s="67"/>
      <c r="AH697" s="67"/>
      <c r="AI697" s="85"/>
      <c r="AJ697" s="85"/>
      <c r="AK697" s="85"/>
      <c r="AL697" s="85"/>
    </row>
    <row r="698" spans="1:38">
      <c r="A698" s="26"/>
      <c r="B698" s="26"/>
      <c r="C698" s="26"/>
      <c r="D698" s="26"/>
      <c r="E698" s="26"/>
      <c r="F698" s="26"/>
      <c r="G698" s="26"/>
      <c r="H698" s="26"/>
      <c r="I698" s="26"/>
      <c r="J698" s="26"/>
      <c r="K698" s="112"/>
      <c r="L698" s="26"/>
      <c r="M698" s="26"/>
      <c r="N698" s="26"/>
      <c r="O698" s="113"/>
      <c r="P698" s="26"/>
      <c r="Q698" s="26"/>
      <c r="R698" s="26"/>
      <c r="S698" s="26"/>
      <c r="T698" s="26"/>
      <c r="U698" s="26"/>
      <c r="V698" s="26"/>
      <c r="W698" s="26"/>
      <c r="X698" s="26"/>
      <c r="Y698" s="26"/>
      <c r="Z698" s="26"/>
      <c r="AA698" s="26"/>
      <c r="AB698" s="26"/>
      <c r="AC698" s="26"/>
      <c r="AD698" s="26"/>
      <c r="AE698" s="115"/>
      <c r="AF698" s="85"/>
      <c r="AG698" s="67"/>
      <c r="AH698" s="67"/>
      <c r="AI698" s="85"/>
      <c r="AJ698" s="85"/>
      <c r="AK698" s="85"/>
      <c r="AL698" s="85"/>
    </row>
    <row r="699" spans="1:38">
      <c r="A699" s="26"/>
      <c r="B699" s="26"/>
      <c r="C699" s="26"/>
      <c r="D699" s="26"/>
      <c r="E699" s="26"/>
      <c r="F699" s="26"/>
      <c r="G699" s="26"/>
      <c r="H699" s="26"/>
      <c r="I699" s="26"/>
      <c r="J699" s="26"/>
      <c r="K699" s="112"/>
      <c r="L699" s="26"/>
      <c r="M699" s="26"/>
      <c r="N699" s="26"/>
      <c r="O699" s="113"/>
      <c r="P699" s="26"/>
      <c r="Q699" s="26"/>
      <c r="R699" s="26"/>
      <c r="S699" s="26"/>
      <c r="T699" s="26"/>
      <c r="U699" s="26"/>
      <c r="V699" s="26"/>
      <c r="W699" s="26"/>
      <c r="X699" s="26"/>
      <c r="Y699" s="26"/>
      <c r="Z699" s="26"/>
      <c r="AA699" s="26"/>
      <c r="AB699" s="26"/>
      <c r="AC699" s="26"/>
      <c r="AD699" s="26"/>
      <c r="AE699" s="115"/>
      <c r="AF699" s="85"/>
      <c r="AG699" s="67"/>
      <c r="AH699" s="67"/>
      <c r="AI699" s="85"/>
      <c r="AJ699" s="85"/>
      <c r="AK699" s="85"/>
      <c r="AL699" s="85"/>
    </row>
    <row r="700" spans="1:38">
      <c r="A700" s="26"/>
      <c r="B700" s="26"/>
      <c r="C700" s="26"/>
      <c r="D700" s="26"/>
      <c r="E700" s="26"/>
      <c r="F700" s="26"/>
      <c r="G700" s="26"/>
      <c r="H700" s="26"/>
      <c r="I700" s="26"/>
      <c r="J700" s="26"/>
      <c r="K700" s="112"/>
      <c r="L700" s="26"/>
      <c r="M700" s="26"/>
      <c r="N700" s="26"/>
      <c r="O700" s="113"/>
      <c r="P700" s="26"/>
      <c r="Q700" s="26"/>
      <c r="R700" s="26"/>
      <c r="S700" s="26"/>
      <c r="T700" s="26"/>
      <c r="U700" s="26"/>
      <c r="V700" s="26"/>
      <c r="W700" s="26"/>
      <c r="X700" s="26"/>
      <c r="Y700" s="26"/>
      <c r="Z700" s="26"/>
      <c r="AA700" s="26"/>
      <c r="AB700" s="26"/>
      <c r="AC700" s="26"/>
      <c r="AD700" s="26"/>
      <c r="AE700" s="115"/>
      <c r="AF700" s="85"/>
      <c r="AG700" s="67"/>
      <c r="AH700" s="67"/>
      <c r="AI700" s="85"/>
      <c r="AJ700" s="85"/>
      <c r="AK700" s="85"/>
      <c r="AL700" s="85"/>
    </row>
    <row r="701" spans="1:38">
      <c r="A701" s="26"/>
      <c r="B701" s="26"/>
      <c r="C701" s="26"/>
      <c r="D701" s="26"/>
      <c r="E701" s="26"/>
      <c r="F701" s="26"/>
      <c r="G701" s="26"/>
      <c r="H701" s="26"/>
      <c r="I701" s="26"/>
      <c r="J701" s="26"/>
      <c r="K701" s="112"/>
      <c r="L701" s="26"/>
      <c r="M701" s="26"/>
      <c r="N701" s="26"/>
      <c r="O701" s="113"/>
      <c r="P701" s="26"/>
      <c r="Q701" s="26"/>
      <c r="R701" s="26"/>
      <c r="S701" s="26"/>
      <c r="T701" s="26"/>
      <c r="U701" s="26"/>
      <c r="V701" s="26"/>
      <c r="W701" s="26"/>
      <c r="X701" s="26"/>
      <c r="Y701" s="26"/>
      <c r="Z701" s="26"/>
      <c r="AA701" s="26"/>
      <c r="AB701" s="26"/>
      <c r="AC701" s="26"/>
      <c r="AD701" s="26"/>
      <c r="AE701" s="115"/>
      <c r="AF701" s="85"/>
      <c r="AG701" s="67"/>
      <c r="AH701" s="67"/>
      <c r="AI701" s="85"/>
      <c r="AJ701" s="85"/>
      <c r="AK701" s="85"/>
      <c r="AL701" s="85"/>
    </row>
    <row r="702" spans="1:38">
      <c r="A702" s="26"/>
      <c r="B702" s="26"/>
      <c r="C702" s="26"/>
      <c r="D702" s="26"/>
      <c r="E702" s="26"/>
      <c r="F702" s="26"/>
      <c r="G702" s="26"/>
      <c r="H702" s="26"/>
      <c r="I702" s="26"/>
      <c r="J702" s="26"/>
      <c r="K702" s="112"/>
      <c r="L702" s="26"/>
      <c r="M702" s="26"/>
      <c r="N702" s="26"/>
      <c r="O702" s="113"/>
      <c r="P702" s="26"/>
      <c r="Q702" s="26"/>
      <c r="R702" s="26"/>
      <c r="S702" s="26"/>
      <c r="T702" s="26"/>
      <c r="U702" s="26"/>
      <c r="V702" s="26"/>
      <c r="W702" s="26"/>
      <c r="X702" s="26"/>
      <c r="Y702" s="26"/>
      <c r="Z702" s="26"/>
      <c r="AA702" s="26"/>
      <c r="AB702" s="26"/>
      <c r="AC702" s="26"/>
      <c r="AD702" s="26"/>
      <c r="AE702" s="115"/>
      <c r="AF702" s="85"/>
      <c r="AG702" s="67"/>
      <c r="AH702" s="67"/>
      <c r="AI702" s="85"/>
      <c r="AJ702" s="85"/>
      <c r="AK702" s="85"/>
      <c r="AL702" s="85"/>
    </row>
    <row r="703" spans="1:38">
      <c r="A703" s="26"/>
      <c r="B703" s="26"/>
      <c r="C703" s="26"/>
      <c r="D703" s="26"/>
      <c r="E703" s="26"/>
      <c r="F703" s="26"/>
      <c r="G703" s="26"/>
      <c r="H703" s="26"/>
      <c r="I703" s="26"/>
      <c r="J703" s="26"/>
      <c r="K703" s="112"/>
      <c r="L703" s="26"/>
      <c r="M703" s="26"/>
      <c r="N703" s="26"/>
      <c r="O703" s="113"/>
      <c r="P703" s="26"/>
      <c r="Q703" s="26"/>
      <c r="R703" s="26"/>
      <c r="S703" s="26"/>
      <c r="T703" s="26"/>
      <c r="U703" s="26"/>
      <c r="V703" s="26"/>
      <c r="W703" s="26"/>
      <c r="X703" s="26"/>
      <c r="Y703" s="26"/>
      <c r="Z703" s="26"/>
      <c r="AA703" s="26"/>
      <c r="AB703" s="26"/>
      <c r="AC703" s="26"/>
      <c r="AD703" s="26"/>
      <c r="AE703" s="115"/>
      <c r="AF703" s="85"/>
      <c r="AG703" s="67"/>
      <c r="AH703" s="67"/>
      <c r="AI703" s="85"/>
      <c r="AJ703" s="85"/>
      <c r="AK703" s="85"/>
      <c r="AL703" s="85"/>
    </row>
    <row r="704" spans="1:38">
      <c r="A704" s="26"/>
      <c r="B704" s="26"/>
      <c r="C704" s="26"/>
      <c r="D704" s="26"/>
      <c r="E704" s="26"/>
      <c r="F704" s="26"/>
      <c r="G704" s="26"/>
      <c r="H704" s="26"/>
      <c r="I704" s="26"/>
      <c r="J704" s="26"/>
      <c r="K704" s="112"/>
      <c r="L704" s="26"/>
      <c r="M704" s="26"/>
      <c r="N704" s="26"/>
      <c r="O704" s="113"/>
      <c r="P704" s="26"/>
      <c r="Q704" s="26"/>
      <c r="R704" s="26"/>
      <c r="S704" s="26"/>
      <c r="T704" s="26"/>
      <c r="U704" s="26"/>
      <c r="V704" s="26"/>
      <c r="W704" s="26"/>
      <c r="X704" s="26"/>
      <c r="Y704" s="26"/>
      <c r="Z704" s="26"/>
      <c r="AA704" s="26"/>
      <c r="AB704" s="26"/>
      <c r="AC704" s="26"/>
      <c r="AD704" s="26"/>
      <c r="AE704" s="115"/>
      <c r="AF704" s="85"/>
      <c r="AG704" s="67"/>
      <c r="AH704" s="67"/>
      <c r="AI704" s="85"/>
      <c r="AJ704" s="85"/>
      <c r="AK704" s="85"/>
      <c r="AL704" s="85"/>
    </row>
    <row r="705" spans="1:38">
      <c r="A705" s="26"/>
      <c r="B705" s="26"/>
      <c r="C705" s="26"/>
      <c r="D705" s="26"/>
      <c r="E705" s="26"/>
      <c r="F705" s="26"/>
      <c r="G705" s="26"/>
      <c r="H705" s="26"/>
      <c r="I705" s="26"/>
      <c r="J705" s="26"/>
      <c r="K705" s="112"/>
      <c r="L705" s="26"/>
      <c r="M705" s="26"/>
      <c r="N705" s="26"/>
      <c r="O705" s="113"/>
      <c r="P705" s="26"/>
      <c r="Q705" s="26"/>
      <c r="R705" s="26"/>
      <c r="S705" s="26"/>
      <c r="T705" s="26"/>
      <c r="U705" s="26"/>
      <c r="V705" s="26"/>
      <c r="W705" s="26"/>
      <c r="X705" s="26"/>
      <c r="Y705" s="26"/>
      <c r="Z705" s="26"/>
      <c r="AA705" s="26"/>
      <c r="AB705" s="26"/>
      <c r="AC705" s="26"/>
      <c r="AD705" s="26"/>
      <c r="AE705" s="115"/>
      <c r="AF705" s="85"/>
      <c r="AG705" s="67"/>
      <c r="AH705" s="67"/>
      <c r="AI705" s="85"/>
      <c r="AJ705" s="85"/>
      <c r="AK705" s="85"/>
      <c r="AL705" s="85"/>
    </row>
    <row r="706" spans="1:38">
      <c r="A706" s="26"/>
      <c r="B706" s="26"/>
      <c r="C706" s="26"/>
      <c r="D706" s="26"/>
      <c r="E706" s="26"/>
      <c r="F706" s="26"/>
      <c r="G706" s="26"/>
      <c r="H706" s="26"/>
      <c r="I706" s="26"/>
      <c r="J706" s="26"/>
      <c r="K706" s="112"/>
      <c r="L706" s="26"/>
      <c r="M706" s="26"/>
      <c r="N706" s="26"/>
      <c r="O706" s="113"/>
      <c r="P706" s="26"/>
      <c r="Q706" s="26"/>
      <c r="R706" s="26"/>
      <c r="S706" s="26"/>
      <c r="T706" s="26"/>
      <c r="U706" s="26"/>
      <c r="V706" s="26"/>
      <c r="W706" s="26"/>
      <c r="X706" s="26"/>
      <c r="Y706" s="26"/>
      <c r="Z706" s="26"/>
      <c r="AA706" s="26"/>
      <c r="AB706" s="26"/>
      <c r="AC706" s="26"/>
      <c r="AD706" s="26"/>
      <c r="AE706" s="115"/>
      <c r="AF706" s="85"/>
      <c r="AG706" s="67"/>
      <c r="AH706" s="67"/>
      <c r="AI706" s="85"/>
      <c r="AJ706" s="85"/>
      <c r="AK706" s="85"/>
      <c r="AL706" s="85"/>
    </row>
    <row r="707" spans="1:38">
      <c r="A707" s="26"/>
      <c r="B707" s="26"/>
      <c r="C707" s="26"/>
      <c r="D707" s="26"/>
      <c r="E707" s="26"/>
      <c r="F707" s="26"/>
      <c r="G707" s="26"/>
      <c r="H707" s="26"/>
      <c r="I707" s="26"/>
      <c r="J707" s="26"/>
      <c r="K707" s="112"/>
      <c r="L707" s="26"/>
      <c r="M707" s="26"/>
      <c r="N707" s="26"/>
      <c r="O707" s="113"/>
      <c r="P707" s="26"/>
      <c r="Q707" s="26"/>
      <c r="R707" s="26"/>
      <c r="S707" s="26"/>
      <c r="T707" s="26"/>
      <c r="U707" s="26"/>
      <c r="V707" s="26"/>
      <c r="W707" s="26"/>
      <c r="X707" s="26"/>
      <c r="Y707" s="26"/>
      <c r="Z707" s="26"/>
      <c r="AA707" s="26"/>
      <c r="AB707" s="26"/>
      <c r="AC707" s="26"/>
      <c r="AD707" s="26"/>
      <c r="AE707" s="115"/>
      <c r="AF707" s="85"/>
      <c r="AG707" s="67"/>
      <c r="AH707" s="67"/>
      <c r="AI707" s="85"/>
      <c r="AJ707" s="85"/>
      <c r="AK707" s="85"/>
      <c r="AL707" s="85"/>
    </row>
    <row r="708" spans="1:38">
      <c r="A708" s="26"/>
      <c r="B708" s="26"/>
      <c r="C708" s="26"/>
      <c r="D708" s="26"/>
      <c r="E708" s="26"/>
      <c r="F708" s="26"/>
      <c r="G708" s="26"/>
      <c r="H708" s="26"/>
      <c r="I708" s="26"/>
      <c r="J708" s="26"/>
      <c r="K708" s="112"/>
      <c r="L708" s="26"/>
      <c r="M708" s="26"/>
      <c r="N708" s="26"/>
      <c r="O708" s="113"/>
      <c r="P708" s="26"/>
      <c r="Q708" s="26"/>
      <c r="R708" s="26"/>
      <c r="S708" s="26"/>
      <c r="T708" s="26"/>
      <c r="U708" s="26"/>
      <c r="V708" s="26"/>
      <c r="W708" s="26"/>
      <c r="X708" s="26"/>
      <c r="Y708" s="26"/>
      <c r="Z708" s="26"/>
      <c r="AA708" s="26"/>
      <c r="AB708" s="26"/>
      <c r="AC708" s="26"/>
      <c r="AD708" s="26"/>
      <c r="AE708" s="115"/>
      <c r="AF708" s="85"/>
      <c r="AG708" s="67"/>
      <c r="AH708" s="67"/>
      <c r="AI708" s="85"/>
      <c r="AJ708" s="85"/>
      <c r="AK708" s="85"/>
      <c r="AL708" s="85"/>
    </row>
    <row r="709" spans="1:38">
      <c r="A709" s="26"/>
      <c r="B709" s="26"/>
      <c r="C709" s="26"/>
      <c r="D709" s="26"/>
      <c r="E709" s="26"/>
      <c r="F709" s="26"/>
      <c r="G709" s="26"/>
      <c r="H709" s="26"/>
      <c r="I709" s="26"/>
      <c r="J709" s="26"/>
      <c r="K709" s="112"/>
      <c r="L709" s="26"/>
      <c r="M709" s="26"/>
      <c r="N709" s="26"/>
      <c r="O709" s="113"/>
      <c r="P709" s="26"/>
      <c r="Q709" s="26"/>
      <c r="R709" s="26"/>
      <c r="S709" s="26"/>
      <c r="T709" s="26"/>
      <c r="U709" s="26"/>
      <c r="V709" s="26"/>
      <c r="W709" s="26"/>
      <c r="X709" s="26"/>
      <c r="Y709" s="26"/>
      <c r="Z709" s="26"/>
      <c r="AA709" s="26"/>
      <c r="AB709" s="26"/>
      <c r="AC709" s="26"/>
      <c r="AD709" s="26"/>
      <c r="AE709" s="115"/>
      <c r="AF709" s="85"/>
      <c r="AG709" s="67"/>
      <c r="AH709" s="67"/>
      <c r="AI709" s="85"/>
      <c r="AJ709" s="85"/>
      <c r="AK709" s="85"/>
      <c r="AL709" s="85"/>
    </row>
    <row r="710" spans="1:38">
      <c r="A710" s="26"/>
      <c r="B710" s="26"/>
      <c r="C710" s="26"/>
      <c r="D710" s="26"/>
      <c r="E710" s="26"/>
      <c r="F710" s="26"/>
      <c r="G710" s="26"/>
      <c r="H710" s="26"/>
      <c r="I710" s="26"/>
      <c r="J710" s="26"/>
      <c r="K710" s="112"/>
      <c r="L710" s="26"/>
      <c r="M710" s="26"/>
      <c r="N710" s="26"/>
      <c r="O710" s="113"/>
      <c r="P710" s="26"/>
      <c r="Q710" s="26"/>
      <c r="R710" s="26"/>
      <c r="S710" s="26"/>
      <c r="T710" s="26"/>
      <c r="U710" s="26"/>
      <c r="V710" s="26"/>
      <c r="W710" s="26"/>
      <c r="X710" s="26"/>
      <c r="Y710" s="26"/>
      <c r="Z710" s="26"/>
      <c r="AA710" s="26"/>
      <c r="AB710" s="26"/>
      <c r="AC710" s="26"/>
      <c r="AD710" s="26"/>
      <c r="AE710" s="115"/>
      <c r="AF710" s="85"/>
      <c r="AG710" s="67"/>
      <c r="AH710" s="67"/>
      <c r="AI710" s="85"/>
      <c r="AJ710" s="85"/>
      <c r="AK710" s="85"/>
      <c r="AL710" s="85"/>
    </row>
    <row r="711" spans="1:38">
      <c r="A711" s="26"/>
      <c r="B711" s="26"/>
      <c r="C711" s="26"/>
      <c r="D711" s="26"/>
      <c r="E711" s="26"/>
      <c r="F711" s="26"/>
      <c r="G711" s="26"/>
      <c r="H711" s="26"/>
      <c r="I711" s="26"/>
      <c r="J711" s="26"/>
      <c r="K711" s="112"/>
      <c r="L711" s="26"/>
      <c r="M711" s="26"/>
      <c r="N711" s="26"/>
      <c r="O711" s="113"/>
      <c r="P711" s="26"/>
      <c r="Q711" s="26"/>
      <c r="R711" s="26"/>
      <c r="S711" s="26"/>
      <c r="T711" s="26"/>
      <c r="U711" s="26"/>
      <c r="V711" s="26"/>
      <c r="W711" s="26"/>
      <c r="X711" s="26"/>
      <c r="Y711" s="26"/>
      <c r="Z711" s="26"/>
      <c r="AA711" s="26"/>
      <c r="AB711" s="26"/>
      <c r="AC711" s="26"/>
      <c r="AD711" s="26"/>
      <c r="AE711" s="115"/>
      <c r="AF711" s="85"/>
      <c r="AG711" s="67"/>
      <c r="AH711" s="67"/>
      <c r="AI711" s="85"/>
      <c r="AJ711" s="85"/>
      <c r="AK711" s="85"/>
      <c r="AL711" s="85"/>
    </row>
    <row r="712" spans="1:38">
      <c r="A712" s="26"/>
      <c r="B712" s="26"/>
      <c r="C712" s="26"/>
      <c r="D712" s="26"/>
      <c r="E712" s="26"/>
      <c r="F712" s="26"/>
      <c r="G712" s="26"/>
      <c r="H712" s="26"/>
      <c r="I712" s="26"/>
      <c r="J712" s="26"/>
      <c r="K712" s="112"/>
      <c r="L712" s="26"/>
      <c r="M712" s="26"/>
      <c r="N712" s="26"/>
      <c r="O712" s="113"/>
      <c r="P712" s="26"/>
      <c r="Q712" s="26"/>
      <c r="R712" s="26"/>
      <c r="S712" s="26"/>
      <c r="T712" s="26"/>
      <c r="U712" s="26"/>
      <c r="V712" s="26"/>
      <c r="W712" s="26"/>
      <c r="X712" s="26"/>
      <c r="Y712" s="26"/>
      <c r="Z712" s="26"/>
      <c r="AA712" s="26"/>
      <c r="AB712" s="26"/>
      <c r="AC712" s="26"/>
      <c r="AD712" s="26"/>
      <c r="AE712" s="115"/>
      <c r="AF712" s="85"/>
      <c r="AG712" s="67"/>
      <c r="AH712" s="67"/>
      <c r="AI712" s="85"/>
      <c r="AJ712" s="85"/>
      <c r="AK712" s="85"/>
      <c r="AL712" s="85"/>
    </row>
    <row r="713" spans="1:38">
      <c r="A713" s="26"/>
      <c r="B713" s="26"/>
      <c r="C713" s="26"/>
      <c r="D713" s="26"/>
      <c r="E713" s="26"/>
      <c r="F713" s="26"/>
      <c r="G713" s="26"/>
      <c r="H713" s="26"/>
      <c r="I713" s="26"/>
      <c r="J713" s="26"/>
      <c r="K713" s="112"/>
      <c r="L713" s="26"/>
      <c r="M713" s="26"/>
      <c r="N713" s="26"/>
      <c r="O713" s="113"/>
      <c r="P713" s="26"/>
      <c r="Q713" s="26"/>
      <c r="R713" s="26"/>
      <c r="S713" s="26"/>
      <c r="T713" s="26"/>
      <c r="U713" s="26"/>
      <c r="V713" s="26"/>
      <c r="W713" s="26"/>
      <c r="X713" s="26"/>
      <c r="Y713" s="26"/>
      <c r="Z713" s="26"/>
      <c r="AA713" s="26"/>
      <c r="AB713" s="26"/>
      <c r="AC713" s="26"/>
      <c r="AD713" s="26"/>
      <c r="AE713" s="115"/>
      <c r="AF713" s="85"/>
      <c r="AG713" s="67"/>
      <c r="AH713" s="67"/>
      <c r="AI713" s="85"/>
      <c r="AJ713" s="85"/>
      <c r="AK713" s="85"/>
      <c r="AL713" s="85"/>
    </row>
    <row r="714" spans="1:38">
      <c r="A714" s="26"/>
      <c r="B714" s="26"/>
      <c r="C714" s="26"/>
      <c r="D714" s="26"/>
      <c r="E714" s="26"/>
      <c r="F714" s="26"/>
      <c r="G714" s="26"/>
      <c r="H714" s="26"/>
      <c r="I714" s="26"/>
      <c r="J714" s="26"/>
      <c r="K714" s="112"/>
      <c r="L714" s="26"/>
      <c r="M714" s="26"/>
      <c r="N714" s="26"/>
      <c r="O714" s="113"/>
      <c r="P714" s="26"/>
      <c r="Q714" s="26"/>
      <c r="R714" s="26"/>
      <c r="S714" s="26"/>
      <c r="T714" s="26"/>
      <c r="U714" s="26"/>
      <c r="V714" s="26"/>
      <c r="W714" s="26"/>
      <c r="X714" s="26"/>
      <c r="Y714" s="26"/>
      <c r="Z714" s="26"/>
      <c r="AA714" s="26"/>
      <c r="AB714" s="26"/>
      <c r="AC714" s="26"/>
      <c r="AD714" s="26"/>
      <c r="AE714" s="115"/>
      <c r="AF714" s="85"/>
      <c r="AG714" s="67"/>
      <c r="AH714" s="67"/>
      <c r="AI714" s="85"/>
      <c r="AJ714" s="85"/>
      <c r="AK714" s="85"/>
      <c r="AL714" s="85"/>
    </row>
    <row r="715" spans="1:38">
      <c r="A715" s="26"/>
      <c r="B715" s="26"/>
      <c r="C715" s="26"/>
      <c r="D715" s="26"/>
      <c r="E715" s="26"/>
      <c r="F715" s="26"/>
      <c r="G715" s="26"/>
      <c r="H715" s="26"/>
      <c r="I715" s="26"/>
      <c r="J715" s="26"/>
      <c r="K715" s="112"/>
      <c r="L715" s="26"/>
      <c r="M715" s="26"/>
      <c r="N715" s="26"/>
      <c r="O715" s="113"/>
      <c r="P715" s="26"/>
      <c r="Q715" s="26"/>
      <c r="R715" s="26"/>
      <c r="S715" s="26"/>
      <c r="T715" s="26"/>
      <c r="U715" s="26"/>
      <c r="V715" s="26"/>
      <c r="W715" s="26"/>
      <c r="X715" s="26"/>
      <c r="Y715" s="26"/>
      <c r="Z715" s="26"/>
      <c r="AA715" s="26"/>
      <c r="AB715" s="26"/>
      <c r="AC715" s="26"/>
      <c r="AD715" s="26"/>
      <c r="AE715" s="115"/>
      <c r="AF715" s="85"/>
      <c r="AG715" s="67"/>
      <c r="AH715" s="67"/>
      <c r="AI715" s="85"/>
      <c r="AJ715" s="85"/>
      <c r="AK715" s="85"/>
      <c r="AL715" s="85"/>
    </row>
    <row r="716" spans="1:38">
      <c r="A716" s="26"/>
      <c r="B716" s="26"/>
      <c r="C716" s="26"/>
      <c r="D716" s="26"/>
      <c r="E716" s="26"/>
      <c r="F716" s="26"/>
      <c r="G716" s="26"/>
      <c r="H716" s="26"/>
      <c r="I716" s="26"/>
      <c r="J716" s="26"/>
      <c r="K716" s="112"/>
      <c r="L716" s="26"/>
      <c r="M716" s="26"/>
      <c r="N716" s="26"/>
      <c r="O716" s="113"/>
      <c r="P716" s="26"/>
      <c r="Q716" s="26"/>
      <c r="R716" s="26"/>
      <c r="S716" s="26"/>
      <c r="T716" s="26"/>
      <c r="U716" s="26"/>
      <c r="V716" s="26"/>
      <c r="W716" s="26"/>
      <c r="X716" s="26"/>
      <c r="Y716" s="26"/>
      <c r="Z716" s="26"/>
      <c r="AA716" s="26"/>
      <c r="AB716" s="26"/>
      <c r="AC716" s="26"/>
      <c r="AD716" s="26"/>
      <c r="AE716" s="115"/>
      <c r="AF716" s="85"/>
      <c r="AG716" s="67"/>
      <c r="AH716" s="67"/>
      <c r="AI716" s="85"/>
      <c r="AJ716" s="85"/>
      <c r="AK716" s="85"/>
      <c r="AL716" s="85"/>
    </row>
    <row r="717" spans="1:38">
      <c r="A717" s="26"/>
      <c r="B717" s="26"/>
      <c r="C717" s="26"/>
      <c r="D717" s="26"/>
      <c r="E717" s="26"/>
      <c r="F717" s="26"/>
      <c r="G717" s="26"/>
      <c r="H717" s="26"/>
      <c r="I717" s="26"/>
      <c r="J717" s="26"/>
      <c r="K717" s="112"/>
      <c r="L717" s="26"/>
      <c r="M717" s="26"/>
      <c r="N717" s="26"/>
      <c r="O717" s="113"/>
      <c r="P717" s="26"/>
      <c r="Q717" s="26"/>
      <c r="R717" s="26"/>
      <c r="S717" s="26"/>
      <c r="T717" s="26"/>
      <c r="U717" s="26"/>
      <c r="V717" s="26"/>
      <c r="W717" s="26"/>
      <c r="X717" s="26"/>
      <c r="Y717" s="26"/>
      <c r="Z717" s="26"/>
      <c r="AA717" s="26"/>
      <c r="AB717" s="26"/>
      <c r="AC717" s="26"/>
      <c r="AD717" s="26"/>
      <c r="AE717" s="115"/>
      <c r="AF717" s="85"/>
      <c r="AG717" s="67"/>
      <c r="AH717" s="67"/>
      <c r="AI717" s="85"/>
      <c r="AJ717" s="85"/>
      <c r="AK717" s="85"/>
      <c r="AL717" s="85"/>
    </row>
    <row r="718" spans="1:38">
      <c r="A718" s="26"/>
      <c r="B718" s="26"/>
      <c r="C718" s="26"/>
      <c r="D718" s="26"/>
      <c r="E718" s="26"/>
      <c r="F718" s="26"/>
      <c r="G718" s="26"/>
      <c r="H718" s="26"/>
      <c r="I718" s="26"/>
      <c r="J718" s="26"/>
      <c r="K718" s="112"/>
      <c r="L718" s="26"/>
      <c r="M718" s="26"/>
      <c r="N718" s="26"/>
      <c r="O718" s="113"/>
      <c r="P718" s="26"/>
      <c r="Q718" s="26"/>
      <c r="R718" s="26"/>
      <c r="S718" s="26"/>
      <c r="T718" s="26"/>
      <c r="U718" s="26"/>
      <c r="V718" s="26"/>
      <c r="W718" s="26"/>
      <c r="X718" s="26"/>
      <c r="Y718" s="26"/>
      <c r="Z718" s="26"/>
      <c r="AA718" s="26"/>
      <c r="AB718" s="26"/>
      <c r="AC718" s="26"/>
      <c r="AD718" s="26"/>
      <c r="AE718" s="115"/>
      <c r="AF718" s="85"/>
      <c r="AG718" s="67"/>
      <c r="AH718" s="67"/>
      <c r="AI718" s="85"/>
      <c r="AJ718" s="85"/>
      <c r="AK718" s="85"/>
      <c r="AL718" s="85"/>
    </row>
    <row r="719" spans="1:38">
      <c r="A719" s="26"/>
      <c r="B719" s="26"/>
      <c r="C719" s="26"/>
      <c r="D719" s="26"/>
      <c r="E719" s="26"/>
      <c r="F719" s="26"/>
      <c r="G719" s="26"/>
      <c r="H719" s="26"/>
      <c r="I719" s="26"/>
      <c r="J719" s="26"/>
      <c r="K719" s="112"/>
      <c r="L719" s="26"/>
      <c r="M719" s="26"/>
      <c r="N719" s="26"/>
      <c r="O719" s="113"/>
      <c r="P719" s="26"/>
      <c r="Q719" s="26"/>
      <c r="R719" s="26"/>
      <c r="S719" s="26"/>
      <c r="T719" s="26"/>
      <c r="U719" s="26"/>
      <c r="V719" s="26"/>
      <c r="W719" s="26"/>
      <c r="X719" s="26"/>
      <c r="Y719" s="26"/>
      <c r="Z719" s="26"/>
      <c r="AA719" s="26"/>
      <c r="AB719" s="26"/>
      <c r="AC719" s="26"/>
      <c r="AD719" s="26"/>
      <c r="AE719" s="115"/>
      <c r="AF719" s="85"/>
      <c r="AG719" s="67"/>
      <c r="AH719" s="67"/>
      <c r="AI719" s="85"/>
      <c r="AJ719" s="85"/>
      <c r="AK719" s="85"/>
      <c r="AL719" s="85"/>
    </row>
    <row r="720" spans="1:38">
      <c r="A720" s="26"/>
      <c r="B720" s="26"/>
      <c r="C720" s="26"/>
      <c r="D720" s="26"/>
      <c r="E720" s="26"/>
      <c r="F720" s="26"/>
      <c r="G720" s="26"/>
      <c r="H720" s="26"/>
      <c r="I720" s="26"/>
      <c r="J720" s="26"/>
      <c r="K720" s="112"/>
      <c r="L720" s="26"/>
      <c r="M720" s="26"/>
      <c r="N720" s="26"/>
      <c r="O720" s="113"/>
      <c r="P720" s="26"/>
      <c r="Q720" s="26"/>
      <c r="R720" s="26"/>
      <c r="S720" s="26"/>
      <c r="T720" s="26"/>
      <c r="U720" s="26"/>
      <c r="V720" s="26"/>
      <c r="W720" s="26"/>
      <c r="X720" s="26"/>
      <c r="Y720" s="26"/>
      <c r="Z720" s="26"/>
      <c r="AA720" s="26"/>
      <c r="AB720" s="26"/>
      <c r="AC720" s="26"/>
      <c r="AD720" s="26"/>
      <c r="AE720" s="115"/>
      <c r="AF720" s="85"/>
      <c r="AG720" s="67"/>
      <c r="AH720" s="67"/>
      <c r="AI720" s="85"/>
      <c r="AJ720" s="85"/>
      <c r="AK720" s="85"/>
      <c r="AL720" s="85"/>
    </row>
    <row r="721" spans="1:38">
      <c r="A721" s="26"/>
      <c r="B721" s="26"/>
      <c r="C721" s="26"/>
      <c r="D721" s="26"/>
      <c r="E721" s="26"/>
      <c r="F721" s="26"/>
      <c r="G721" s="26"/>
      <c r="H721" s="26"/>
      <c r="I721" s="26"/>
      <c r="J721" s="26"/>
      <c r="K721" s="112"/>
      <c r="L721" s="26"/>
      <c r="M721" s="26"/>
      <c r="N721" s="26"/>
      <c r="O721" s="113"/>
      <c r="P721" s="26"/>
      <c r="Q721" s="26"/>
      <c r="R721" s="26"/>
      <c r="S721" s="26"/>
      <c r="T721" s="26"/>
      <c r="U721" s="26"/>
      <c r="V721" s="26"/>
      <c r="W721" s="26"/>
      <c r="X721" s="26"/>
      <c r="Y721" s="26"/>
      <c r="Z721" s="26"/>
      <c r="AA721" s="26"/>
      <c r="AB721" s="26"/>
      <c r="AC721" s="26"/>
      <c r="AD721" s="26"/>
      <c r="AE721" s="115"/>
      <c r="AF721" s="85"/>
      <c r="AG721" s="67"/>
      <c r="AH721" s="67"/>
      <c r="AI721" s="85"/>
      <c r="AJ721" s="85"/>
      <c r="AK721" s="85"/>
      <c r="AL721" s="85"/>
    </row>
    <row r="722" spans="1:38">
      <c r="A722" s="26"/>
      <c r="B722" s="26"/>
      <c r="C722" s="26"/>
      <c r="D722" s="26"/>
      <c r="E722" s="26"/>
      <c r="F722" s="26"/>
      <c r="G722" s="26"/>
      <c r="H722" s="26"/>
      <c r="I722" s="26"/>
      <c r="J722" s="26"/>
      <c r="K722" s="112"/>
      <c r="L722" s="26"/>
      <c r="M722" s="26"/>
      <c r="N722" s="26"/>
      <c r="O722" s="113"/>
      <c r="P722" s="26"/>
      <c r="Q722" s="26"/>
      <c r="R722" s="26"/>
      <c r="S722" s="26"/>
      <c r="T722" s="26"/>
      <c r="U722" s="26"/>
      <c r="V722" s="26"/>
      <c r="W722" s="26"/>
      <c r="X722" s="26"/>
      <c r="Y722" s="26"/>
      <c r="Z722" s="26"/>
      <c r="AA722" s="26"/>
      <c r="AB722" s="26"/>
      <c r="AC722" s="26"/>
      <c r="AD722" s="26"/>
      <c r="AE722" s="115"/>
      <c r="AF722" s="85"/>
      <c r="AG722" s="67"/>
      <c r="AH722" s="67"/>
      <c r="AI722" s="85"/>
      <c r="AJ722" s="85"/>
      <c r="AK722" s="85"/>
      <c r="AL722" s="85"/>
    </row>
    <row r="723" spans="1:38">
      <c r="A723" s="26"/>
      <c r="B723" s="26"/>
      <c r="C723" s="26"/>
      <c r="D723" s="26"/>
      <c r="E723" s="26"/>
      <c r="F723" s="26"/>
      <c r="G723" s="26"/>
      <c r="H723" s="26"/>
      <c r="I723" s="26"/>
      <c r="J723" s="26"/>
      <c r="K723" s="112"/>
      <c r="L723" s="26"/>
      <c r="M723" s="26"/>
      <c r="N723" s="26"/>
      <c r="O723" s="113"/>
      <c r="P723" s="26"/>
      <c r="Q723" s="26"/>
      <c r="R723" s="26"/>
      <c r="S723" s="26"/>
      <c r="T723" s="26"/>
      <c r="U723" s="26"/>
      <c r="V723" s="26"/>
      <c r="W723" s="26"/>
      <c r="X723" s="26"/>
      <c r="Y723" s="26"/>
      <c r="Z723" s="26"/>
      <c r="AA723" s="26"/>
      <c r="AB723" s="26"/>
      <c r="AC723" s="26"/>
      <c r="AD723" s="26"/>
      <c r="AE723" s="115"/>
      <c r="AF723" s="85"/>
      <c r="AG723" s="67"/>
      <c r="AH723" s="67"/>
      <c r="AI723" s="85"/>
      <c r="AJ723" s="85"/>
      <c r="AK723" s="85"/>
      <c r="AL723" s="85"/>
    </row>
    <row r="724" spans="1:38">
      <c r="A724" s="26"/>
      <c r="B724" s="26"/>
      <c r="C724" s="26"/>
      <c r="D724" s="26"/>
      <c r="E724" s="26"/>
      <c r="F724" s="26"/>
      <c r="G724" s="26"/>
      <c r="H724" s="26"/>
      <c r="I724" s="26"/>
      <c r="J724" s="26"/>
      <c r="K724" s="112"/>
      <c r="L724" s="26"/>
      <c r="M724" s="26"/>
      <c r="N724" s="26"/>
      <c r="O724" s="113"/>
      <c r="P724" s="26"/>
      <c r="Q724" s="26"/>
      <c r="R724" s="26"/>
      <c r="S724" s="26"/>
      <c r="T724" s="26"/>
      <c r="U724" s="26"/>
      <c r="V724" s="26"/>
      <c r="W724" s="26"/>
      <c r="X724" s="26"/>
      <c r="Y724" s="26"/>
      <c r="Z724" s="26"/>
      <c r="AA724" s="26"/>
      <c r="AB724" s="26"/>
      <c r="AC724" s="26"/>
      <c r="AD724" s="26"/>
      <c r="AE724" s="115"/>
      <c r="AF724" s="85"/>
      <c r="AG724" s="67"/>
      <c r="AH724" s="67"/>
      <c r="AI724" s="85"/>
      <c r="AJ724" s="85"/>
      <c r="AK724" s="85"/>
      <c r="AL724" s="85"/>
    </row>
    <row r="725" spans="1:38">
      <c r="A725" s="26"/>
      <c r="B725" s="26"/>
      <c r="C725" s="26"/>
      <c r="D725" s="26"/>
      <c r="E725" s="26"/>
      <c r="F725" s="26"/>
      <c r="G725" s="26"/>
      <c r="H725" s="26"/>
      <c r="I725" s="26"/>
      <c r="J725" s="26"/>
      <c r="K725" s="112"/>
      <c r="L725" s="26"/>
      <c r="M725" s="26"/>
      <c r="N725" s="26"/>
      <c r="O725" s="113"/>
      <c r="P725" s="26"/>
      <c r="Q725" s="26"/>
      <c r="R725" s="26"/>
      <c r="S725" s="26"/>
      <c r="T725" s="26"/>
      <c r="U725" s="26"/>
      <c r="V725" s="26"/>
      <c r="W725" s="26"/>
      <c r="X725" s="26"/>
      <c r="Y725" s="26"/>
      <c r="Z725" s="26"/>
      <c r="AA725" s="26"/>
      <c r="AB725" s="26"/>
      <c r="AC725" s="26"/>
      <c r="AD725" s="26"/>
      <c r="AE725" s="115"/>
      <c r="AF725" s="85"/>
      <c r="AG725" s="67"/>
      <c r="AH725" s="67"/>
      <c r="AI725" s="85"/>
      <c r="AJ725" s="85"/>
      <c r="AK725" s="85"/>
      <c r="AL725" s="85"/>
    </row>
    <row r="726" spans="1:38">
      <c r="A726" s="26"/>
      <c r="B726" s="26"/>
      <c r="C726" s="26"/>
      <c r="D726" s="26"/>
      <c r="E726" s="26"/>
      <c r="F726" s="26"/>
      <c r="G726" s="26"/>
      <c r="H726" s="26"/>
      <c r="I726" s="26"/>
      <c r="J726" s="26"/>
      <c r="K726" s="112"/>
      <c r="L726" s="26"/>
      <c r="M726" s="26"/>
      <c r="N726" s="26"/>
      <c r="O726" s="113"/>
      <c r="P726" s="26"/>
      <c r="Q726" s="26"/>
      <c r="R726" s="26"/>
      <c r="S726" s="26"/>
      <c r="T726" s="26"/>
      <c r="U726" s="26"/>
      <c r="V726" s="26"/>
      <c r="W726" s="26"/>
      <c r="X726" s="26"/>
      <c r="Y726" s="26"/>
      <c r="Z726" s="26"/>
      <c r="AA726" s="26"/>
      <c r="AB726" s="26"/>
      <c r="AC726" s="26"/>
      <c r="AD726" s="26"/>
      <c r="AE726" s="115"/>
      <c r="AF726" s="85"/>
      <c r="AG726" s="67"/>
      <c r="AH726" s="67"/>
      <c r="AI726" s="85"/>
      <c r="AJ726" s="85"/>
      <c r="AK726" s="85"/>
      <c r="AL726" s="85"/>
    </row>
    <row r="727" spans="1:38">
      <c r="A727" s="26"/>
      <c r="B727" s="26"/>
      <c r="C727" s="26"/>
      <c r="D727" s="26"/>
      <c r="E727" s="26"/>
      <c r="F727" s="26"/>
      <c r="G727" s="26"/>
      <c r="H727" s="26"/>
      <c r="I727" s="26"/>
      <c r="J727" s="26"/>
      <c r="K727" s="112"/>
      <c r="L727" s="26"/>
      <c r="M727" s="26"/>
      <c r="N727" s="26"/>
      <c r="O727" s="113"/>
      <c r="P727" s="26"/>
      <c r="Q727" s="26"/>
      <c r="R727" s="26"/>
      <c r="S727" s="26"/>
      <c r="T727" s="26"/>
      <c r="U727" s="26"/>
      <c r="V727" s="26"/>
      <c r="W727" s="26"/>
      <c r="X727" s="26"/>
      <c r="Y727" s="26"/>
      <c r="Z727" s="26"/>
      <c r="AA727" s="26"/>
      <c r="AB727" s="26"/>
      <c r="AC727" s="26"/>
      <c r="AD727" s="26"/>
      <c r="AE727" s="115"/>
      <c r="AF727" s="85"/>
      <c r="AG727" s="67"/>
      <c r="AH727" s="67"/>
      <c r="AI727" s="85"/>
      <c r="AJ727" s="85"/>
      <c r="AK727" s="85"/>
      <c r="AL727" s="85"/>
    </row>
    <row r="728" spans="1:38">
      <c r="A728" s="26"/>
      <c r="B728" s="26"/>
      <c r="C728" s="26"/>
      <c r="D728" s="26"/>
      <c r="E728" s="26"/>
      <c r="F728" s="26"/>
      <c r="G728" s="26"/>
      <c r="H728" s="26"/>
      <c r="I728" s="26"/>
      <c r="J728" s="26"/>
      <c r="K728" s="112"/>
      <c r="L728" s="26"/>
      <c r="M728" s="26"/>
      <c r="N728" s="26"/>
      <c r="O728" s="113"/>
      <c r="P728" s="26"/>
      <c r="Q728" s="26"/>
      <c r="R728" s="26"/>
      <c r="S728" s="26"/>
      <c r="T728" s="26"/>
      <c r="U728" s="26"/>
      <c r="V728" s="26"/>
      <c r="W728" s="26"/>
      <c r="X728" s="26"/>
      <c r="Y728" s="26"/>
      <c r="Z728" s="26"/>
      <c r="AA728" s="26"/>
      <c r="AB728" s="26"/>
      <c r="AC728" s="26"/>
      <c r="AD728" s="26"/>
      <c r="AE728" s="115"/>
      <c r="AF728" s="85"/>
      <c r="AG728" s="67"/>
      <c r="AH728" s="67"/>
      <c r="AI728" s="85"/>
      <c r="AJ728" s="85"/>
      <c r="AK728" s="85"/>
      <c r="AL728" s="85"/>
    </row>
    <row r="729" spans="1:38">
      <c r="A729" s="26"/>
      <c r="B729" s="26"/>
      <c r="C729" s="26"/>
      <c r="D729" s="26"/>
      <c r="E729" s="26"/>
      <c r="F729" s="26"/>
      <c r="G729" s="26"/>
      <c r="H729" s="26"/>
      <c r="I729" s="26"/>
      <c r="J729" s="26"/>
      <c r="K729" s="112"/>
      <c r="L729" s="26"/>
      <c r="M729" s="26"/>
      <c r="N729" s="26"/>
      <c r="O729" s="113"/>
      <c r="P729" s="26"/>
      <c r="Q729" s="26"/>
      <c r="R729" s="26"/>
      <c r="S729" s="26"/>
      <c r="T729" s="26"/>
      <c r="U729" s="26"/>
      <c r="V729" s="26"/>
      <c r="W729" s="26"/>
      <c r="X729" s="26"/>
      <c r="Y729" s="26"/>
      <c r="Z729" s="26"/>
      <c r="AA729" s="26"/>
      <c r="AB729" s="26"/>
      <c r="AC729" s="26"/>
      <c r="AD729" s="26"/>
      <c r="AE729" s="115"/>
      <c r="AF729" s="85"/>
      <c r="AG729" s="67"/>
      <c r="AH729" s="67"/>
      <c r="AI729" s="85"/>
      <c r="AJ729" s="85"/>
      <c r="AK729" s="85"/>
      <c r="AL729" s="85"/>
    </row>
    <row r="730" spans="1:38">
      <c r="A730" s="26"/>
      <c r="B730" s="26"/>
      <c r="C730" s="26"/>
      <c r="D730" s="26"/>
      <c r="E730" s="26"/>
      <c r="F730" s="26"/>
      <c r="G730" s="26"/>
      <c r="H730" s="26"/>
      <c r="I730" s="26"/>
      <c r="J730" s="26"/>
      <c r="K730" s="112"/>
      <c r="L730" s="26"/>
      <c r="M730" s="26"/>
      <c r="N730" s="26"/>
      <c r="O730" s="113"/>
      <c r="P730" s="26"/>
      <c r="Q730" s="26"/>
      <c r="R730" s="26"/>
      <c r="S730" s="26"/>
      <c r="T730" s="26"/>
      <c r="U730" s="26"/>
      <c r="V730" s="26"/>
      <c r="W730" s="26"/>
      <c r="X730" s="26"/>
      <c r="Y730" s="26"/>
      <c r="Z730" s="26"/>
      <c r="AA730" s="26"/>
      <c r="AB730" s="26"/>
      <c r="AC730" s="26"/>
      <c r="AD730" s="26"/>
      <c r="AE730" s="115"/>
      <c r="AF730" s="85"/>
      <c r="AG730" s="67"/>
      <c r="AH730" s="67"/>
      <c r="AI730" s="85"/>
      <c r="AJ730" s="85"/>
      <c r="AK730" s="85"/>
      <c r="AL730" s="85"/>
    </row>
    <row r="731" spans="1:38">
      <c r="A731" s="26"/>
      <c r="B731" s="26"/>
      <c r="C731" s="26"/>
      <c r="D731" s="26"/>
      <c r="E731" s="26"/>
      <c r="F731" s="26"/>
      <c r="G731" s="26"/>
      <c r="H731" s="26"/>
      <c r="I731" s="26"/>
      <c r="J731" s="26"/>
      <c r="K731" s="112"/>
      <c r="L731" s="26"/>
      <c r="M731" s="26"/>
      <c r="N731" s="26"/>
      <c r="O731" s="113"/>
      <c r="P731" s="26"/>
      <c r="Q731" s="26"/>
      <c r="R731" s="26"/>
      <c r="S731" s="26"/>
      <c r="T731" s="26"/>
      <c r="U731" s="26"/>
      <c r="V731" s="26"/>
      <c r="W731" s="26"/>
      <c r="X731" s="26"/>
      <c r="Y731" s="26"/>
      <c r="Z731" s="26"/>
      <c r="AA731" s="26"/>
      <c r="AB731" s="26"/>
      <c r="AC731" s="26"/>
      <c r="AD731" s="26"/>
      <c r="AE731" s="115"/>
      <c r="AF731" s="85"/>
      <c r="AG731" s="67"/>
      <c r="AH731" s="67"/>
      <c r="AI731" s="85"/>
      <c r="AJ731" s="85"/>
      <c r="AK731" s="85"/>
      <c r="AL731" s="85"/>
    </row>
    <row r="732" spans="1:38">
      <c r="A732" s="26"/>
      <c r="B732" s="26"/>
      <c r="C732" s="26"/>
      <c r="D732" s="26"/>
      <c r="E732" s="26"/>
      <c r="F732" s="26"/>
      <c r="G732" s="26"/>
      <c r="H732" s="26"/>
      <c r="I732" s="26"/>
      <c r="J732" s="26"/>
      <c r="K732" s="112"/>
      <c r="L732" s="26"/>
      <c r="M732" s="26"/>
      <c r="N732" s="26"/>
      <c r="O732" s="113"/>
      <c r="P732" s="26"/>
      <c r="Q732" s="26"/>
      <c r="R732" s="26"/>
      <c r="S732" s="26"/>
      <c r="T732" s="26"/>
      <c r="U732" s="26"/>
      <c r="V732" s="26"/>
      <c r="W732" s="26"/>
      <c r="X732" s="26"/>
      <c r="Y732" s="26"/>
      <c r="Z732" s="26"/>
      <c r="AA732" s="26"/>
      <c r="AB732" s="26"/>
      <c r="AC732" s="26"/>
      <c r="AD732" s="26"/>
      <c r="AE732" s="115"/>
      <c r="AF732" s="85"/>
      <c r="AG732" s="67"/>
      <c r="AH732" s="67"/>
      <c r="AI732" s="85"/>
      <c r="AJ732" s="85"/>
      <c r="AK732" s="85"/>
      <c r="AL732" s="85"/>
    </row>
    <row r="733" spans="1:38">
      <c r="A733" s="26"/>
      <c r="B733" s="26"/>
      <c r="C733" s="26"/>
      <c r="D733" s="26"/>
      <c r="E733" s="26"/>
      <c r="F733" s="26"/>
      <c r="G733" s="26"/>
      <c r="H733" s="26"/>
      <c r="I733" s="26"/>
      <c r="J733" s="26"/>
      <c r="K733" s="112"/>
      <c r="L733" s="26"/>
      <c r="M733" s="26"/>
      <c r="N733" s="26"/>
      <c r="O733" s="113"/>
      <c r="P733" s="26"/>
      <c r="Q733" s="26"/>
      <c r="R733" s="26"/>
      <c r="S733" s="26"/>
      <c r="T733" s="26"/>
      <c r="U733" s="26"/>
      <c r="V733" s="26"/>
      <c r="W733" s="26"/>
      <c r="X733" s="26"/>
      <c r="Y733" s="26"/>
      <c r="Z733" s="26"/>
      <c r="AA733" s="26"/>
      <c r="AB733" s="26"/>
      <c r="AC733" s="26"/>
      <c r="AD733" s="26"/>
      <c r="AE733" s="115"/>
      <c r="AF733" s="85"/>
      <c r="AG733" s="67"/>
      <c r="AH733" s="67"/>
      <c r="AI733" s="85"/>
      <c r="AJ733" s="85"/>
      <c r="AK733" s="85"/>
      <c r="AL733" s="85"/>
    </row>
    <row r="734" spans="1:38">
      <c r="A734" s="26"/>
      <c r="B734" s="26"/>
      <c r="C734" s="26"/>
      <c r="D734" s="26"/>
      <c r="E734" s="26"/>
      <c r="F734" s="26"/>
      <c r="G734" s="26"/>
      <c r="H734" s="26"/>
      <c r="I734" s="26"/>
      <c r="J734" s="26"/>
      <c r="K734" s="112"/>
      <c r="L734" s="26"/>
      <c r="M734" s="26"/>
      <c r="N734" s="26"/>
      <c r="O734" s="113"/>
      <c r="P734" s="26"/>
      <c r="Q734" s="26"/>
      <c r="R734" s="26"/>
      <c r="S734" s="26"/>
      <c r="T734" s="26"/>
      <c r="U734" s="26"/>
      <c r="V734" s="26"/>
      <c r="W734" s="26"/>
      <c r="X734" s="26"/>
      <c r="Y734" s="26"/>
      <c r="Z734" s="26"/>
      <c r="AA734" s="26"/>
      <c r="AB734" s="26"/>
      <c r="AC734" s="26"/>
      <c r="AD734" s="26"/>
      <c r="AE734" s="115"/>
      <c r="AF734" s="85"/>
      <c r="AG734" s="67"/>
      <c r="AH734" s="67"/>
      <c r="AI734" s="85"/>
      <c r="AJ734" s="85"/>
      <c r="AK734" s="85"/>
      <c r="AL734" s="85"/>
    </row>
    <row r="735" spans="1:38">
      <c r="A735" s="26"/>
      <c r="B735" s="26"/>
      <c r="C735" s="26"/>
      <c r="D735" s="26"/>
      <c r="E735" s="26"/>
      <c r="F735" s="26"/>
      <c r="G735" s="26"/>
      <c r="H735" s="26"/>
      <c r="I735" s="26"/>
      <c r="J735" s="26"/>
      <c r="K735" s="112"/>
      <c r="L735" s="26"/>
      <c r="M735" s="26"/>
      <c r="N735" s="26"/>
      <c r="O735" s="113"/>
      <c r="P735" s="26"/>
      <c r="Q735" s="26"/>
      <c r="R735" s="26"/>
      <c r="S735" s="26"/>
      <c r="T735" s="26"/>
      <c r="U735" s="26"/>
      <c r="V735" s="26"/>
      <c r="W735" s="26"/>
      <c r="X735" s="26"/>
      <c r="Y735" s="26"/>
      <c r="Z735" s="26"/>
      <c r="AA735" s="26"/>
      <c r="AB735" s="26"/>
      <c r="AC735" s="26"/>
      <c r="AD735" s="26"/>
      <c r="AE735" s="115"/>
      <c r="AF735" s="85"/>
      <c r="AG735" s="67"/>
      <c r="AH735" s="67"/>
      <c r="AI735" s="85"/>
      <c r="AJ735" s="85"/>
      <c r="AK735" s="85"/>
      <c r="AL735" s="85"/>
    </row>
    <row r="736" spans="1:38">
      <c r="A736" s="26"/>
      <c r="B736" s="26"/>
      <c r="C736" s="26"/>
      <c r="D736" s="26"/>
      <c r="E736" s="26"/>
      <c r="F736" s="26"/>
      <c r="G736" s="26"/>
      <c r="H736" s="26"/>
      <c r="I736" s="26"/>
      <c r="J736" s="26"/>
      <c r="K736" s="112"/>
      <c r="L736" s="26"/>
      <c r="M736" s="26"/>
      <c r="N736" s="26"/>
      <c r="O736" s="113"/>
      <c r="P736" s="26"/>
      <c r="Q736" s="26"/>
      <c r="R736" s="26"/>
      <c r="S736" s="26"/>
      <c r="T736" s="26"/>
      <c r="U736" s="26"/>
      <c r="V736" s="26"/>
      <c r="W736" s="26"/>
      <c r="X736" s="26"/>
      <c r="Y736" s="26"/>
      <c r="Z736" s="26"/>
      <c r="AA736" s="26"/>
      <c r="AB736" s="26"/>
      <c r="AC736" s="26"/>
      <c r="AD736" s="26"/>
      <c r="AE736" s="115"/>
      <c r="AF736" s="85"/>
      <c r="AG736" s="67"/>
      <c r="AH736" s="67"/>
      <c r="AI736" s="85"/>
      <c r="AJ736" s="85"/>
      <c r="AK736" s="85"/>
      <c r="AL736" s="85"/>
    </row>
    <row r="737" spans="1:38">
      <c r="A737" s="26"/>
      <c r="B737" s="26"/>
      <c r="C737" s="26"/>
      <c r="D737" s="26"/>
      <c r="E737" s="26"/>
      <c r="F737" s="26"/>
      <c r="G737" s="26"/>
      <c r="H737" s="26"/>
      <c r="I737" s="26"/>
      <c r="J737" s="26"/>
      <c r="K737" s="112"/>
      <c r="L737" s="26"/>
      <c r="M737" s="26"/>
      <c r="N737" s="26"/>
      <c r="O737" s="113"/>
      <c r="P737" s="26"/>
      <c r="Q737" s="26"/>
      <c r="R737" s="26"/>
      <c r="S737" s="26"/>
      <c r="T737" s="26"/>
      <c r="U737" s="26"/>
      <c r="V737" s="26"/>
      <c r="W737" s="26"/>
      <c r="X737" s="26"/>
      <c r="Y737" s="26"/>
      <c r="Z737" s="26"/>
      <c r="AA737" s="26"/>
      <c r="AB737" s="26"/>
      <c r="AC737" s="26"/>
      <c r="AD737" s="26"/>
      <c r="AE737" s="115"/>
      <c r="AF737" s="85"/>
      <c r="AG737" s="67"/>
      <c r="AH737" s="67"/>
      <c r="AI737" s="85"/>
      <c r="AJ737" s="85"/>
      <c r="AK737" s="85"/>
      <c r="AL737" s="85"/>
    </row>
    <row r="738" spans="1:38">
      <c r="A738" s="26"/>
      <c r="B738" s="26"/>
      <c r="C738" s="26"/>
      <c r="D738" s="26"/>
      <c r="E738" s="26"/>
      <c r="F738" s="26"/>
      <c r="G738" s="26"/>
      <c r="H738" s="26"/>
      <c r="I738" s="26"/>
      <c r="J738" s="26"/>
      <c r="K738" s="112"/>
      <c r="L738" s="26"/>
      <c r="M738" s="26"/>
      <c r="N738" s="26"/>
      <c r="O738" s="113"/>
      <c r="P738" s="26"/>
      <c r="Q738" s="26"/>
      <c r="R738" s="26"/>
      <c r="S738" s="26"/>
      <c r="T738" s="26"/>
      <c r="U738" s="26"/>
      <c r="V738" s="26"/>
      <c r="W738" s="26"/>
      <c r="X738" s="26"/>
      <c r="Y738" s="26"/>
      <c r="Z738" s="26"/>
      <c r="AA738" s="26"/>
      <c r="AB738" s="26"/>
      <c r="AC738" s="26"/>
      <c r="AD738" s="26"/>
      <c r="AE738" s="115"/>
      <c r="AF738" s="85"/>
      <c r="AG738" s="67"/>
      <c r="AH738" s="67"/>
      <c r="AI738" s="85"/>
      <c r="AJ738" s="85"/>
      <c r="AK738" s="85"/>
      <c r="AL738" s="85"/>
    </row>
    <row r="739" spans="1:38">
      <c r="A739" s="26"/>
      <c r="B739" s="26"/>
      <c r="C739" s="26"/>
      <c r="D739" s="26"/>
      <c r="E739" s="26"/>
      <c r="F739" s="26"/>
      <c r="G739" s="26"/>
      <c r="H739" s="26"/>
      <c r="I739" s="26"/>
      <c r="J739" s="26"/>
      <c r="K739" s="112"/>
      <c r="L739" s="26"/>
      <c r="M739" s="26"/>
      <c r="N739" s="26"/>
      <c r="O739" s="113"/>
      <c r="P739" s="26"/>
      <c r="Q739" s="26"/>
      <c r="R739" s="26"/>
      <c r="S739" s="26"/>
      <c r="T739" s="26"/>
      <c r="U739" s="26"/>
      <c r="V739" s="26"/>
      <c r="W739" s="26"/>
      <c r="X739" s="26"/>
      <c r="Y739" s="26"/>
      <c r="Z739" s="26"/>
      <c r="AA739" s="26"/>
      <c r="AB739" s="26"/>
      <c r="AC739" s="26"/>
      <c r="AD739" s="26"/>
      <c r="AE739" s="115"/>
      <c r="AF739" s="85"/>
      <c r="AG739" s="67"/>
      <c r="AH739" s="67"/>
      <c r="AI739" s="85"/>
      <c r="AJ739" s="85"/>
      <c r="AK739" s="85"/>
      <c r="AL739" s="85"/>
    </row>
    <row r="740" spans="1:38">
      <c r="A740" s="26"/>
      <c r="B740" s="26"/>
      <c r="C740" s="26"/>
      <c r="D740" s="26"/>
      <c r="E740" s="26"/>
      <c r="F740" s="26"/>
      <c r="G740" s="26"/>
      <c r="H740" s="26"/>
      <c r="I740" s="26"/>
      <c r="J740" s="26"/>
      <c r="K740" s="112"/>
      <c r="L740" s="26"/>
      <c r="M740" s="26"/>
      <c r="N740" s="26"/>
      <c r="O740" s="113"/>
      <c r="P740" s="26"/>
      <c r="Q740" s="26"/>
      <c r="R740" s="26"/>
      <c r="S740" s="26"/>
      <c r="T740" s="26"/>
      <c r="U740" s="26"/>
      <c r="V740" s="26"/>
      <c r="W740" s="26"/>
      <c r="X740" s="26"/>
      <c r="Y740" s="26"/>
      <c r="Z740" s="26"/>
      <c r="AA740" s="26"/>
      <c r="AB740" s="26"/>
      <c r="AC740" s="26"/>
      <c r="AD740" s="26"/>
      <c r="AE740" s="115"/>
      <c r="AF740" s="85"/>
      <c r="AG740" s="67"/>
      <c r="AH740" s="67"/>
      <c r="AI740" s="85"/>
      <c r="AJ740" s="85"/>
      <c r="AK740" s="85"/>
      <c r="AL740" s="85"/>
    </row>
    <row r="741" spans="1:38">
      <c r="A741" s="26"/>
      <c r="B741" s="26"/>
      <c r="C741" s="26"/>
      <c r="D741" s="26"/>
      <c r="E741" s="26"/>
      <c r="F741" s="26"/>
      <c r="G741" s="26"/>
      <c r="H741" s="26"/>
      <c r="I741" s="26"/>
      <c r="J741" s="26"/>
      <c r="K741" s="112"/>
      <c r="L741" s="26"/>
      <c r="M741" s="26"/>
      <c r="N741" s="26"/>
      <c r="O741" s="113"/>
      <c r="P741" s="26"/>
      <c r="Q741" s="26"/>
      <c r="R741" s="26"/>
      <c r="S741" s="26"/>
      <c r="T741" s="26"/>
      <c r="U741" s="26"/>
      <c r="V741" s="26"/>
      <c r="W741" s="26"/>
      <c r="X741" s="26"/>
      <c r="Y741" s="26"/>
      <c r="Z741" s="26"/>
      <c r="AA741" s="26"/>
      <c r="AB741" s="26"/>
      <c r="AC741" s="26"/>
      <c r="AD741" s="26"/>
      <c r="AE741" s="115"/>
      <c r="AF741" s="85"/>
      <c r="AG741" s="67"/>
      <c r="AH741" s="67"/>
      <c r="AI741" s="85"/>
      <c r="AJ741" s="85"/>
      <c r="AK741" s="85"/>
      <c r="AL741" s="85"/>
    </row>
    <row r="742" spans="1:38">
      <c r="A742" s="26"/>
      <c r="B742" s="26"/>
      <c r="C742" s="26"/>
      <c r="D742" s="26"/>
      <c r="E742" s="26"/>
      <c r="F742" s="26"/>
      <c r="G742" s="26"/>
      <c r="H742" s="26"/>
      <c r="I742" s="26"/>
      <c r="J742" s="26"/>
      <c r="K742" s="112"/>
      <c r="L742" s="26"/>
      <c r="M742" s="26"/>
      <c r="N742" s="26"/>
      <c r="O742" s="113"/>
      <c r="P742" s="26"/>
      <c r="Q742" s="26"/>
      <c r="R742" s="26"/>
      <c r="S742" s="26"/>
      <c r="T742" s="26"/>
      <c r="U742" s="26"/>
      <c r="V742" s="26"/>
      <c r="W742" s="26"/>
      <c r="X742" s="26"/>
      <c r="Y742" s="26"/>
      <c r="Z742" s="26"/>
      <c r="AA742" s="26"/>
      <c r="AB742" s="26"/>
      <c r="AC742" s="26"/>
      <c r="AD742" s="26"/>
      <c r="AE742" s="115"/>
      <c r="AF742" s="85"/>
      <c r="AG742" s="67"/>
      <c r="AH742" s="67"/>
      <c r="AI742" s="85"/>
      <c r="AJ742" s="85"/>
      <c r="AK742" s="85"/>
      <c r="AL742" s="85"/>
    </row>
    <row r="743" spans="1:38">
      <c r="A743" s="26"/>
      <c r="B743" s="26"/>
      <c r="C743" s="26"/>
      <c r="D743" s="26"/>
      <c r="E743" s="26"/>
      <c r="F743" s="26"/>
      <c r="G743" s="26"/>
      <c r="H743" s="26"/>
      <c r="I743" s="26"/>
      <c r="J743" s="26"/>
      <c r="K743" s="112"/>
      <c r="L743" s="26"/>
      <c r="M743" s="26"/>
      <c r="N743" s="26"/>
      <c r="O743" s="113"/>
      <c r="P743" s="26"/>
      <c r="Q743" s="26"/>
      <c r="R743" s="26"/>
      <c r="S743" s="26"/>
      <c r="T743" s="26"/>
      <c r="U743" s="26"/>
      <c r="V743" s="26"/>
      <c r="W743" s="26"/>
      <c r="X743" s="26"/>
      <c r="Y743" s="26"/>
      <c r="Z743" s="26"/>
      <c r="AA743" s="26"/>
      <c r="AB743" s="26"/>
      <c r="AC743" s="26"/>
      <c r="AD743" s="26"/>
      <c r="AE743" s="115"/>
      <c r="AF743" s="85"/>
      <c r="AG743" s="67"/>
      <c r="AH743" s="67"/>
      <c r="AI743" s="85"/>
      <c r="AJ743" s="85"/>
      <c r="AK743" s="85"/>
      <c r="AL743" s="85"/>
    </row>
    <row r="744" spans="1:38">
      <c r="A744" s="26"/>
      <c r="B744" s="26"/>
      <c r="C744" s="26"/>
      <c r="D744" s="26"/>
      <c r="E744" s="26"/>
      <c r="F744" s="26"/>
      <c r="G744" s="26"/>
      <c r="H744" s="26"/>
      <c r="I744" s="26"/>
      <c r="J744" s="26"/>
      <c r="K744" s="112"/>
      <c r="L744" s="26"/>
      <c r="M744" s="26"/>
      <c r="N744" s="26"/>
      <c r="O744" s="113"/>
      <c r="P744" s="26"/>
      <c r="Q744" s="26"/>
      <c r="R744" s="26"/>
      <c r="S744" s="26"/>
      <c r="T744" s="26"/>
      <c r="U744" s="26"/>
      <c r="V744" s="26"/>
      <c r="W744" s="26"/>
      <c r="X744" s="26"/>
      <c r="Y744" s="26"/>
      <c r="Z744" s="26"/>
      <c r="AA744" s="26"/>
      <c r="AB744" s="26"/>
      <c r="AC744" s="26"/>
      <c r="AD744" s="26"/>
      <c r="AE744" s="115"/>
      <c r="AF744" s="85"/>
      <c r="AG744" s="67"/>
      <c r="AH744" s="67"/>
      <c r="AI744" s="85"/>
      <c r="AJ744" s="85"/>
      <c r="AK744" s="85"/>
      <c r="AL744" s="85"/>
    </row>
    <row r="745" spans="1:38">
      <c r="A745" s="26"/>
      <c r="B745" s="26"/>
      <c r="C745" s="26"/>
      <c r="D745" s="26"/>
      <c r="E745" s="26"/>
      <c r="F745" s="26"/>
      <c r="G745" s="26"/>
      <c r="H745" s="26"/>
      <c r="I745" s="26"/>
      <c r="J745" s="26"/>
      <c r="K745" s="112"/>
      <c r="L745" s="26"/>
      <c r="M745" s="26"/>
      <c r="N745" s="26"/>
      <c r="O745" s="113"/>
      <c r="P745" s="26"/>
      <c r="Q745" s="26"/>
      <c r="R745" s="26"/>
      <c r="S745" s="26"/>
      <c r="T745" s="26"/>
      <c r="U745" s="26"/>
      <c r="V745" s="26"/>
      <c r="W745" s="26"/>
      <c r="X745" s="26"/>
      <c r="Y745" s="26"/>
      <c r="Z745" s="26"/>
      <c r="AA745" s="26"/>
      <c r="AB745" s="26"/>
      <c r="AC745" s="26"/>
      <c r="AD745" s="26"/>
      <c r="AE745" s="115"/>
      <c r="AF745" s="85"/>
      <c r="AG745" s="67"/>
      <c r="AH745" s="67"/>
      <c r="AI745" s="85"/>
      <c r="AJ745" s="85"/>
      <c r="AK745" s="85"/>
      <c r="AL745" s="85"/>
    </row>
    <row r="746" spans="1:38">
      <c r="A746" s="26"/>
      <c r="B746" s="26"/>
      <c r="C746" s="26"/>
      <c r="D746" s="26"/>
      <c r="E746" s="26"/>
      <c r="F746" s="26"/>
      <c r="G746" s="26"/>
      <c r="H746" s="26"/>
      <c r="I746" s="26"/>
      <c r="J746" s="26"/>
      <c r="K746" s="112"/>
      <c r="L746" s="26"/>
      <c r="M746" s="26"/>
      <c r="N746" s="26"/>
      <c r="O746" s="113"/>
      <c r="P746" s="26"/>
      <c r="Q746" s="26"/>
      <c r="R746" s="26"/>
      <c r="S746" s="26"/>
      <c r="T746" s="26"/>
      <c r="U746" s="26"/>
      <c r="V746" s="26"/>
      <c r="W746" s="26"/>
      <c r="X746" s="26"/>
      <c r="Y746" s="26"/>
      <c r="Z746" s="26"/>
      <c r="AA746" s="26"/>
      <c r="AB746" s="26"/>
      <c r="AC746" s="26"/>
      <c r="AD746" s="26"/>
      <c r="AE746" s="115"/>
      <c r="AF746" s="85"/>
      <c r="AG746" s="67"/>
      <c r="AH746" s="67"/>
      <c r="AI746" s="85"/>
      <c r="AJ746" s="85"/>
      <c r="AK746" s="85"/>
      <c r="AL746" s="85"/>
    </row>
    <row r="747" spans="1:38">
      <c r="A747" s="26"/>
      <c r="B747" s="26"/>
      <c r="C747" s="26"/>
      <c r="D747" s="26"/>
      <c r="E747" s="26"/>
      <c r="F747" s="26"/>
      <c r="G747" s="26"/>
      <c r="H747" s="26"/>
      <c r="I747" s="26"/>
      <c r="J747" s="26"/>
      <c r="K747" s="112"/>
      <c r="L747" s="26"/>
      <c r="M747" s="26"/>
      <c r="N747" s="26"/>
      <c r="O747" s="113"/>
      <c r="P747" s="26"/>
      <c r="Q747" s="26"/>
      <c r="R747" s="26"/>
      <c r="S747" s="26"/>
      <c r="T747" s="26"/>
      <c r="U747" s="26"/>
      <c r="V747" s="26"/>
      <c r="W747" s="26"/>
      <c r="X747" s="26"/>
      <c r="Y747" s="26"/>
      <c r="Z747" s="26"/>
      <c r="AA747" s="26"/>
      <c r="AB747" s="26"/>
      <c r="AC747" s="26"/>
      <c r="AD747" s="26"/>
      <c r="AE747" s="115"/>
      <c r="AF747" s="85"/>
      <c r="AG747" s="67"/>
      <c r="AH747" s="67"/>
      <c r="AI747" s="85"/>
      <c r="AJ747" s="85"/>
      <c r="AK747" s="85"/>
      <c r="AL747" s="85"/>
    </row>
    <row r="748" spans="1:38">
      <c r="A748" s="26"/>
      <c r="B748" s="26"/>
      <c r="C748" s="26"/>
      <c r="D748" s="26"/>
      <c r="E748" s="26"/>
      <c r="F748" s="26"/>
      <c r="G748" s="26"/>
      <c r="H748" s="26"/>
      <c r="I748" s="26"/>
      <c r="J748" s="26"/>
      <c r="K748" s="112"/>
      <c r="L748" s="26"/>
      <c r="M748" s="26"/>
      <c r="N748" s="26"/>
      <c r="O748" s="113"/>
      <c r="P748" s="26"/>
      <c r="Q748" s="26"/>
      <c r="R748" s="26"/>
      <c r="S748" s="26"/>
      <c r="T748" s="26"/>
      <c r="U748" s="26"/>
      <c r="V748" s="26"/>
      <c r="W748" s="26"/>
      <c r="X748" s="26"/>
      <c r="Y748" s="26"/>
      <c r="Z748" s="26"/>
      <c r="AA748" s="26"/>
      <c r="AB748" s="26"/>
      <c r="AC748" s="26"/>
      <c r="AD748" s="26"/>
      <c r="AE748" s="115"/>
      <c r="AF748" s="85"/>
      <c r="AG748" s="67"/>
      <c r="AH748" s="67"/>
      <c r="AI748" s="85"/>
      <c r="AJ748" s="85"/>
      <c r="AK748" s="85"/>
      <c r="AL748" s="85"/>
    </row>
    <row r="749" spans="1:38">
      <c r="A749" s="26"/>
      <c r="B749" s="26"/>
      <c r="C749" s="26"/>
      <c r="D749" s="26"/>
      <c r="E749" s="26"/>
      <c r="F749" s="26"/>
      <c r="G749" s="26"/>
      <c r="H749" s="26"/>
      <c r="I749" s="26"/>
      <c r="J749" s="26"/>
      <c r="K749" s="112"/>
      <c r="L749" s="26"/>
      <c r="M749" s="26"/>
      <c r="N749" s="26"/>
      <c r="O749" s="113"/>
      <c r="P749" s="26"/>
      <c r="Q749" s="26"/>
      <c r="R749" s="26"/>
      <c r="S749" s="26"/>
      <c r="T749" s="26"/>
      <c r="U749" s="26"/>
      <c r="V749" s="26"/>
      <c r="W749" s="26"/>
      <c r="X749" s="26"/>
      <c r="Y749" s="26"/>
      <c r="Z749" s="26"/>
      <c r="AA749" s="26"/>
      <c r="AB749" s="26"/>
      <c r="AC749" s="26"/>
      <c r="AD749" s="26"/>
      <c r="AE749" s="115"/>
      <c r="AF749" s="85"/>
      <c r="AG749" s="67"/>
      <c r="AH749" s="67"/>
      <c r="AI749" s="85"/>
      <c r="AJ749" s="85"/>
      <c r="AK749" s="85"/>
      <c r="AL749" s="85"/>
    </row>
    <row r="750" spans="1:38">
      <c r="A750" s="26"/>
      <c r="B750" s="26"/>
      <c r="C750" s="26"/>
      <c r="D750" s="26"/>
      <c r="E750" s="26"/>
      <c r="F750" s="26"/>
      <c r="G750" s="26"/>
      <c r="H750" s="26"/>
      <c r="I750" s="26"/>
      <c r="J750" s="26"/>
      <c r="K750" s="112"/>
      <c r="L750" s="26"/>
      <c r="M750" s="26"/>
      <c r="N750" s="26"/>
      <c r="O750" s="113"/>
      <c r="P750" s="26"/>
      <c r="Q750" s="26"/>
      <c r="R750" s="26"/>
      <c r="S750" s="26"/>
      <c r="T750" s="26"/>
      <c r="U750" s="26"/>
      <c r="V750" s="26"/>
      <c r="W750" s="26"/>
      <c r="X750" s="26"/>
      <c r="Y750" s="26"/>
      <c r="Z750" s="26"/>
      <c r="AA750" s="26"/>
      <c r="AB750" s="26"/>
      <c r="AC750" s="26"/>
      <c r="AD750" s="26"/>
      <c r="AE750" s="115"/>
      <c r="AF750" s="85"/>
      <c r="AG750" s="67"/>
      <c r="AH750" s="67"/>
      <c r="AI750" s="85"/>
      <c r="AJ750" s="85"/>
      <c r="AK750" s="85"/>
      <c r="AL750" s="85"/>
    </row>
    <row r="751" spans="1:38">
      <c r="A751" s="26"/>
      <c r="B751" s="26"/>
      <c r="C751" s="26"/>
      <c r="D751" s="26"/>
      <c r="E751" s="26"/>
      <c r="F751" s="26"/>
      <c r="G751" s="26"/>
      <c r="H751" s="26"/>
      <c r="I751" s="26"/>
      <c r="J751" s="26"/>
      <c r="K751" s="112"/>
      <c r="L751" s="26"/>
      <c r="M751" s="26"/>
      <c r="N751" s="26"/>
      <c r="O751" s="113"/>
      <c r="P751" s="26"/>
      <c r="Q751" s="26"/>
      <c r="R751" s="26"/>
      <c r="S751" s="26"/>
      <c r="T751" s="26"/>
      <c r="U751" s="26"/>
      <c r="V751" s="26"/>
      <c r="W751" s="26"/>
      <c r="X751" s="26"/>
      <c r="Y751" s="26"/>
      <c r="Z751" s="26"/>
      <c r="AA751" s="26"/>
      <c r="AB751" s="26"/>
      <c r="AC751" s="26"/>
      <c r="AD751" s="26"/>
      <c r="AE751" s="115"/>
      <c r="AF751" s="85"/>
      <c r="AG751" s="67"/>
      <c r="AH751" s="67"/>
      <c r="AI751" s="85"/>
      <c r="AJ751" s="85"/>
      <c r="AK751" s="85"/>
      <c r="AL751" s="85"/>
    </row>
    <row r="752" spans="1:38">
      <c r="A752" s="26"/>
      <c r="B752" s="26"/>
      <c r="C752" s="26"/>
      <c r="D752" s="26"/>
      <c r="E752" s="26"/>
      <c r="F752" s="26"/>
      <c r="G752" s="26"/>
      <c r="H752" s="26"/>
      <c r="I752" s="26"/>
      <c r="J752" s="26"/>
      <c r="K752" s="112"/>
      <c r="L752" s="26"/>
      <c r="M752" s="26"/>
      <c r="N752" s="26"/>
      <c r="O752" s="113"/>
      <c r="P752" s="26"/>
      <c r="Q752" s="26"/>
      <c r="R752" s="26"/>
      <c r="S752" s="26"/>
      <c r="T752" s="26"/>
      <c r="U752" s="26"/>
      <c r="V752" s="26"/>
      <c r="W752" s="26"/>
      <c r="X752" s="26"/>
      <c r="Y752" s="26"/>
      <c r="Z752" s="26"/>
      <c r="AA752" s="26"/>
      <c r="AB752" s="26"/>
      <c r="AC752" s="26"/>
      <c r="AD752" s="26"/>
      <c r="AE752" s="115"/>
      <c r="AF752" s="85"/>
      <c r="AG752" s="67"/>
      <c r="AH752" s="67"/>
      <c r="AI752" s="85"/>
      <c r="AJ752" s="85"/>
      <c r="AK752" s="85"/>
      <c r="AL752" s="85"/>
    </row>
    <row r="753" spans="1:38">
      <c r="A753" s="26"/>
      <c r="B753" s="26"/>
      <c r="C753" s="26"/>
      <c r="D753" s="26"/>
      <c r="E753" s="26"/>
      <c r="F753" s="26"/>
      <c r="G753" s="26"/>
      <c r="H753" s="26"/>
      <c r="I753" s="26"/>
      <c r="J753" s="26"/>
      <c r="K753" s="112"/>
      <c r="L753" s="26"/>
      <c r="M753" s="26"/>
      <c r="N753" s="26"/>
      <c r="O753" s="113"/>
      <c r="P753" s="26"/>
      <c r="Q753" s="26"/>
      <c r="R753" s="26"/>
      <c r="S753" s="26"/>
      <c r="T753" s="26"/>
      <c r="U753" s="26"/>
      <c r="V753" s="26"/>
      <c r="W753" s="26"/>
      <c r="X753" s="26"/>
      <c r="Y753" s="26"/>
      <c r="Z753" s="26"/>
      <c r="AA753" s="26"/>
      <c r="AB753" s="26"/>
      <c r="AC753" s="26"/>
      <c r="AD753" s="26"/>
      <c r="AE753" s="115"/>
      <c r="AF753" s="85"/>
      <c r="AG753" s="67"/>
      <c r="AH753" s="67"/>
      <c r="AI753" s="85"/>
      <c r="AJ753" s="85"/>
      <c r="AK753" s="85"/>
      <c r="AL753" s="85"/>
    </row>
    <row r="754" spans="1:38">
      <c r="A754" s="26"/>
      <c r="B754" s="26"/>
      <c r="C754" s="26"/>
      <c r="D754" s="26"/>
      <c r="E754" s="26"/>
      <c r="F754" s="26"/>
      <c r="G754" s="26"/>
      <c r="H754" s="26"/>
      <c r="I754" s="26"/>
      <c r="J754" s="26"/>
      <c r="K754" s="112"/>
      <c r="L754" s="26"/>
      <c r="M754" s="26"/>
      <c r="N754" s="26"/>
      <c r="O754" s="113"/>
      <c r="P754" s="26"/>
      <c r="Q754" s="26"/>
      <c r="R754" s="26"/>
      <c r="S754" s="26"/>
      <c r="T754" s="26"/>
      <c r="U754" s="26"/>
      <c r="V754" s="26"/>
      <c r="W754" s="26"/>
      <c r="X754" s="26"/>
      <c r="Y754" s="26"/>
      <c r="Z754" s="26"/>
      <c r="AA754" s="26"/>
      <c r="AB754" s="26"/>
      <c r="AC754" s="26"/>
      <c r="AD754" s="26"/>
      <c r="AE754" s="115"/>
      <c r="AF754" s="85"/>
      <c r="AG754" s="67"/>
      <c r="AH754" s="67"/>
      <c r="AI754" s="85"/>
      <c r="AJ754" s="85"/>
      <c r="AK754" s="85"/>
      <c r="AL754" s="85"/>
    </row>
    <row r="755" spans="1:38">
      <c r="A755" s="26"/>
      <c r="B755" s="26"/>
      <c r="C755" s="26"/>
      <c r="D755" s="26"/>
      <c r="E755" s="26"/>
      <c r="F755" s="26"/>
      <c r="G755" s="26"/>
      <c r="H755" s="26"/>
      <c r="I755" s="26"/>
      <c r="J755" s="26"/>
      <c r="K755" s="112"/>
      <c r="L755" s="26"/>
      <c r="M755" s="26"/>
      <c r="N755" s="26"/>
      <c r="O755" s="113"/>
      <c r="P755" s="26"/>
      <c r="Q755" s="26"/>
      <c r="R755" s="26"/>
      <c r="S755" s="26"/>
      <c r="T755" s="26"/>
      <c r="U755" s="26"/>
      <c r="V755" s="26"/>
      <c r="W755" s="26"/>
      <c r="X755" s="26"/>
      <c r="Y755" s="26"/>
      <c r="Z755" s="26"/>
      <c r="AA755" s="26"/>
      <c r="AB755" s="26"/>
      <c r="AC755" s="26"/>
      <c r="AD755" s="26"/>
      <c r="AE755" s="115"/>
      <c r="AF755" s="85"/>
      <c r="AG755" s="67"/>
      <c r="AH755" s="67"/>
      <c r="AI755" s="85"/>
      <c r="AJ755" s="85"/>
      <c r="AK755" s="85"/>
      <c r="AL755" s="85"/>
    </row>
    <row r="756" spans="1:38">
      <c r="A756" s="26"/>
      <c r="B756" s="26"/>
      <c r="C756" s="26"/>
      <c r="D756" s="26"/>
      <c r="E756" s="26"/>
      <c r="F756" s="26"/>
      <c r="G756" s="26"/>
      <c r="H756" s="26"/>
      <c r="I756" s="26"/>
      <c r="J756" s="26"/>
      <c r="K756" s="112"/>
      <c r="L756" s="26"/>
      <c r="M756" s="26"/>
      <c r="N756" s="26"/>
      <c r="O756" s="113"/>
      <c r="P756" s="26"/>
      <c r="Q756" s="26"/>
      <c r="R756" s="26"/>
      <c r="S756" s="26"/>
      <c r="T756" s="26"/>
      <c r="U756" s="26"/>
      <c r="V756" s="26"/>
      <c r="W756" s="26"/>
      <c r="X756" s="26"/>
      <c r="Y756" s="26"/>
      <c r="Z756" s="26"/>
      <c r="AA756" s="26"/>
      <c r="AB756" s="26"/>
      <c r="AC756" s="26"/>
      <c r="AD756" s="26"/>
      <c r="AE756" s="115"/>
      <c r="AF756" s="85"/>
      <c r="AG756" s="67"/>
      <c r="AH756" s="67"/>
      <c r="AI756" s="85"/>
      <c r="AJ756" s="85"/>
      <c r="AK756" s="85"/>
      <c r="AL756" s="85"/>
    </row>
    <row r="757" spans="1:38">
      <c r="A757" s="26"/>
      <c r="B757" s="26"/>
      <c r="C757" s="26"/>
      <c r="D757" s="26"/>
      <c r="E757" s="26"/>
      <c r="F757" s="26"/>
      <c r="G757" s="26"/>
      <c r="H757" s="26"/>
      <c r="I757" s="26"/>
      <c r="J757" s="26"/>
      <c r="K757" s="112"/>
      <c r="L757" s="26"/>
      <c r="M757" s="26"/>
      <c r="N757" s="26"/>
      <c r="O757" s="113"/>
      <c r="P757" s="26"/>
      <c r="Q757" s="26"/>
      <c r="R757" s="26"/>
      <c r="S757" s="26"/>
      <c r="T757" s="26"/>
      <c r="U757" s="26"/>
      <c r="V757" s="26"/>
      <c r="W757" s="26"/>
      <c r="X757" s="26"/>
      <c r="Y757" s="26"/>
      <c r="Z757" s="26"/>
      <c r="AA757" s="26"/>
      <c r="AB757" s="26"/>
      <c r="AC757" s="26"/>
      <c r="AD757" s="26"/>
      <c r="AE757" s="115"/>
      <c r="AF757" s="85"/>
      <c r="AG757" s="67"/>
      <c r="AH757" s="67"/>
      <c r="AI757" s="85"/>
      <c r="AJ757" s="85"/>
      <c r="AK757" s="85"/>
      <c r="AL757" s="85"/>
    </row>
    <row r="758" spans="1:38">
      <c r="A758" s="26"/>
      <c r="B758" s="26"/>
      <c r="C758" s="26"/>
      <c r="D758" s="26"/>
      <c r="E758" s="26"/>
      <c r="F758" s="26"/>
      <c r="G758" s="26"/>
      <c r="H758" s="26"/>
      <c r="I758" s="26"/>
      <c r="J758" s="26"/>
      <c r="K758" s="112"/>
      <c r="L758" s="26"/>
      <c r="M758" s="26"/>
      <c r="N758" s="26"/>
      <c r="O758" s="113"/>
      <c r="P758" s="26"/>
      <c r="Q758" s="26"/>
      <c r="R758" s="26"/>
      <c r="S758" s="26"/>
      <c r="T758" s="26"/>
      <c r="U758" s="26"/>
      <c r="V758" s="26"/>
      <c r="W758" s="26"/>
      <c r="X758" s="26"/>
      <c r="Y758" s="26"/>
      <c r="Z758" s="26"/>
      <c r="AA758" s="26"/>
      <c r="AB758" s="26"/>
      <c r="AC758" s="26"/>
      <c r="AD758" s="26"/>
      <c r="AE758" s="115"/>
      <c r="AF758" s="85"/>
      <c r="AG758" s="67"/>
      <c r="AH758" s="67"/>
      <c r="AI758" s="85"/>
      <c r="AJ758" s="85"/>
      <c r="AK758" s="85"/>
      <c r="AL758" s="85"/>
    </row>
    <row r="759" spans="1:38">
      <c r="A759" s="26"/>
      <c r="B759" s="26"/>
      <c r="C759" s="26"/>
      <c r="D759" s="26"/>
      <c r="E759" s="26"/>
      <c r="F759" s="26"/>
      <c r="G759" s="26"/>
      <c r="H759" s="26"/>
      <c r="I759" s="26"/>
      <c r="J759" s="26"/>
      <c r="K759" s="112"/>
      <c r="L759" s="26"/>
      <c r="M759" s="26"/>
      <c r="N759" s="26"/>
      <c r="O759" s="113"/>
      <c r="P759" s="26"/>
      <c r="Q759" s="26"/>
      <c r="R759" s="26"/>
      <c r="S759" s="26"/>
      <c r="T759" s="26"/>
      <c r="U759" s="26"/>
      <c r="V759" s="26"/>
      <c r="W759" s="26"/>
      <c r="X759" s="26"/>
      <c r="Y759" s="26"/>
      <c r="Z759" s="26"/>
      <c r="AA759" s="26"/>
      <c r="AB759" s="26"/>
      <c r="AC759" s="26"/>
      <c r="AD759" s="26"/>
      <c r="AE759" s="115"/>
      <c r="AF759" s="85"/>
      <c r="AG759" s="67"/>
      <c r="AH759" s="67"/>
      <c r="AI759" s="85"/>
      <c r="AJ759" s="85"/>
      <c r="AK759" s="85"/>
      <c r="AL759" s="85"/>
    </row>
    <row r="760" spans="1:38">
      <c r="A760" s="26"/>
      <c r="B760" s="26"/>
      <c r="C760" s="26"/>
      <c r="D760" s="26"/>
      <c r="E760" s="26"/>
      <c r="F760" s="26"/>
      <c r="G760" s="26"/>
      <c r="H760" s="26"/>
      <c r="I760" s="26"/>
      <c r="J760" s="26"/>
      <c r="K760" s="112"/>
      <c r="L760" s="26"/>
      <c r="M760" s="26"/>
      <c r="N760" s="26"/>
      <c r="O760" s="113"/>
      <c r="P760" s="26"/>
      <c r="Q760" s="26"/>
      <c r="R760" s="26"/>
      <c r="S760" s="26"/>
      <c r="T760" s="26"/>
      <c r="U760" s="26"/>
      <c r="V760" s="26"/>
      <c r="W760" s="26"/>
      <c r="X760" s="26"/>
      <c r="Y760" s="26"/>
      <c r="Z760" s="26"/>
      <c r="AA760" s="26"/>
      <c r="AB760" s="26"/>
      <c r="AC760" s="26"/>
      <c r="AD760" s="26"/>
      <c r="AE760" s="115"/>
      <c r="AF760" s="85"/>
      <c r="AG760" s="67"/>
      <c r="AH760" s="67"/>
      <c r="AI760" s="85"/>
      <c r="AJ760" s="85"/>
      <c r="AK760" s="85"/>
      <c r="AL760" s="85"/>
    </row>
    <row r="761" spans="1:38">
      <c r="A761" s="26"/>
      <c r="B761" s="26"/>
      <c r="C761" s="26"/>
      <c r="D761" s="26"/>
      <c r="E761" s="26"/>
      <c r="F761" s="26"/>
      <c r="G761" s="26"/>
      <c r="H761" s="26"/>
      <c r="I761" s="26"/>
      <c r="J761" s="26"/>
      <c r="K761" s="112"/>
      <c r="L761" s="26"/>
      <c r="M761" s="26"/>
      <c r="N761" s="26"/>
      <c r="O761" s="113"/>
      <c r="P761" s="26"/>
      <c r="Q761" s="26"/>
      <c r="R761" s="26"/>
      <c r="S761" s="26"/>
      <c r="T761" s="26"/>
      <c r="U761" s="26"/>
      <c r="V761" s="26"/>
      <c r="W761" s="26"/>
      <c r="X761" s="26"/>
      <c r="Y761" s="26"/>
      <c r="Z761" s="26"/>
      <c r="AA761" s="26"/>
      <c r="AB761" s="26"/>
      <c r="AC761" s="26"/>
      <c r="AD761" s="26"/>
      <c r="AE761" s="115"/>
      <c r="AF761" s="85"/>
      <c r="AG761" s="67"/>
      <c r="AH761" s="67"/>
      <c r="AI761" s="85"/>
      <c r="AJ761" s="85"/>
      <c r="AK761" s="85"/>
      <c r="AL761" s="85"/>
    </row>
    <row r="762" spans="1:38">
      <c r="A762" s="26"/>
      <c r="B762" s="26"/>
      <c r="C762" s="26"/>
      <c r="D762" s="26"/>
      <c r="E762" s="26"/>
      <c r="F762" s="26"/>
      <c r="G762" s="26"/>
      <c r="H762" s="26"/>
      <c r="I762" s="26"/>
      <c r="J762" s="26"/>
      <c r="K762" s="112"/>
      <c r="L762" s="26"/>
      <c r="M762" s="26"/>
      <c r="N762" s="26"/>
      <c r="O762" s="113"/>
      <c r="P762" s="26"/>
      <c r="Q762" s="26"/>
      <c r="R762" s="26"/>
      <c r="S762" s="26"/>
      <c r="T762" s="26"/>
      <c r="U762" s="26"/>
      <c r="V762" s="26"/>
      <c r="W762" s="26"/>
      <c r="X762" s="26"/>
      <c r="Y762" s="26"/>
      <c r="Z762" s="26"/>
      <c r="AA762" s="26"/>
      <c r="AB762" s="26"/>
      <c r="AC762" s="26"/>
      <c r="AD762" s="26"/>
      <c r="AE762" s="115"/>
      <c r="AF762" s="85"/>
      <c r="AG762" s="67"/>
      <c r="AH762" s="67"/>
      <c r="AI762" s="85"/>
      <c r="AJ762" s="85"/>
      <c r="AK762" s="85"/>
      <c r="AL762" s="85"/>
    </row>
    <row r="763" spans="1:38">
      <c r="A763" s="26"/>
      <c r="B763" s="26"/>
      <c r="C763" s="26"/>
      <c r="D763" s="26"/>
      <c r="E763" s="26"/>
      <c r="F763" s="26"/>
      <c r="G763" s="26"/>
      <c r="H763" s="26"/>
      <c r="I763" s="26"/>
      <c r="J763" s="26"/>
      <c r="K763" s="112"/>
      <c r="L763" s="26"/>
      <c r="M763" s="26"/>
      <c r="N763" s="26"/>
      <c r="O763" s="113"/>
      <c r="P763" s="26"/>
      <c r="Q763" s="26"/>
      <c r="R763" s="26"/>
      <c r="S763" s="26"/>
      <c r="T763" s="26"/>
      <c r="U763" s="26"/>
      <c r="V763" s="26"/>
      <c r="W763" s="26"/>
      <c r="X763" s="26"/>
      <c r="Y763" s="26"/>
      <c r="Z763" s="26"/>
      <c r="AA763" s="26"/>
      <c r="AB763" s="26"/>
      <c r="AC763" s="26"/>
      <c r="AD763" s="26"/>
      <c r="AE763" s="115"/>
      <c r="AF763" s="85"/>
      <c r="AG763" s="67"/>
      <c r="AH763" s="67"/>
      <c r="AI763" s="85"/>
      <c r="AJ763" s="85"/>
      <c r="AK763" s="85"/>
      <c r="AL763" s="85"/>
    </row>
    <row r="764" spans="1:38">
      <c r="A764" s="26"/>
      <c r="B764" s="26"/>
      <c r="C764" s="26"/>
      <c r="D764" s="26"/>
      <c r="E764" s="26"/>
      <c r="F764" s="26"/>
      <c r="G764" s="26"/>
      <c r="H764" s="26"/>
      <c r="I764" s="26"/>
      <c r="J764" s="26"/>
      <c r="K764" s="112"/>
      <c r="L764" s="26"/>
      <c r="M764" s="26"/>
      <c r="N764" s="26"/>
      <c r="O764" s="113"/>
      <c r="P764" s="26"/>
      <c r="Q764" s="26"/>
      <c r="R764" s="26"/>
      <c r="S764" s="26"/>
      <c r="T764" s="26"/>
      <c r="U764" s="26"/>
      <c r="V764" s="26"/>
      <c r="W764" s="26"/>
      <c r="X764" s="26"/>
      <c r="Y764" s="26"/>
      <c r="Z764" s="26"/>
      <c r="AA764" s="26"/>
      <c r="AB764" s="26"/>
      <c r="AC764" s="26"/>
      <c r="AD764" s="26"/>
      <c r="AE764" s="115"/>
      <c r="AF764" s="85"/>
      <c r="AG764" s="67"/>
      <c r="AH764" s="67"/>
      <c r="AI764" s="85"/>
      <c r="AJ764" s="85"/>
      <c r="AK764" s="85"/>
      <c r="AL764" s="85"/>
    </row>
    <row r="765" spans="1:38">
      <c r="A765" s="26"/>
      <c r="B765" s="26"/>
      <c r="C765" s="26"/>
      <c r="D765" s="26"/>
      <c r="E765" s="26"/>
      <c r="F765" s="26"/>
      <c r="G765" s="26"/>
      <c r="H765" s="26"/>
      <c r="I765" s="26"/>
      <c r="J765" s="26"/>
      <c r="K765" s="112"/>
      <c r="L765" s="26"/>
      <c r="M765" s="26"/>
      <c r="N765" s="26"/>
      <c r="O765" s="113"/>
      <c r="P765" s="26"/>
      <c r="Q765" s="26"/>
      <c r="R765" s="26"/>
      <c r="S765" s="26"/>
      <c r="T765" s="26"/>
      <c r="U765" s="26"/>
      <c r="V765" s="26"/>
      <c r="W765" s="26"/>
      <c r="X765" s="26"/>
      <c r="Y765" s="26"/>
      <c r="Z765" s="26"/>
      <c r="AA765" s="26"/>
      <c r="AB765" s="26"/>
      <c r="AC765" s="26"/>
      <c r="AD765" s="26"/>
      <c r="AE765" s="115"/>
      <c r="AF765" s="85"/>
      <c r="AG765" s="67"/>
      <c r="AH765" s="67"/>
      <c r="AI765" s="85"/>
      <c r="AJ765" s="85"/>
      <c r="AK765" s="85"/>
      <c r="AL765" s="85"/>
    </row>
    <row r="766" spans="1:38">
      <c r="A766" s="26"/>
      <c r="B766" s="26"/>
      <c r="C766" s="26"/>
      <c r="D766" s="26"/>
      <c r="E766" s="26"/>
      <c r="F766" s="26"/>
      <c r="G766" s="26"/>
      <c r="H766" s="26"/>
      <c r="I766" s="26"/>
      <c r="J766" s="26"/>
      <c r="K766" s="112"/>
      <c r="L766" s="26"/>
      <c r="M766" s="26"/>
      <c r="N766" s="26"/>
      <c r="O766" s="113"/>
      <c r="P766" s="26"/>
      <c r="Q766" s="26"/>
      <c r="R766" s="26"/>
      <c r="S766" s="26"/>
      <c r="T766" s="26"/>
      <c r="U766" s="26"/>
      <c r="V766" s="26"/>
      <c r="W766" s="26"/>
      <c r="X766" s="26"/>
      <c r="Y766" s="26"/>
      <c r="Z766" s="26"/>
      <c r="AA766" s="26"/>
      <c r="AB766" s="26"/>
      <c r="AC766" s="26"/>
      <c r="AD766" s="26"/>
      <c r="AE766" s="115"/>
      <c r="AF766" s="85"/>
      <c r="AG766" s="67"/>
      <c r="AH766" s="67"/>
      <c r="AI766" s="85"/>
      <c r="AJ766" s="85"/>
      <c r="AK766" s="85"/>
      <c r="AL766" s="85"/>
    </row>
    <row r="767" spans="1:38">
      <c r="A767" s="26"/>
      <c r="B767" s="26"/>
      <c r="C767" s="26"/>
      <c r="D767" s="26"/>
      <c r="E767" s="26"/>
      <c r="F767" s="26"/>
      <c r="G767" s="26"/>
      <c r="H767" s="26"/>
      <c r="I767" s="26"/>
      <c r="J767" s="26"/>
      <c r="K767" s="112"/>
      <c r="L767" s="26"/>
      <c r="M767" s="26"/>
      <c r="N767" s="26"/>
      <c r="O767" s="113"/>
      <c r="P767" s="26"/>
      <c r="Q767" s="26"/>
      <c r="R767" s="26"/>
      <c r="S767" s="26"/>
      <c r="T767" s="26"/>
      <c r="U767" s="26"/>
      <c r="V767" s="26"/>
      <c r="W767" s="26"/>
      <c r="X767" s="26"/>
      <c r="Y767" s="26"/>
      <c r="Z767" s="26"/>
      <c r="AA767" s="26"/>
      <c r="AB767" s="26"/>
      <c r="AC767" s="26"/>
      <c r="AD767" s="26"/>
      <c r="AE767" s="115"/>
      <c r="AF767" s="85"/>
      <c r="AG767" s="67"/>
      <c r="AH767" s="67"/>
      <c r="AI767" s="85"/>
      <c r="AJ767" s="85"/>
      <c r="AK767" s="85"/>
      <c r="AL767" s="85"/>
    </row>
    <row r="768" spans="1:38">
      <c r="A768" s="26"/>
      <c r="B768" s="26"/>
      <c r="C768" s="26"/>
      <c r="D768" s="26"/>
      <c r="E768" s="26"/>
      <c r="F768" s="26"/>
      <c r="G768" s="26"/>
      <c r="H768" s="26"/>
      <c r="I768" s="26"/>
      <c r="J768" s="26"/>
      <c r="K768" s="112"/>
      <c r="L768" s="26"/>
      <c r="M768" s="26"/>
      <c r="N768" s="26"/>
      <c r="O768" s="113"/>
      <c r="P768" s="26"/>
      <c r="Q768" s="26"/>
      <c r="R768" s="26"/>
      <c r="S768" s="26"/>
      <c r="T768" s="26"/>
      <c r="U768" s="26"/>
      <c r="V768" s="26"/>
      <c r="W768" s="26"/>
      <c r="X768" s="26"/>
      <c r="Y768" s="26"/>
      <c r="Z768" s="26"/>
      <c r="AA768" s="26"/>
      <c r="AB768" s="26"/>
      <c r="AC768" s="26"/>
      <c r="AD768" s="26"/>
      <c r="AE768" s="115"/>
      <c r="AF768" s="85"/>
      <c r="AG768" s="67"/>
      <c r="AH768" s="67"/>
      <c r="AI768" s="85"/>
      <c r="AJ768" s="85"/>
      <c r="AK768" s="85"/>
      <c r="AL768" s="85"/>
    </row>
    <row r="769" spans="1:38">
      <c r="A769" s="26"/>
      <c r="B769" s="26"/>
      <c r="C769" s="26"/>
      <c r="D769" s="26"/>
      <c r="E769" s="26"/>
      <c r="F769" s="26"/>
      <c r="G769" s="26"/>
      <c r="H769" s="26"/>
      <c r="I769" s="26"/>
      <c r="J769" s="26"/>
      <c r="K769" s="112"/>
      <c r="L769" s="26"/>
      <c r="M769" s="26"/>
      <c r="N769" s="26"/>
      <c r="O769" s="113"/>
      <c r="P769" s="26"/>
      <c r="Q769" s="26"/>
      <c r="R769" s="26"/>
      <c r="S769" s="26"/>
      <c r="T769" s="26"/>
      <c r="U769" s="26"/>
      <c r="V769" s="26"/>
      <c r="W769" s="26"/>
      <c r="X769" s="26"/>
      <c r="Y769" s="26"/>
      <c r="Z769" s="26"/>
      <c r="AA769" s="26"/>
      <c r="AB769" s="26"/>
      <c r="AC769" s="26"/>
      <c r="AD769" s="26"/>
      <c r="AE769" s="115"/>
      <c r="AF769" s="85"/>
      <c r="AG769" s="67"/>
      <c r="AH769" s="67"/>
      <c r="AI769" s="85"/>
      <c r="AJ769" s="85"/>
      <c r="AK769" s="85"/>
      <c r="AL769" s="85"/>
    </row>
    <row r="770" spans="1:38">
      <c r="A770" s="26"/>
      <c r="B770" s="26"/>
      <c r="C770" s="26"/>
      <c r="D770" s="26"/>
      <c r="E770" s="26"/>
      <c r="F770" s="26"/>
      <c r="G770" s="26"/>
      <c r="H770" s="26"/>
      <c r="I770" s="26"/>
      <c r="J770" s="26"/>
      <c r="K770" s="112"/>
      <c r="L770" s="26"/>
      <c r="M770" s="26"/>
      <c r="N770" s="26"/>
      <c r="O770" s="113"/>
      <c r="P770" s="26"/>
      <c r="Q770" s="26"/>
      <c r="R770" s="26"/>
      <c r="S770" s="26"/>
      <c r="T770" s="26"/>
      <c r="U770" s="26"/>
      <c r="V770" s="26"/>
      <c r="W770" s="26"/>
      <c r="X770" s="26"/>
      <c r="Y770" s="26"/>
      <c r="Z770" s="26"/>
      <c r="AA770" s="26"/>
      <c r="AB770" s="26"/>
      <c r="AC770" s="26"/>
      <c r="AD770" s="26"/>
      <c r="AE770" s="115"/>
      <c r="AF770" s="85"/>
      <c r="AG770" s="67"/>
      <c r="AH770" s="67"/>
      <c r="AI770" s="85"/>
      <c r="AJ770" s="85"/>
      <c r="AK770" s="85"/>
      <c r="AL770" s="85"/>
    </row>
    <row r="771" spans="1:38">
      <c r="A771" s="26"/>
      <c r="B771" s="26"/>
      <c r="C771" s="26"/>
      <c r="D771" s="26"/>
      <c r="E771" s="26"/>
      <c r="F771" s="26"/>
      <c r="G771" s="26"/>
      <c r="H771" s="26"/>
      <c r="I771" s="26"/>
      <c r="J771" s="26"/>
      <c r="K771" s="112"/>
      <c r="L771" s="26"/>
      <c r="M771" s="26"/>
      <c r="N771" s="26"/>
      <c r="O771" s="113"/>
      <c r="P771" s="26"/>
      <c r="Q771" s="26"/>
      <c r="R771" s="26"/>
      <c r="S771" s="26"/>
      <c r="T771" s="26"/>
      <c r="U771" s="26"/>
      <c r="V771" s="26"/>
      <c r="W771" s="26"/>
      <c r="X771" s="26"/>
      <c r="Y771" s="26"/>
      <c r="Z771" s="26"/>
      <c r="AA771" s="26"/>
      <c r="AB771" s="26"/>
      <c r="AC771" s="26"/>
      <c r="AD771" s="26"/>
      <c r="AE771" s="115"/>
      <c r="AF771" s="85"/>
      <c r="AG771" s="67"/>
      <c r="AH771" s="67"/>
      <c r="AI771" s="85"/>
      <c r="AJ771" s="85"/>
      <c r="AK771" s="85"/>
      <c r="AL771" s="85"/>
    </row>
    <row r="772" spans="1:38">
      <c r="A772" s="26"/>
      <c r="B772" s="26"/>
      <c r="C772" s="26"/>
      <c r="D772" s="26"/>
      <c r="E772" s="26"/>
      <c r="F772" s="26"/>
      <c r="G772" s="26"/>
      <c r="H772" s="26"/>
      <c r="I772" s="26"/>
      <c r="J772" s="26"/>
      <c r="K772" s="112"/>
      <c r="L772" s="26"/>
      <c r="M772" s="26"/>
      <c r="N772" s="26"/>
      <c r="O772" s="113"/>
      <c r="P772" s="26"/>
      <c r="Q772" s="26"/>
      <c r="R772" s="26"/>
      <c r="S772" s="26"/>
      <c r="T772" s="26"/>
      <c r="U772" s="26"/>
      <c r="V772" s="26"/>
      <c r="W772" s="26"/>
      <c r="X772" s="26"/>
      <c r="Y772" s="26"/>
      <c r="Z772" s="26"/>
      <c r="AA772" s="26"/>
      <c r="AB772" s="26"/>
      <c r="AC772" s="26"/>
      <c r="AD772" s="26"/>
      <c r="AE772" s="115"/>
      <c r="AF772" s="85"/>
      <c r="AG772" s="67"/>
      <c r="AH772" s="67"/>
      <c r="AI772" s="85"/>
      <c r="AJ772" s="85"/>
      <c r="AK772" s="85"/>
      <c r="AL772" s="85"/>
    </row>
    <row r="773" spans="1:38">
      <c r="A773" s="26"/>
      <c r="B773" s="26"/>
      <c r="C773" s="26"/>
      <c r="D773" s="26"/>
      <c r="E773" s="26"/>
      <c r="F773" s="26"/>
      <c r="G773" s="26"/>
      <c r="H773" s="26"/>
      <c r="I773" s="26"/>
      <c r="J773" s="26"/>
      <c r="K773" s="112"/>
      <c r="L773" s="26"/>
      <c r="M773" s="26"/>
      <c r="N773" s="26"/>
      <c r="O773" s="113"/>
      <c r="P773" s="26"/>
      <c r="Q773" s="26"/>
      <c r="R773" s="26"/>
      <c r="S773" s="26"/>
      <c r="T773" s="26"/>
      <c r="U773" s="26"/>
      <c r="V773" s="26"/>
      <c r="W773" s="26"/>
      <c r="X773" s="26"/>
      <c r="Y773" s="26"/>
      <c r="Z773" s="26"/>
      <c r="AA773" s="26"/>
      <c r="AB773" s="26"/>
      <c r="AC773" s="26"/>
      <c r="AD773" s="26"/>
      <c r="AE773" s="115"/>
      <c r="AF773" s="85"/>
      <c r="AG773" s="67"/>
      <c r="AH773" s="67"/>
      <c r="AI773" s="85"/>
      <c r="AJ773" s="85"/>
      <c r="AK773" s="85"/>
      <c r="AL773" s="85"/>
    </row>
    <row r="774" spans="1:38">
      <c r="A774" s="26"/>
      <c r="B774" s="26"/>
      <c r="C774" s="26"/>
      <c r="D774" s="26"/>
      <c r="E774" s="26"/>
      <c r="F774" s="26"/>
      <c r="G774" s="26"/>
      <c r="H774" s="26"/>
      <c r="I774" s="26"/>
      <c r="J774" s="26"/>
      <c r="K774" s="112"/>
      <c r="L774" s="26"/>
      <c r="M774" s="26"/>
      <c r="N774" s="26"/>
      <c r="O774" s="113"/>
      <c r="P774" s="26"/>
      <c r="Q774" s="26"/>
      <c r="R774" s="26"/>
      <c r="S774" s="26"/>
      <c r="T774" s="26"/>
      <c r="U774" s="26"/>
      <c r="V774" s="26"/>
      <c r="W774" s="26"/>
      <c r="X774" s="26"/>
      <c r="Y774" s="26"/>
      <c r="Z774" s="26"/>
      <c r="AA774" s="26"/>
      <c r="AB774" s="26"/>
      <c r="AC774" s="26"/>
      <c r="AD774" s="26"/>
      <c r="AE774" s="115"/>
      <c r="AF774" s="85"/>
      <c r="AG774" s="67"/>
      <c r="AH774" s="67"/>
      <c r="AI774" s="85"/>
      <c r="AJ774" s="85"/>
      <c r="AK774" s="85"/>
      <c r="AL774" s="85"/>
    </row>
    <row r="775" spans="1:38">
      <c r="A775" s="26"/>
      <c r="B775" s="26"/>
      <c r="C775" s="26"/>
      <c r="D775" s="26"/>
      <c r="E775" s="26"/>
      <c r="F775" s="26"/>
      <c r="G775" s="26"/>
      <c r="H775" s="26"/>
      <c r="I775" s="26"/>
      <c r="J775" s="26"/>
      <c r="K775" s="112"/>
      <c r="L775" s="26"/>
      <c r="M775" s="26"/>
      <c r="N775" s="26"/>
      <c r="O775" s="113"/>
      <c r="P775" s="26"/>
      <c r="Q775" s="26"/>
      <c r="R775" s="26"/>
      <c r="S775" s="26"/>
      <c r="T775" s="26"/>
      <c r="U775" s="26"/>
      <c r="V775" s="26"/>
      <c r="W775" s="26"/>
      <c r="X775" s="26"/>
      <c r="Y775" s="26"/>
      <c r="Z775" s="26"/>
      <c r="AA775" s="26"/>
      <c r="AB775" s="26"/>
      <c r="AC775" s="26"/>
      <c r="AD775" s="26"/>
      <c r="AE775" s="115"/>
      <c r="AF775" s="85"/>
      <c r="AG775" s="67"/>
      <c r="AH775" s="67"/>
      <c r="AI775" s="85"/>
      <c r="AJ775" s="85"/>
      <c r="AK775" s="85"/>
      <c r="AL775" s="85"/>
    </row>
    <row r="776" spans="1:38">
      <c r="A776" s="26"/>
      <c r="B776" s="26"/>
      <c r="C776" s="26"/>
      <c r="D776" s="26"/>
      <c r="E776" s="26"/>
      <c r="F776" s="26"/>
      <c r="G776" s="26"/>
      <c r="H776" s="26"/>
      <c r="I776" s="26"/>
      <c r="J776" s="26"/>
      <c r="K776" s="112"/>
      <c r="L776" s="26"/>
      <c r="M776" s="26"/>
      <c r="N776" s="26"/>
      <c r="O776" s="113"/>
      <c r="P776" s="26"/>
      <c r="Q776" s="26"/>
      <c r="R776" s="26"/>
      <c r="S776" s="26"/>
      <c r="T776" s="26"/>
      <c r="U776" s="26"/>
      <c r="V776" s="26"/>
      <c r="W776" s="26"/>
      <c r="X776" s="26"/>
      <c r="Y776" s="26"/>
      <c r="Z776" s="26"/>
      <c r="AA776" s="26"/>
      <c r="AB776" s="26"/>
      <c r="AC776" s="26"/>
      <c r="AD776" s="26"/>
      <c r="AE776" s="115"/>
      <c r="AF776" s="85"/>
      <c r="AG776" s="67"/>
      <c r="AH776" s="67"/>
      <c r="AI776" s="85"/>
      <c r="AJ776" s="85"/>
      <c r="AK776" s="85"/>
      <c r="AL776" s="85"/>
    </row>
    <row r="777" spans="1:38">
      <c r="A777" s="26"/>
      <c r="B777" s="26"/>
      <c r="C777" s="26"/>
      <c r="D777" s="26"/>
      <c r="E777" s="26"/>
      <c r="F777" s="26"/>
      <c r="G777" s="26"/>
      <c r="H777" s="26"/>
      <c r="I777" s="26"/>
      <c r="J777" s="26"/>
      <c r="K777" s="112"/>
      <c r="L777" s="26"/>
      <c r="M777" s="26"/>
      <c r="N777" s="26"/>
      <c r="O777" s="113"/>
      <c r="P777" s="26"/>
      <c r="Q777" s="26"/>
      <c r="R777" s="26"/>
      <c r="S777" s="26"/>
      <c r="T777" s="26"/>
      <c r="U777" s="26"/>
      <c r="V777" s="26"/>
      <c r="W777" s="26"/>
      <c r="X777" s="26"/>
      <c r="Y777" s="26"/>
      <c r="Z777" s="26"/>
      <c r="AA777" s="26"/>
      <c r="AB777" s="26"/>
      <c r="AC777" s="26"/>
      <c r="AD777" s="26"/>
      <c r="AE777" s="115"/>
      <c r="AF777" s="85"/>
      <c r="AG777" s="67"/>
      <c r="AH777" s="67"/>
      <c r="AI777" s="85"/>
      <c r="AJ777" s="85"/>
      <c r="AK777" s="85"/>
      <c r="AL777" s="85"/>
    </row>
    <row r="778" spans="1:38">
      <c r="A778" s="26"/>
      <c r="B778" s="26"/>
      <c r="C778" s="26"/>
      <c r="D778" s="26"/>
      <c r="E778" s="26"/>
      <c r="F778" s="26"/>
      <c r="G778" s="26"/>
      <c r="H778" s="26"/>
      <c r="I778" s="26"/>
      <c r="J778" s="26"/>
      <c r="K778" s="112"/>
      <c r="L778" s="26"/>
      <c r="M778" s="26"/>
      <c r="N778" s="26"/>
      <c r="O778" s="113"/>
      <c r="P778" s="26"/>
      <c r="Q778" s="26"/>
      <c r="R778" s="26"/>
      <c r="S778" s="26"/>
      <c r="T778" s="26"/>
      <c r="U778" s="26"/>
      <c r="V778" s="26"/>
      <c r="W778" s="26"/>
      <c r="X778" s="26"/>
      <c r="Y778" s="26"/>
      <c r="Z778" s="26"/>
      <c r="AA778" s="26"/>
      <c r="AB778" s="26"/>
      <c r="AC778" s="26"/>
      <c r="AD778" s="26"/>
      <c r="AE778" s="115"/>
      <c r="AF778" s="85"/>
      <c r="AG778" s="67"/>
      <c r="AH778" s="67"/>
      <c r="AI778" s="85"/>
      <c r="AJ778" s="85"/>
      <c r="AK778" s="85"/>
      <c r="AL778" s="85"/>
    </row>
    <row r="779" spans="1:38">
      <c r="A779" s="26"/>
      <c r="B779" s="26"/>
      <c r="C779" s="26"/>
      <c r="D779" s="26"/>
      <c r="E779" s="26"/>
      <c r="F779" s="26"/>
      <c r="G779" s="26"/>
      <c r="H779" s="26"/>
      <c r="I779" s="26"/>
      <c r="J779" s="26"/>
      <c r="K779" s="112"/>
      <c r="L779" s="26"/>
      <c r="M779" s="26"/>
      <c r="N779" s="26"/>
      <c r="O779" s="113"/>
      <c r="P779" s="26"/>
      <c r="Q779" s="26"/>
      <c r="R779" s="26"/>
      <c r="S779" s="26"/>
      <c r="T779" s="26"/>
      <c r="U779" s="26"/>
      <c r="V779" s="26"/>
      <c r="W779" s="26"/>
      <c r="X779" s="26"/>
      <c r="Y779" s="26"/>
      <c r="Z779" s="26"/>
      <c r="AA779" s="26"/>
      <c r="AB779" s="26"/>
      <c r="AC779" s="26"/>
      <c r="AD779" s="26"/>
      <c r="AE779" s="115"/>
      <c r="AF779" s="85"/>
      <c r="AG779" s="67"/>
      <c r="AH779" s="67"/>
      <c r="AI779" s="85"/>
      <c r="AJ779" s="85"/>
      <c r="AK779" s="85"/>
      <c r="AL779" s="85"/>
    </row>
    <row r="780" spans="1:38">
      <c r="A780" s="26"/>
      <c r="B780" s="26"/>
      <c r="C780" s="26"/>
      <c r="D780" s="26"/>
      <c r="E780" s="26"/>
      <c r="F780" s="26"/>
      <c r="G780" s="26"/>
      <c r="H780" s="26"/>
      <c r="I780" s="26"/>
      <c r="J780" s="26"/>
      <c r="K780" s="112"/>
      <c r="L780" s="26"/>
      <c r="M780" s="26"/>
      <c r="N780" s="26"/>
      <c r="O780" s="113"/>
      <c r="P780" s="26"/>
      <c r="Q780" s="26"/>
      <c r="R780" s="26"/>
      <c r="S780" s="26"/>
      <c r="T780" s="26"/>
      <c r="U780" s="26"/>
      <c r="V780" s="26"/>
      <c r="W780" s="26"/>
      <c r="X780" s="26"/>
      <c r="Y780" s="26"/>
      <c r="Z780" s="26"/>
      <c r="AA780" s="26"/>
      <c r="AB780" s="26"/>
      <c r="AC780" s="26"/>
      <c r="AD780" s="26"/>
      <c r="AE780" s="115"/>
      <c r="AF780" s="85"/>
      <c r="AG780" s="67"/>
      <c r="AH780" s="67"/>
      <c r="AI780" s="85"/>
      <c r="AJ780" s="85"/>
      <c r="AK780" s="85"/>
      <c r="AL780" s="85"/>
    </row>
    <row r="781" spans="1:38">
      <c r="A781" s="26"/>
      <c r="B781" s="26"/>
      <c r="C781" s="26"/>
      <c r="D781" s="26"/>
      <c r="E781" s="26"/>
      <c r="F781" s="26"/>
      <c r="G781" s="26"/>
      <c r="H781" s="26"/>
      <c r="I781" s="26"/>
      <c r="J781" s="26"/>
      <c r="K781" s="112"/>
      <c r="L781" s="26"/>
      <c r="M781" s="26"/>
      <c r="N781" s="26"/>
      <c r="O781" s="113"/>
      <c r="P781" s="26"/>
      <c r="Q781" s="26"/>
      <c r="R781" s="26"/>
      <c r="S781" s="26"/>
      <c r="T781" s="26"/>
      <c r="U781" s="26"/>
      <c r="V781" s="26"/>
      <c r="W781" s="26"/>
      <c r="X781" s="26"/>
      <c r="Y781" s="26"/>
      <c r="Z781" s="26"/>
      <c r="AA781" s="26"/>
      <c r="AB781" s="26"/>
      <c r="AC781" s="26"/>
      <c r="AD781" s="26"/>
      <c r="AE781" s="115"/>
      <c r="AF781" s="85"/>
      <c r="AG781" s="67"/>
      <c r="AH781" s="67"/>
      <c r="AI781" s="85"/>
      <c r="AJ781" s="85"/>
      <c r="AK781" s="85"/>
      <c r="AL781" s="85"/>
    </row>
    <row r="782" spans="1:38">
      <c r="A782" s="26"/>
      <c r="B782" s="26"/>
      <c r="C782" s="26"/>
      <c r="D782" s="26"/>
      <c r="E782" s="26"/>
      <c r="F782" s="26"/>
      <c r="G782" s="26"/>
      <c r="H782" s="26"/>
      <c r="I782" s="26"/>
      <c r="J782" s="26"/>
      <c r="K782" s="112"/>
      <c r="L782" s="26"/>
      <c r="M782" s="26"/>
      <c r="N782" s="26"/>
      <c r="O782" s="113"/>
      <c r="P782" s="26"/>
      <c r="Q782" s="26"/>
      <c r="R782" s="26"/>
      <c r="S782" s="26"/>
      <c r="T782" s="26"/>
      <c r="U782" s="26"/>
      <c r="V782" s="26"/>
      <c r="W782" s="26"/>
      <c r="X782" s="26"/>
      <c r="Y782" s="26"/>
      <c r="Z782" s="26"/>
      <c r="AA782" s="26"/>
      <c r="AB782" s="26"/>
      <c r="AC782" s="26"/>
      <c r="AD782" s="26"/>
      <c r="AE782" s="115"/>
      <c r="AF782" s="85"/>
      <c r="AG782" s="67"/>
      <c r="AH782" s="67"/>
      <c r="AI782" s="85"/>
      <c r="AJ782" s="85"/>
      <c r="AK782" s="85"/>
      <c r="AL782" s="85"/>
    </row>
    <row r="783" spans="1:38">
      <c r="A783" s="26"/>
      <c r="B783" s="26"/>
      <c r="C783" s="26"/>
      <c r="D783" s="26"/>
      <c r="E783" s="26"/>
      <c r="F783" s="26"/>
      <c r="G783" s="26"/>
      <c r="H783" s="26"/>
      <c r="I783" s="26"/>
      <c r="J783" s="26"/>
      <c r="K783" s="112"/>
      <c r="L783" s="26"/>
      <c r="M783" s="26"/>
      <c r="N783" s="26"/>
      <c r="O783" s="113"/>
      <c r="P783" s="26"/>
      <c r="Q783" s="26"/>
      <c r="R783" s="26"/>
      <c r="S783" s="26"/>
      <c r="T783" s="26"/>
      <c r="U783" s="26"/>
      <c r="V783" s="26"/>
      <c r="W783" s="26"/>
      <c r="X783" s="26"/>
      <c r="Y783" s="26"/>
      <c r="Z783" s="26"/>
      <c r="AA783" s="26"/>
      <c r="AB783" s="26"/>
      <c r="AC783" s="26"/>
      <c r="AD783" s="26"/>
      <c r="AE783" s="115"/>
      <c r="AF783" s="85"/>
      <c r="AG783" s="67"/>
      <c r="AH783" s="67"/>
      <c r="AI783" s="85"/>
      <c r="AJ783" s="85"/>
      <c r="AK783" s="85"/>
      <c r="AL783" s="85"/>
    </row>
    <row r="784" spans="1:38">
      <c r="A784" s="26"/>
      <c r="B784" s="26"/>
      <c r="C784" s="26"/>
      <c r="D784" s="26"/>
      <c r="E784" s="26"/>
      <c r="F784" s="26"/>
      <c r="G784" s="26"/>
      <c r="H784" s="26"/>
      <c r="I784" s="26"/>
      <c r="J784" s="26"/>
      <c r="K784" s="112"/>
      <c r="L784" s="26"/>
      <c r="M784" s="26"/>
      <c r="N784" s="26"/>
      <c r="O784" s="113"/>
      <c r="P784" s="26"/>
      <c r="Q784" s="26"/>
      <c r="R784" s="26"/>
      <c r="S784" s="26"/>
      <c r="T784" s="26"/>
      <c r="U784" s="26"/>
      <c r="V784" s="26"/>
      <c r="W784" s="26"/>
      <c r="X784" s="26"/>
      <c r="Y784" s="26"/>
      <c r="Z784" s="26"/>
      <c r="AA784" s="26"/>
      <c r="AB784" s="26"/>
      <c r="AC784" s="26"/>
      <c r="AD784" s="26"/>
      <c r="AE784" s="115"/>
      <c r="AF784" s="85"/>
      <c r="AG784" s="67"/>
      <c r="AH784" s="67"/>
      <c r="AI784" s="85"/>
      <c r="AJ784" s="85"/>
      <c r="AK784" s="85"/>
      <c r="AL784" s="85"/>
    </row>
    <row r="785" spans="1:38">
      <c r="A785" s="26"/>
      <c r="B785" s="26"/>
      <c r="C785" s="26"/>
      <c r="D785" s="26"/>
      <c r="E785" s="26"/>
      <c r="F785" s="26"/>
      <c r="G785" s="26"/>
      <c r="H785" s="26"/>
      <c r="I785" s="26"/>
      <c r="J785" s="26"/>
      <c r="K785" s="112"/>
      <c r="L785" s="26"/>
      <c r="M785" s="26"/>
      <c r="N785" s="26"/>
      <c r="O785" s="113"/>
      <c r="P785" s="26"/>
      <c r="Q785" s="26"/>
      <c r="R785" s="26"/>
      <c r="S785" s="26"/>
      <c r="T785" s="26"/>
      <c r="U785" s="26"/>
      <c r="V785" s="26"/>
      <c r="W785" s="26"/>
      <c r="X785" s="26"/>
      <c r="Y785" s="26"/>
      <c r="Z785" s="26"/>
      <c r="AA785" s="26"/>
      <c r="AB785" s="26"/>
      <c r="AC785" s="26"/>
      <c r="AD785" s="26"/>
      <c r="AE785" s="115"/>
      <c r="AF785" s="85"/>
      <c r="AG785" s="67"/>
      <c r="AH785" s="67"/>
      <c r="AI785" s="85"/>
      <c r="AJ785" s="85"/>
      <c r="AK785" s="85"/>
      <c r="AL785" s="85"/>
    </row>
    <row r="786" spans="1:38">
      <c r="A786" s="26"/>
      <c r="B786" s="26"/>
      <c r="C786" s="26"/>
      <c r="D786" s="26"/>
      <c r="E786" s="26"/>
      <c r="F786" s="26"/>
      <c r="G786" s="26"/>
      <c r="H786" s="26"/>
      <c r="I786" s="26"/>
      <c r="J786" s="26"/>
      <c r="K786" s="112"/>
      <c r="L786" s="26"/>
      <c r="M786" s="26"/>
      <c r="N786" s="26"/>
      <c r="O786" s="113"/>
      <c r="P786" s="26"/>
      <c r="Q786" s="26"/>
      <c r="R786" s="26"/>
      <c r="S786" s="26"/>
      <c r="T786" s="26"/>
      <c r="U786" s="26"/>
      <c r="V786" s="26"/>
      <c r="W786" s="26"/>
      <c r="X786" s="26"/>
      <c r="Y786" s="26"/>
      <c r="Z786" s="26"/>
      <c r="AA786" s="26"/>
      <c r="AB786" s="26"/>
      <c r="AC786" s="26"/>
      <c r="AD786" s="26"/>
      <c r="AE786" s="115"/>
      <c r="AF786" s="85"/>
      <c r="AG786" s="67"/>
      <c r="AH786" s="67"/>
      <c r="AI786" s="85"/>
      <c r="AJ786" s="85"/>
      <c r="AK786" s="85"/>
      <c r="AL786" s="85"/>
    </row>
    <row r="787" spans="1:38">
      <c r="A787" s="26"/>
      <c r="B787" s="26"/>
      <c r="C787" s="26"/>
      <c r="D787" s="26"/>
      <c r="E787" s="26"/>
      <c r="F787" s="26"/>
      <c r="G787" s="26"/>
      <c r="H787" s="26"/>
      <c r="I787" s="26"/>
      <c r="J787" s="26"/>
      <c r="K787" s="112"/>
      <c r="L787" s="26"/>
      <c r="M787" s="26"/>
      <c r="N787" s="26"/>
      <c r="O787" s="113"/>
      <c r="P787" s="26"/>
      <c r="Q787" s="26"/>
      <c r="R787" s="26"/>
      <c r="S787" s="26"/>
      <c r="T787" s="26"/>
      <c r="U787" s="26"/>
      <c r="V787" s="26"/>
      <c r="W787" s="26"/>
      <c r="X787" s="26"/>
      <c r="Y787" s="26"/>
      <c r="Z787" s="26"/>
      <c r="AA787" s="26"/>
      <c r="AB787" s="26"/>
      <c r="AC787" s="26"/>
      <c r="AD787" s="26"/>
      <c r="AE787" s="115"/>
      <c r="AF787" s="85"/>
      <c r="AG787" s="67"/>
      <c r="AH787" s="67"/>
      <c r="AI787" s="85"/>
      <c r="AJ787" s="85"/>
      <c r="AK787" s="85"/>
      <c r="AL787" s="85"/>
    </row>
    <row r="788" spans="1:38">
      <c r="A788" s="26"/>
      <c r="B788" s="26"/>
      <c r="C788" s="26"/>
      <c r="D788" s="26"/>
      <c r="E788" s="26"/>
      <c r="F788" s="26"/>
      <c r="G788" s="26"/>
      <c r="H788" s="26"/>
      <c r="I788" s="26"/>
      <c r="J788" s="26"/>
      <c r="K788" s="112"/>
      <c r="L788" s="26"/>
      <c r="M788" s="26"/>
      <c r="N788" s="26"/>
      <c r="O788" s="113"/>
      <c r="P788" s="26"/>
      <c r="Q788" s="26"/>
      <c r="R788" s="26"/>
      <c r="S788" s="26"/>
      <c r="T788" s="26"/>
      <c r="U788" s="26"/>
      <c r="V788" s="26"/>
      <c r="W788" s="26"/>
      <c r="X788" s="26"/>
      <c r="Y788" s="26"/>
      <c r="Z788" s="26"/>
      <c r="AA788" s="26"/>
      <c r="AB788" s="26"/>
      <c r="AC788" s="26"/>
      <c r="AD788" s="26"/>
      <c r="AE788" s="115"/>
      <c r="AF788" s="85"/>
      <c r="AG788" s="67"/>
      <c r="AH788" s="67"/>
      <c r="AI788" s="85"/>
      <c r="AJ788" s="85"/>
      <c r="AK788" s="85"/>
      <c r="AL788" s="85"/>
    </row>
    <row r="789" spans="1:38">
      <c r="A789" s="26"/>
      <c r="B789" s="26"/>
      <c r="C789" s="26"/>
      <c r="D789" s="26"/>
      <c r="E789" s="26"/>
      <c r="F789" s="26"/>
      <c r="G789" s="26"/>
      <c r="H789" s="26"/>
      <c r="I789" s="26"/>
      <c r="J789" s="26"/>
      <c r="K789" s="112"/>
      <c r="L789" s="26"/>
      <c r="M789" s="26"/>
      <c r="N789" s="26"/>
      <c r="O789" s="113"/>
      <c r="P789" s="26"/>
      <c r="Q789" s="26"/>
      <c r="R789" s="26"/>
      <c r="S789" s="26"/>
      <c r="T789" s="26"/>
      <c r="U789" s="26"/>
      <c r="V789" s="26"/>
      <c r="W789" s="26"/>
      <c r="X789" s="26"/>
      <c r="Y789" s="26"/>
      <c r="Z789" s="26"/>
      <c r="AA789" s="26"/>
      <c r="AB789" s="26"/>
      <c r="AC789" s="26"/>
      <c r="AD789" s="26"/>
      <c r="AE789" s="115"/>
      <c r="AF789" s="85"/>
      <c r="AG789" s="67"/>
      <c r="AH789" s="67"/>
      <c r="AI789" s="85"/>
      <c r="AJ789" s="85"/>
      <c r="AK789" s="85"/>
      <c r="AL789" s="85"/>
    </row>
    <row r="790" spans="1:38">
      <c r="A790" s="26"/>
      <c r="B790" s="26"/>
      <c r="C790" s="26"/>
      <c r="D790" s="26"/>
      <c r="E790" s="26"/>
      <c r="F790" s="26"/>
      <c r="G790" s="26"/>
      <c r="H790" s="26"/>
      <c r="I790" s="26"/>
      <c r="J790" s="26"/>
      <c r="K790" s="112"/>
      <c r="L790" s="26"/>
      <c r="M790" s="26"/>
      <c r="N790" s="26"/>
      <c r="O790" s="113"/>
      <c r="P790" s="26"/>
      <c r="Q790" s="26"/>
      <c r="R790" s="26"/>
      <c r="S790" s="26"/>
      <c r="T790" s="26"/>
      <c r="U790" s="26"/>
      <c r="V790" s="26"/>
      <c r="W790" s="26"/>
      <c r="X790" s="26"/>
      <c r="Y790" s="26"/>
      <c r="Z790" s="26"/>
      <c r="AA790" s="26"/>
      <c r="AB790" s="26"/>
      <c r="AC790" s="26"/>
      <c r="AD790" s="26"/>
      <c r="AE790" s="115"/>
      <c r="AF790" s="85"/>
      <c r="AG790" s="67"/>
      <c r="AH790" s="67"/>
      <c r="AI790" s="85"/>
      <c r="AJ790" s="85"/>
      <c r="AK790" s="85"/>
      <c r="AL790" s="85"/>
    </row>
    <row r="791" spans="1:38">
      <c r="A791" s="26"/>
      <c r="B791" s="26"/>
      <c r="C791" s="26"/>
      <c r="D791" s="26"/>
      <c r="E791" s="26"/>
      <c r="F791" s="26"/>
      <c r="G791" s="26"/>
      <c r="H791" s="26"/>
      <c r="I791" s="26"/>
      <c r="J791" s="26"/>
      <c r="K791" s="112"/>
      <c r="L791" s="26"/>
      <c r="M791" s="26"/>
      <c r="N791" s="26"/>
      <c r="O791" s="113"/>
      <c r="P791" s="26"/>
      <c r="Q791" s="26"/>
      <c r="R791" s="26"/>
      <c r="S791" s="26"/>
      <c r="T791" s="26"/>
      <c r="U791" s="26"/>
      <c r="V791" s="26"/>
      <c r="W791" s="26"/>
      <c r="X791" s="26"/>
      <c r="Y791" s="26"/>
      <c r="Z791" s="26"/>
      <c r="AA791" s="26"/>
      <c r="AB791" s="26"/>
      <c r="AC791" s="26"/>
      <c r="AD791" s="26"/>
      <c r="AE791" s="115"/>
      <c r="AF791" s="85"/>
      <c r="AG791" s="67"/>
      <c r="AH791" s="67"/>
      <c r="AI791" s="85"/>
      <c r="AJ791" s="85"/>
      <c r="AK791" s="85"/>
      <c r="AL791" s="85"/>
    </row>
    <row r="792" spans="1:38">
      <c r="A792" s="26"/>
      <c r="B792" s="26"/>
      <c r="C792" s="26"/>
      <c r="D792" s="26"/>
      <c r="E792" s="26"/>
      <c r="F792" s="26"/>
      <c r="G792" s="26"/>
      <c r="H792" s="26"/>
      <c r="I792" s="26"/>
      <c r="J792" s="26"/>
      <c r="K792" s="112"/>
      <c r="L792" s="26"/>
      <c r="M792" s="26"/>
      <c r="N792" s="26"/>
      <c r="O792" s="113"/>
      <c r="P792" s="26"/>
      <c r="Q792" s="26"/>
      <c r="R792" s="26"/>
      <c r="S792" s="26"/>
      <c r="T792" s="26"/>
      <c r="U792" s="26"/>
      <c r="V792" s="26"/>
      <c r="W792" s="26"/>
      <c r="X792" s="26"/>
      <c r="Y792" s="26"/>
      <c r="Z792" s="26"/>
      <c r="AA792" s="26"/>
      <c r="AB792" s="26"/>
      <c r="AC792" s="26"/>
      <c r="AD792" s="26"/>
      <c r="AE792" s="115"/>
      <c r="AF792" s="85"/>
      <c r="AG792" s="67"/>
      <c r="AH792" s="67"/>
      <c r="AI792" s="85"/>
      <c r="AJ792" s="85"/>
      <c r="AK792" s="85"/>
      <c r="AL792" s="85"/>
    </row>
    <row r="793" spans="1:38">
      <c r="A793" s="26"/>
      <c r="B793" s="26"/>
      <c r="C793" s="26"/>
      <c r="D793" s="26"/>
      <c r="E793" s="26"/>
      <c r="F793" s="26"/>
      <c r="G793" s="26"/>
      <c r="H793" s="26"/>
      <c r="I793" s="26"/>
      <c r="J793" s="26"/>
      <c r="K793" s="112"/>
      <c r="L793" s="26"/>
      <c r="M793" s="26"/>
      <c r="N793" s="26"/>
      <c r="O793" s="113"/>
      <c r="P793" s="26"/>
      <c r="Q793" s="26"/>
      <c r="R793" s="26"/>
      <c r="S793" s="26"/>
      <c r="T793" s="26"/>
      <c r="U793" s="26"/>
      <c r="V793" s="26"/>
      <c r="W793" s="26"/>
      <c r="X793" s="26"/>
      <c r="Y793" s="26"/>
      <c r="Z793" s="26"/>
      <c r="AA793" s="26"/>
      <c r="AB793" s="26"/>
      <c r="AC793" s="26"/>
      <c r="AD793" s="26"/>
      <c r="AE793" s="115"/>
      <c r="AF793" s="85"/>
      <c r="AG793" s="67"/>
      <c r="AH793" s="67"/>
      <c r="AI793" s="85"/>
      <c r="AJ793" s="85"/>
      <c r="AK793" s="85"/>
      <c r="AL793" s="85"/>
    </row>
    <row r="794" spans="1:38">
      <c r="A794" s="26"/>
      <c r="B794" s="26"/>
      <c r="C794" s="26"/>
      <c r="D794" s="26"/>
      <c r="E794" s="26"/>
      <c r="F794" s="26"/>
      <c r="G794" s="26"/>
      <c r="H794" s="26"/>
      <c r="I794" s="26"/>
      <c r="J794" s="26"/>
      <c r="K794" s="112"/>
      <c r="L794" s="26"/>
      <c r="M794" s="26"/>
      <c r="N794" s="26"/>
      <c r="O794" s="113"/>
      <c r="P794" s="26"/>
      <c r="Q794" s="26"/>
      <c r="R794" s="26"/>
      <c r="S794" s="26"/>
      <c r="T794" s="26"/>
      <c r="U794" s="26"/>
      <c r="V794" s="26"/>
      <c r="W794" s="26"/>
      <c r="X794" s="26"/>
      <c r="Y794" s="26"/>
      <c r="Z794" s="26"/>
      <c r="AA794" s="26"/>
      <c r="AB794" s="26"/>
      <c r="AC794" s="26"/>
      <c r="AD794" s="26"/>
      <c r="AE794" s="115"/>
      <c r="AF794" s="85"/>
      <c r="AG794" s="67"/>
      <c r="AH794" s="67"/>
      <c r="AI794" s="85"/>
      <c r="AJ794" s="85"/>
      <c r="AK794" s="85"/>
      <c r="AL794" s="85"/>
    </row>
    <row r="795" spans="1:38">
      <c r="A795" s="26"/>
      <c r="B795" s="26"/>
      <c r="C795" s="26"/>
      <c r="D795" s="26"/>
      <c r="E795" s="26"/>
      <c r="F795" s="26"/>
      <c r="G795" s="26"/>
      <c r="H795" s="26"/>
      <c r="I795" s="26"/>
      <c r="J795" s="26"/>
      <c r="K795" s="112"/>
      <c r="L795" s="26"/>
      <c r="M795" s="26"/>
      <c r="N795" s="26"/>
      <c r="O795" s="113"/>
      <c r="P795" s="26"/>
      <c r="Q795" s="26"/>
      <c r="R795" s="26"/>
      <c r="S795" s="26"/>
      <c r="T795" s="26"/>
      <c r="U795" s="26"/>
      <c r="V795" s="26"/>
      <c r="W795" s="26"/>
      <c r="X795" s="26"/>
      <c r="Y795" s="26"/>
      <c r="Z795" s="26"/>
      <c r="AA795" s="26"/>
      <c r="AB795" s="26"/>
      <c r="AC795" s="26"/>
      <c r="AD795" s="26"/>
      <c r="AE795" s="115"/>
      <c r="AF795" s="85"/>
      <c r="AG795" s="67"/>
      <c r="AH795" s="67"/>
      <c r="AI795" s="85"/>
      <c r="AJ795" s="85"/>
      <c r="AK795" s="85"/>
      <c r="AL795" s="85"/>
    </row>
    <row r="796" spans="1:38">
      <c r="A796" s="26"/>
      <c r="B796" s="26"/>
      <c r="C796" s="26"/>
      <c r="D796" s="26"/>
      <c r="E796" s="26"/>
      <c r="F796" s="26"/>
      <c r="G796" s="26"/>
      <c r="H796" s="26"/>
      <c r="I796" s="26"/>
      <c r="J796" s="26"/>
      <c r="K796" s="112"/>
      <c r="L796" s="26"/>
      <c r="M796" s="26"/>
      <c r="N796" s="26"/>
      <c r="O796" s="113"/>
      <c r="P796" s="26"/>
      <c r="Q796" s="26"/>
      <c r="R796" s="26"/>
      <c r="S796" s="26"/>
      <c r="T796" s="26"/>
      <c r="U796" s="26"/>
      <c r="V796" s="26"/>
      <c r="W796" s="26"/>
      <c r="X796" s="26"/>
      <c r="Y796" s="26"/>
      <c r="Z796" s="26"/>
      <c r="AA796" s="26"/>
      <c r="AB796" s="26"/>
      <c r="AC796" s="26"/>
      <c r="AD796" s="26"/>
      <c r="AE796" s="115"/>
      <c r="AF796" s="85"/>
      <c r="AG796" s="67"/>
      <c r="AH796" s="67"/>
      <c r="AI796" s="85"/>
      <c r="AJ796" s="85"/>
      <c r="AK796" s="85"/>
      <c r="AL796" s="85"/>
    </row>
    <row r="797" spans="1:38">
      <c r="A797" s="26"/>
      <c r="B797" s="26"/>
      <c r="C797" s="26"/>
      <c r="D797" s="26"/>
      <c r="E797" s="26"/>
      <c r="F797" s="26"/>
      <c r="G797" s="26"/>
      <c r="H797" s="26"/>
      <c r="I797" s="26"/>
      <c r="J797" s="26"/>
      <c r="K797" s="112"/>
      <c r="L797" s="26"/>
      <c r="M797" s="26"/>
      <c r="N797" s="26"/>
      <c r="O797" s="113"/>
      <c r="P797" s="26"/>
      <c r="Q797" s="26"/>
      <c r="R797" s="26"/>
      <c r="S797" s="26"/>
      <c r="T797" s="26"/>
      <c r="U797" s="26"/>
      <c r="V797" s="26"/>
      <c r="W797" s="26"/>
      <c r="X797" s="26"/>
      <c r="Y797" s="26"/>
      <c r="Z797" s="26"/>
      <c r="AA797" s="26"/>
      <c r="AB797" s="26"/>
      <c r="AC797" s="26"/>
      <c r="AD797" s="26"/>
      <c r="AE797" s="115"/>
      <c r="AF797" s="85"/>
      <c r="AG797" s="67"/>
      <c r="AH797" s="67"/>
      <c r="AI797" s="85"/>
      <c r="AJ797" s="85"/>
      <c r="AK797" s="85"/>
      <c r="AL797" s="85"/>
    </row>
    <row r="798" spans="1:38">
      <c r="A798" s="26"/>
      <c r="B798" s="26"/>
      <c r="C798" s="26"/>
      <c r="D798" s="26"/>
      <c r="E798" s="26"/>
      <c r="F798" s="26"/>
      <c r="G798" s="26"/>
      <c r="H798" s="26"/>
      <c r="I798" s="26"/>
      <c r="J798" s="26"/>
      <c r="K798" s="112"/>
      <c r="L798" s="26"/>
      <c r="M798" s="26"/>
      <c r="N798" s="26"/>
      <c r="O798" s="113"/>
      <c r="P798" s="26"/>
      <c r="Q798" s="26"/>
      <c r="R798" s="26"/>
      <c r="S798" s="26"/>
      <c r="T798" s="26"/>
      <c r="U798" s="26"/>
      <c r="V798" s="26"/>
      <c r="W798" s="26"/>
      <c r="X798" s="26"/>
      <c r="Y798" s="26"/>
      <c r="Z798" s="26"/>
      <c r="AA798" s="26"/>
      <c r="AB798" s="26"/>
      <c r="AC798" s="26"/>
      <c r="AD798" s="26"/>
      <c r="AE798" s="115"/>
      <c r="AF798" s="85"/>
      <c r="AG798" s="67"/>
      <c r="AH798" s="67"/>
      <c r="AI798" s="85"/>
      <c r="AJ798" s="85"/>
      <c r="AK798" s="85"/>
      <c r="AL798" s="85"/>
    </row>
    <row r="799" spans="1:38">
      <c r="A799" s="26"/>
      <c r="B799" s="26"/>
      <c r="C799" s="26"/>
      <c r="D799" s="26"/>
      <c r="E799" s="26"/>
      <c r="F799" s="26"/>
      <c r="G799" s="26"/>
      <c r="H799" s="26"/>
      <c r="I799" s="26"/>
      <c r="J799" s="26"/>
      <c r="K799" s="112"/>
      <c r="L799" s="26"/>
      <c r="M799" s="26"/>
      <c r="N799" s="26"/>
      <c r="O799" s="113"/>
      <c r="P799" s="26"/>
      <c r="Q799" s="26"/>
      <c r="R799" s="26"/>
      <c r="S799" s="26"/>
      <c r="T799" s="26"/>
      <c r="U799" s="26"/>
      <c r="V799" s="26"/>
      <c r="W799" s="26"/>
      <c r="X799" s="26"/>
      <c r="Y799" s="26"/>
      <c r="Z799" s="26"/>
      <c r="AA799" s="26"/>
      <c r="AB799" s="26"/>
      <c r="AC799" s="26"/>
      <c r="AD799" s="26"/>
      <c r="AE799" s="115"/>
      <c r="AF799" s="85"/>
      <c r="AG799" s="67"/>
      <c r="AH799" s="67"/>
      <c r="AI799" s="85"/>
      <c r="AJ799" s="85"/>
      <c r="AK799" s="85"/>
      <c r="AL799" s="85"/>
    </row>
    <row r="800" spans="1:38">
      <c r="A800" s="26"/>
      <c r="B800" s="26"/>
      <c r="C800" s="26"/>
      <c r="D800" s="26"/>
      <c r="E800" s="26"/>
      <c r="F800" s="26"/>
      <c r="G800" s="26"/>
      <c r="H800" s="26"/>
      <c r="I800" s="26"/>
      <c r="J800" s="26"/>
      <c r="K800" s="112"/>
      <c r="L800" s="26"/>
      <c r="M800" s="26"/>
      <c r="N800" s="26"/>
      <c r="O800" s="113"/>
      <c r="P800" s="26"/>
      <c r="Q800" s="26"/>
      <c r="R800" s="26"/>
      <c r="S800" s="26"/>
      <c r="T800" s="26"/>
      <c r="U800" s="26"/>
      <c r="V800" s="26"/>
      <c r="W800" s="26"/>
      <c r="X800" s="26"/>
      <c r="Y800" s="26"/>
      <c r="Z800" s="26"/>
      <c r="AA800" s="26"/>
      <c r="AB800" s="26"/>
      <c r="AC800" s="26"/>
      <c r="AD800" s="26"/>
      <c r="AE800" s="115"/>
      <c r="AF800" s="85"/>
      <c r="AG800" s="67"/>
      <c r="AH800" s="67"/>
      <c r="AI800" s="85"/>
      <c r="AJ800" s="85"/>
      <c r="AK800" s="85"/>
      <c r="AL800" s="85"/>
    </row>
    <row r="801" spans="1:38">
      <c r="A801" s="26"/>
      <c r="B801" s="26"/>
      <c r="C801" s="26"/>
      <c r="D801" s="26"/>
      <c r="E801" s="26"/>
      <c r="F801" s="26"/>
      <c r="G801" s="26"/>
      <c r="H801" s="26"/>
      <c r="I801" s="26"/>
      <c r="J801" s="26"/>
      <c r="K801" s="112"/>
      <c r="L801" s="26"/>
      <c r="M801" s="26"/>
      <c r="N801" s="26"/>
      <c r="O801" s="113"/>
      <c r="P801" s="26"/>
      <c r="Q801" s="26"/>
      <c r="R801" s="26"/>
      <c r="S801" s="26"/>
      <c r="T801" s="26"/>
      <c r="U801" s="26"/>
      <c r="V801" s="26"/>
      <c r="W801" s="26"/>
      <c r="X801" s="26"/>
      <c r="Y801" s="26"/>
      <c r="Z801" s="26"/>
      <c r="AA801" s="26"/>
      <c r="AB801" s="26"/>
      <c r="AC801" s="26"/>
      <c r="AD801" s="26"/>
      <c r="AE801" s="115"/>
      <c r="AF801" s="85"/>
      <c r="AG801" s="67"/>
      <c r="AH801" s="67"/>
      <c r="AI801" s="85"/>
      <c r="AJ801" s="85"/>
      <c r="AK801" s="85"/>
      <c r="AL801" s="85"/>
    </row>
    <row r="802" spans="1:38">
      <c r="A802" s="26"/>
      <c r="B802" s="26"/>
      <c r="C802" s="26"/>
      <c r="D802" s="26"/>
      <c r="E802" s="26"/>
      <c r="F802" s="26"/>
      <c r="G802" s="26"/>
      <c r="H802" s="26"/>
      <c r="I802" s="26"/>
      <c r="J802" s="26"/>
      <c r="K802" s="112"/>
      <c r="L802" s="26"/>
      <c r="M802" s="26"/>
      <c r="N802" s="26"/>
      <c r="O802" s="113"/>
      <c r="P802" s="26"/>
      <c r="Q802" s="26"/>
      <c r="R802" s="26"/>
      <c r="S802" s="26"/>
      <c r="T802" s="26"/>
      <c r="U802" s="26"/>
      <c r="V802" s="26"/>
      <c r="W802" s="26"/>
      <c r="X802" s="26"/>
      <c r="Y802" s="26"/>
      <c r="Z802" s="26"/>
      <c r="AA802" s="26"/>
      <c r="AB802" s="26"/>
      <c r="AC802" s="26"/>
      <c r="AD802" s="26"/>
      <c r="AE802" s="115"/>
      <c r="AF802" s="85"/>
      <c r="AG802" s="67"/>
      <c r="AH802" s="67"/>
      <c r="AI802" s="85"/>
      <c r="AJ802" s="85"/>
      <c r="AK802" s="85"/>
      <c r="AL802" s="85"/>
    </row>
    <row r="803" spans="1:38">
      <c r="A803" s="26"/>
      <c r="B803" s="26"/>
      <c r="C803" s="26"/>
      <c r="D803" s="26"/>
      <c r="E803" s="26"/>
      <c r="F803" s="26"/>
      <c r="G803" s="26"/>
      <c r="H803" s="26"/>
      <c r="I803" s="26"/>
      <c r="J803" s="26"/>
      <c r="K803" s="112"/>
      <c r="L803" s="26"/>
      <c r="M803" s="26"/>
      <c r="N803" s="26"/>
      <c r="O803" s="113"/>
      <c r="P803" s="26"/>
      <c r="Q803" s="26"/>
      <c r="R803" s="26"/>
      <c r="S803" s="26"/>
      <c r="T803" s="26"/>
      <c r="U803" s="26"/>
      <c r="V803" s="26"/>
      <c r="W803" s="26"/>
      <c r="X803" s="26"/>
      <c r="Y803" s="26"/>
      <c r="Z803" s="26"/>
      <c r="AA803" s="26"/>
      <c r="AB803" s="26"/>
      <c r="AC803" s="26"/>
      <c r="AD803" s="26"/>
      <c r="AE803" s="115"/>
      <c r="AF803" s="85"/>
      <c r="AG803" s="67"/>
      <c r="AH803" s="67"/>
      <c r="AI803" s="85"/>
      <c r="AJ803" s="85"/>
      <c r="AK803" s="85"/>
      <c r="AL803" s="85"/>
    </row>
    <row r="804" spans="1:38">
      <c r="A804" s="26"/>
      <c r="B804" s="26"/>
      <c r="C804" s="26"/>
      <c r="D804" s="26"/>
      <c r="E804" s="26"/>
      <c r="F804" s="26"/>
      <c r="G804" s="26"/>
      <c r="H804" s="26"/>
      <c r="I804" s="26"/>
      <c r="J804" s="26"/>
      <c r="K804" s="112"/>
      <c r="L804" s="26"/>
      <c r="M804" s="26"/>
      <c r="N804" s="26"/>
      <c r="O804" s="113"/>
      <c r="P804" s="26"/>
      <c r="Q804" s="26"/>
      <c r="R804" s="26"/>
      <c r="S804" s="26"/>
      <c r="T804" s="26"/>
      <c r="U804" s="26"/>
      <c r="V804" s="26"/>
      <c r="W804" s="26"/>
      <c r="X804" s="26"/>
      <c r="Y804" s="26"/>
      <c r="Z804" s="26"/>
      <c r="AA804" s="26"/>
      <c r="AB804" s="26"/>
      <c r="AC804" s="26"/>
      <c r="AD804" s="26"/>
      <c r="AE804" s="115"/>
      <c r="AF804" s="85"/>
      <c r="AG804" s="67"/>
      <c r="AH804" s="67"/>
      <c r="AI804" s="85"/>
      <c r="AJ804" s="85"/>
      <c r="AK804" s="85"/>
      <c r="AL804" s="85"/>
    </row>
    <row r="805" spans="1:38">
      <c r="A805" s="26"/>
      <c r="B805" s="26"/>
      <c r="C805" s="26"/>
      <c r="D805" s="26"/>
      <c r="E805" s="26"/>
      <c r="F805" s="26"/>
      <c r="G805" s="26"/>
      <c r="H805" s="26"/>
      <c r="I805" s="26"/>
      <c r="J805" s="26"/>
      <c r="K805" s="112"/>
      <c r="L805" s="26"/>
      <c r="M805" s="26"/>
      <c r="N805" s="26"/>
      <c r="O805" s="113"/>
      <c r="P805" s="26"/>
      <c r="Q805" s="26"/>
      <c r="R805" s="26"/>
      <c r="S805" s="26"/>
      <c r="T805" s="26"/>
      <c r="U805" s="26"/>
      <c r="V805" s="26"/>
      <c r="W805" s="26"/>
      <c r="X805" s="26"/>
      <c r="Y805" s="26"/>
      <c r="Z805" s="26"/>
      <c r="AA805" s="26"/>
      <c r="AB805" s="26"/>
      <c r="AC805" s="26"/>
      <c r="AD805" s="26"/>
      <c r="AE805" s="115"/>
      <c r="AF805" s="85"/>
      <c r="AG805" s="67"/>
      <c r="AH805" s="67"/>
      <c r="AI805" s="85"/>
      <c r="AJ805" s="85"/>
      <c r="AK805" s="85"/>
      <c r="AL805" s="85"/>
    </row>
    <row r="806" spans="1:38">
      <c r="A806" s="26"/>
      <c r="B806" s="26"/>
      <c r="C806" s="26"/>
      <c r="D806" s="26"/>
      <c r="E806" s="26"/>
      <c r="F806" s="26"/>
      <c r="G806" s="26"/>
      <c r="H806" s="26"/>
      <c r="I806" s="26"/>
      <c r="J806" s="26"/>
      <c r="K806" s="112"/>
      <c r="L806" s="26"/>
      <c r="M806" s="26"/>
      <c r="N806" s="26"/>
      <c r="O806" s="113"/>
      <c r="P806" s="26"/>
      <c r="Q806" s="26"/>
      <c r="R806" s="26"/>
      <c r="S806" s="26"/>
      <c r="T806" s="26"/>
      <c r="U806" s="26"/>
      <c r="V806" s="26"/>
      <c r="W806" s="26"/>
      <c r="X806" s="26"/>
      <c r="Y806" s="26"/>
      <c r="Z806" s="26"/>
      <c r="AA806" s="26"/>
      <c r="AB806" s="26"/>
      <c r="AC806" s="26"/>
      <c r="AD806" s="26"/>
      <c r="AE806" s="115"/>
      <c r="AF806" s="85"/>
      <c r="AG806" s="67"/>
      <c r="AH806" s="67"/>
      <c r="AI806" s="85"/>
      <c r="AJ806" s="85"/>
      <c r="AK806" s="85"/>
      <c r="AL806" s="85"/>
    </row>
    <row r="807" spans="1:38">
      <c r="A807" s="26"/>
      <c r="B807" s="26"/>
      <c r="C807" s="26"/>
      <c r="D807" s="26"/>
      <c r="E807" s="26"/>
      <c r="F807" s="26"/>
      <c r="G807" s="26"/>
      <c r="H807" s="26"/>
      <c r="I807" s="26"/>
      <c r="J807" s="26"/>
      <c r="K807" s="112"/>
      <c r="L807" s="26"/>
      <c r="M807" s="26"/>
      <c r="N807" s="26"/>
      <c r="O807" s="113"/>
      <c r="P807" s="26"/>
      <c r="Q807" s="26"/>
      <c r="R807" s="26"/>
      <c r="S807" s="26"/>
      <c r="T807" s="26"/>
      <c r="U807" s="26"/>
      <c r="V807" s="26"/>
      <c r="W807" s="26"/>
      <c r="X807" s="26"/>
      <c r="Y807" s="26"/>
      <c r="Z807" s="26"/>
      <c r="AA807" s="26"/>
      <c r="AB807" s="26"/>
      <c r="AC807" s="26"/>
      <c r="AD807" s="26"/>
      <c r="AE807" s="115"/>
      <c r="AF807" s="85"/>
      <c r="AG807" s="67"/>
      <c r="AH807" s="67"/>
      <c r="AI807" s="85"/>
      <c r="AJ807" s="85"/>
      <c r="AK807" s="85"/>
      <c r="AL807" s="85"/>
    </row>
    <row r="808" spans="1:38">
      <c r="A808" s="26"/>
      <c r="B808" s="26"/>
      <c r="C808" s="26"/>
      <c r="D808" s="26"/>
      <c r="E808" s="26"/>
      <c r="F808" s="26"/>
      <c r="G808" s="26"/>
      <c r="H808" s="26"/>
      <c r="I808" s="26"/>
      <c r="J808" s="26"/>
      <c r="K808" s="112"/>
      <c r="L808" s="26"/>
      <c r="M808" s="26"/>
      <c r="N808" s="26"/>
      <c r="O808" s="113"/>
      <c r="P808" s="26"/>
      <c r="Q808" s="26"/>
      <c r="R808" s="26"/>
      <c r="S808" s="26"/>
      <c r="T808" s="26"/>
      <c r="U808" s="26"/>
      <c r="V808" s="26"/>
      <c r="W808" s="26"/>
      <c r="X808" s="26"/>
      <c r="Y808" s="26"/>
      <c r="Z808" s="26"/>
      <c r="AA808" s="26"/>
      <c r="AB808" s="26"/>
      <c r="AC808" s="26"/>
      <c r="AD808" s="26"/>
      <c r="AE808" s="115"/>
      <c r="AF808" s="85"/>
      <c r="AG808" s="67"/>
      <c r="AH808" s="67"/>
      <c r="AI808" s="85"/>
      <c r="AJ808" s="85"/>
      <c r="AK808" s="85"/>
      <c r="AL808" s="85"/>
    </row>
    <row r="809" spans="1:38">
      <c r="A809" s="26"/>
      <c r="B809" s="26"/>
      <c r="C809" s="26"/>
      <c r="D809" s="26"/>
      <c r="E809" s="26"/>
      <c r="F809" s="26"/>
      <c r="G809" s="26"/>
      <c r="H809" s="26"/>
      <c r="I809" s="26"/>
      <c r="J809" s="26"/>
      <c r="K809" s="112"/>
      <c r="L809" s="26"/>
      <c r="M809" s="26"/>
      <c r="N809" s="26"/>
      <c r="O809" s="113"/>
      <c r="P809" s="26"/>
      <c r="Q809" s="26"/>
      <c r="R809" s="26"/>
      <c r="S809" s="26"/>
      <c r="T809" s="26"/>
      <c r="U809" s="26"/>
      <c r="V809" s="26"/>
      <c r="W809" s="26"/>
      <c r="X809" s="26"/>
      <c r="Y809" s="26"/>
      <c r="Z809" s="26"/>
      <c r="AA809" s="26"/>
      <c r="AB809" s="26"/>
      <c r="AC809" s="26"/>
      <c r="AD809" s="26"/>
      <c r="AE809" s="115"/>
      <c r="AF809" s="85"/>
      <c r="AG809" s="67"/>
      <c r="AH809" s="67"/>
      <c r="AI809" s="85"/>
      <c r="AJ809" s="85"/>
      <c r="AK809" s="85"/>
      <c r="AL809" s="85"/>
    </row>
    <row r="810" spans="1:38">
      <c r="A810" s="26"/>
      <c r="B810" s="26"/>
      <c r="C810" s="26"/>
      <c r="D810" s="26"/>
      <c r="E810" s="26"/>
      <c r="F810" s="26"/>
      <c r="G810" s="26"/>
      <c r="H810" s="26"/>
      <c r="I810" s="26"/>
      <c r="J810" s="26"/>
      <c r="K810" s="112"/>
      <c r="L810" s="26"/>
      <c r="M810" s="26"/>
      <c r="N810" s="26"/>
      <c r="O810" s="113"/>
      <c r="P810" s="26"/>
      <c r="Q810" s="26"/>
      <c r="R810" s="26"/>
      <c r="S810" s="26"/>
      <c r="T810" s="26"/>
      <c r="U810" s="26"/>
      <c r="V810" s="26"/>
      <c r="W810" s="26"/>
      <c r="X810" s="26"/>
      <c r="Y810" s="26"/>
      <c r="Z810" s="26"/>
      <c r="AA810" s="26"/>
      <c r="AB810" s="26"/>
      <c r="AC810" s="26"/>
      <c r="AD810" s="26"/>
      <c r="AE810" s="115"/>
      <c r="AF810" s="85"/>
      <c r="AG810" s="67"/>
      <c r="AH810" s="67"/>
      <c r="AI810" s="85"/>
      <c r="AJ810" s="85"/>
      <c r="AK810" s="85"/>
      <c r="AL810" s="85"/>
    </row>
    <row r="811" spans="1:38">
      <c r="A811" s="26"/>
      <c r="B811" s="26"/>
      <c r="C811" s="26"/>
      <c r="D811" s="26"/>
      <c r="E811" s="26"/>
      <c r="F811" s="26"/>
      <c r="G811" s="26"/>
      <c r="H811" s="26"/>
      <c r="I811" s="26"/>
      <c r="J811" s="26"/>
      <c r="K811" s="112"/>
      <c r="L811" s="26"/>
      <c r="M811" s="26"/>
      <c r="N811" s="26"/>
      <c r="O811" s="113"/>
      <c r="P811" s="26"/>
      <c r="Q811" s="26"/>
      <c r="R811" s="26"/>
      <c r="S811" s="26"/>
      <c r="T811" s="26"/>
      <c r="U811" s="26"/>
      <c r="V811" s="26"/>
      <c r="W811" s="26"/>
      <c r="X811" s="26"/>
      <c r="Y811" s="26"/>
      <c r="Z811" s="26"/>
      <c r="AA811" s="26"/>
      <c r="AB811" s="26"/>
      <c r="AC811" s="26"/>
      <c r="AD811" s="26"/>
      <c r="AE811" s="115"/>
      <c r="AF811" s="85"/>
      <c r="AG811" s="67"/>
      <c r="AH811" s="67"/>
      <c r="AI811" s="85"/>
      <c r="AJ811" s="85"/>
      <c r="AK811" s="85"/>
      <c r="AL811" s="85"/>
    </row>
    <row r="812" spans="1:38">
      <c r="A812" s="26"/>
      <c r="B812" s="26"/>
      <c r="C812" s="26"/>
      <c r="D812" s="26"/>
      <c r="E812" s="26"/>
      <c r="F812" s="26"/>
      <c r="G812" s="26"/>
      <c r="H812" s="26"/>
      <c r="I812" s="26"/>
      <c r="J812" s="26"/>
      <c r="K812" s="112"/>
      <c r="L812" s="26"/>
      <c r="M812" s="26"/>
      <c r="N812" s="26"/>
      <c r="O812" s="113"/>
      <c r="P812" s="26"/>
      <c r="Q812" s="26"/>
      <c r="R812" s="26"/>
      <c r="S812" s="26"/>
      <c r="T812" s="26"/>
      <c r="U812" s="26"/>
      <c r="V812" s="26"/>
      <c r="W812" s="26"/>
      <c r="X812" s="26"/>
      <c r="Y812" s="26"/>
      <c r="Z812" s="26"/>
      <c r="AA812" s="26"/>
      <c r="AB812" s="26"/>
      <c r="AC812" s="26"/>
      <c r="AD812" s="26"/>
      <c r="AE812" s="115"/>
      <c r="AF812" s="85"/>
      <c r="AG812" s="67"/>
      <c r="AH812" s="67"/>
      <c r="AI812" s="85"/>
      <c r="AJ812" s="85"/>
      <c r="AK812" s="85"/>
      <c r="AL812" s="85"/>
    </row>
    <row r="813" spans="1:38">
      <c r="A813" s="26"/>
      <c r="B813" s="26"/>
      <c r="C813" s="26"/>
      <c r="D813" s="26"/>
      <c r="E813" s="26"/>
      <c r="F813" s="26"/>
      <c r="G813" s="26"/>
      <c r="H813" s="26"/>
      <c r="I813" s="26"/>
      <c r="J813" s="26"/>
      <c r="K813" s="112"/>
      <c r="L813" s="26"/>
      <c r="M813" s="26"/>
      <c r="N813" s="26"/>
      <c r="O813" s="113"/>
      <c r="P813" s="26"/>
      <c r="Q813" s="26"/>
      <c r="R813" s="26"/>
      <c r="S813" s="26"/>
      <c r="T813" s="26"/>
      <c r="U813" s="26"/>
      <c r="V813" s="26"/>
      <c r="W813" s="26"/>
      <c r="X813" s="26"/>
      <c r="Y813" s="26"/>
      <c r="Z813" s="26"/>
      <c r="AA813" s="26"/>
      <c r="AB813" s="26"/>
      <c r="AC813" s="26"/>
      <c r="AD813" s="26"/>
      <c r="AE813" s="115"/>
      <c r="AF813" s="85"/>
      <c r="AG813" s="67"/>
      <c r="AH813" s="67"/>
      <c r="AI813" s="85"/>
      <c r="AJ813" s="85"/>
      <c r="AK813" s="85"/>
      <c r="AL813" s="85"/>
    </row>
    <row r="814" spans="1:38">
      <c r="A814" s="26"/>
      <c r="B814" s="26"/>
      <c r="C814" s="26"/>
      <c r="D814" s="26"/>
      <c r="E814" s="26"/>
      <c r="F814" s="26"/>
      <c r="G814" s="26"/>
      <c r="H814" s="26"/>
      <c r="I814" s="26"/>
      <c r="J814" s="26"/>
      <c r="K814" s="112"/>
      <c r="L814" s="26"/>
      <c r="M814" s="26"/>
      <c r="N814" s="26"/>
      <c r="O814" s="113"/>
      <c r="P814" s="26"/>
      <c r="Q814" s="26"/>
      <c r="R814" s="26"/>
      <c r="S814" s="26"/>
      <c r="T814" s="26"/>
      <c r="U814" s="26"/>
      <c r="V814" s="26"/>
      <c r="W814" s="26"/>
      <c r="X814" s="26"/>
      <c r="Y814" s="26"/>
      <c r="Z814" s="26"/>
      <c r="AA814" s="26"/>
      <c r="AB814" s="26"/>
      <c r="AC814" s="26"/>
      <c r="AD814" s="26"/>
      <c r="AE814" s="115"/>
      <c r="AF814" s="85"/>
      <c r="AG814" s="67"/>
      <c r="AH814" s="67"/>
      <c r="AI814" s="85"/>
      <c r="AJ814" s="85"/>
      <c r="AK814" s="85"/>
      <c r="AL814" s="85"/>
    </row>
    <row r="815" spans="1:38">
      <c r="A815" s="26"/>
      <c r="B815" s="26"/>
      <c r="C815" s="26"/>
      <c r="D815" s="26"/>
      <c r="E815" s="26"/>
      <c r="F815" s="26"/>
      <c r="G815" s="26"/>
      <c r="H815" s="26"/>
      <c r="I815" s="26"/>
      <c r="J815" s="26"/>
      <c r="K815" s="112"/>
      <c r="L815" s="26"/>
      <c r="M815" s="26"/>
      <c r="N815" s="26"/>
      <c r="O815" s="113"/>
      <c r="P815" s="26"/>
      <c r="Q815" s="26"/>
      <c r="R815" s="26"/>
      <c r="S815" s="26"/>
      <c r="T815" s="26"/>
      <c r="U815" s="26"/>
      <c r="V815" s="26"/>
      <c r="W815" s="26"/>
      <c r="X815" s="26"/>
      <c r="Y815" s="26"/>
      <c r="Z815" s="26"/>
      <c r="AA815" s="26"/>
      <c r="AB815" s="26"/>
      <c r="AC815" s="26"/>
      <c r="AD815" s="26"/>
      <c r="AE815" s="115"/>
      <c r="AF815" s="85"/>
      <c r="AG815" s="67"/>
      <c r="AH815" s="67"/>
      <c r="AI815" s="85"/>
      <c r="AJ815" s="85"/>
      <c r="AK815" s="85"/>
      <c r="AL815" s="85"/>
    </row>
    <row r="816" spans="1:38">
      <c r="A816" s="26"/>
      <c r="B816" s="26"/>
      <c r="C816" s="26"/>
      <c r="D816" s="26"/>
      <c r="E816" s="26"/>
      <c r="F816" s="26"/>
      <c r="G816" s="26"/>
      <c r="H816" s="26"/>
      <c r="I816" s="26"/>
      <c r="J816" s="26"/>
      <c r="K816" s="112"/>
      <c r="L816" s="26"/>
      <c r="M816" s="26"/>
      <c r="N816" s="26"/>
      <c r="O816" s="113"/>
      <c r="P816" s="26"/>
      <c r="Q816" s="26"/>
      <c r="R816" s="26"/>
      <c r="S816" s="26"/>
      <c r="T816" s="26"/>
      <c r="U816" s="26"/>
      <c r="V816" s="26"/>
      <c r="W816" s="26"/>
      <c r="X816" s="26"/>
      <c r="Y816" s="26"/>
      <c r="Z816" s="26"/>
      <c r="AA816" s="26"/>
      <c r="AB816" s="26"/>
      <c r="AC816" s="26"/>
      <c r="AD816" s="26"/>
      <c r="AE816" s="115"/>
      <c r="AF816" s="85"/>
      <c r="AG816" s="67"/>
      <c r="AH816" s="67"/>
      <c r="AI816" s="85"/>
      <c r="AJ816" s="85"/>
      <c r="AK816" s="85"/>
      <c r="AL816" s="85"/>
    </row>
    <row r="817" spans="1:38">
      <c r="A817" s="26"/>
      <c r="B817" s="26"/>
      <c r="C817" s="26"/>
      <c r="D817" s="26"/>
      <c r="E817" s="26"/>
      <c r="F817" s="26"/>
      <c r="G817" s="26"/>
      <c r="H817" s="26"/>
      <c r="I817" s="26"/>
      <c r="J817" s="26"/>
      <c r="K817" s="112"/>
      <c r="L817" s="26"/>
      <c r="M817" s="26"/>
      <c r="N817" s="26"/>
      <c r="O817" s="113"/>
      <c r="P817" s="26"/>
      <c r="Q817" s="26"/>
      <c r="R817" s="26"/>
      <c r="S817" s="26"/>
      <c r="T817" s="26"/>
      <c r="U817" s="26"/>
      <c r="V817" s="26"/>
      <c r="W817" s="26"/>
      <c r="X817" s="26"/>
      <c r="Y817" s="26"/>
      <c r="Z817" s="26"/>
      <c r="AA817" s="26"/>
      <c r="AB817" s="26"/>
      <c r="AC817" s="26"/>
      <c r="AD817" s="26"/>
      <c r="AE817" s="115"/>
      <c r="AF817" s="85"/>
      <c r="AG817" s="67"/>
      <c r="AH817" s="67"/>
      <c r="AI817" s="85"/>
      <c r="AJ817" s="85"/>
      <c r="AK817" s="85"/>
      <c r="AL817" s="85"/>
    </row>
    <row r="818" spans="1:38">
      <c r="A818" s="26"/>
      <c r="B818" s="26"/>
      <c r="C818" s="26"/>
      <c r="D818" s="26"/>
      <c r="E818" s="26"/>
      <c r="F818" s="26"/>
      <c r="G818" s="26"/>
      <c r="H818" s="26"/>
      <c r="I818" s="26"/>
      <c r="J818" s="26"/>
      <c r="K818" s="112"/>
      <c r="L818" s="26"/>
      <c r="M818" s="26"/>
      <c r="N818" s="26"/>
      <c r="O818" s="113"/>
      <c r="P818" s="26"/>
      <c r="Q818" s="26"/>
      <c r="R818" s="26"/>
      <c r="S818" s="26"/>
      <c r="T818" s="26"/>
      <c r="U818" s="26"/>
      <c r="V818" s="26"/>
      <c r="W818" s="26"/>
      <c r="X818" s="26"/>
      <c r="Y818" s="26"/>
      <c r="Z818" s="26"/>
      <c r="AA818" s="26"/>
      <c r="AB818" s="26"/>
      <c r="AC818" s="26"/>
      <c r="AD818" s="26"/>
      <c r="AE818" s="115"/>
      <c r="AF818" s="85"/>
      <c r="AG818" s="67"/>
      <c r="AH818" s="67"/>
      <c r="AI818" s="85"/>
      <c r="AJ818" s="85"/>
      <c r="AK818" s="85"/>
      <c r="AL818" s="85"/>
    </row>
    <row r="819" spans="1:38">
      <c r="A819" s="26"/>
      <c r="B819" s="26"/>
      <c r="C819" s="26"/>
      <c r="D819" s="26"/>
      <c r="E819" s="26"/>
      <c r="F819" s="26"/>
      <c r="G819" s="26"/>
      <c r="H819" s="26"/>
      <c r="I819" s="26"/>
      <c r="J819" s="26"/>
      <c r="K819" s="112"/>
      <c r="L819" s="26"/>
      <c r="M819" s="26"/>
      <c r="N819" s="26"/>
      <c r="O819" s="113"/>
      <c r="P819" s="26"/>
      <c r="Q819" s="26"/>
      <c r="R819" s="26"/>
      <c r="S819" s="26"/>
      <c r="T819" s="26"/>
      <c r="U819" s="26"/>
      <c r="V819" s="26"/>
      <c r="W819" s="26"/>
      <c r="X819" s="26"/>
      <c r="Y819" s="26"/>
      <c r="Z819" s="26"/>
      <c r="AA819" s="26"/>
      <c r="AB819" s="26"/>
      <c r="AC819" s="26"/>
      <c r="AD819" s="26"/>
      <c r="AE819" s="115"/>
      <c r="AF819" s="85"/>
      <c r="AG819" s="67"/>
      <c r="AH819" s="67"/>
      <c r="AI819" s="85"/>
      <c r="AJ819" s="85"/>
      <c r="AK819" s="85"/>
      <c r="AL819" s="85"/>
    </row>
    <row r="820" spans="1:38">
      <c r="A820" s="26"/>
      <c r="B820" s="26"/>
      <c r="C820" s="26"/>
      <c r="D820" s="26"/>
      <c r="E820" s="26"/>
      <c r="F820" s="26"/>
      <c r="G820" s="26"/>
      <c r="H820" s="26"/>
      <c r="I820" s="26"/>
      <c r="J820" s="26"/>
      <c r="K820" s="112"/>
      <c r="L820" s="26"/>
      <c r="M820" s="26"/>
      <c r="N820" s="26"/>
      <c r="O820" s="113"/>
      <c r="P820" s="26"/>
      <c r="Q820" s="26"/>
      <c r="R820" s="26"/>
      <c r="S820" s="26"/>
      <c r="T820" s="26"/>
      <c r="U820" s="26"/>
      <c r="V820" s="26"/>
      <c r="W820" s="26"/>
      <c r="X820" s="26"/>
      <c r="Y820" s="26"/>
      <c r="Z820" s="26"/>
      <c r="AA820" s="26"/>
      <c r="AB820" s="26"/>
      <c r="AC820" s="26"/>
      <c r="AD820" s="26"/>
      <c r="AE820" s="115"/>
      <c r="AF820" s="85"/>
      <c r="AG820" s="67"/>
      <c r="AH820" s="67"/>
      <c r="AI820" s="85"/>
      <c r="AJ820" s="85"/>
      <c r="AK820" s="85"/>
      <c r="AL820" s="85"/>
    </row>
    <row r="821" spans="1:38">
      <c r="A821" s="26"/>
      <c r="B821" s="26"/>
      <c r="C821" s="26"/>
      <c r="D821" s="26"/>
      <c r="E821" s="26"/>
      <c r="F821" s="26"/>
      <c r="G821" s="26"/>
      <c r="H821" s="26"/>
      <c r="I821" s="26"/>
      <c r="J821" s="26"/>
      <c r="K821" s="112"/>
      <c r="L821" s="26"/>
      <c r="M821" s="26"/>
      <c r="N821" s="26"/>
      <c r="O821" s="113"/>
      <c r="P821" s="26"/>
      <c r="Q821" s="26"/>
      <c r="R821" s="26"/>
      <c r="S821" s="26"/>
      <c r="T821" s="26"/>
      <c r="U821" s="26"/>
      <c r="V821" s="26"/>
      <c r="W821" s="26"/>
      <c r="X821" s="26"/>
      <c r="Y821" s="26"/>
      <c r="Z821" s="26"/>
      <c r="AA821" s="26"/>
      <c r="AB821" s="26"/>
      <c r="AC821" s="26"/>
      <c r="AD821" s="26"/>
      <c r="AE821" s="115"/>
      <c r="AF821" s="85"/>
      <c r="AG821" s="67"/>
      <c r="AH821" s="67"/>
      <c r="AI821" s="85"/>
      <c r="AJ821" s="85"/>
      <c r="AK821" s="85"/>
      <c r="AL821" s="85"/>
    </row>
    <row r="822" spans="1:38">
      <c r="A822" s="26"/>
      <c r="B822" s="26"/>
      <c r="C822" s="26"/>
      <c r="D822" s="26"/>
      <c r="E822" s="26"/>
      <c r="F822" s="26"/>
      <c r="G822" s="26"/>
      <c r="H822" s="26"/>
      <c r="I822" s="26"/>
      <c r="J822" s="26"/>
      <c r="K822" s="112"/>
      <c r="L822" s="26"/>
      <c r="M822" s="26"/>
      <c r="N822" s="26"/>
      <c r="O822" s="113"/>
      <c r="P822" s="26"/>
      <c r="Q822" s="26"/>
      <c r="R822" s="26"/>
      <c r="S822" s="26"/>
      <c r="T822" s="26"/>
      <c r="U822" s="26"/>
      <c r="V822" s="26"/>
      <c r="W822" s="26"/>
      <c r="X822" s="26"/>
      <c r="Y822" s="26"/>
      <c r="Z822" s="26"/>
      <c r="AA822" s="26"/>
      <c r="AB822" s="26"/>
      <c r="AC822" s="26"/>
      <c r="AD822" s="26"/>
      <c r="AE822" s="115"/>
      <c r="AF822" s="85"/>
      <c r="AG822" s="67"/>
      <c r="AH822" s="67"/>
      <c r="AI822" s="85"/>
      <c r="AJ822" s="85"/>
      <c r="AK822" s="85"/>
      <c r="AL822" s="85"/>
    </row>
    <row r="823" spans="1:38">
      <c r="A823" s="26"/>
      <c r="B823" s="26"/>
      <c r="C823" s="26"/>
      <c r="D823" s="26"/>
      <c r="E823" s="26"/>
      <c r="F823" s="26"/>
      <c r="G823" s="26"/>
      <c r="H823" s="26"/>
      <c r="I823" s="26"/>
      <c r="J823" s="26"/>
      <c r="K823" s="112"/>
      <c r="L823" s="26"/>
      <c r="M823" s="26"/>
      <c r="N823" s="26"/>
      <c r="O823" s="113"/>
      <c r="P823" s="26"/>
      <c r="Q823" s="26"/>
      <c r="R823" s="26"/>
      <c r="S823" s="26"/>
      <c r="T823" s="26"/>
      <c r="U823" s="26"/>
      <c r="V823" s="26"/>
      <c r="W823" s="26"/>
      <c r="X823" s="26"/>
      <c r="Y823" s="26"/>
      <c r="Z823" s="26"/>
      <c r="AA823" s="26"/>
      <c r="AB823" s="26"/>
      <c r="AC823" s="26"/>
      <c r="AD823" s="26"/>
      <c r="AE823" s="115"/>
      <c r="AF823" s="85"/>
      <c r="AG823" s="67"/>
      <c r="AH823" s="67"/>
      <c r="AI823" s="85"/>
      <c r="AJ823" s="85"/>
      <c r="AK823" s="85"/>
      <c r="AL823" s="85"/>
    </row>
    <row r="824" spans="1:38">
      <c r="A824" s="26"/>
      <c r="B824" s="26"/>
      <c r="C824" s="26"/>
      <c r="D824" s="26"/>
      <c r="E824" s="26"/>
      <c r="F824" s="26"/>
      <c r="G824" s="26"/>
      <c r="H824" s="26"/>
      <c r="I824" s="26"/>
      <c r="J824" s="26"/>
      <c r="K824" s="112"/>
      <c r="L824" s="26"/>
      <c r="M824" s="26"/>
      <c r="N824" s="26"/>
      <c r="O824" s="113"/>
      <c r="P824" s="26"/>
      <c r="Q824" s="26"/>
      <c r="R824" s="26"/>
      <c r="S824" s="26"/>
      <c r="T824" s="26"/>
      <c r="U824" s="26"/>
      <c r="V824" s="26"/>
      <c r="W824" s="26"/>
      <c r="X824" s="26"/>
      <c r="Y824" s="26"/>
      <c r="Z824" s="26"/>
      <c r="AA824" s="26"/>
      <c r="AB824" s="26"/>
      <c r="AC824" s="26"/>
      <c r="AD824" s="26"/>
      <c r="AE824" s="115"/>
      <c r="AF824" s="85"/>
      <c r="AG824" s="67"/>
      <c r="AH824" s="67"/>
      <c r="AI824" s="85"/>
      <c r="AJ824" s="85"/>
      <c r="AK824" s="85"/>
      <c r="AL824" s="85"/>
    </row>
    <row r="825" spans="1:38">
      <c r="A825" s="26"/>
      <c r="B825" s="26"/>
      <c r="C825" s="26"/>
      <c r="D825" s="26"/>
      <c r="E825" s="26"/>
      <c r="F825" s="26"/>
      <c r="G825" s="26"/>
      <c r="H825" s="26"/>
      <c r="I825" s="26"/>
      <c r="J825" s="26"/>
      <c r="K825" s="112"/>
      <c r="L825" s="26"/>
      <c r="M825" s="26"/>
      <c r="N825" s="26"/>
      <c r="O825" s="113"/>
      <c r="P825" s="26"/>
      <c r="Q825" s="26"/>
      <c r="R825" s="26"/>
      <c r="S825" s="26"/>
      <c r="T825" s="26"/>
      <c r="U825" s="26"/>
      <c r="V825" s="26"/>
      <c r="W825" s="26"/>
      <c r="X825" s="26"/>
      <c r="Y825" s="26"/>
      <c r="Z825" s="26"/>
      <c r="AA825" s="26"/>
      <c r="AB825" s="26"/>
      <c r="AC825" s="26"/>
      <c r="AD825" s="26"/>
      <c r="AE825" s="115"/>
      <c r="AF825" s="85"/>
      <c r="AG825" s="67"/>
      <c r="AH825" s="67"/>
      <c r="AI825" s="85"/>
      <c r="AJ825" s="85"/>
      <c r="AK825" s="85"/>
      <c r="AL825" s="85"/>
    </row>
    <row r="826" spans="1:38">
      <c r="A826" s="26"/>
      <c r="B826" s="26"/>
      <c r="C826" s="26"/>
      <c r="D826" s="26"/>
      <c r="E826" s="26"/>
      <c r="F826" s="26"/>
      <c r="G826" s="26"/>
      <c r="H826" s="26"/>
      <c r="I826" s="26"/>
      <c r="J826" s="26"/>
      <c r="K826" s="112"/>
      <c r="L826" s="26"/>
      <c r="M826" s="26"/>
      <c r="N826" s="26"/>
      <c r="O826" s="113"/>
      <c r="P826" s="26"/>
      <c r="Q826" s="26"/>
      <c r="R826" s="26"/>
      <c r="S826" s="26"/>
      <c r="T826" s="26"/>
      <c r="U826" s="26"/>
      <c r="V826" s="26"/>
      <c r="W826" s="26"/>
      <c r="X826" s="26"/>
      <c r="Y826" s="26"/>
      <c r="Z826" s="26"/>
      <c r="AA826" s="26"/>
      <c r="AB826" s="26"/>
      <c r="AC826" s="26"/>
      <c r="AD826" s="26"/>
      <c r="AE826" s="115"/>
      <c r="AF826" s="85"/>
      <c r="AG826" s="67"/>
      <c r="AH826" s="67"/>
      <c r="AI826" s="85"/>
      <c r="AJ826" s="85"/>
      <c r="AK826" s="85"/>
      <c r="AL826" s="85"/>
    </row>
    <row r="827" spans="1:38">
      <c r="A827" s="26"/>
      <c r="B827" s="26"/>
      <c r="C827" s="26"/>
      <c r="D827" s="26"/>
      <c r="E827" s="26"/>
      <c r="F827" s="26"/>
      <c r="G827" s="26"/>
      <c r="H827" s="26"/>
      <c r="I827" s="26"/>
      <c r="J827" s="26"/>
      <c r="K827" s="112"/>
      <c r="L827" s="26"/>
      <c r="M827" s="26"/>
      <c r="N827" s="26"/>
      <c r="O827" s="113"/>
      <c r="P827" s="26"/>
      <c r="Q827" s="26"/>
      <c r="R827" s="26"/>
      <c r="S827" s="26"/>
      <c r="T827" s="26"/>
      <c r="U827" s="26"/>
      <c r="V827" s="26"/>
      <c r="W827" s="26"/>
      <c r="X827" s="26"/>
      <c r="Y827" s="26"/>
      <c r="Z827" s="26"/>
      <c r="AA827" s="26"/>
      <c r="AB827" s="26"/>
      <c r="AC827" s="26"/>
      <c r="AD827" s="26"/>
      <c r="AE827" s="115"/>
      <c r="AF827" s="85"/>
      <c r="AG827" s="67"/>
      <c r="AH827" s="67"/>
      <c r="AI827" s="85"/>
      <c r="AJ827" s="85"/>
      <c r="AK827" s="85"/>
      <c r="AL827" s="85"/>
    </row>
    <row r="828" spans="1:38">
      <c r="A828" s="26"/>
      <c r="B828" s="26"/>
      <c r="C828" s="26"/>
      <c r="D828" s="26"/>
      <c r="E828" s="26"/>
      <c r="F828" s="26"/>
      <c r="G828" s="26"/>
      <c r="H828" s="26"/>
      <c r="I828" s="26"/>
      <c r="J828" s="26"/>
      <c r="K828" s="112"/>
      <c r="L828" s="26"/>
      <c r="M828" s="26"/>
      <c r="N828" s="26"/>
      <c r="O828" s="113"/>
      <c r="P828" s="26"/>
      <c r="Q828" s="26"/>
      <c r="R828" s="26"/>
      <c r="S828" s="26"/>
      <c r="T828" s="26"/>
      <c r="U828" s="26"/>
      <c r="V828" s="26"/>
      <c r="W828" s="26"/>
      <c r="X828" s="26"/>
      <c r="Y828" s="26"/>
      <c r="Z828" s="26"/>
      <c r="AA828" s="26"/>
      <c r="AB828" s="26"/>
      <c r="AC828" s="26"/>
      <c r="AD828" s="26"/>
      <c r="AE828" s="115"/>
      <c r="AF828" s="85"/>
      <c r="AG828" s="67"/>
      <c r="AH828" s="67"/>
      <c r="AI828" s="85"/>
      <c r="AJ828" s="85"/>
      <c r="AK828" s="85"/>
      <c r="AL828" s="85"/>
    </row>
    <row r="829" spans="1:38">
      <c r="A829" s="26"/>
      <c r="B829" s="26"/>
      <c r="C829" s="26"/>
      <c r="D829" s="26"/>
      <c r="E829" s="26"/>
      <c r="F829" s="26"/>
      <c r="G829" s="26"/>
      <c r="H829" s="26"/>
      <c r="I829" s="26"/>
      <c r="J829" s="26"/>
      <c r="K829" s="112"/>
      <c r="L829" s="26"/>
      <c r="M829" s="26"/>
      <c r="N829" s="26"/>
      <c r="O829" s="113"/>
      <c r="P829" s="26"/>
      <c r="Q829" s="26"/>
      <c r="R829" s="26"/>
      <c r="S829" s="26"/>
      <c r="T829" s="26"/>
      <c r="U829" s="26"/>
      <c r="V829" s="26"/>
      <c r="W829" s="26"/>
      <c r="X829" s="26"/>
      <c r="Y829" s="26"/>
      <c r="Z829" s="26"/>
      <c r="AA829" s="26"/>
      <c r="AB829" s="26"/>
      <c r="AC829" s="26"/>
      <c r="AD829" s="26"/>
      <c r="AE829" s="115"/>
      <c r="AF829" s="85"/>
      <c r="AG829" s="67"/>
      <c r="AH829" s="67"/>
      <c r="AI829" s="85"/>
      <c r="AJ829" s="85"/>
      <c r="AK829" s="85"/>
      <c r="AL829" s="85"/>
    </row>
    <row r="830" spans="1:38">
      <c r="A830" s="26"/>
      <c r="B830" s="26"/>
      <c r="C830" s="26"/>
      <c r="D830" s="26"/>
      <c r="E830" s="26"/>
      <c r="F830" s="26"/>
      <c r="G830" s="26"/>
      <c r="H830" s="26"/>
      <c r="I830" s="26"/>
      <c r="J830" s="26"/>
      <c r="K830" s="112"/>
      <c r="L830" s="26"/>
      <c r="M830" s="26"/>
      <c r="N830" s="26"/>
      <c r="O830" s="113"/>
      <c r="P830" s="26"/>
      <c r="Q830" s="26"/>
      <c r="R830" s="26"/>
      <c r="S830" s="26"/>
      <c r="T830" s="26"/>
      <c r="U830" s="26"/>
      <c r="V830" s="26"/>
      <c r="W830" s="26"/>
      <c r="X830" s="26"/>
      <c r="Y830" s="26"/>
      <c r="Z830" s="26"/>
      <c r="AA830" s="26"/>
      <c r="AB830" s="26"/>
      <c r="AC830" s="26"/>
      <c r="AD830" s="26"/>
      <c r="AE830" s="115"/>
      <c r="AF830" s="85"/>
      <c r="AG830" s="67"/>
      <c r="AH830" s="67"/>
      <c r="AI830" s="85"/>
      <c r="AJ830" s="85"/>
      <c r="AK830" s="85"/>
      <c r="AL830" s="85"/>
    </row>
    <row r="831" spans="1:38">
      <c r="A831" s="26"/>
      <c r="B831" s="26"/>
      <c r="C831" s="26"/>
      <c r="D831" s="26"/>
      <c r="E831" s="26"/>
      <c r="F831" s="26"/>
      <c r="G831" s="26"/>
      <c r="H831" s="26"/>
      <c r="I831" s="26"/>
      <c r="J831" s="26"/>
      <c r="K831" s="112"/>
      <c r="L831" s="26"/>
      <c r="M831" s="26"/>
      <c r="N831" s="26"/>
      <c r="O831" s="113"/>
      <c r="P831" s="26"/>
      <c r="Q831" s="26"/>
      <c r="R831" s="26"/>
      <c r="S831" s="26"/>
      <c r="T831" s="26"/>
      <c r="U831" s="26"/>
      <c r="V831" s="26"/>
      <c r="W831" s="26"/>
      <c r="X831" s="26"/>
      <c r="Y831" s="26"/>
      <c r="Z831" s="26"/>
      <c r="AA831" s="26"/>
      <c r="AB831" s="26"/>
      <c r="AC831" s="26"/>
      <c r="AD831" s="26"/>
      <c r="AE831" s="115"/>
      <c r="AF831" s="85"/>
      <c r="AG831" s="67"/>
      <c r="AH831" s="67"/>
      <c r="AI831" s="85"/>
      <c r="AJ831" s="85"/>
      <c r="AK831" s="85"/>
      <c r="AL831" s="85"/>
    </row>
    <row r="832" spans="1:38">
      <c r="A832" s="26"/>
      <c r="B832" s="26"/>
      <c r="C832" s="26"/>
      <c r="D832" s="26"/>
      <c r="E832" s="26"/>
      <c r="F832" s="26"/>
      <c r="G832" s="26"/>
      <c r="H832" s="26"/>
      <c r="I832" s="26"/>
      <c r="J832" s="26"/>
      <c r="K832" s="112"/>
      <c r="L832" s="26"/>
      <c r="M832" s="26"/>
      <c r="N832" s="26"/>
      <c r="O832" s="113"/>
      <c r="P832" s="26"/>
      <c r="Q832" s="26"/>
      <c r="R832" s="26"/>
      <c r="S832" s="26"/>
      <c r="T832" s="26"/>
      <c r="U832" s="26"/>
      <c r="V832" s="26"/>
      <c r="W832" s="26"/>
      <c r="X832" s="26"/>
      <c r="Y832" s="26"/>
      <c r="Z832" s="26"/>
      <c r="AA832" s="26"/>
      <c r="AB832" s="26"/>
      <c r="AC832" s="26"/>
      <c r="AD832" s="26"/>
      <c r="AE832" s="115"/>
      <c r="AF832" s="85"/>
      <c r="AG832" s="67"/>
      <c r="AH832" s="67"/>
      <c r="AI832" s="85"/>
      <c r="AJ832" s="85"/>
      <c r="AK832" s="85"/>
      <c r="AL832" s="85"/>
    </row>
    <row r="833" spans="1:38">
      <c r="A833" s="26"/>
      <c r="B833" s="26"/>
      <c r="C833" s="26"/>
      <c r="D833" s="26"/>
      <c r="E833" s="26"/>
      <c r="F833" s="26"/>
      <c r="G833" s="26"/>
      <c r="H833" s="26"/>
      <c r="I833" s="26"/>
      <c r="J833" s="26"/>
      <c r="K833" s="112"/>
      <c r="L833" s="26"/>
      <c r="M833" s="26"/>
      <c r="N833" s="26"/>
      <c r="O833" s="113"/>
      <c r="P833" s="26"/>
      <c r="Q833" s="26"/>
      <c r="R833" s="26"/>
      <c r="S833" s="26"/>
      <c r="T833" s="26"/>
      <c r="U833" s="26"/>
      <c r="V833" s="26"/>
      <c r="W833" s="26"/>
      <c r="X833" s="26"/>
      <c r="Y833" s="26"/>
      <c r="Z833" s="26"/>
      <c r="AA833" s="26"/>
      <c r="AB833" s="26"/>
      <c r="AC833" s="26"/>
      <c r="AD833" s="26"/>
      <c r="AE833" s="115"/>
      <c r="AF833" s="85"/>
      <c r="AG833" s="67"/>
      <c r="AH833" s="67"/>
      <c r="AI833" s="85"/>
      <c r="AJ833" s="85"/>
      <c r="AK833" s="85"/>
      <c r="AL833" s="85"/>
    </row>
    <row r="834" spans="1:38">
      <c r="A834" s="26"/>
      <c r="B834" s="26"/>
      <c r="C834" s="26"/>
      <c r="D834" s="26"/>
      <c r="E834" s="26"/>
      <c r="F834" s="26"/>
      <c r="G834" s="26"/>
      <c r="H834" s="26"/>
      <c r="I834" s="26"/>
      <c r="J834" s="26"/>
      <c r="K834" s="112"/>
      <c r="L834" s="26"/>
      <c r="M834" s="26"/>
      <c r="N834" s="26"/>
      <c r="O834" s="113"/>
      <c r="P834" s="26"/>
      <c r="Q834" s="26"/>
      <c r="R834" s="26"/>
      <c r="S834" s="26"/>
      <c r="T834" s="26"/>
      <c r="U834" s="26"/>
      <c r="V834" s="26"/>
      <c r="W834" s="26"/>
      <c r="X834" s="26"/>
      <c r="Y834" s="26"/>
      <c r="Z834" s="26"/>
      <c r="AA834" s="26"/>
      <c r="AB834" s="26"/>
      <c r="AC834" s="26"/>
      <c r="AD834" s="26"/>
      <c r="AE834" s="115"/>
      <c r="AF834" s="85"/>
      <c r="AG834" s="67"/>
      <c r="AH834" s="67"/>
      <c r="AI834" s="85"/>
      <c r="AJ834" s="85"/>
      <c r="AK834" s="85"/>
      <c r="AL834" s="85"/>
    </row>
    <row r="835" spans="1:38">
      <c r="A835" s="26"/>
      <c r="B835" s="26"/>
      <c r="C835" s="26"/>
      <c r="D835" s="26"/>
      <c r="E835" s="26"/>
      <c r="F835" s="26"/>
      <c r="G835" s="26"/>
      <c r="H835" s="26"/>
      <c r="I835" s="26"/>
      <c r="J835" s="26"/>
      <c r="K835" s="112"/>
      <c r="L835" s="26"/>
      <c r="M835" s="26"/>
      <c r="N835" s="26"/>
      <c r="O835" s="113"/>
      <c r="P835" s="26"/>
      <c r="Q835" s="26"/>
      <c r="R835" s="26"/>
      <c r="S835" s="26"/>
      <c r="T835" s="26"/>
      <c r="U835" s="26"/>
      <c r="V835" s="26"/>
      <c r="W835" s="26"/>
      <c r="X835" s="26"/>
      <c r="Y835" s="26"/>
      <c r="Z835" s="26"/>
      <c r="AA835" s="26"/>
      <c r="AB835" s="26"/>
      <c r="AC835" s="26"/>
      <c r="AD835" s="26"/>
      <c r="AE835" s="115"/>
      <c r="AF835" s="85"/>
      <c r="AG835" s="67"/>
      <c r="AH835" s="67"/>
      <c r="AI835" s="85"/>
      <c r="AJ835" s="85"/>
      <c r="AK835" s="85"/>
      <c r="AL835" s="85"/>
    </row>
    <row r="836" spans="1:38">
      <c r="A836" s="26"/>
      <c r="B836" s="26"/>
      <c r="C836" s="26"/>
      <c r="D836" s="26"/>
      <c r="E836" s="26"/>
      <c r="F836" s="26"/>
      <c r="G836" s="26"/>
      <c r="H836" s="26"/>
      <c r="I836" s="26"/>
      <c r="J836" s="26"/>
      <c r="K836" s="112"/>
      <c r="L836" s="26"/>
      <c r="M836" s="26"/>
      <c r="N836" s="26"/>
      <c r="O836" s="113"/>
      <c r="P836" s="26"/>
      <c r="Q836" s="26"/>
      <c r="R836" s="26"/>
      <c r="S836" s="26"/>
      <c r="T836" s="26"/>
      <c r="U836" s="26"/>
      <c r="V836" s="26"/>
      <c r="W836" s="26"/>
      <c r="X836" s="26"/>
      <c r="Y836" s="26"/>
      <c r="Z836" s="26"/>
      <c r="AA836" s="26"/>
      <c r="AB836" s="26"/>
      <c r="AC836" s="26"/>
      <c r="AD836" s="26"/>
      <c r="AE836" s="115"/>
      <c r="AF836" s="85"/>
      <c r="AG836" s="67"/>
      <c r="AH836" s="67"/>
      <c r="AI836" s="85"/>
      <c r="AJ836" s="85"/>
      <c r="AK836" s="85"/>
      <c r="AL836" s="85"/>
    </row>
    <row r="837" spans="1:38">
      <c r="A837" s="26"/>
      <c r="B837" s="26"/>
      <c r="C837" s="26"/>
      <c r="D837" s="26"/>
      <c r="E837" s="26"/>
      <c r="F837" s="26"/>
      <c r="G837" s="26"/>
      <c r="H837" s="26"/>
      <c r="I837" s="26"/>
      <c r="J837" s="26"/>
      <c r="K837" s="112"/>
      <c r="L837" s="26"/>
      <c r="M837" s="26"/>
      <c r="N837" s="26"/>
      <c r="O837" s="113"/>
      <c r="P837" s="26"/>
      <c r="Q837" s="26"/>
      <c r="R837" s="26"/>
      <c r="S837" s="26"/>
      <c r="T837" s="26"/>
      <c r="U837" s="26"/>
      <c r="V837" s="26"/>
      <c r="W837" s="26"/>
      <c r="X837" s="26"/>
      <c r="Y837" s="26"/>
      <c r="Z837" s="26"/>
      <c r="AA837" s="26"/>
      <c r="AB837" s="26"/>
      <c r="AC837" s="26"/>
      <c r="AD837" s="26"/>
      <c r="AE837" s="115"/>
      <c r="AF837" s="85"/>
      <c r="AG837" s="67"/>
      <c r="AH837" s="67"/>
      <c r="AI837" s="85"/>
      <c r="AJ837" s="85"/>
      <c r="AK837" s="85"/>
      <c r="AL837" s="85"/>
    </row>
    <row r="838" spans="1:38">
      <c r="A838" s="26"/>
      <c r="B838" s="26"/>
      <c r="C838" s="26"/>
      <c r="D838" s="26"/>
      <c r="E838" s="26"/>
      <c r="F838" s="26"/>
      <c r="G838" s="26"/>
      <c r="H838" s="26"/>
      <c r="I838" s="26"/>
      <c r="J838" s="26"/>
      <c r="K838" s="112"/>
      <c r="L838" s="26"/>
      <c r="M838" s="26"/>
      <c r="N838" s="26"/>
      <c r="O838" s="113"/>
      <c r="P838" s="26"/>
      <c r="Q838" s="26"/>
      <c r="R838" s="26"/>
      <c r="S838" s="26"/>
      <c r="T838" s="26"/>
      <c r="U838" s="26"/>
      <c r="V838" s="26"/>
      <c r="W838" s="26"/>
      <c r="X838" s="26"/>
      <c r="Y838" s="26"/>
      <c r="Z838" s="26"/>
      <c r="AA838" s="26"/>
      <c r="AB838" s="26"/>
      <c r="AC838" s="26"/>
      <c r="AD838" s="26"/>
      <c r="AE838" s="115"/>
      <c r="AF838" s="85"/>
      <c r="AG838" s="67"/>
      <c r="AH838" s="67"/>
      <c r="AI838" s="85"/>
      <c r="AJ838" s="85"/>
      <c r="AK838" s="85"/>
      <c r="AL838" s="85"/>
    </row>
    <row r="839" spans="1:38">
      <c r="A839" s="26"/>
      <c r="B839" s="26"/>
      <c r="C839" s="26"/>
      <c r="D839" s="26"/>
      <c r="E839" s="26"/>
      <c r="F839" s="26"/>
      <c r="G839" s="26"/>
      <c r="H839" s="26"/>
      <c r="I839" s="26"/>
      <c r="J839" s="26"/>
      <c r="K839" s="112"/>
      <c r="L839" s="26"/>
      <c r="M839" s="26"/>
      <c r="N839" s="26"/>
      <c r="O839" s="113"/>
      <c r="P839" s="26"/>
      <c r="Q839" s="26"/>
      <c r="R839" s="26"/>
      <c r="S839" s="26"/>
      <c r="T839" s="26"/>
      <c r="U839" s="26"/>
      <c r="V839" s="26"/>
      <c r="W839" s="26"/>
      <c r="X839" s="26"/>
      <c r="Y839" s="26"/>
      <c r="Z839" s="26"/>
      <c r="AA839" s="26"/>
      <c r="AB839" s="26"/>
      <c r="AC839" s="26"/>
      <c r="AD839" s="26"/>
      <c r="AE839" s="115"/>
      <c r="AF839" s="85"/>
      <c r="AG839" s="67"/>
      <c r="AH839" s="67"/>
      <c r="AI839" s="85"/>
      <c r="AJ839" s="85"/>
      <c r="AK839" s="85"/>
      <c r="AL839" s="85"/>
    </row>
    <row r="840" spans="1:38">
      <c r="A840" s="26"/>
      <c r="B840" s="26"/>
      <c r="C840" s="26"/>
      <c r="D840" s="26"/>
      <c r="E840" s="26"/>
      <c r="F840" s="26"/>
      <c r="G840" s="26"/>
      <c r="H840" s="26"/>
      <c r="I840" s="26"/>
      <c r="J840" s="26"/>
      <c r="K840" s="112"/>
      <c r="L840" s="26"/>
      <c r="M840" s="26"/>
      <c r="N840" s="26"/>
      <c r="O840" s="113"/>
      <c r="P840" s="26"/>
      <c r="Q840" s="26"/>
      <c r="R840" s="26"/>
      <c r="S840" s="26"/>
      <c r="T840" s="26"/>
      <c r="U840" s="26"/>
      <c r="V840" s="26"/>
      <c r="W840" s="26"/>
      <c r="X840" s="26"/>
      <c r="Y840" s="26"/>
      <c r="Z840" s="26"/>
      <c r="AA840" s="26"/>
      <c r="AB840" s="26"/>
      <c r="AC840" s="26"/>
      <c r="AD840" s="26"/>
      <c r="AE840" s="115"/>
      <c r="AF840" s="85"/>
      <c r="AG840" s="67"/>
      <c r="AH840" s="67"/>
      <c r="AI840" s="85"/>
      <c r="AJ840" s="85"/>
      <c r="AK840" s="85"/>
      <c r="AL840" s="85"/>
    </row>
    <row r="841" spans="1:38">
      <c r="A841" s="26"/>
      <c r="B841" s="26"/>
      <c r="C841" s="26"/>
      <c r="D841" s="26"/>
      <c r="E841" s="26"/>
      <c r="F841" s="26"/>
      <c r="G841" s="26"/>
      <c r="H841" s="26"/>
      <c r="I841" s="26"/>
      <c r="J841" s="26"/>
      <c r="K841" s="112"/>
      <c r="L841" s="26"/>
      <c r="M841" s="26"/>
      <c r="N841" s="26"/>
      <c r="O841" s="113"/>
      <c r="P841" s="26"/>
      <c r="Q841" s="26"/>
      <c r="R841" s="26"/>
      <c r="S841" s="26"/>
      <c r="T841" s="26"/>
      <c r="U841" s="26"/>
      <c r="V841" s="26"/>
      <c r="W841" s="26"/>
      <c r="X841" s="26"/>
      <c r="Y841" s="26"/>
      <c r="Z841" s="26"/>
      <c r="AA841" s="26"/>
      <c r="AB841" s="26"/>
      <c r="AC841" s="26"/>
      <c r="AD841" s="26"/>
      <c r="AE841" s="115"/>
      <c r="AF841" s="85"/>
      <c r="AG841" s="67"/>
      <c r="AH841" s="67"/>
      <c r="AI841" s="85"/>
      <c r="AJ841" s="85"/>
      <c r="AK841" s="85"/>
      <c r="AL841" s="85"/>
    </row>
    <row r="842" spans="1:38">
      <c r="A842" s="26"/>
      <c r="B842" s="26"/>
      <c r="C842" s="26"/>
      <c r="D842" s="26"/>
      <c r="E842" s="26"/>
      <c r="F842" s="26"/>
      <c r="G842" s="26"/>
      <c r="H842" s="26"/>
      <c r="I842" s="26"/>
      <c r="J842" s="26"/>
      <c r="K842" s="112"/>
      <c r="L842" s="26"/>
      <c r="M842" s="26"/>
      <c r="N842" s="26"/>
      <c r="O842" s="113"/>
      <c r="P842" s="26"/>
      <c r="Q842" s="26"/>
      <c r="R842" s="26"/>
      <c r="S842" s="26"/>
      <c r="T842" s="26"/>
      <c r="U842" s="26"/>
      <c r="V842" s="26"/>
      <c r="W842" s="26"/>
      <c r="X842" s="26"/>
      <c r="Y842" s="26"/>
      <c r="Z842" s="26"/>
      <c r="AA842" s="26"/>
      <c r="AB842" s="26"/>
      <c r="AC842" s="26"/>
      <c r="AD842" s="26"/>
      <c r="AE842" s="115"/>
      <c r="AF842" s="85"/>
      <c r="AG842" s="67"/>
      <c r="AH842" s="67"/>
      <c r="AI842" s="85"/>
      <c r="AJ842" s="85"/>
      <c r="AK842" s="85"/>
      <c r="AL842" s="85"/>
    </row>
    <row r="843" spans="1:38">
      <c r="A843" s="26"/>
      <c r="B843" s="26"/>
      <c r="C843" s="26"/>
      <c r="D843" s="26"/>
      <c r="E843" s="26"/>
      <c r="F843" s="26"/>
      <c r="G843" s="26"/>
      <c r="H843" s="26"/>
      <c r="I843" s="26"/>
      <c r="J843" s="26"/>
      <c r="K843" s="112"/>
      <c r="L843" s="26"/>
      <c r="M843" s="26"/>
      <c r="N843" s="26"/>
      <c r="O843" s="113"/>
      <c r="P843" s="26"/>
      <c r="Q843" s="26"/>
      <c r="R843" s="26"/>
      <c r="S843" s="26"/>
      <c r="T843" s="26"/>
      <c r="U843" s="26"/>
      <c r="V843" s="26"/>
      <c r="W843" s="26"/>
      <c r="X843" s="26"/>
      <c r="Y843" s="26"/>
      <c r="Z843" s="26"/>
      <c r="AA843" s="26"/>
      <c r="AB843" s="26"/>
      <c r="AC843" s="26"/>
      <c r="AD843" s="26"/>
      <c r="AE843" s="115"/>
      <c r="AF843" s="85"/>
      <c r="AG843" s="67"/>
      <c r="AH843" s="67"/>
      <c r="AI843" s="85"/>
      <c r="AJ843" s="85"/>
      <c r="AK843" s="85"/>
      <c r="AL843" s="85"/>
    </row>
    <row r="844" spans="1:38">
      <c r="A844" s="26"/>
      <c r="B844" s="26"/>
      <c r="C844" s="26"/>
      <c r="D844" s="26"/>
      <c r="E844" s="26"/>
      <c r="F844" s="26"/>
      <c r="G844" s="26"/>
      <c r="H844" s="26"/>
      <c r="I844" s="26"/>
      <c r="J844" s="26"/>
      <c r="K844" s="112"/>
      <c r="L844" s="26"/>
      <c r="M844" s="26"/>
      <c r="N844" s="26"/>
      <c r="O844" s="113"/>
      <c r="P844" s="26"/>
      <c r="Q844" s="26"/>
      <c r="R844" s="26"/>
      <c r="S844" s="26"/>
      <c r="T844" s="26"/>
      <c r="U844" s="26"/>
      <c r="V844" s="26"/>
      <c r="W844" s="26"/>
      <c r="X844" s="26"/>
      <c r="Y844" s="26"/>
      <c r="Z844" s="26"/>
      <c r="AA844" s="26"/>
      <c r="AB844" s="26"/>
      <c r="AC844" s="26"/>
      <c r="AD844" s="26"/>
      <c r="AE844" s="115"/>
      <c r="AF844" s="85"/>
      <c r="AG844" s="67"/>
      <c r="AH844" s="67"/>
      <c r="AI844" s="85"/>
      <c r="AJ844" s="85"/>
      <c r="AK844" s="85"/>
      <c r="AL844" s="85"/>
    </row>
    <row r="845" spans="1:38">
      <c r="A845" s="26"/>
      <c r="B845" s="26"/>
      <c r="C845" s="26"/>
      <c r="D845" s="26"/>
      <c r="E845" s="26"/>
      <c r="F845" s="26"/>
      <c r="G845" s="26"/>
      <c r="H845" s="26"/>
      <c r="I845" s="26"/>
      <c r="J845" s="26"/>
      <c r="K845" s="112"/>
      <c r="L845" s="26"/>
      <c r="M845" s="26"/>
      <c r="N845" s="26"/>
      <c r="O845" s="113"/>
      <c r="P845" s="26"/>
      <c r="Q845" s="26"/>
      <c r="R845" s="26"/>
      <c r="S845" s="26"/>
      <c r="T845" s="26"/>
      <c r="U845" s="26"/>
      <c r="V845" s="26"/>
      <c r="W845" s="26"/>
      <c r="X845" s="26"/>
      <c r="Y845" s="26"/>
      <c r="Z845" s="26"/>
      <c r="AA845" s="26"/>
      <c r="AB845" s="26"/>
      <c r="AC845" s="26"/>
      <c r="AD845" s="26"/>
      <c r="AE845" s="115"/>
      <c r="AF845" s="85"/>
      <c r="AG845" s="67"/>
      <c r="AH845" s="67"/>
      <c r="AI845" s="85"/>
      <c r="AJ845" s="85"/>
      <c r="AK845" s="85"/>
      <c r="AL845" s="85"/>
    </row>
    <row r="846" spans="1:38">
      <c r="A846" s="26"/>
      <c r="B846" s="26"/>
      <c r="C846" s="26"/>
      <c r="D846" s="26"/>
      <c r="E846" s="26"/>
      <c r="F846" s="26"/>
      <c r="G846" s="26"/>
      <c r="H846" s="26"/>
      <c r="I846" s="26"/>
      <c r="J846" s="26"/>
      <c r="K846" s="112"/>
      <c r="L846" s="26"/>
      <c r="M846" s="26"/>
      <c r="N846" s="26"/>
      <c r="O846" s="113"/>
      <c r="P846" s="26"/>
      <c r="Q846" s="26"/>
      <c r="R846" s="26"/>
      <c r="S846" s="26"/>
      <c r="T846" s="26"/>
      <c r="U846" s="26"/>
      <c r="V846" s="26"/>
      <c r="W846" s="26"/>
      <c r="X846" s="26"/>
      <c r="Y846" s="26"/>
      <c r="Z846" s="26"/>
      <c r="AA846" s="26"/>
      <c r="AB846" s="26"/>
      <c r="AC846" s="26"/>
      <c r="AD846" s="26"/>
      <c r="AE846" s="115"/>
      <c r="AF846" s="85"/>
      <c r="AG846" s="67"/>
      <c r="AH846" s="67"/>
      <c r="AI846" s="85"/>
      <c r="AJ846" s="85"/>
      <c r="AK846" s="85"/>
      <c r="AL846" s="85"/>
    </row>
    <row r="847" spans="1:38">
      <c r="A847" s="26"/>
      <c r="B847" s="26"/>
      <c r="C847" s="26"/>
      <c r="D847" s="26"/>
      <c r="E847" s="26"/>
      <c r="F847" s="26"/>
      <c r="G847" s="26"/>
      <c r="H847" s="26"/>
      <c r="I847" s="26"/>
      <c r="J847" s="26"/>
      <c r="K847" s="112"/>
      <c r="L847" s="26"/>
      <c r="M847" s="26"/>
      <c r="N847" s="26"/>
      <c r="O847" s="113"/>
      <c r="P847" s="26"/>
      <c r="Q847" s="26"/>
      <c r="R847" s="26"/>
      <c r="S847" s="26"/>
      <c r="T847" s="26"/>
      <c r="U847" s="26"/>
      <c r="V847" s="26"/>
      <c r="W847" s="26"/>
      <c r="X847" s="26"/>
      <c r="Y847" s="26"/>
      <c r="Z847" s="26"/>
      <c r="AA847" s="26"/>
      <c r="AB847" s="26"/>
      <c r="AC847" s="26"/>
      <c r="AD847" s="26"/>
      <c r="AE847" s="115"/>
      <c r="AF847" s="85"/>
      <c r="AG847" s="67"/>
      <c r="AH847" s="67"/>
      <c r="AI847" s="85"/>
      <c r="AJ847" s="85"/>
      <c r="AK847" s="85"/>
      <c r="AL847" s="85"/>
    </row>
    <row r="848" spans="1:38">
      <c r="A848" s="26"/>
      <c r="B848" s="26"/>
      <c r="C848" s="26"/>
      <c r="D848" s="26"/>
      <c r="E848" s="26"/>
      <c r="F848" s="26"/>
      <c r="G848" s="26"/>
      <c r="H848" s="26"/>
      <c r="I848" s="26"/>
      <c r="J848" s="26"/>
      <c r="K848" s="112"/>
      <c r="L848" s="26"/>
      <c r="M848" s="26"/>
      <c r="N848" s="26"/>
      <c r="O848" s="113"/>
      <c r="P848" s="26"/>
      <c r="Q848" s="26"/>
      <c r="R848" s="26"/>
      <c r="S848" s="26"/>
      <c r="T848" s="26"/>
      <c r="U848" s="26"/>
      <c r="V848" s="26"/>
      <c r="W848" s="26"/>
      <c r="X848" s="26"/>
      <c r="Y848" s="26"/>
      <c r="Z848" s="26"/>
      <c r="AA848" s="26"/>
      <c r="AB848" s="26"/>
      <c r="AC848" s="26"/>
      <c r="AD848" s="26"/>
      <c r="AE848" s="115"/>
      <c r="AF848" s="85"/>
      <c r="AG848" s="67"/>
      <c r="AH848" s="67"/>
      <c r="AI848" s="85"/>
      <c r="AJ848" s="85"/>
      <c r="AK848" s="85"/>
      <c r="AL848" s="85"/>
    </row>
    <row r="849" spans="1:38">
      <c r="A849" s="26"/>
      <c r="B849" s="26"/>
      <c r="C849" s="26"/>
      <c r="D849" s="26"/>
      <c r="E849" s="26"/>
      <c r="F849" s="26"/>
      <c r="G849" s="26"/>
      <c r="H849" s="26"/>
      <c r="I849" s="26"/>
      <c r="J849" s="26"/>
      <c r="K849" s="112"/>
      <c r="L849" s="26"/>
      <c r="M849" s="26"/>
      <c r="N849" s="26"/>
      <c r="O849" s="113"/>
      <c r="P849" s="26"/>
      <c r="Q849" s="26"/>
      <c r="R849" s="26"/>
      <c r="S849" s="26"/>
      <c r="T849" s="26"/>
      <c r="U849" s="26"/>
      <c r="V849" s="26"/>
      <c r="W849" s="26"/>
      <c r="X849" s="26"/>
      <c r="Y849" s="26"/>
      <c r="Z849" s="26"/>
      <c r="AA849" s="26"/>
      <c r="AB849" s="26"/>
      <c r="AC849" s="26"/>
      <c r="AD849" s="26"/>
      <c r="AE849" s="115"/>
      <c r="AF849" s="85"/>
      <c r="AG849" s="67"/>
      <c r="AH849" s="67"/>
      <c r="AI849" s="85"/>
      <c r="AJ849" s="85"/>
      <c r="AK849" s="85"/>
      <c r="AL849" s="85"/>
    </row>
    <row r="850" spans="1:38">
      <c r="A850" s="26"/>
      <c r="B850" s="26"/>
      <c r="C850" s="26"/>
      <c r="D850" s="26"/>
      <c r="E850" s="26"/>
      <c r="F850" s="26"/>
      <c r="G850" s="26"/>
      <c r="H850" s="26"/>
      <c r="I850" s="26"/>
      <c r="J850" s="26"/>
      <c r="K850" s="112"/>
      <c r="L850" s="26"/>
      <c r="M850" s="26"/>
      <c r="N850" s="26"/>
      <c r="O850" s="113"/>
      <c r="P850" s="26"/>
      <c r="Q850" s="26"/>
      <c r="R850" s="26"/>
      <c r="S850" s="26"/>
      <c r="T850" s="26"/>
      <c r="U850" s="26"/>
      <c r="V850" s="26"/>
      <c r="W850" s="26"/>
      <c r="X850" s="26"/>
      <c r="Y850" s="26"/>
      <c r="Z850" s="26"/>
      <c r="AA850" s="26"/>
      <c r="AB850" s="26"/>
      <c r="AC850" s="26"/>
      <c r="AD850" s="26"/>
      <c r="AE850" s="115"/>
      <c r="AF850" s="85"/>
      <c r="AG850" s="67"/>
      <c r="AH850" s="67"/>
      <c r="AI850" s="85"/>
      <c r="AJ850" s="85"/>
      <c r="AK850" s="85"/>
      <c r="AL850" s="85"/>
    </row>
    <row r="851" spans="1:38">
      <c r="A851" s="26"/>
      <c r="B851" s="26"/>
      <c r="C851" s="26"/>
      <c r="D851" s="26"/>
      <c r="E851" s="26"/>
      <c r="F851" s="26"/>
      <c r="G851" s="26"/>
      <c r="H851" s="26"/>
      <c r="I851" s="26"/>
      <c r="J851" s="26"/>
      <c r="K851" s="112"/>
      <c r="L851" s="26"/>
      <c r="M851" s="26"/>
      <c r="N851" s="26"/>
      <c r="O851" s="113"/>
      <c r="P851" s="26"/>
      <c r="Q851" s="26"/>
      <c r="R851" s="26"/>
      <c r="S851" s="26"/>
      <c r="T851" s="26"/>
      <c r="U851" s="26"/>
      <c r="V851" s="26"/>
      <c r="W851" s="26"/>
      <c r="X851" s="26"/>
      <c r="Y851" s="26"/>
      <c r="Z851" s="26"/>
      <c r="AA851" s="26"/>
      <c r="AB851" s="26"/>
      <c r="AC851" s="26"/>
      <c r="AD851" s="26"/>
      <c r="AE851" s="115"/>
      <c r="AF851" s="85"/>
      <c r="AG851" s="67"/>
      <c r="AH851" s="67"/>
      <c r="AI851" s="85"/>
      <c r="AJ851" s="85"/>
      <c r="AK851" s="85"/>
      <c r="AL851" s="85"/>
    </row>
    <row r="852" spans="1:38">
      <c r="A852" s="26"/>
      <c r="B852" s="26"/>
      <c r="C852" s="26"/>
      <c r="D852" s="26"/>
      <c r="E852" s="26"/>
      <c r="F852" s="26"/>
      <c r="G852" s="26"/>
      <c r="H852" s="26"/>
      <c r="I852" s="26"/>
      <c r="J852" s="26"/>
      <c r="K852" s="112"/>
      <c r="L852" s="26"/>
      <c r="M852" s="26"/>
      <c r="N852" s="26"/>
      <c r="O852" s="113"/>
      <c r="P852" s="26"/>
      <c r="Q852" s="26"/>
      <c r="R852" s="26"/>
      <c r="S852" s="26"/>
      <c r="T852" s="26"/>
      <c r="U852" s="26"/>
      <c r="V852" s="26"/>
      <c r="W852" s="26"/>
      <c r="X852" s="26"/>
      <c r="Y852" s="26"/>
      <c r="Z852" s="26"/>
      <c r="AA852" s="26"/>
      <c r="AB852" s="26"/>
      <c r="AC852" s="26"/>
      <c r="AD852" s="26"/>
      <c r="AE852" s="115"/>
      <c r="AF852" s="85"/>
      <c r="AG852" s="67"/>
      <c r="AH852" s="67"/>
      <c r="AI852" s="85"/>
      <c r="AJ852" s="85"/>
      <c r="AK852" s="85"/>
      <c r="AL852" s="85"/>
    </row>
    <row r="853" spans="1:38">
      <c r="A853" s="26"/>
      <c r="B853" s="26"/>
      <c r="C853" s="26"/>
      <c r="D853" s="26"/>
      <c r="E853" s="26"/>
      <c r="F853" s="26"/>
      <c r="G853" s="26"/>
      <c r="H853" s="26"/>
      <c r="I853" s="26"/>
      <c r="J853" s="26"/>
      <c r="K853" s="112"/>
      <c r="L853" s="26"/>
      <c r="M853" s="26"/>
      <c r="N853" s="26"/>
      <c r="O853" s="113"/>
      <c r="P853" s="26"/>
      <c r="Q853" s="26"/>
      <c r="R853" s="26"/>
      <c r="S853" s="26"/>
      <c r="T853" s="26"/>
      <c r="U853" s="26"/>
      <c r="V853" s="26"/>
      <c r="W853" s="26"/>
      <c r="X853" s="26"/>
      <c r="Y853" s="26"/>
      <c r="Z853" s="26"/>
      <c r="AA853" s="26"/>
      <c r="AB853" s="26"/>
      <c r="AC853" s="26"/>
      <c r="AD853" s="26"/>
      <c r="AE853" s="115"/>
      <c r="AF853" s="85"/>
      <c r="AG853" s="67"/>
      <c r="AH853" s="67"/>
      <c r="AI853" s="85"/>
      <c r="AJ853" s="85"/>
      <c r="AK853" s="85"/>
      <c r="AL853" s="85"/>
    </row>
    <row r="854" spans="1:38">
      <c r="A854" s="26"/>
      <c r="B854" s="26"/>
      <c r="C854" s="26"/>
      <c r="D854" s="26"/>
      <c r="E854" s="26"/>
      <c r="F854" s="26"/>
      <c r="G854" s="26"/>
      <c r="H854" s="26"/>
      <c r="I854" s="26"/>
      <c r="J854" s="26"/>
      <c r="K854" s="112"/>
      <c r="L854" s="26"/>
      <c r="M854" s="26"/>
      <c r="N854" s="26"/>
      <c r="O854" s="113"/>
      <c r="P854" s="26"/>
      <c r="Q854" s="26"/>
      <c r="R854" s="26"/>
      <c r="S854" s="26"/>
      <c r="T854" s="26"/>
      <c r="U854" s="26"/>
      <c r="V854" s="26"/>
      <c r="W854" s="26"/>
      <c r="X854" s="26"/>
      <c r="Y854" s="26"/>
      <c r="Z854" s="26"/>
      <c r="AA854" s="26"/>
      <c r="AB854" s="26"/>
      <c r="AC854" s="26"/>
      <c r="AD854" s="26"/>
      <c r="AE854" s="115"/>
      <c r="AF854" s="85"/>
      <c r="AG854" s="67"/>
      <c r="AH854" s="67"/>
      <c r="AI854" s="85"/>
      <c r="AJ854" s="85"/>
      <c r="AK854" s="85"/>
      <c r="AL854" s="85"/>
    </row>
    <row r="855" spans="1:38">
      <c r="A855" s="26"/>
      <c r="B855" s="26"/>
      <c r="C855" s="26"/>
      <c r="D855" s="26"/>
      <c r="E855" s="26"/>
      <c r="F855" s="26"/>
      <c r="G855" s="26"/>
      <c r="H855" s="26"/>
      <c r="I855" s="26"/>
      <c r="J855" s="26"/>
      <c r="K855" s="112"/>
      <c r="L855" s="26"/>
      <c r="M855" s="26"/>
      <c r="N855" s="26"/>
      <c r="O855" s="113"/>
      <c r="P855" s="26"/>
      <c r="Q855" s="26"/>
      <c r="R855" s="26"/>
      <c r="S855" s="26"/>
      <c r="T855" s="26"/>
      <c r="U855" s="26"/>
      <c r="V855" s="26"/>
      <c r="W855" s="26"/>
      <c r="X855" s="26"/>
      <c r="Y855" s="26"/>
      <c r="Z855" s="26"/>
      <c r="AA855" s="26"/>
      <c r="AB855" s="26"/>
      <c r="AC855" s="26"/>
      <c r="AD855" s="26"/>
      <c r="AE855" s="115"/>
      <c r="AF855" s="85"/>
      <c r="AG855" s="67"/>
      <c r="AH855" s="67"/>
      <c r="AI855" s="85"/>
      <c r="AJ855" s="85"/>
      <c r="AK855" s="85"/>
      <c r="AL855" s="85"/>
    </row>
    <row r="856" spans="1:38">
      <c r="A856" s="26"/>
      <c r="B856" s="26"/>
      <c r="C856" s="26"/>
      <c r="D856" s="26"/>
      <c r="E856" s="26"/>
      <c r="F856" s="26"/>
      <c r="G856" s="26"/>
      <c r="H856" s="26"/>
      <c r="I856" s="26"/>
      <c r="J856" s="26"/>
      <c r="K856" s="112"/>
      <c r="L856" s="26"/>
      <c r="M856" s="26"/>
      <c r="N856" s="26"/>
      <c r="O856" s="113"/>
      <c r="P856" s="26"/>
      <c r="Q856" s="26"/>
      <c r="R856" s="26"/>
      <c r="S856" s="26"/>
      <c r="T856" s="26"/>
      <c r="U856" s="26"/>
      <c r="V856" s="26"/>
      <c r="W856" s="26"/>
      <c r="X856" s="26"/>
      <c r="Y856" s="26"/>
      <c r="Z856" s="26"/>
      <c r="AA856" s="26"/>
      <c r="AB856" s="26"/>
      <c r="AC856" s="26"/>
      <c r="AD856" s="26"/>
      <c r="AE856" s="115"/>
      <c r="AF856" s="85"/>
      <c r="AG856" s="67"/>
      <c r="AH856" s="67"/>
      <c r="AI856" s="85"/>
      <c r="AJ856" s="85"/>
      <c r="AK856" s="85"/>
      <c r="AL856" s="85"/>
    </row>
    <row r="857" spans="1:38">
      <c r="A857" s="26"/>
      <c r="B857" s="26"/>
      <c r="C857" s="26"/>
      <c r="D857" s="26"/>
      <c r="E857" s="26"/>
      <c r="F857" s="26"/>
      <c r="G857" s="26"/>
      <c r="H857" s="26"/>
      <c r="I857" s="26"/>
      <c r="J857" s="26"/>
      <c r="K857" s="112"/>
      <c r="L857" s="26"/>
      <c r="M857" s="26"/>
      <c r="N857" s="26"/>
      <c r="O857" s="113"/>
      <c r="P857" s="26"/>
      <c r="Q857" s="26"/>
      <c r="R857" s="26"/>
      <c r="S857" s="26"/>
      <c r="T857" s="26"/>
      <c r="U857" s="26"/>
      <c r="V857" s="26"/>
      <c r="W857" s="26"/>
      <c r="X857" s="26"/>
      <c r="Y857" s="26"/>
      <c r="Z857" s="26"/>
      <c r="AA857" s="26"/>
      <c r="AB857" s="26"/>
      <c r="AC857" s="26"/>
      <c r="AD857" s="26"/>
      <c r="AE857" s="115"/>
      <c r="AF857" s="85"/>
      <c r="AG857" s="67"/>
      <c r="AH857" s="67"/>
      <c r="AI857" s="85"/>
      <c r="AJ857" s="85"/>
      <c r="AK857" s="85"/>
      <c r="AL857" s="85"/>
    </row>
    <row r="858" spans="1:38">
      <c r="A858" s="26"/>
      <c r="B858" s="26"/>
      <c r="C858" s="26"/>
      <c r="D858" s="26"/>
      <c r="E858" s="26"/>
      <c r="F858" s="26"/>
      <c r="G858" s="26"/>
      <c r="H858" s="26"/>
      <c r="I858" s="26"/>
      <c r="J858" s="26"/>
      <c r="K858" s="112"/>
      <c r="L858" s="26"/>
      <c r="M858" s="26"/>
      <c r="N858" s="26"/>
      <c r="O858" s="113"/>
      <c r="P858" s="26"/>
      <c r="Q858" s="26"/>
      <c r="R858" s="26"/>
      <c r="S858" s="26"/>
      <c r="T858" s="26"/>
      <c r="U858" s="26"/>
      <c r="V858" s="26"/>
      <c r="W858" s="26"/>
      <c r="X858" s="26"/>
      <c r="Y858" s="26"/>
      <c r="Z858" s="26"/>
      <c r="AA858" s="26"/>
      <c r="AB858" s="26"/>
      <c r="AC858" s="26"/>
      <c r="AD858" s="26"/>
      <c r="AE858" s="115"/>
      <c r="AF858" s="85"/>
      <c r="AG858" s="67"/>
      <c r="AH858" s="67"/>
      <c r="AI858" s="85"/>
      <c r="AJ858" s="85"/>
      <c r="AK858" s="85"/>
      <c r="AL858" s="85"/>
    </row>
    <row r="859" spans="1:38">
      <c r="A859" s="26"/>
      <c r="B859" s="26"/>
      <c r="C859" s="26"/>
      <c r="D859" s="26"/>
      <c r="E859" s="26"/>
      <c r="F859" s="26"/>
      <c r="G859" s="26"/>
      <c r="H859" s="26"/>
      <c r="I859" s="26"/>
      <c r="J859" s="26"/>
      <c r="K859" s="112"/>
      <c r="L859" s="26"/>
      <c r="M859" s="26"/>
      <c r="N859" s="26"/>
      <c r="O859" s="113"/>
      <c r="P859" s="26"/>
      <c r="Q859" s="26"/>
      <c r="R859" s="26"/>
      <c r="S859" s="26"/>
      <c r="T859" s="26"/>
      <c r="U859" s="26"/>
      <c r="V859" s="26"/>
      <c r="W859" s="26"/>
      <c r="X859" s="26"/>
      <c r="Y859" s="26"/>
      <c r="Z859" s="26"/>
      <c r="AA859" s="26"/>
      <c r="AB859" s="26"/>
      <c r="AC859" s="26"/>
      <c r="AD859" s="26"/>
      <c r="AE859" s="115"/>
      <c r="AF859" s="85"/>
      <c r="AG859" s="67"/>
      <c r="AH859" s="67"/>
      <c r="AI859" s="85"/>
      <c r="AJ859" s="85"/>
      <c r="AK859" s="85"/>
      <c r="AL859" s="85"/>
    </row>
    <row r="860" spans="1:38">
      <c r="A860" s="26"/>
      <c r="B860" s="26"/>
      <c r="C860" s="26"/>
      <c r="D860" s="26"/>
      <c r="E860" s="26"/>
      <c r="F860" s="26"/>
      <c r="G860" s="26"/>
      <c r="H860" s="26"/>
      <c r="I860" s="26"/>
      <c r="J860" s="26"/>
      <c r="K860" s="112"/>
      <c r="L860" s="26"/>
      <c r="M860" s="26"/>
      <c r="N860" s="26"/>
      <c r="O860" s="113"/>
      <c r="P860" s="26"/>
      <c r="Q860" s="26"/>
      <c r="R860" s="26"/>
      <c r="S860" s="26"/>
      <c r="T860" s="26"/>
      <c r="U860" s="26"/>
      <c r="V860" s="26"/>
      <c r="W860" s="26"/>
      <c r="X860" s="26"/>
      <c r="Y860" s="26"/>
      <c r="Z860" s="26"/>
      <c r="AA860" s="26"/>
      <c r="AB860" s="26"/>
      <c r="AC860" s="26"/>
      <c r="AD860" s="26"/>
      <c r="AE860" s="115"/>
      <c r="AF860" s="85"/>
      <c r="AG860" s="67"/>
      <c r="AH860" s="67"/>
      <c r="AI860" s="85"/>
      <c r="AJ860" s="85"/>
      <c r="AK860" s="85"/>
      <c r="AL860" s="85"/>
    </row>
    <row r="861" spans="1:38">
      <c r="A861" s="26"/>
      <c r="B861" s="26"/>
      <c r="C861" s="26"/>
      <c r="D861" s="26"/>
      <c r="E861" s="26"/>
      <c r="F861" s="26"/>
      <c r="G861" s="26"/>
      <c r="H861" s="26"/>
      <c r="I861" s="26"/>
      <c r="J861" s="26"/>
      <c r="K861" s="112"/>
      <c r="L861" s="26"/>
      <c r="M861" s="26"/>
      <c r="N861" s="26"/>
      <c r="O861" s="113"/>
      <c r="P861" s="26"/>
      <c r="Q861" s="26"/>
      <c r="R861" s="26"/>
      <c r="S861" s="26"/>
      <c r="T861" s="26"/>
      <c r="U861" s="26"/>
      <c r="V861" s="26"/>
      <c r="W861" s="26"/>
      <c r="X861" s="26"/>
      <c r="Y861" s="26"/>
      <c r="Z861" s="26"/>
      <c r="AA861" s="26"/>
      <c r="AB861" s="26"/>
      <c r="AC861" s="26"/>
      <c r="AD861" s="26"/>
      <c r="AE861" s="115"/>
      <c r="AF861" s="85"/>
      <c r="AG861" s="67"/>
      <c r="AH861" s="67"/>
      <c r="AI861" s="85"/>
      <c r="AJ861" s="85"/>
      <c r="AK861" s="85"/>
      <c r="AL861" s="85"/>
    </row>
    <row r="862" spans="1:38">
      <c r="A862" s="26"/>
      <c r="B862" s="26"/>
      <c r="C862" s="26"/>
      <c r="D862" s="26"/>
      <c r="E862" s="26"/>
      <c r="F862" s="26"/>
      <c r="G862" s="26"/>
      <c r="H862" s="26"/>
      <c r="I862" s="26"/>
      <c r="J862" s="26"/>
      <c r="K862" s="112"/>
      <c r="L862" s="26"/>
      <c r="M862" s="26"/>
      <c r="N862" s="26"/>
      <c r="O862" s="113"/>
      <c r="P862" s="26"/>
      <c r="Q862" s="26"/>
      <c r="R862" s="26"/>
      <c r="S862" s="26"/>
      <c r="T862" s="26"/>
      <c r="U862" s="26"/>
      <c r="V862" s="26"/>
      <c r="W862" s="26"/>
      <c r="X862" s="26"/>
      <c r="Y862" s="26"/>
      <c r="Z862" s="26"/>
      <c r="AA862" s="26"/>
      <c r="AB862" s="26"/>
      <c r="AC862" s="26"/>
      <c r="AD862" s="26"/>
      <c r="AE862" s="115"/>
      <c r="AF862" s="85"/>
      <c r="AG862" s="67"/>
      <c r="AH862" s="67"/>
      <c r="AI862" s="85"/>
      <c r="AJ862" s="85"/>
      <c r="AK862" s="85"/>
      <c r="AL862" s="85"/>
    </row>
    <row r="863" spans="1:38">
      <c r="A863" s="26"/>
      <c r="B863" s="26"/>
      <c r="C863" s="26"/>
      <c r="D863" s="26"/>
      <c r="E863" s="26"/>
      <c r="F863" s="26"/>
      <c r="G863" s="26"/>
      <c r="H863" s="26"/>
      <c r="I863" s="26"/>
      <c r="J863" s="26"/>
      <c r="K863" s="112"/>
      <c r="L863" s="26"/>
      <c r="M863" s="26"/>
      <c r="N863" s="26"/>
      <c r="O863" s="113"/>
      <c r="P863" s="26"/>
      <c r="Q863" s="26"/>
      <c r="R863" s="26"/>
      <c r="S863" s="26"/>
      <c r="T863" s="26"/>
      <c r="U863" s="26"/>
      <c r="V863" s="26"/>
      <c r="W863" s="26"/>
      <c r="X863" s="26"/>
      <c r="Y863" s="26"/>
      <c r="Z863" s="26"/>
      <c r="AA863" s="26"/>
      <c r="AB863" s="26"/>
      <c r="AC863" s="26"/>
      <c r="AD863" s="26"/>
      <c r="AE863" s="115"/>
      <c r="AF863" s="85"/>
      <c r="AG863" s="67"/>
      <c r="AH863" s="67"/>
      <c r="AI863" s="85"/>
      <c r="AJ863" s="85"/>
      <c r="AK863" s="85"/>
      <c r="AL863" s="85"/>
    </row>
    <row r="864" spans="1:38">
      <c r="A864" s="26"/>
      <c r="B864" s="26"/>
      <c r="C864" s="26"/>
      <c r="D864" s="26"/>
      <c r="E864" s="26"/>
      <c r="F864" s="26"/>
      <c r="G864" s="26"/>
      <c r="H864" s="26"/>
      <c r="I864" s="26"/>
      <c r="J864" s="26"/>
      <c r="K864" s="112"/>
      <c r="L864" s="26"/>
      <c r="M864" s="26"/>
      <c r="N864" s="26"/>
      <c r="O864" s="113"/>
      <c r="P864" s="26"/>
      <c r="Q864" s="26"/>
      <c r="R864" s="26"/>
      <c r="S864" s="26"/>
      <c r="T864" s="26"/>
      <c r="U864" s="26"/>
      <c r="V864" s="26"/>
      <c r="W864" s="26"/>
      <c r="X864" s="26"/>
      <c r="Y864" s="26"/>
      <c r="Z864" s="26"/>
      <c r="AA864" s="26"/>
      <c r="AB864" s="26"/>
      <c r="AC864" s="26"/>
      <c r="AD864" s="26"/>
      <c r="AE864" s="115"/>
      <c r="AF864" s="85"/>
      <c r="AG864" s="67"/>
      <c r="AH864" s="67"/>
      <c r="AI864" s="85"/>
      <c r="AJ864" s="85"/>
      <c r="AK864" s="85"/>
      <c r="AL864" s="85"/>
    </row>
    <row r="865" spans="1:38">
      <c r="A865" s="26"/>
      <c r="B865" s="26"/>
      <c r="C865" s="26"/>
      <c r="D865" s="26"/>
      <c r="E865" s="26"/>
      <c r="F865" s="26"/>
      <c r="G865" s="26"/>
      <c r="H865" s="26"/>
      <c r="I865" s="26"/>
      <c r="J865" s="26"/>
      <c r="K865" s="112"/>
      <c r="L865" s="26"/>
      <c r="M865" s="26"/>
      <c r="N865" s="26"/>
      <c r="O865" s="113"/>
      <c r="P865" s="26"/>
      <c r="Q865" s="26"/>
      <c r="R865" s="26"/>
      <c r="S865" s="26"/>
      <c r="T865" s="26"/>
      <c r="U865" s="26"/>
      <c r="V865" s="26"/>
      <c r="W865" s="26"/>
      <c r="X865" s="26"/>
      <c r="Y865" s="26"/>
      <c r="Z865" s="26"/>
      <c r="AA865" s="26"/>
      <c r="AB865" s="26"/>
      <c r="AC865" s="26"/>
      <c r="AD865" s="26"/>
      <c r="AE865" s="115"/>
      <c r="AF865" s="85"/>
      <c r="AG865" s="67"/>
      <c r="AH865" s="67"/>
      <c r="AI865" s="85"/>
      <c r="AJ865" s="85"/>
      <c r="AK865" s="85"/>
      <c r="AL865" s="85"/>
    </row>
    <row r="866" spans="1:38">
      <c r="A866" s="26"/>
      <c r="B866" s="26"/>
      <c r="C866" s="26"/>
      <c r="D866" s="26"/>
      <c r="E866" s="26"/>
      <c r="F866" s="26"/>
      <c r="G866" s="26"/>
      <c r="H866" s="26"/>
      <c r="I866" s="26"/>
      <c r="J866" s="26"/>
      <c r="K866" s="112"/>
      <c r="L866" s="26"/>
      <c r="M866" s="26"/>
      <c r="N866" s="26"/>
      <c r="O866" s="113"/>
      <c r="P866" s="26"/>
      <c r="Q866" s="26"/>
      <c r="R866" s="26"/>
      <c r="S866" s="26"/>
      <c r="T866" s="26"/>
      <c r="U866" s="26"/>
      <c r="V866" s="26"/>
      <c r="W866" s="26"/>
      <c r="X866" s="26"/>
      <c r="Y866" s="26"/>
      <c r="Z866" s="26"/>
      <c r="AA866" s="26"/>
      <c r="AB866" s="26"/>
      <c r="AC866" s="26"/>
      <c r="AD866" s="26"/>
      <c r="AE866" s="115"/>
      <c r="AF866" s="85"/>
      <c r="AG866" s="67"/>
      <c r="AH866" s="67"/>
      <c r="AI866" s="85"/>
      <c r="AJ866" s="85"/>
      <c r="AK866" s="85"/>
      <c r="AL866" s="85"/>
    </row>
    <row r="867" spans="1:38">
      <c r="A867" s="26"/>
      <c r="B867" s="26"/>
      <c r="C867" s="26"/>
      <c r="D867" s="26"/>
      <c r="E867" s="26"/>
      <c r="F867" s="26"/>
      <c r="G867" s="26"/>
      <c r="H867" s="26"/>
      <c r="I867" s="26"/>
      <c r="J867" s="26"/>
      <c r="K867" s="112"/>
      <c r="L867" s="26"/>
      <c r="M867" s="26"/>
      <c r="N867" s="26"/>
      <c r="O867" s="113"/>
      <c r="P867" s="26"/>
      <c r="Q867" s="26"/>
      <c r="R867" s="26"/>
      <c r="S867" s="26"/>
      <c r="T867" s="26"/>
      <c r="U867" s="26"/>
      <c r="V867" s="26"/>
      <c r="W867" s="26"/>
      <c r="X867" s="26"/>
      <c r="Y867" s="26"/>
      <c r="Z867" s="26"/>
      <c r="AA867" s="26"/>
      <c r="AB867" s="26"/>
      <c r="AC867" s="26"/>
      <c r="AD867" s="26"/>
      <c r="AE867" s="115"/>
      <c r="AF867" s="85"/>
      <c r="AG867" s="67"/>
      <c r="AH867" s="67"/>
      <c r="AI867" s="85"/>
      <c r="AJ867" s="85"/>
      <c r="AK867" s="85"/>
      <c r="AL867" s="85"/>
    </row>
    <row r="868" spans="1:38">
      <c r="A868" s="26"/>
      <c r="B868" s="26"/>
      <c r="C868" s="26"/>
      <c r="D868" s="26"/>
      <c r="E868" s="26"/>
      <c r="F868" s="26"/>
      <c r="G868" s="26"/>
      <c r="H868" s="26"/>
      <c r="I868" s="26"/>
      <c r="J868" s="26"/>
      <c r="K868" s="112"/>
      <c r="L868" s="26"/>
      <c r="M868" s="26"/>
      <c r="N868" s="26"/>
      <c r="O868" s="113"/>
      <c r="P868" s="26"/>
      <c r="Q868" s="26"/>
      <c r="R868" s="26"/>
      <c r="S868" s="26"/>
      <c r="T868" s="26"/>
      <c r="U868" s="26"/>
      <c r="V868" s="26"/>
      <c r="W868" s="26"/>
      <c r="X868" s="26"/>
      <c r="Y868" s="26"/>
      <c r="Z868" s="26"/>
      <c r="AA868" s="26"/>
      <c r="AB868" s="26"/>
      <c r="AC868" s="26"/>
      <c r="AD868" s="26"/>
      <c r="AE868" s="115"/>
      <c r="AF868" s="85"/>
      <c r="AG868" s="67"/>
      <c r="AH868" s="67"/>
      <c r="AI868" s="85"/>
      <c r="AJ868" s="85"/>
      <c r="AK868" s="85"/>
      <c r="AL868" s="85"/>
    </row>
    <row r="869" spans="1:38">
      <c r="A869" s="26"/>
      <c r="B869" s="26"/>
      <c r="C869" s="26"/>
      <c r="D869" s="26"/>
      <c r="E869" s="26"/>
      <c r="F869" s="26"/>
      <c r="G869" s="26"/>
      <c r="H869" s="26"/>
      <c r="I869" s="26"/>
      <c r="J869" s="26"/>
      <c r="K869" s="112"/>
      <c r="L869" s="26"/>
      <c r="M869" s="26"/>
      <c r="N869" s="26"/>
      <c r="O869" s="113"/>
      <c r="P869" s="26"/>
      <c r="Q869" s="26"/>
      <c r="R869" s="26"/>
      <c r="S869" s="26"/>
      <c r="T869" s="26"/>
      <c r="U869" s="26"/>
      <c r="V869" s="26"/>
      <c r="W869" s="26"/>
      <c r="X869" s="26"/>
      <c r="Y869" s="26"/>
      <c r="Z869" s="26"/>
      <c r="AA869" s="26"/>
      <c r="AB869" s="26"/>
      <c r="AC869" s="26"/>
      <c r="AD869" s="26"/>
      <c r="AE869" s="115"/>
      <c r="AF869" s="85"/>
      <c r="AG869" s="67"/>
      <c r="AH869" s="67"/>
      <c r="AI869" s="85"/>
      <c r="AJ869" s="85"/>
      <c r="AK869" s="85"/>
      <c r="AL869" s="85"/>
    </row>
    <row r="870" spans="1:38">
      <c r="A870" s="26"/>
      <c r="B870" s="26"/>
      <c r="C870" s="26"/>
      <c r="D870" s="26"/>
      <c r="E870" s="26"/>
      <c r="F870" s="26"/>
      <c r="G870" s="26"/>
      <c r="H870" s="26"/>
      <c r="I870" s="26"/>
      <c r="J870" s="26"/>
      <c r="K870" s="112"/>
      <c r="L870" s="26"/>
      <c r="M870" s="26"/>
      <c r="N870" s="26"/>
      <c r="O870" s="113"/>
      <c r="P870" s="26"/>
      <c r="Q870" s="26"/>
      <c r="R870" s="26"/>
      <c r="S870" s="26"/>
      <c r="T870" s="26"/>
      <c r="U870" s="26"/>
      <c r="V870" s="26"/>
      <c r="W870" s="26"/>
      <c r="X870" s="26"/>
      <c r="Y870" s="26"/>
      <c r="Z870" s="26"/>
      <c r="AA870" s="26"/>
      <c r="AB870" s="26"/>
      <c r="AC870" s="26"/>
      <c r="AD870" s="26"/>
      <c r="AE870" s="115"/>
      <c r="AF870" s="85"/>
      <c r="AG870" s="67"/>
      <c r="AH870" s="67"/>
      <c r="AI870" s="85"/>
      <c r="AJ870" s="85"/>
      <c r="AK870" s="85"/>
      <c r="AL870" s="85"/>
    </row>
    <row r="871" spans="1:38">
      <c r="A871" s="26"/>
      <c r="B871" s="26"/>
      <c r="C871" s="26"/>
      <c r="D871" s="26"/>
      <c r="E871" s="26"/>
      <c r="F871" s="26"/>
      <c r="G871" s="26"/>
      <c r="H871" s="26"/>
      <c r="I871" s="26"/>
      <c r="J871" s="26"/>
      <c r="K871" s="112"/>
      <c r="L871" s="26"/>
      <c r="M871" s="26"/>
      <c r="N871" s="26"/>
      <c r="O871" s="113"/>
      <c r="P871" s="26"/>
      <c r="Q871" s="26"/>
      <c r="R871" s="26"/>
      <c r="S871" s="26"/>
      <c r="T871" s="26"/>
      <c r="U871" s="26"/>
      <c r="V871" s="26"/>
      <c r="W871" s="26"/>
      <c r="X871" s="26"/>
      <c r="Y871" s="26"/>
      <c r="Z871" s="26"/>
      <c r="AA871" s="26"/>
      <c r="AB871" s="26"/>
      <c r="AC871" s="26"/>
      <c r="AD871" s="26"/>
      <c r="AE871" s="115"/>
      <c r="AF871" s="85"/>
      <c r="AG871" s="67"/>
      <c r="AH871" s="67"/>
      <c r="AI871" s="85"/>
      <c r="AJ871" s="85"/>
      <c r="AK871" s="85"/>
      <c r="AL871" s="85"/>
    </row>
    <row r="872" spans="1:38">
      <c r="A872" s="26"/>
      <c r="B872" s="26"/>
      <c r="C872" s="26"/>
      <c r="D872" s="26"/>
      <c r="E872" s="26"/>
      <c r="F872" s="26"/>
      <c r="G872" s="26"/>
      <c r="H872" s="26"/>
      <c r="I872" s="26"/>
      <c r="J872" s="26"/>
      <c r="K872" s="112"/>
      <c r="L872" s="26"/>
      <c r="M872" s="26"/>
      <c r="N872" s="26"/>
      <c r="O872" s="113"/>
      <c r="P872" s="26"/>
      <c r="Q872" s="26"/>
      <c r="R872" s="26"/>
      <c r="S872" s="26"/>
      <c r="T872" s="26"/>
      <c r="U872" s="26"/>
      <c r="V872" s="26"/>
      <c r="W872" s="26"/>
      <c r="X872" s="26"/>
      <c r="Y872" s="26"/>
      <c r="Z872" s="26"/>
      <c r="AA872" s="26"/>
      <c r="AB872" s="26"/>
      <c r="AC872" s="26"/>
      <c r="AD872" s="26"/>
      <c r="AE872" s="115"/>
      <c r="AF872" s="85"/>
      <c r="AG872" s="67"/>
      <c r="AH872" s="67"/>
      <c r="AI872" s="85"/>
      <c r="AJ872" s="85"/>
      <c r="AK872" s="85"/>
      <c r="AL872" s="85"/>
    </row>
    <row r="873" spans="1:38">
      <c r="A873" s="26"/>
      <c r="B873" s="26"/>
      <c r="C873" s="26"/>
      <c r="D873" s="26"/>
      <c r="E873" s="26"/>
      <c r="F873" s="26"/>
      <c r="G873" s="26"/>
      <c r="H873" s="26"/>
      <c r="I873" s="26"/>
      <c r="J873" s="26"/>
      <c r="K873" s="112"/>
      <c r="L873" s="26"/>
      <c r="M873" s="26"/>
      <c r="N873" s="26"/>
      <c r="O873" s="113"/>
      <c r="P873" s="26"/>
      <c r="Q873" s="26"/>
      <c r="R873" s="26"/>
      <c r="S873" s="26"/>
      <c r="T873" s="26"/>
      <c r="U873" s="26"/>
      <c r="V873" s="26"/>
      <c r="W873" s="26"/>
      <c r="X873" s="26"/>
      <c r="Y873" s="26"/>
      <c r="Z873" s="26"/>
      <c r="AA873" s="26"/>
      <c r="AB873" s="26"/>
      <c r="AC873" s="26"/>
      <c r="AD873" s="26"/>
      <c r="AE873" s="115"/>
      <c r="AF873" s="85"/>
      <c r="AG873" s="67"/>
      <c r="AH873" s="67"/>
      <c r="AI873" s="85"/>
      <c r="AJ873" s="85"/>
      <c r="AK873" s="85"/>
      <c r="AL873" s="85"/>
    </row>
    <row r="874" spans="1:38">
      <c r="A874" s="26"/>
      <c r="B874" s="26"/>
      <c r="C874" s="26"/>
      <c r="D874" s="26"/>
      <c r="E874" s="26"/>
      <c r="F874" s="26"/>
      <c r="G874" s="26"/>
      <c r="H874" s="26"/>
      <c r="I874" s="26"/>
      <c r="J874" s="26"/>
      <c r="K874" s="112"/>
      <c r="L874" s="26"/>
      <c r="M874" s="26"/>
      <c r="N874" s="26"/>
      <c r="O874" s="113"/>
      <c r="P874" s="26"/>
      <c r="Q874" s="26"/>
      <c r="R874" s="26"/>
      <c r="S874" s="26"/>
      <c r="T874" s="26"/>
      <c r="U874" s="26"/>
      <c r="V874" s="26"/>
      <c r="W874" s="26"/>
      <c r="X874" s="26"/>
      <c r="Y874" s="26"/>
      <c r="Z874" s="26"/>
      <c r="AA874" s="26"/>
      <c r="AB874" s="26"/>
      <c r="AC874" s="26"/>
      <c r="AD874" s="26"/>
      <c r="AE874" s="115"/>
      <c r="AF874" s="85"/>
      <c r="AG874" s="67"/>
      <c r="AH874" s="67"/>
      <c r="AI874" s="85"/>
      <c r="AJ874" s="85"/>
      <c r="AK874" s="85"/>
      <c r="AL874" s="85"/>
    </row>
    <row r="875" spans="1:38">
      <c r="A875" s="26"/>
      <c r="B875" s="26"/>
      <c r="C875" s="26"/>
      <c r="D875" s="26"/>
      <c r="E875" s="26"/>
      <c r="F875" s="26"/>
      <c r="G875" s="26"/>
      <c r="H875" s="26"/>
      <c r="I875" s="26"/>
      <c r="J875" s="26"/>
      <c r="K875" s="112"/>
      <c r="L875" s="26"/>
      <c r="M875" s="26"/>
      <c r="N875" s="26"/>
      <c r="O875" s="113"/>
      <c r="P875" s="26"/>
      <c r="Q875" s="26"/>
      <c r="R875" s="26"/>
      <c r="S875" s="26"/>
      <c r="T875" s="26"/>
      <c r="U875" s="26"/>
      <c r="V875" s="26"/>
      <c r="W875" s="26"/>
      <c r="X875" s="26"/>
      <c r="Y875" s="26"/>
      <c r="Z875" s="26"/>
      <c r="AA875" s="26"/>
      <c r="AB875" s="26"/>
      <c r="AC875" s="26"/>
      <c r="AD875" s="26"/>
      <c r="AE875" s="115"/>
      <c r="AF875" s="85"/>
      <c r="AG875" s="67"/>
      <c r="AH875" s="67"/>
      <c r="AI875" s="85"/>
      <c r="AJ875" s="85"/>
      <c r="AK875" s="85"/>
      <c r="AL875" s="85"/>
    </row>
    <row r="876" spans="1:38">
      <c r="A876" s="26"/>
      <c r="B876" s="26"/>
      <c r="C876" s="26"/>
      <c r="D876" s="26"/>
      <c r="E876" s="26"/>
      <c r="F876" s="26"/>
      <c r="G876" s="26"/>
      <c r="H876" s="26"/>
      <c r="I876" s="26"/>
      <c r="J876" s="26"/>
      <c r="K876" s="112"/>
      <c r="L876" s="26"/>
      <c r="M876" s="26"/>
      <c r="N876" s="26"/>
      <c r="O876" s="113"/>
      <c r="P876" s="26"/>
      <c r="Q876" s="26"/>
      <c r="R876" s="26"/>
      <c r="S876" s="26"/>
      <c r="T876" s="26"/>
      <c r="U876" s="26"/>
      <c r="V876" s="26"/>
      <c r="W876" s="26"/>
      <c r="X876" s="26"/>
      <c r="Y876" s="26"/>
      <c r="Z876" s="26"/>
      <c r="AA876" s="26"/>
      <c r="AB876" s="26"/>
      <c r="AC876" s="26"/>
      <c r="AD876" s="26"/>
      <c r="AE876" s="115"/>
      <c r="AF876" s="85"/>
      <c r="AG876" s="67"/>
      <c r="AH876" s="67"/>
      <c r="AI876" s="85"/>
      <c r="AJ876" s="85"/>
      <c r="AK876" s="85"/>
      <c r="AL876" s="85"/>
    </row>
    <row r="877" spans="1:38">
      <c r="A877" s="26"/>
      <c r="B877" s="26"/>
      <c r="C877" s="26"/>
      <c r="D877" s="26"/>
      <c r="E877" s="26"/>
      <c r="F877" s="26"/>
      <c r="G877" s="26"/>
      <c r="H877" s="26"/>
      <c r="I877" s="26"/>
      <c r="J877" s="26"/>
      <c r="K877" s="112"/>
      <c r="L877" s="26"/>
      <c r="M877" s="26"/>
      <c r="N877" s="26"/>
      <c r="O877" s="113"/>
      <c r="P877" s="26"/>
      <c r="Q877" s="26"/>
      <c r="R877" s="26"/>
      <c r="S877" s="26"/>
      <c r="T877" s="26"/>
      <c r="U877" s="26"/>
      <c r="V877" s="26"/>
      <c r="W877" s="26"/>
      <c r="X877" s="26"/>
      <c r="Y877" s="26"/>
      <c r="Z877" s="26"/>
      <c r="AA877" s="26"/>
      <c r="AB877" s="26"/>
      <c r="AC877" s="26"/>
      <c r="AD877" s="26"/>
      <c r="AE877" s="115"/>
      <c r="AF877" s="85"/>
      <c r="AG877" s="67"/>
      <c r="AH877" s="67"/>
      <c r="AI877" s="85"/>
      <c r="AJ877" s="85"/>
      <c r="AK877" s="85"/>
      <c r="AL877" s="85"/>
    </row>
    <row r="878" spans="1:38">
      <c r="A878" s="26"/>
      <c r="B878" s="26"/>
      <c r="C878" s="26"/>
      <c r="D878" s="26"/>
      <c r="E878" s="26"/>
      <c r="F878" s="26"/>
      <c r="G878" s="26"/>
      <c r="H878" s="26"/>
      <c r="I878" s="26"/>
      <c r="J878" s="26"/>
      <c r="K878" s="112"/>
      <c r="L878" s="26"/>
      <c r="M878" s="26"/>
      <c r="N878" s="26"/>
      <c r="O878" s="113"/>
      <c r="P878" s="26"/>
      <c r="Q878" s="26"/>
      <c r="R878" s="26"/>
      <c r="S878" s="26"/>
      <c r="T878" s="26"/>
      <c r="U878" s="26"/>
      <c r="V878" s="26"/>
      <c r="W878" s="26"/>
      <c r="X878" s="26"/>
      <c r="Y878" s="26"/>
      <c r="Z878" s="26"/>
      <c r="AA878" s="26"/>
      <c r="AB878" s="26"/>
      <c r="AC878" s="26"/>
      <c r="AD878" s="26"/>
      <c r="AE878" s="115"/>
      <c r="AF878" s="85"/>
      <c r="AG878" s="67"/>
      <c r="AH878" s="67"/>
      <c r="AI878" s="85"/>
      <c r="AJ878" s="85"/>
      <c r="AK878" s="85"/>
      <c r="AL878" s="85"/>
    </row>
    <row r="879" spans="1:38">
      <c r="A879" s="26"/>
      <c r="B879" s="26"/>
      <c r="C879" s="26"/>
      <c r="D879" s="26"/>
      <c r="E879" s="26"/>
      <c r="F879" s="26"/>
      <c r="G879" s="26"/>
      <c r="H879" s="26"/>
      <c r="I879" s="26"/>
      <c r="J879" s="26"/>
      <c r="K879" s="112"/>
      <c r="L879" s="26"/>
      <c r="M879" s="26"/>
      <c r="N879" s="26"/>
      <c r="O879" s="113"/>
      <c r="P879" s="26"/>
      <c r="Q879" s="26"/>
      <c r="R879" s="26"/>
      <c r="S879" s="26"/>
      <c r="T879" s="26"/>
      <c r="U879" s="26"/>
      <c r="V879" s="26"/>
      <c r="W879" s="26"/>
      <c r="X879" s="26"/>
      <c r="Y879" s="26"/>
      <c r="Z879" s="26"/>
      <c r="AA879" s="26"/>
      <c r="AB879" s="26"/>
      <c r="AC879" s="26"/>
      <c r="AD879" s="26"/>
      <c r="AE879" s="115"/>
      <c r="AF879" s="85"/>
      <c r="AG879" s="67"/>
      <c r="AH879" s="67"/>
      <c r="AI879" s="85"/>
      <c r="AJ879" s="85"/>
      <c r="AK879" s="85"/>
      <c r="AL879" s="85"/>
    </row>
    <row r="880" spans="1:38">
      <c r="A880" s="26"/>
      <c r="B880" s="26"/>
      <c r="C880" s="26"/>
      <c r="D880" s="26"/>
      <c r="E880" s="26"/>
      <c r="F880" s="26"/>
      <c r="G880" s="26"/>
      <c r="H880" s="26"/>
      <c r="I880" s="26"/>
      <c r="J880" s="26"/>
      <c r="K880" s="112"/>
      <c r="L880" s="26"/>
      <c r="M880" s="26"/>
      <c r="N880" s="26"/>
      <c r="O880" s="113"/>
      <c r="P880" s="26"/>
      <c r="Q880" s="26"/>
      <c r="R880" s="26"/>
      <c r="S880" s="26"/>
      <c r="T880" s="26"/>
      <c r="U880" s="26"/>
      <c r="V880" s="26"/>
      <c r="W880" s="26"/>
      <c r="X880" s="26"/>
      <c r="Y880" s="26"/>
      <c r="Z880" s="26"/>
      <c r="AA880" s="26"/>
      <c r="AB880" s="26"/>
      <c r="AC880" s="26"/>
      <c r="AD880" s="26"/>
      <c r="AE880" s="115"/>
      <c r="AF880" s="85"/>
      <c r="AG880" s="67"/>
      <c r="AH880" s="67"/>
      <c r="AI880" s="85"/>
      <c r="AJ880" s="85"/>
      <c r="AK880" s="85"/>
      <c r="AL880" s="85"/>
    </row>
    <row r="881" spans="1:38">
      <c r="A881" s="26"/>
      <c r="B881" s="26"/>
      <c r="C881" s="26"/>
      <c r="D881" s="26"/>
      <c r="E881" s="26"/>
      <c r="F881" s="26"/>
      <c r="G881" s="26"/>
      <c r="H881" s="26"/>
      <c r="I881" s="26"/>
      <c r="J881" s="26"/>
      <c r="K881" s="112"/>
      <c r="L881" s="26"/>
      <c r="M881" s="26"/>
      <c r="N881" s="26"/>
      <c r="O881" s="113"/>
      <c r="P881" s="26"/>
      <c r="Q881" s="26"/>
      <c r="R881" s="26"/>
      <c r="S881" s="26"/>
      <c r="T881" s="26"/>
      <c r="U881" s="26"/>
      <c r="V881" s="26"/>
      <c r="W881" s="26"/>
      <c r="X881" s="26"/>
      <c r="Y881" s="26"/>
      <c r="Z881" s="26"/>
      <c r="AA881" s="26"/>
      <c r="AB881" s="26"/>
      <c r="AC881" s="26"/>
      <c r="AD881" s="26"/>
      <c r="AE881" s="115"/>
      <c r="AF881" s="85"/>
      <c r="AG881" s="67"/>
      <c r="AH881" s="67"/>
      <c r="AI881" s="85"/>
      <c r="AJ881" s="85"/>
      <c r="AK881" s="85"/>
      <c r="AL881" s="85"/>
    </row>
    <row r="882" spans="1:38">
      <c r="A882" s="26"/>
      <c r="B882" s="26"/>
      <c r="C882" s="26"/>
      <c r="D882" s="26"/>
      <c r="E882" s="26"/>
      <c r="F882" s="26"/>
      <c r="G882" s="26"/>
      <c r="H882" s="26"/>
      <c r="I882" s="26"/>
      <c r="J882" s="26"/>
      <c r="K882" s="112"/>
      <c r="L882" s="26"/>
      <c r="M882" s="26"/>
      <c r="N882" s="26"/>
      <c r="O882" s="113"/>
      <c r="P882" s="26"/>
      <c r="Q882" s="26"/>
      <c r="R882" s="26"/>
      <c r="S882" s="26"/>
      <c r="T882" s="26"/>
      <c r="U882" s="26"/>
      <c r="V882" s="26"/>
      <c r="W882" s="26"/>
      <c r="X882" s="26"/>
      <c r="Y882" s="26"/>
      <c r="Z882" s="26"/>
      <c r="AA882" s="26"/>
      <c r="AB882" s="26"/>
      <c r="AC882" s="26"/>
      <c r="AD882" s="26"/>
      <c r="AE882" s="115"/>
      <c r="AF882" s="85"/>
      <c r="AG882" s="67"/>
      <c r="AH882" s="67"/>
      <c r="AI882" s="85"/>
      <c r="AJ882" s="85"/>
      <c r="AK882" s="85"/>
      <c r="AL882" s="85"/>
    </row>
    <row r="883" spans="1:38">
      <c r="A883" s="26"/>
      <c r="B883" s="26"/>
      <c r="C883" s="26"/>
      <c r="D883" s="26"/>
      <c r="E883" s="26"/>
      <c r="F883" s="26"/>
      <c r="G883" s="26"/>
      <c r="H883" s="26"/>
      <c r="I883" s="26"/>
      <c r="J883" s="26"/>
      <c r="K883" s="112"/>
      <c r="L883" s="26"/>
      <c r="M883" s="26"/>
      <c r="N883" s="26"/>
      <c r="O883" s="113"/>
      <c r="P883" s="26"/>
      <c r="Q883" s="26"/>
      <c r="R883" s="26"/>
      <c r="S883" s="26"/>
      <c r="T883" s="26"/>
      <c r="U883" s="26"/>
      <c r="V883" s="26"/>
      <c r="W883" s="26"/>
      <c r="X883" s="26"/>
      <c r="Y883" s="26"/>
      <c r="Z883" s="26"/>
      <c r="AA883" s="26"/>
      <c r="AB883" s="26"/>
      <c r="AC883" s="26"/>
      <c r="AD883" s="26"/>
      <c r="AE883" s="115"/>
      <c r="AF883" s="85"/>
      <c r="AG883" s="67"/>
      <c r="AH883" s="67"/>
      <c r="AI883" s="85"/>
      <c r="AJ883" s="85"/>
      <c r="AK883" s="85"/>
      <c r="AL883" s="85"/>
    </row>
    <row r="884" spans="1:38">
      <c r="A884" s="26"/>
      <c r="B884" s="26"/>
      <c r="C884" s="26"/>
      <c r="D884" s="26"/>
      <c r="E884" s="26"/>
      <c r="F884" s="26"/>
      <c r="G884" s="26"/>
      <c r="H884" s="26"/>
      <c r="I884" s="26"/>
      <c r="J884" s="26"/>
      <c r="K884" s="112"/>
      <c r="L884" s="26"/>
      <c r="M884" s="26"/>
      <c r="N884" s="26"/>
      <c r="O884" s="113"/>
      <c r="P884" s="26"/>
      <c r="Q884" s="26"/>
      <c r="R884" s="26"/>
      <c r="S884" s="26"/>
      <c r="T884" s="26"/>
      <c r="U884" s="26"/>
      <c r="V884" s="26"/>
      <c r="W884" s="26"/>
      <c r="X884" s="26"/>
      <c r="Y884" s="26"/>
      <c r="Z884" s="26"/>
      <c r="AA884" s="26"/>
      <c r="AB884" s="26"/>
      <c r="AC884" s="26"/>
      <c r="AD884" s="26"/>
      <c r="AE884" s="115"/>
      <c r="AF884" s="85"/>
      <c r="AG884" s="67"/>
      <c r="AH884" s="67"/>
      <c r="AI884" s="85"/>
      <c r="AJ884" s="85"/>
      <c r="AK884" s="85"/>
      <c r="AL884" s="85"/>
    </row>
    <row r="885" spans="1:38">
      <c r="A885" s="26"/>
      <c r="B885" s="26"/>
      <c r="C885" s="26"/>
      <c r="D885" s="26"/>
      <c r="E885" s="26"/>
      <c r="F885" s="26"/>
      <c r="G885" s="26"/>
      <c r="H885" s="26"/>
      <c r="I885" s="26"/>
      <c r="J885" s="26"/>
      <c r="K885" s="112"/>
      <c r="L885" s="26"/>
      <c r="M885" s="26"/>
      <c r="N885" s="26"/>
      <c r="O885" s="113"/>
      <c r="P885" s="26"/>
      <c r="Q885" s="26"/>
      <c r="R885" s="26"/>
      <c r="S885" s="26"/>
      <c r="T885" s="26"/>
      <c r="U885" s="26"/>
      <c r="V885" s="26"/>
      <c r="W885" s="26"/>
      <c r="X885" s="26"/>
      <c r="Y885" s="26"/>
      <c r="Z885" s="26"/>
      <c r="AA885" s="26"/>
      <c r="AB885" s="26"/>
      <c r="AC885" s="26"/>
      <c r="AD885" s="26"/>
      <c r="AE885" s="115"/>
      <c r="AF885" s="85"/>
      <c r="AG885" s="67"/>
      <c r="AH885" s="67"/>
      <c r="AI885" s="85"/>
      <c r="AJ885" s="85"/>
      <c r="AK885" s="85"/>
      <c r="AL885" s="85"/>
    </row>
    <row r="886" spans="1:38">
      <c r="A886" s="26"/>
      <c r="B886" s="26"/>
      <c r="C886" s="26"/>
      <c r="D886" s="26"/>
      <c r="E886" s="26"/>
      <c r="F886" s="26"/>
      <c r="G886" s="26"/>
      <c r="H886" s="26"/>
      <c r="I886" s="26"/>
      <c r="J886" s="26"/>
      <c r="K886" s="112"/>
      <c r="L886" s="26"/>
      <c r="M886" s="26"/>
      <c r="N886" s="26"/>
      <c r="O886" s="113"/>
      <c r="P886" s="26"/>
      <c r="Q886" s="26"/>
      <c r="R886" s="26"/>
      <c r="S886" s="26"/>
      <c r="T886" s="26"/>
      <c r="U886" s="26"/>
      <c r="V886" s="26"/>
      <c r="W886" s="26"/>
      <c r="X886" s="26"/>
      <c r="Y886" s="26"/>
      <c r="Z886" s="26"/>
      <c r="AA886" s="26"/>
      <c r="AB886" s="26"/>
      <c r="AC886" s="26"/>
      <c r="AD886" s="26"/>
      <c r="AE886" s="115"/>
      <c r="AF886" s="85"/>
      <c r="AG886" s="67"/>
      <c r="AH886" s="67"/>
      <c r="AI886" s="85"/>
      <c r="AJ886" s="85"/>
      <c r="AK886" s="85"/>
      <c r="AL886" s="85"/>
    </row>
    <row r="887" spans="1:38">
      <c r="A887" s="26"/>
      <c r="B887" s="26"/>
      <c r="C887" s="26"/>
      <c r="D887" s="26"/>
      <c r="E887" s="26"/>
      <c r="F887" s="26"/>
      <c r="G887" s="26"/>
      <c r="H887" s="26"/>
      <c r="I887" s="26"/>
      <c r="J887" s="26"/>
      <c r="K887" s="112"/>
      <c r="L887" s="26"/>
      <c r="M887" s="26"/>
      <c r="N887" s="26"/>
      <c r="O887" s="113"/>
      <c r="P887" s="26"/>
      <c r="Q887" s="26"/>
      <c r="R887" s="26"/>
      <c r="S887" s="26"/>
      <c r="T887" s="26"/>
      <c r="U887" s="26"/>
      <c r="V887" s="26"/>
      <c r="W887" s="26"/>
      <c r="X887" s="26"/>
      <c r="Y887" s="26"/>
      <c r="Z887" s="26"/>
      <c r="AA887" s="26"/>
      <c r="AB887" s="26"/>
      <c r="AC887" s="26"/>
      <c r="AD887" s="26"/>
      <c r="AE887" s="115"/>
      <c r="AF887" s="85"/>
      <c r="AG887" s="67"/>
      <c r="AH887" s="67"/>
      <c r="AI887" s="85"/>
      <c r="AJ887" s="85"/>
      <c r="AK887" s="85"/>
      <c r="AL887" s="85"/>
    </row>
    <row r="888" spans="1:38">
      <c r="A888" s="26"/>
      <c r="B888" s="26"/>
      <c r="C888" s="26"/>
      <c r="D888" s="26"/>
      <c r="E888" s="26"/>
      <c r="F888" s="26"/>
      <c r="G888" s="26"/>
      <c r="H888" s="26"/>
      <c r="I888" s="26"/>
      <c r="J888" s="26"/>
      <c r="K888" s="112"/>
      <c r="L888" s="26"/>
      <c r="M888" s="26"/>
      <c r="N888" s="26"/>
      <c r="O888" s="113"/>
      <c r="P888" s="26"/>
      <c r="Q888" s="26"/>
      <c r="R888" s="26"/>
      <c r="S888" s="26"/>
      <c r="T888" s="26"/>
      <c r="U888" s="26"/>
      <c r="V888" s="26"/>
      <c r="W888" s="26"/>
      <c r="X888" s="26"/>
      <c r="Y888" s="26"/>
      <c r="Z888" s="26"/>
      <c r="AA888" s="26"/>
      <c r="AB888" s="26"/>
      <c r="AC888" s="26"/>
      <c r="AD888" s="26"/>
      <c r="AE888" s="115"/>
      <c r="AF888" s="85"/>
      <c r="AG888" s="67"/>
      <c r="AH888" s="67"/>
      <c r="AI888" s="85"/>
      <c r="AJ888" s="85"/>
      <c r="AK888" s="85"/>
      <c r="AL888" s="85"/>
    </row>
    <row r="889" spans="1:38">
      <c r="A889" s="26"/>
      <c r="B889" s="26"/>
      <c r="C889" s="26"/>
      <c r="D889" s="26"/>
      <c r="E889" s="26"/>
      <c r="F889" s="26"/>
      <c r="G889" s="26"/>
      <c r="H889" s="26"/>
      <c r="I889" s="26"/>
      <c r="J889" s="26"/>
      <c r="K889" s="112"/>
      <c r="L889" s="26"/>
      <c r="M889" s="26"/>
      <c r="N889" s="26"/>
      <c r="O889" s="113"/>
      <c r="P889" s="26"/>
      <c r="Q889" s="26"/>
      <c r="R889" s="26"/>
      <c r="S889" s="26"/>
      <c r="T889" s="26"/>
      <c r="U889" s="26"/>
      <c r="V889" s="26"/>
      <c r="W889" s="26"/>
      <c r="X889" s="26"/>
      <c r="Y889" s="26"/>
      <c r="Z889" s="26"/>
      <c r="AA889" s="26"/>
      <c r="AB889" s="26"/>
      <c r="AC889" s="26"/>
      <c r="AD889" s="26"/>
      <c r="AE889" s="115"/>
      <c r="AF889" s="85"/>
      <c r="AG889" s="67"/>
      <c r="AH889" s="67"/>
      <c r="AI889" s="85"/>
      <c r="AJ889" s="85"/>
      <c r="AK889" s="85"/>
      <c r="AL889" s="85"/>
    </row>
    <row r="890" spans="1:38">
      <c r="A890" s="26"/>
      <c r="B890" s="26"/>
      <c r="C890" s="26"/>
      <c r="D890" s="26"/>
      <c r="E890" s="26"/>
      <c r="F890" s="26"/>
      <c r="G890" s="26"/>
      <c r="H890" s="26"/>
      <c r="I890" s="26"/>
      <c r="J890" s="26"/>
      <c r="K890" s="112"/>
      <c r="L890" s="26"/>
      <c r="M890" s="26"/>
      <c r="N890" s="26"/>
      <c r="O890" s="113"/>
      <c r="P890" s="26"/>
      <c r="Q890" s="26"/>
      <c r="R890" s="26"/>
      <c r="S890" s="26"/>
      <c r="T890" s="26"/>
      <c r="U890" s="26"/>
      <c r="V890" s="26"/>
      <c r="W890" s="26"/>
      <c r="X890" s="26"/>
      <c r="Y890" s="26"/>
      <c r="Z890" s="26"/>
      <c r="AA890" s="26"/>
      <c r="AB890" s="26"/>
      <c r="AC890" s="26"/>
      <c r="AD890" s="26"/>
      <c r="AE890" s="115"/>
      <c r="AF890" s="85"/>
      <c r="AG890" s="67"/>
      <c r="AH890" s="67"/>
      <c r="AI890" s="85"/>
      <c r="AJ890" s="85"/>
      <c r="AK890" s="85"/>
      <c r="AL890" s="85"/>
    </row>
    <row r="891" spans="1:38">
      <c r="A891" s="26"/>
      <c r="B891" s="26"/>
      <c r="C891" s="26"/>
      <c r="D891" s="26"/>
      <c r="E891" s="26"/>
      <c r="F891" s="26"/>
      <c r="G891" s="26"/>
      <c r="H891" s="26"/>
      <c r="I891" s="26"/>
      <c r="J891" s="26"/>
      <c r="K891" s="112"/>
      <c r="L891" s="26"/>
      <c r="M891" s="26"/>
      <c r="N891" s="26"/>
      <c r="O891" s="113"/>
      <c r="P891" s="26"/>
      <c r="Q891" s="26"/>
      <c r="R891" s="26"/>
      <c r="S891" s="26"/>
      <c r="T891" s="26"/>
      <c r="U891" s="26"/>
      <c r="V891" s="26"/>
      <c r="W891" s="26"/>
      <c r="X891" s="26"/>
      <c r="Y891" s="26"/>
      <c r="Z891" s="26"/>
      <c r="AA891" s="26"/>
      <c r="AB891" s="26"/>
      <c r="AC891" s="26"/>
      <c r="AD891" s="26"/>
      <c r="AE891" s="115"/>
      <c r="AF891" s="85"/>
      <c r="AG891" s="67"/>
      <c r="AH891" s="67"/>
      <c r="AI891" s="85"/>
      <c r="AJ891" s="85"/>
      <c r="AK891" s="85"/>
      <c r="AL891" s="85"/>
    </row>
    <row r="892" spans="1:38">
      <c r="A892" s="26"/>
      <c r="B892" s="26"/>
      <c r="C892" s="26"/>
      <c r="D892" s="26"/>
      <c r="E892" s="26"/>
      <c r="F892" s="26"/>
      <c r="G892" s="26"/>
      <c r="H892" s="26"/>
      <c r="I892" s="26"/>
      <c r="J892" s="26"/>
      <c r="K892" s="112"/>
      <c r="L892" s="26"/>
      <c r="M892" s="26"/>
      <c r="N892" s="26"/>
      <c r="O892" s="113"/>
      <c r="P892" s="26"/>
      <c r="Q892" s="26"/>
      <c r="R892" s="26"/>
      <c r="S892" s="26"/>
      <c r="T892" s="26"/>
      <c r="U892" s="26"/>
      <c r="V892" s="26"/>
      <c r="W892" s="26"/>
      <c r="X892" s="26"/>
      <c r="Y892" s="26"/>
      <c r="Z892" s="26"/>
      <c r="AA892" s="26"/>
      <c r="AB892" s="26"/>
      <c r="AC892" s="26"/>
      <c r="AD892" s="26"/>
      <c r="AE892" s="115"/>
      <c r="AF892" s="85"/>
      <c r="AG892" s="67"/>
      <c r="AH892" s="67"/>
      <c r="AI892" s="85"/>
      <c r="AJ892" s="85"/>
      <c r="AK892" s="85"/>
      <c r="AL892" s="85"/>
    </row>
    <row r="893" spans="1:38">
      <c r="A893" s="26"/>
      <c r="B893" s="26"/>
      <c r="C893" s="26"/>
      <c r="D893" s="26"/>
      <c r="E893" s="26"/>
      <c r="F893" s="26"/>
      <c r="G893" s="26"/>
      <c r="H893" s="26"/>
      <c r="I893" s="26"/>
      <c r="J893" s="26"/>
      <c r="K893" s="112"/>
      <c r="L893" s="26"/>
      <c r="M893" s="26"/>
      <c r="N893" s="26"/>
      <c r="O893" s="113"/>
      <c r="P893" s="26"/>
      <c r="Q893" s="26"/>
      <c r="R893" s="26"/>
      <c r="S893" s="26"/>
      <c r="T893" s="26"/>
      <c r="U893" s="26"/>
      <c r="V893" s="26"/>
      <c r="W893" s="26"/>
      <c r="X893" s="26"/>
      <c r="Y893" s="26"/>
      <c r="Z893" s="26"/>
      <c r="AA893" s="26"/>
      <c r="AB893" s="26"/>
      <c r="AC893" s="26"/>
      <c r="AD893" s="26"/>
      <c r="AE893" s="115"/>
      <c r="AF893" s="85"/>
      <c r="AG893" s="67"/>
      <c r="AH893" s="67"/>
      <c r="AI893" s="85"/>
      <c r="AJ893" s="85"/>
      <c r="AK893" s="85"/>
      <c r="AL893" s="85"/>
    </row>
    <row r="894" spans="1:38">
      <c r="A894" s="26"/>
      <c r="B894" s="26"/>
      <c r="C894" s="26"/>
      <c r="D894" s="26"/>
      <c r="E894" s="26"/>
      <c r="F894" s="26"/>
      <c r="G894" s="26"/>
      <c r="H894" s="26"/>
      <c r="I894" s="26"/>
      <c r="J894" s="26"/>
      <c r="K894" s="112"/>
      <c r="L894" s="26"/>
      <c r="M894" s="26"/>
      <c r="N894" s="26"/>
      <c r="O894" s="113"/>
      <c r="P894" s="26"/>
      <c r="Q894" s="26"/>
      <c r="R894" s="26"/>
      <c r="S894" s="26"/>
      <c r="T894" s="26"/>
      <c r="U894" s="26"/>
      <c r="V894" s="26"/>
      <c r="W894" s="26"/>
      <c r="X894" s="26"/>
      <c r="Y894" s="26"/>
      <c r="Z894" s="26"/>
      <c r="AA894" s="26"/>
      <c r="AB894" s="26"/>
      <c r="AC894" s="26"/>
      <c r="AD894" s="26"/>
      <c r="AE894" s="115"/>
      <c r="AF894" s="85"/>
      <c r="AG894" s="67"/>
      <c r="AH894" s="67"/>
      <c r="AI894" s="85"/>
      <c r="AJ894" s="85"/>
      <c r="AK894" s="85"/>
      <c r="AL894" s="85"/>
    </row>
    <row r="895" spans="1:38">
      <c r="A895" s="26"/>
      <c r="B895" s="26"/>
      <c r="C895" s="26"/>
      <c r="D895" s="26"/>
      <c r="E895" s="26"/>
      <c r="F895" s="26"/>
      <c r="G895" s="26"/>
      <c r="H895" s="26"/>
      <c r="I895" s="26"/>
      <c r="J895" s="26"/>
      <c r="K895" s="112"/>
      <c r="L895" s="26"/>
      <c r="M895" s="26"/>
      <c r="N895" s="26"/>
      <c r="O895" s="113"/>
      <c r="P895" s="26"/>
      <c r="Q895" s="26"/>
      <c r="R895" s="26"/>
      <c r="S895" s="26"/>
      <c r="T895" s="26"/>
      <c r="U895" s="26"/>
      <c r="V895" s="26"/>
      <c r="W895" s="26"/>
      <c r="X895" s="26"/>
      <c r="Y895" s="26"/>
      <c r="Z895" s="26"/>
      <c r="AA895" s="26"/>
      <c r="AB895" s="26"/>
      <c r="AC895" s="26"/>
      <c r="AD895" s="26"/>
      <c r="AE895" s="115"/>
      <c r="AF895" s="85"/>
      <c r="AG895" s="67"/>
      <c r="AH895" s="67"/>
      <c r="AI895" s="85"/>
      <c r="AJ895" s="85"/>
      <c r="AK895" s="85"/>
      <c r="AL895" s="85"/>
    </row>
    <row r="896" spans="1:38">
      <c r="A896" s="26"/>
      <c r="B896" s="26"/>
      <c r="C896" s="26"/>
      <c r="D896" s="26"/>
      <c r="E896" s="26"/>
      <c r="F896" s="26"/>
      <c r="G896" s="26"/>
      <c r="H896" s="26"/>
      <c r="I896" s="26"/>
      <c r="J896" s="26"/>
      <c r="K896" s="112"/>
      <c r="L896" s="26"/>
      <c r="M896" s="26"/>
      <c r="N896" s="26"/>
      <c r="O896" s="113"/>
      <c r="P896" s="26"/>
      <c r="Q896" s="26"/>
      <c r="R896" s="26"/>
      <c r="S896" s="26"/>
      <c r="T896" s="26"/>
      <c r="U896" s="26"/>
      <c r="V896" s="26"/>
      <c r="W896" s="26"/>
      <c r="X896" s="26"/>
      <c r="Y896" s="26"/>
      <c r="Z896" s="26"/>
      <c r="AA896" s="26"/>
      <c r="AB896" s="26"/>
      <c r="AC896" s="26"/>
      <c r="AD896" s="26"/>
      <c r="AE896" s="115"/>
      <c r="AF896" s="85"/>
      <c r="AG896" s="67"/>
      <c r="AH896" s="67"/>
      <c r="AI896" s="85"/>
      <c r="AJ896" s="85"/>
      <c r="AK896" s="85"/>
      <c r="AL896" s="85"/>
    </row>
    <row r="897" spans="1:38">
      <c r="A897" s="26"/>
      <c r="B897" s="26"/>
      <c r="C897" s="26"/>
      <c r="D897" s="26"/>
      <c r="E897" s="26"/>
      <c r="F897" s="26"/>
      <c r="G897" s="26"/>
      <c r="H897" s="26"/>
      <c r="I897" s="26"/>
      <c r="J897" s="26"/>
      <c r="K897" s="112"/>
      <c r="L897" s="26"/>
      <c r="M897" s="26"/>
      <c r="N897" s="26"/>
      <c r="O897" s="113"/>
      <c r="P897" s="26"/>
      <c r="Q897" s="26"/>
      <c r="R897" s="26"/>
      <c r="S897" s="26"/>
      <c r="T897" s="26"/>
      <c r="U897" s="26"/>
      <c r="V897" s="26"/>
      <c r="W897" s="26"/>
      <c r="X897" s="26"/>
      <c r="Y897" s="26"/>
      <c r="Z897" s="26"/>
      <c r="AA897" s="26"/>
      <c r="AB897" s="26"/>
      <c r="AC897" s="26"/>
      <c r="AD897" s="26"/>
      <c r="AE897" s="115"/>
      <c r="AF897" s="85"/>
      <c r="AG897" s="67"/>
      <c r="AH897" s="67"/>
      <c r="AI897" s="85"/>
      <c r="AJ897" s="85"/>
      <c r="AK897" s="85"/>
      <c r="AL897" s="85"/>
    </row>
    <row r="898" spans="1:38">
      <c r="A898" s="26"/>
      <c r="B898" s="26"/>
      <c r="C898" s="26"/>
      <c r="D898" s="26"/>
      <c r="E898" s="26"/>
      <c r="F898" s="26"/>
      <c r="G898" s="26"/>
      <c r="H898" s="26"/>
      <c r="I898" s="26"/>
      <c r="J898" s="26"/>
      <c r="K898" s="112"/>
      <c r="L898" s="26"/>
      <c r="M898" s="26"/>
      <c r="N898" s="26"/>
      <c r="O898" s="113"/>
      <c r="P898" s="26"/>
      <c r="Q898" s="26"/>
      <c r="R898" s="26"/>
      <c r="S898" s="26"/>
      <c r="T898" s="26"/>
      <c r="U898" s="26"/>
      <c r="V898" s="26"/>
      <c r="W898" s="26"/>
      <c r="X898" s="26"/>
      <c r="Y898" s="26"/>
      <c r="Z898" s="26"/>
      <c r="AA898" s="26"/>
      <c r="AB898" s="26"/>
      <c r="AC898" s="26"/>
      <c r="AD898" s="26"/>
      <c r="AE898" s="115"/>
      <c r="AF898" s="85"/>
      <c r="AG898" s="67"/>
      <c r="AH898" s="67"/>
      <c r="AI898" s="85"/>
      <c r="AJ898" s="85"/>
      <c r="AK898" s="85"/>
      <c r="AL898" s="85"/>
    </row>
    <row r="899" spans="1:38">
      <c r="A899" s="26"/>
      <c r="B899" s="26"/>
      <c r="C899" s="26"/>
      <c r="D899" s="26"/>
      <c r="E899" s="26"/>
      <c r="F899" s="26"/>
      <c r="G899" s="26"/>
      <c r="H899" s="26"/>
      <c r="I899" s="26"/>
      <c r="J899" s="26"/>
      <c r="K899" s="112"/>
      <c r="L899" s="26"/>
      <c r="M899" s="26"/>
      <c r="N899" s="26"/>
      <c r="O899" s="113"/>
      <c r="P899" s="26"/>
      <c r="Q899" s="26"/>
      <c r="R899" s="26"/>
      <c r="S899" s="26"/>
      <c r="T899" s="26"/>
      <c r="U899" s="26"/>
      <c r="V899" s="26"/>
      <c r="W899" s="26"/>
      <c r="X899" s="26"/>
      <c r="Y899" s="26"/>
      <c r="Z899" s="26"/>
      <c r="AA899" s="26"/>
      <c r="AB899" s="26"/>
      <c r="AC899" s="26"/>
      <c r="AD899" s="26"/>
      <c r="AE899" s="115"/>
      <c r="AF899" s="85"/>
      <c r="AG899" s="67"/>
      <c r="AH899" s="67"/>
      <c r="AI899" s="85"/>
      <c r="AJ899" s="85"/>
      <c r="AK899" s="85"/>
      <c r="AL899" s="85"/>
    </row>
    <row r="900" spans="1:38">
      <c r="A900" s="26"/>
      <c r="B900" s="26"/>
      <c r="C900" s="26"/>
      <c r="D900" s="26"/>
      <c r="E900" s="26"/>
      <c r="F900" s="26"/>
      <c r="G900" s="26"/>
      <c r="H900" s="26"/>
      <c r="I900" s="26"/>
      <c r="J900" s="26"/>
      <c r="K900" s="112"/>
      <c r="L900" s="26"/>
      <c r="M900" s="26"/>
      <c r="N900" s="26"/>
      <c r="O900" s="113"/>
      <c r="P900" s="26"/>
      <c r="Q900" s="26"/>
      <c r="R900" s="26"/>
      <c r="S900" s="26"/>
      <c r="T900" s="26"/>
      <c r="U900" s="26"/>
      <c r="V900" s="26"/>
      <c r="W900" s="26"/>
      <c r="X900" s="26"/>
      <c r="Y900" s="26"/>
      <c r="Z900" s="26"/>
      <c r="AA900" s="26"/>
      <c r="AB900" s="26"/>
      <c r="AC900" s="26"/>
      <c r="AD900" s="26"/>
      <c r="AE900" s="115"/>
      <c r="AF900" s="85"/>
      <c r="AG900" s="67"/>
      <c r="AH900" s="67"/>
      <c r="AI900" s="85"/>
      <c r="AJ900" s="85"/>
      <c r="AK900" s="85"/>
      <c r="AL900" s="85"/>
    </row>
    <row r="901" spans="1:38">
      <c r="A901" s="26"/>
      <c r="B901" s="26"/>
      <c r="C901" s="26"/>
      <c r="D901" s="26"/>
      <c r="E901" s="26"/>
      <c r="F901" s="26"/>
      <c r="G901" s="26"/>
      <c r="H901" s="26"/>
      <c r="I901" s="26"/>
      <c r="J901" s="26"/>
      <c r="K901" s="112"/>
      <c r="L901" s="26"/>
      <c r="M901" s="26"/>
      <c r="N901" s="26"/>
      <c r="O901" s="113"/>
      <c r="P901" s="26"/>
      <c r="Q901" s="26"/>
      <c r="R901" s="26"/>
      <c r="S901" s="26"/>
      <c r="T901" s="26"/>
      <c r="U901" s="26"/>
      <c r="V901" s="26"/>
      <c r="W901" s="26"/>
      <c r="X901" s="26"/>
      <c r="Y901" s="26"/>
      <c r="Z901" s="26"/>
      <c r="AA901" s="26"/>
      <c r="AB901" s="26"/>
      <c r="AC901" s="26"/>
      <c r="AD901" s="26"/>
      <c r="AE901" s="115"/>
      <c r="AF901" s="85"/>
      <c r="AG901" s="67"/>
      <c r="AH901" s="67"/>
      <c r="AI901" s="85"/>
      <c r="AJ901" s="85"/>
      <c r="AK901" s="85"/>
      <c r="AL901" s="85"/>
    </row>
    <row r="902" spans="1:38">
      <c r="A902" s="26"/>
      <c r="B902" s="26"/>
      <c r="C902" s="26"/>
      <c r="D902" s="26"/>
      <c r="E902" s="26"/>
      <c r="F902" s="26"/>
      <c r="G902" s="26"/>
      <c r="H902" s="26"/>
      <c r="I902" s="26"/>
      <c r="J902" s="26"/>
      <c r="K902" s="112"/>
      <c r="L902" s="26"/>
      <c r="M902" s="26"/>
      <c r="N902" s="26"/>
      <c r="O902" s="113"/>
      <c r="P902" s="26"/>
      <c r="Q902" s="26"/>
      <c r="R902" s="26"/>
      <c r="S902" s="26"/>
      <c r="T902" s="26"/>
      <c r="U902" s="26"/>
      <c r="V902" s="26"/>
      <c r="W902" s="26"/>
      <c r="X902" s="26"/>
      <c r="Y902" s="26"/>
      <c r="Z902" s="26"/>
      <c r="AA902" s="26"/>
      <c r="AB902" s="26"/>
      <c r="AC902" s="26"/>
      <c r="AD902" s="26"/>
      <c r="AE902" s="115"/>
      <c r="AF902" s="85"/>
      <c r="AG902" s="67"/>
      <c r="AH902" s="67"/>
      <c r="AI902" s="85"/>
      <c r="AJ902" s="85"/>
      <c r="AK902" s="85"/>
      <c r="AL902" s="85"/>
    </row>
    <row r="903" spans="1:38">
      <c r="A903" s="26"/>
      <c r="B903" s="26"/>
      <c r="C903" s="26"/>
      <c r="D903" s="26"/>
      <c r="E903" s="26"/>
      <c r="F903" s="26"/>
      <c r="G903" s="26"/>
      <c r="H903" s="26"/>
      <c r="I903" s="26"/>
      <c r="J903" s="26"/>
      <c r="K903" s="112"/>
      <c r="L903" s="26"/>
      <c r="M903" s="26"/>
      <c r="N903" s="26"/>
      <c r="O903" s="113"/>
      <c r="P903" s="26"/>
      <c r="Q903" s="26"/>
      <c r="R903" s="26"/>
      <c r="S903" s="26"/>
      <c r="T903" s="26"/>
      <c r="U903" s="26"/>
      <c r="V903" s="26"/>
      <c r="W903" s="26"/>
      <c r="X903" s="26"/>
      <c r="Y903" s="26"/>
      <c r="Z903" s="26"/>
      <c r="AA903" s="26"/>
      <c r="AB903" s="26"/>
      <c r="AC903" s="26"/>
      <c r="AD903" s="26"/>
      <c r="AE903" s="115"/>
      <c r="AF903" s="85"/>
      <c r="AG903" s="67"/>
      <c r="AH903" s="67"/>
      <c r="AI903" s="85"/>
      <c r="AJ903" s="85"/>
      <c r="AK903" s="85"/>
      <c r="AL903" s="85"/>
    </row>
    <row r="904" spans="1:38">
      <c r="A904" s="26"/>
      <c r="B904" s="26"/>
      <c r="C904" s="26"/>
      <c r="D904" s="26"/>
      <c r="E904" s="26"/>
      <c r="F904" s="26"/>
      <c r="G904" s="26"/>
      <c r="H904" s="26"/>
      <c r="I904" s="26"/>
      <c r="J904" s="26"/>
      <c r="K904" s="112"/>
      <c r="L904" s="26"/>
      <c r="M904" s="26"/>
      <c r="N904" s="26"/>
      <c r="O904" s="113"/>
      <c r="P904" s="26"/>
      <c r="Q904" s="26"/>
      <c r="R904" s="26"/>
      <c r="S904" s="26"/>
      <c r="T904" s="26"/>
      <c r="U904" s="26"/>
      <c r="V904" s="26"/>
      <c r="W904" s="26"/>
      <c r="X904" s="26"/>
      <c r="Y904" s="26"/>
      <c r="Z904" s="26"/>
      <c r="AA904" s="26"/>
      <c r="AB904" s="26"/>
      <c r="AC904" s="26"/>
      <c r="AD904" s="26"/>
      <c r="AE904" s="115"/>
      <c r="AF904" s="85"/>
      <c r="AG904" s="67"/>
      <c r="AH904" s="67"/>
      <c r="AI904" s="85"/>
      <c r="AJ904" s="85"/>
      <c r="AK904" s="85"/>
      <c r="AL904" s="85"/>
    </row>
    <row r="905" spans="1:38">
      <c r="A905" s="26"/>
      <c r="B905" s="26"/>
      <c r="C905" s="26"/>
      <c r="D905" s="26"/>
      <c r="E905" s="26"/>
      <c r="F905" s="26"/>
      <c r="G905" s="26"/>
      <c r="H905" s="26"/>
      <c r="I905" s="26"/>
      <c r="J905" s="26"/>
      <c r="K905" s="112"/>
      <c r="L905" s="26"/>
      <c r="M905" s="26"/>
      <c r="N905" s="26"/>
      <c r="O905" s="113"/>
      <c r="P905" s="26"/>
      <c r="Q905" s="26"/>
      <c r="R905" s="26"/>
      <c r="S905" s="26"/>
      <c r="T905" s="26"/>
      <c r="U905" s="26"/>
      <c r="V905" s="26"/>
      <c r="W905" s="26"/>
      <c r="X905" s="26"/>
      <c r="Y905" s="26"/>
      <c r="Z905" s="26"/>
      <c r="AA905" s="26"/>
      <c r="AB905" s="26"/>
      <c r="AC905" s="26"/>
      <c r="AD905" s="26"/>
      <c r="AE905" s="115"/>
      <c r="AF905" s="85"/>
      <c r="AG905" s="67"/>
      <c r="AH905" s="67"/>
      <c r="AI905" s="85"/>
      <c r="AJ905" s="85"/>
      <c r="AK905" s="85"/>
      <c r="AL905" s="85"/>
    </row>
    <row r="906" spans="1:38">
      <c r="A906" s="26"/>
      <c r="B906" s="26"/>
      <c r="C906" s="26"/>
      <c r="D906" s="26"/>
      <c r="E906" s="26"/>
      <c r="F906" s="26"/>
      <c r="G906" s="26"/>
      <c r="H906" s="26"/>
      <c r="I906" s="26"/>
      <c r="J906" s="26"/>
      <c r="K906" s="112"/>
      <c r="L906" s="26"/>
      <c r="M906" s="26"/>
      <c r="N906" s="26"/>
      <c r="O906" s="113"/>
      <c r="P906" s="26"/>
      <c r="Q906" s="26"/>
      <c r="R906" s="26"/>
      <c r="S906" s="26"/>
      <c r="T906" s="26"/>
      <c r="U906" s="26"/>
      <c r="V906" s="26"/>
      <c r="W906" s="26"/>
      <c r="X906" s="26"/>
      <c r="Y906" s="26"/>
      <c r="Z906" s="26"/>
      <c r="AA906" s="26"/>
      <c r="AB906" s="26"/>
      <c r="AC906" s="26"/>
      <c r="AD906" s="26"/>
      <c r="AE906" s="115"/>
      <c r="AF906" s="85"/>
      <c r="AG906" s="67"/>
      <c r="AH906" s="67"/>
      <c r="AI906" s="85"/>
      <c r="AJ906" s="85"/>
      <c r="AK906" s="85"/>
      <c r="AL906" s="85"/>
    </row>
    <row r="907" spans="1:38">
      <c r="A907" s="26"/>
      <c r="B907" s="26"/>
      <c r="C907" s="26"/>
      <c r="D907" s="26"/>
      <c r="E907" s="26"/>
      <c r="F907" s="26"/>
      <c r="G907" s="26"/>
      <c r="H907" s="26"/>
      <c r="I907" s="26"/>
      <c r="J907" s="26"/>
      <c r="K907" s="112"/>
      <c r="L907" s="26"/>
      <c r="M907" s="26"/>
      <c r="N907" s="26"/>
      <c r="O907" s="113"/>
      <c r="P907" s="26"/>
      <c r="Q907" s="26"/>
      <c r="R907" s="26"/>
      <c r="S907" s="26"/>
      <c r="T907" s="26"/>
      <c r="U907" s="26"/>
      <c r="V907" s="26"/>
      <c r="W907" s="26"/>
      <c r="X907" s="26"/>
      <c r="Y907" s="26"/>
      <c r="Z907" s="26"/>
      <c r="AA907" s="26"/>
      <c r="AB907" s="26"/>
      <c r="AC907" s="26"/>
      <c r="AD907" s="26"/>
      <c r="AE907" s="115"/>
      <c r="AF907" s="85"/>
      <c r="AG907" s="67"/>
      <c r="AH907" s="67"/>
      <c r="AI907" s="85"/>
      <c r="AJ907" s="85"/>
      <c r="AK907" s="85"/>
      <c r="AL907" s="85"/>
    </row>
    <row r="908" spans="1:38">
      <c r="A908" s="26"/>
      <c r="B908" s="26"/>
      <c r="C908" s="26"/>
      <c r="D908" s="26"/>
      <c r="E908" s="26"/>
      <c r="F908" s="26"/>
      <c r="G908" s="26"/>
      <c r="H908" s="26"/>
      <c r="I908" s="26"/>
      <c r="J908" s="26"/>
      <c r="K908" s="112"/>
      <c r="L908" s="26"/>
      <c r="M908" s="26"/>
      <c r="N908" s="26"/>
      <c r="O908" s="113"/>
      <c r="P908" s="26"/>
      <c r="Q908" s="26"/>
      <c r="R908" s="26"/>
      <c r="S908" s="26"/>
      <c r="T908" s="26"/>
      <c r="U908" s="26"/>
      <c r="V908" s="26"/>
      <c r="W908" s="26"/>
      <c r="X908" s="26"/>
      <c r="Y908" s="26"/>
      <c r="Z908" s="26"/>
      <c r="AA908" s="26"/>
      <c r="AB908" s="26"/>
      <c r="AC908" s="26"/>
      <c r="AD908" s="26"/>
      <c r="AE908" s="115"/>
      <c r="AF908" s="85"/>
      <c r="AG908" s="67"/>
      <c r="AH908" s="67"/>
      <c r="AI908" s="85"/>
      <c r="AJ908" s="85"/>
      <c r="AK908" s="85"/>
      <c r="AL908" s="85"/>
    </row>
    <row r="909" spans="1:38">
      <c r="A909" s="26"/>
      <c r="B909" s="26"/>
      <c r="C909" s="26"/>
      <c r="D909" s="26"/>
      <c r="E909" s="26"/>
      <c r="F909" s="26"/>
      <c r="G909" s="26"/>
      <c r="H909" s="26"/>
      <c r="I909" s="26"/>
      <c r="J909" s="26"/>
      <c r="K909" s="112"/>
      <c r="L909" s="26"/>
      <c r="M909" s="26"/>
      <c r="N909" s="26"/>
      <c r="O909" s="113"/>
      <c r="P909" s="26"/>
      <c r="Q909" s="26"/>
      <c r="R909" s="26"/>
      <c r="S909" s="26"/>
      <c r="T909" s="26"/>
      <c r="U909" s="26"/>
      <c r="V909" s="26"/>
      <c r="W909" s="26"/>
      <c r="X909" s="26"/>
      <c r="Y909" s="26"/>
      <c r="Z909" s="26"/>
      <c r="AA909" s="26"/>
      <c r="AB909" s="26"/>
      <c r="AC909" s="26"/>
      <c r="AD909" s="26"/>
      <c r="AE909" s="115"/>
      <c r="AF909" s="85"/>
      <c r="AG909" s="67"/>
      <c r="AH909" s="67"/>
      <c r="AI909" s="85"/>
      <c r="AJ909" s="85"/>
      <c r="AK909" s="85"/>
      <c r="AL909" s="85"/>
    </row>
    <row r="910" spans="1:38">
      <c r="A910" s="26"/>
      <c r="B910" s="26"/>
      <c r="C910" s="26"/>
      <c r="D910" s="26"/>
      <c r="E910" s="26"/>
      <c r="F910" s="26"/>
      <c r="G910" s="26"/>
      <c r="H910" s="26"/>
      <c r="I910" s="26"/>
      <c r="J910" s="26"/>
      <c r="K910" s="112"/>
      <c r="L910" s="26"/>
      <c r="M910" s="26"/>
      <c r="N910" s="26"/>
      <c r="O910" s="113"/>
      <c r="P910" s="26"/>
      <c r="Q910" s="26"/>
      <c r="R910" s="26"/>
      <c r="S910" s="26"/>
      <c r="T910" s="26"/>
      <c r="U910" s="26"/>
      <c r="V910" s="26"/>
      <c r="W910" s="26"/>
      <c r="X910" s="26"/>
      <c r="Y910" s="26"/>
      <c r="Z910" s="26"/>
      <c r="AA910" s="26"/>
      <c r="AB910" s="26"/>
      <c r="AC910" s="26"/>
      <c r="AD910" s="26"/>
      <c r="AE910" s="115"/>
      <c r="AF910" s="85"/>
      <c r="AG910" s="67"/>
      <c r="AH910" s="67"/>
      <c r="AI910" s="85"/>
      <c r="AJ910" s="85"/>
      <c r="AK910" s="85"/>
      <c r="AL910" s="85"/>
    </row>
    <row r="911" spans="1:38">
      <c r="A911" s="26"/>
      <c r="B911" s="26"/>
      <c r="C911" s="26"/>
      <c r="D911" s="26"/>
      <c r="E911" s="26"/>
      <c r="F911" s="26"/>
      <c r="G911" s="26"/>
      <c r="H911" s="26"/>
      <c r="I911" s="26"/>
      <c r="J911" s="26"/>
      <c r="K911" s="112"/>
      <c r="L911" s="26"/>
      <c r="M911" s="26"/>
      <c r="N911" s="26"/>
      <c r="O911" s="113"/>
      <c r="P911" s="26"/>
      <c r="Q911" s="26"/>
      <c r="R911" s="26"/>
      <c r="S911" s="26"/>
      <c r="T911" s="26"/>
      <c r="U911" s="26"/>
      <c r="V911" s="26"/>
      <c r="W911" s="26"/>
      <c r="X911" s="26"/>
      <c r="Y911" s="26"/>
      <c r="Z911" s="26"/>
      <c r="AA911" s="26"/>
      <c r="AB911" s="26"/>
      <c r="AC911" s="26"/>
      <c r="AD911" s="26"/>
      <c r="AE911" s="115"/>
      <c r="AF911" s="85"/>
      <c r="AG911" s="67"/>
      <c r="AH911" s="67"/>
      <c r="AI911" s="85"/>
      <c r="AJ911" s="85"/>
      <c r="AK911" s="85"/>
      <c r="AL911" s="85"/>
    </row>
    <row r="912" spans="1:38">
      <c r="A912" s="26"/>
      <c r="B912" s="26"/>
      <c r="C912" s="26"/>
      <c r="D912" s="26"/>
      <c r="E912" s="26"/>
      <c r="F912" s="26"/>
      <c r="G912" s="26"/>
      <c r="H912" s="26"/>
      <c r="I912" s="26"/>
      <c r="J912" s="26"/>
      <c r="K912" s="112"/>
      <c r="L912" s="26"/>
      <c r="M912" s="26"/>
      <c r="N912" s="26"/>
      <c r="O912" s="113"/>
      <c r="P912" s="26"/>
      <c r="Q912" s="26"/>
      <c r="R912" s="26"/>
      <c r="S912" s="26"/>
      <c r="T912" s="26"/>
      <c r="U912" s="26"/>
      <c r="V912" s="26"/>
      <c r="W912" s="26"/>
      <c r="X912" s="26"/>
      <c r="Y912" s="26"/>
      <c r="Z912" s="26"/>
      <c r="AA912" s="26"/>
      <c r="AB912" s="26"/>
      <c r="AC912" s="26"/>
      <c r="AD912" s="26"/>
      <c r="AE912" s="115"/>
      <c r="AF912" s="85"/>
      <c r="AG912" s="67"/>
      <c r="AH912" s="67"/>
      <c r="AI912" s="85"/>
      <c r="AJ912" s="85"/>
      <c r="AK912" s="85"/>
      <c r="AL912" s="85"/>
    </row>
    <row r="913" spans="1:38">
      <c r="A913" s="26"/>
      <c r="B913" s="26"/>
      <c r="C913" s="26"/>
      <c r="D913" s="26"/>
      <c r="E913" s="26"/>
      <c r="F913" s="26"/>
      <c r="G913" s="26"/>
      <c r="H913" s="26"/>
      <c r="I913" s="26"/>
      <c r="J913" s="26"/>
      <c r="K913" s="112"/>
      <c r="L913" s="26"/>
      <c r="M913" s="26"/>
      <c r="N913" s="26"/>
      <c r="O913" s="113"/>
      <c r="P913" s="26"/>
      <c r="Q913" s="26"/>
      <c r="R913" s="26"/>
      <c r="S913" s="26"/>
      <c r="T913" s="26"/>
      <c r="U913" s="26"/>
      <c r="V913" s="26"/>
      <c r="W913" s="26"/>
      <c r="X913" s="26"/>
      <c r="Y913" s="26"/>
      <c r="Z913" s="26"/>
      <c r="AA913" s="26"/>
      <c r="AB913" s="26"/>
      <c r="AC913" s="26"/>
      <c r="AD913" s="26"/>
      <c r="AE913" s="115"/>
      <c r="AF913" s="85"/>
      <c r="AG913" s="67"/>
      <c r="AH913" s="67"/>
      <c r="AI913" s="85"/>
      <c r="AJ913" s="85"/>
      <c r="AK913" s="85"/>
      <c r="AL913" s="85"/>
    </row>
    <row r="914" spans="1:38">
      <c r="A914" s="26"/>
      <c r="B914" s="26"/>
      <c r="C914" s="26"/>
      <c r="D914" s="26"/>
      <c r="E914" s="26"/>
      <c r="F914" s="26"/>
      <c r="G914" s="26"/>
      <c r="H914" s="26"/>
      <c r="I914" s="26"/>
      <c r="J914" s="26"/>
      <c r="K914" s="112"/>
      <c r="L914" s="26"/>
      <c r="M914" s="26"/>
      <c r="N914" s="26"/>
      <c r="O914" s="113"/>
      <c r="P914" s="26"/>
      <c r="Q914" s="26"/>
      <c r="R914" s="26"/>
      <c r="S914" s="26"/>
      <c r="T914" s="26"/>
      <c r="U914" s="26"/>
      <c r="V914" s="26"/>
      <c r="W914" s="26"/>
      <c r="X914" s="26"/>
      <c r="Y914" s="26"/>
      <c r="Z914" s="26"/>
      <c r="AA914" s="26"/>
      <c r="AB914" s="26"/>
      <c r="AC914" s="26"/>
      <c r="AD914" s="26"/>
      <c r="AE914" s="115"/>
      <c r="AF914" s="85"/>
      <c r="AG914" s="67"/>
      <c r="AH914" s="67"/>
      <c r="AI914" s="85"/>
      <c r="AJ914" s="85"/>
      <c r="AK914" s="85"/>
      <c r="AL914" s="85"/>
    </row>
    <row r="915" spans="1:38">
      <c r="A915" s="26"/>
      <c r="B915" s="26"/>
      <c r="C915" s="26"/>
      <c r="D915" s="26"/>
      <c r="E915" s="26"/>
      <c r="F915" s="26"/>
      <c r="G915" s="26"/>
      <c r="H915" s="26"/>
      <c r="I915" s="26"/>
      <c r="J915" s="26"/>
      <c r="K915" s="112"/>
      <c r="L915" s="26"/>
      <c r="M915" s="26"/>
      <c r="N915" s="26"/>
      <c r="O915" s="113"/>
      <c r="P915" s="26"/>
      <c r="Q915" s="26"/>
      <c r="R915" s="26"/>
      <c r="S915" s="26"/>
      <c r="T915" s="26"/>
      <c r="U915" s="26"/>
      <c r="V915" s="26"/>
      <c r="W915" s="26"/>
      <c r="X915" s="26"/>
      <c r="Y915" s="26"/>
      <c r="Z915" s="26"/>
      <c r="AA915" s="26"/>
      <c r="AB915" s="26"/>
      <c r="AC915" s="26"/>
      <c r="AD915" s="26"/>
      <c r="AE915" s="115"/>
      <c r="AF915" s="85"/>
      <c r="AG915" s="67"/>
      <c r="AH915" s="67"/>
      <c r="AI915" s="85"/>
      <c r="AJ915" s="85"/>
      <c r="AK915" s="85"/>
      <c r="AL915" s="85"/>
    </row>
    <row r="916" spans="1:38">
      <c r="A916" s="26"/>
      <c r="B916" s="26"/>
      <c r="C916" s="26"/>
      <c r="D916" s="26"/>
      <c r="E916" s="26"/>
      <c r="F916" s="26"/>
      <c r="G916" s="26"/>
      <c r="H916" s="26"/>
      <c r="I916" s="26"/>
      <c r="J916" s="26"/>
      <c r="K916" s="112"/>
      <c r="L916" s="26"/>
      <c r="M916" s="26"/>
      <c r="N916" s="26"/>
      <c r="O916" s="113"/>
      <c r="P916" s="26"/>
      <c r="Q916" s="26"/>
      <c r="R916" s="26"/>
      <c r="S916" s="26"/>
      <c r="T916" s="26"/>
      <c r="U916" s="26"/>
      <c r="V916" s="26"/>
      <c r="W916" s="26"/>
      <c r="X916" s="26"/>
      <c r="Y916" s="26"/>
      <c r="Z916" s="26"/>
      <c r="AA916" s="26"/>
      <c r="AB916" s="26"/>
      <c r="AC916" s="26"/>
      <c r="AD916" s="26"/>
      <c r="AE916" s="115"/>
      <c r="AF916" s="85"/>
      <c r="AG916" s="67"/>
      <c r="AH916" s="67"/>
      <c r="AI916" s="85"/>
      <c r="AJ916" s="85"/>
      <c r="AK916" s="85"/>
      <c r="AL916" s="85"/>
    </row>
    <row r="917" spans="1:38">
      <c r="A917" s="26"/>
      <c r="B917" s="26"/>
      <c r="C917" s="26"/>
      <c r="D917" s="26"/>
      <c r="E917" s="26"/>
      <c r="F917" s="26"/>
      <c r="G917" s="26"/>
      <c r="H917" s="26"/>
      <c r="I917" s="26"/>
      <c r="J917" s="26"/>
      <c r="K917" s="112"/>
      <c r="L917" s="26"/>
      <c r="M917" s="26"/>
      <c r="N917" s="26"/>
      <c r="O917" s="113"/>
      <c r="P917" s="26"/>
      <c r="Q917" s="26"/>
      <c r="R917" s="26"/>
      <c r="S917" s="26"/>
      <c r="T917" s="26"/>
      <c r="U917" s="26"/>
      <c r="V917" s="26"/>
      <c r="W917" s="26"/>
      <c r="X917" s="26"/>
      <c r="Y917" s="26"/>
      <c r="Z917" s="26"/>
      <c r="AA917" s="26"/>
      <c r="AB917" s="26"/>
      <c r="AC917" s="26"/>
      <c r="AD917" s="26"/>
      <c r="AE917" s="115"/>
      <c r="AF917" s="85"/>
      <c r="AG917" s="67"/>
      <c r="AH917" s="67"/>
      <c r="AI917" s="85"/>
      <c r="AJ917" s="85"/>
      <c r="AK917" s="85"/>
      <c r="AL917" s="85"/>
    </row>
    <row r="918" spans="1:38">
      <c r="A918" s="26"/>
      <c r="B918" s="26"/>
      <c r="C918" s="26"/>
      <c r="D918" s="26"/>
      <c r="E918" s="26"/>
      <c r="F918" s="26"/>
      <c r="G918" s="26"/>
      <c r="H918" s="26"/>
      <c r="I918" s="26"/>
      <c r="J918" s="26"/>
      <c r="K918" s="112"/>
      <c r="L918" s="26"/>
      <c r="M918" s="26"/>
      <c r="N918" s="26"/>
      <c r="O918" s="113"/>
      <c r="P918" s="26"/>
      <c r="Q918" s="26"/>
      <c r="R918" s="26"/>
      <c r="S918" s="26"/>
      <c r="T918" s="26"/>
      <c r="U918" s="26"/>
      <c r="V918" s="26"/>
      <c r="W918" s="26"/>
      <c r="X918" s="26"/>
      <c r="Y918" s="26"/>
      <c r="Z918" s="26"/>
      <c r="AA918" s="26"/>
      <c r="AB918" s="26"/>
      <c r="AC918" s="26"/>
      <c r="AD918" s="26"/>
      <c r="AE918" s="115"/>
      <c r="AF918" s="85"/>
      <c r="AG918" s="67"/>
      <c r="AH918" s="67"/>
      <c r="AI918" s="85"/>
      <c r="AJ918" s="85"/>
      <c r="AK918" s="85"/>
      <c r="AL918" s="85"/>
    </row>
    <row r="919" spans="1:38">
      <c r="A919" s="26"/>
      <c r="B919" s="26"/>
      <c r="C919" s="26"/>
      <c r="D919" s="26"/>
      <c r="E919" s="26"/>
      <c r="F919" s="26"/>
      <c r="G919" s="26"/>
      <c r="H919" s="26"/>
      <c r="I919" s="26"/>
      <c r="J919" s="26"/>
      <c r="K919" s="112"/>
      <c r="L919" s="26"/>
      <c r="M919" s="26"/>
      <c r="N919" s="26"/>
      <c r="O919" s="113"/>
      <c r="P919" s="26"/>
      <c r="Q919" s="26"/>
      <c r="R919" s="26"/>
      <c r="S919" s="26"/>
      <c r="T919" s="26"/>
      <c r="U919" s="26"/>
      <c r="V919" s="26"/>
      <c r="W919" s="26"/>
      <c r="X919" s="26"/>
      <c r="Y919" s="26"/>
      <c r="Z919" s="26"/>
      <c r="AA919" s="26"/>
      <c r="AB919" s="26"/>
      <c r="AC919" s="26"/>
      <c r="AD919" s="26"/>
      <c r="AE919" s="115"/>
      <c r="AF919" s="85"/>
      <c r="AG919" s="67"/>
      <c r="AH919" s="67"/>
      <c r="AI919" s="85"/>
      <c r="AJ919" s="85"/>
      <c r="AK919" s="85"/>
      <c r="AL919" s="85"/>
    </row>
    <row r="920" spans="1:38">
      <c r="A920" s="26"/>
      <c r="B920" s="26"/>
      <c r="C920" s="26"/>
      <c r="D920" s="26"/>
      <c r="E920" s="26"/>
      <c r="F920" s="26"/>
      <c r="G920" s="26"/>
      <c r="H920" s="26"/>
      <c r="I920" s="26"/>
      <c r="J920" s="26"/>
      <c r="K920" s="112"/>
      <c r="L920" s="26"/>
      <c r="M920" s="26"/>
      <c r="N920" s="26"/>
      <c r="O920" s="113"/>
      <c r="P920" s="26"/>
      <c r="Q920" s="26"/>
      <c r="R920" s="26"/>
      <c r="S920" s="26"/>
      <c r="T920" s="26"/>
      <c r="U920" s="26"/>
      <c r="V920" s="26"/>
      <c r="W920" s="26"/>
      <c r="X920" s="26"/>
      <c r="Y920" s="26"/>
      <c r="Z920" s="26"/>
      <c r="AA920" s="26"/>
      <c r="AB920" s="26"/>
      <c r="AC920" s="26"/>
      <c r="AD920" s="26"/>
      <c r="AE920" s="115"/>
      <c r="AF920" s="85"/>
      <c r="AG920" s="67"/>
      <c r="AH920" s="67"/>
      <c r="AI920" s="85"/>
      <c r="AJ920" s="85"/>
      <c r="AK920" s="85"/>
      <c r="AL920" s="85"/>
    </row>
    <row r="921" spans="1:38">
      <c r="A921" s="26"/>
      <c r="B921" s="26"/>
      <c r="C921" s="26"/>
      <c r="D921" s="26"/>
      <c r="E921" s="26"/>
      <c r="F921" s="26"/>
      <c r="G921" s="26"/>
      <c r="H921" s="26"/>
      <c r="I921" s="26"/>
      <c r="J921" s="26"/>
      <c r="K921" s="112"/>
      <c r="L921" s="26"/>
      <c r="M921" s="26"/>
      <c r="N921" s="26"/>
      <c r="O921" s="113"/>
      <c r="P921" s="26"/>
      <c r="Q921" s="26"/>
      <c r="R921" s="26"/>
      <c r="S921" s="26"/>
      <c r="T921" s="26"/>
      <c r="U921" s="26"/>
      <c r="V921" s="26"/>
      <c r="W921" s="26"/>
      <c r="X921" s="26"/>
      <c r="Y921" s="26"/>
      <c r="Z921" s="26"/>
      <c r="AA921" s="26"/>
      <c r="AB921" s="26"/>
      <c r="AC921" s="26"/>
      <c r="AD921" s="26"/>
      <c r="AE921" s="115"/>
      <c r="AF921" s="85"/>
      <c r="AG921" s="67"/>
      <c r="AH921" s="67"/>
      <c r="AI921" s="85"/>
      <c r="AJ921" s="85"/>
      <c r="AK921" s="85"/>
      <c r="AL921" s="85"/>
    </row>
    <row r="922" spans="1:38">
      <c r="A922" s="26"/>
      <c r="B922" s="26"/>
      <c r="C922" s="26"/>
      <c r="D922" s="26"/>
      <c r="E922" s="26"/>
      <c r="F922" s="26"/>
      <c r="G922" s="26"/>
      <c r="H922" s="26"/>
      <c r="I922" s="26"/>
      <c r="J922" s="26"/>
      <c r="K922" s="112"/>
      <c r="L922" s="26"/>
      <c r="M922" s="26"/>
      <c r="N922" s="26"/>
      <c r="O922" s="113"/>
      <c r="P922" s="26"/>
      <c r="Q922" s="26"/>
      <c r="R922" s="26"/>
      <c r="S922" s="26"/>
      <c r="T922" s="26"/>
      <c r="U922" s="26"/>
      <c r="V922" s="26"/>
      <c r="W922" s="26"/>
      <c r="X922" s="26"/>
      <c r="Y922" s="26"/>
      <c r="Z922" s="26"/>
      <c r="AA922" s="26"/>
      <c r="AB922" s="26"/>
      <c r="AC922" s="26"/>
      <c r="AD922" s="26"/>
      <c r="AE922" s="115"/>
      <c r="AF922" s="85"/>
      <c r="AG922" s="67"/>
      <c r="AH922" s="67"/>
      <c r="AI922" s="85"/>
      <c r="AJ922" s="85"/>
      <c r="AK922" s="85"/>
      <c r="AL922" s="85"/>
    </row>
    <row r="923" spans="1:38">
      <c r="A923" s="26"/>
      <c r="B923" s="26"/>
      <c r="C923" s="26"/>
      <c r="D923" s="26"/>
      <c r="E923" s="26"/>
      <c r="F923" s="26"/>
      <c r="G923" s="26"/>
      <c r="H923" s="26"/>
      <c r="I923" s="26"/>
      <c r="J923" s="26"/>
      <c r="K923" s="112"/>
      <c r="L923" s="26"/>
      <c r="M923" s="26"/>
      <c r="N923" s="26"/>
      <c r="O923" s="113"/>
      <c r="P923" s="26"/>
      <c r="Q923" s="26"/>
      <c r="R923" s="26"/>
      <c r="S923" s="26"/>
      <c r="T923" s="26"/>
      <c r="U923" s="26"/>
      <c r="V923" s="26"/>
      <c r="W923" s="26"/>
      <c r="X923" s="26"/>
      <c r="Y923" s="26"/>
      <c r="Z923" s="26"/>
      <c r="AA923" s="26"/>
      <c r="AB923" s="26"/>
      <c r="AC923" s="26"/>
      <c r="AD923" s="26"/>
      <c r="AE923" s="115"/>
      <c r="AF923" s="85"/>
      <c r="AG923" s="67"/>
      <c r="AH923" s="67"/>
      <c r="AI923" s="85"/>
      <c r="AJ923" s="85"/>
      <c r="AK923" s="85"/>
      <c r="AL923" s="85"/>
    </row>
    <row r="924" spans="1:38">
      <c r="A924" s="26"/>
      <c r="B924" s="26"/>
      <c r="C924" s="26"/>
      <c r="D924" s="26"/>
      <c r="E924" s="26"/>
      <c r="F924" s="26"/>
      <c r="G924" s="26"/>
      <c r="H924" s="26"/>
      <c r="I924" s="26"/>
      <c r="J924" s="26"/>
      <c r="K924" s="112"/>
      <c r="L924" s="26"/>
      <c r="M924" s="26"/>
      <c r="N924" s="26"/>
      <c r="O924" s="113"/>
      <c r="P924" s="26"/>
      <c r="Q924" s="26"/>
      <c r="R924" s="26"/>
      <c r="S924" s="26"/>
      <c r="T924" s="26"/>
      <c r="U924" s="26"/>
      <c r="V924" s="26"/>
      <c r="W924" s="26"/>
      <c r="X924" s="26"/>
      <c r="Y924" s="26"/>
      <c r="Z924" s="26"/>
      <c r="AA924" s="26"/>
      <c r="AB924" s="26"/>
      <c r="AC924" s="26"/>
      <c r="AD924" s="26"/>
      <c r="AE924" s="115"/>
      <c r="AF924" s="85"/>
      <c r="AG924" s="67"/>
      <c r="AH924" s="67"/>
      <c r="AI924" s="85"/>
      <c r="AJ924" s="85"/>
      <c r="AK924" s="85"/>
      <c r="AL924" s="85"/>
    </row>
    <row r="925" spans="1:38">
      <c r="A925" s="26"/>
      <c r="B925" s="26"/>
      <c r="C925" s="26"/>
      <c r="D925" s="26"/>
      <c r="E925" s="26"/>
      <c r="F925" s="26"/>
      <c r="G925" s="26"/>
      <c r="H925" s="26"/>
      <c r="I925" s="26"/>
      <c r="J925" s="26"/>
      <c r="K925" s="112"/>
      <c r="L925" s="26"/>
      <c r="M925" s="26"/>
      <c r="N925" s="26"/>
      <c r="O925" s="113"/>
      <c r="P925" s="26"/>
      <c r="Q925" s="26"/>
      <c r="R925" s="26"/>
      <c r="S925" s="26"/>
      <c r="T925" s="26"/>
      <c r="U925" s="26"/>
      <c r="V925" s="26"/>
      <c r="W925" s="26"/>
      <c r="X925" s="26"/>
      <c r="Y925" s="26"/>
      <c r="Z925" s="26"/>
      <c r="AA925" s="26"/>
      <c r="AB925" s="26"/>
      <c r="AC925" s="26"/>
      <c r="AD925" s="26"/>
      <c r="AE925" s="115"/>
      <c r="AF925" s="85"/>
      <c r="AG925" s="67"/>
      <c r="AH925" s="67"/>
      <c r="AI925" s="85"/>
      <c r="AJ925" s="85"/>
      <c r="AK925" s="85"/>
      <c r="AL925" s="85"/>
    </row>
    <row r="926" spans="1:38">
      <c r="A926" s="26"/>
      <c r="B926" s="26"/>
      <c r="C926" s="26"/>
      <c r="D926" s="26"/>
      <c r="E926" s="26"/>
      <c r="F926" s="26"/>
      <c r="G926" s="26"/>
      <c r="H926" s="26"/>
      <c r="I926" s="26"/>
      <c r="J926" s="26"/>
      <c r="K926" s="112"/>
      <c r="L926" s="26"/>
      <c r="M926" s="26"/>
      <c r="N926" s="26"/>
      <c r="O926" s="113"/>
      <c r="P926" s="26"/>
      <c r="Q926" s="26"/>
      <c r="R926" s="26"/>
      <c r="S926" s="26"/>
      <c r="T926" s="26"/>
      <c r="U926" s="26"/>
      <c r="V926" s="26"/>
      <c r="W926" s="26"/>
      <c r="X926" s="26"/>
      <c r="Y926" s="26"/>
      <c r="Z926" s="26"/>
      <c r="AA926" s="26"/>
      <c r="AB926" s="26"/>
      <c r="AC926" s="26"/>
      <c r="AD926" s="26"/>
      <c r="AE926" s="115"/>
      <c r="AF926" s="85"/>
      <c r="AG926" s="67"/>
      <c r="AH926" s="67"/>
      <c r="AI926" s="85"/>
      <c r="AJ926" s="85"/>
      <c r="AK926" s="85"/>
      <c r="AL926" s="85"/>
    </row>
    <row r="927" spans="1:38">
      <c r="A927" s="26"/>
      <c r="B927" s="26"/>
      <c r="C927" s="26"/>
      <c r="D927" s="26"/>
      <c r="E927" s="26"/>
      <c r="F927" s="26"/>
      <c r="G927" s="26"/>
      <c r="H927" s="26"/>
      <c r="I927" s="26"/>
      <c r="J927" s="26"/>
      <c r="K927" s="112"/>
      <c r="L927" s="26"/>
      <c r="M927" s="26"/>
      <c r="N927" s="26"/>
      <c r="O927" s="113"/>
      <c r="P927" s="26"/>
      <c r="Q927" s="26"/>
      <c r="R927" s="26"/>
      <c r="S927" s="26"/>
      <c r="T927" s="26"/>
      <c r="U927" s="26"/>
      <c r="V927" s="26"/>
      <c r="W927" s="26"/>
      <c r="X927" s="26"/>
      <c r="Y927" s="26"/>
      <c r="Z927" s="26"/>
      <c r="AA927" s="26"/>
      <c r="AB927" s="26"/>
      <c r="AC927" s="26"/>
      <c r="AD927" s="26"/>
      <c r="AE927" s="115"/>
      <c r="AF927" s="85"/>
      <c r="AG927" s="67"/>
      <c r="AH927" s="67"/>
      <c r="AI927" s="85"/>
      <c r="AJ927" s="85"/>
      <c r="AK927" s="85"/>
      <c r="AL927" s="85"/>
    </row>
    <row r="928" spans="1:38">
      <c r="A928" s="26"/>
      <c r="B928" s="26"/>
      <c r="C928" s="26"/>
      <c r="D928" s="26"/>
      <c r="E928" s="26"/>
      <c r="F928" s="26"/>
      <c r="G928" s="26"/>
      <c r="H928" s="26"/>
      <c r="I928" s="26"/>
      <c r="J928" s="26"/>
      <c r="K928" s="112"/>
      <c r="L928" s="26"/>
      <c r="M928" s="26"/>
      <c r="N928" s="26"/>
      <c r="O928" s="113"/>
      <c r="P928" s="26"/>
      <c r="Q928" s="26"/>
      <c r="R928" s="26"/>
      <c r="S928" s="26"/>
      <c r="T928" s="26"/>
      <c r="U928" s="26"/>
      <c r="V928" s="26"/>
      <c r="W928" s="26"/>
      <c r="X928" s="26"/>
      <c r="Y928" s="26"/>
      <c r="Z928" s="26"/>
      <c r="AA928" s="26"/>
      <c r="AB928" s="26"/>
      <c r="AC928" s="26"/>
      <c r="AD928" s="26"/>
      <c r="AE928" s="115"/>
      <c r="AF928" s="85"/>
      <c r="AG928" s="67"/>
      <c r="AH928" s="67"/>
      <c r="AI928" s="85"/>
      <c r="AJ928" s="85"/>
      <c r="AK928" s="85"/>
      <c r="AL928" s="85"/>
    </row>
    <row r="929" spans="1:38">
      <c r="A929" s="26"/>
      <c r="B929" s="26"/>
      <c r="C929" s="26"/>
      <c r="D929" s="26"/>
      <c r="E929" s="26"/>
      <c r="F929" s="26"/>
      <c r="G929" s="26"/>
      <c r="H929" s="26"/>
      <c r="I929" s="26"/>
      <c r="J929" s="26"/>
      <c r="K929" s="112"/>
      <c r="L929" s="26"/>
      <c r="M929" s="26"/>
      <c r="N929" s="26"/>
      <c r="O929" s="113"/>
      <c r="P929" s="26"/>
      <c r="Q929" s="26"/>
      <c r="R929" s="26"/>
      <c r="S929" s="26"/>
      <c r="T929" s="26"/>
      <c r="U929" s="26"/>
      <c r="V929" s="26"/>
      <c r="W929" s="26"/>
      <c r="X929" s="26"/>
      <c r="Y929" s="26"/>
      <c r="Z929" s="26"/>
      <c r="AA929" s="26"/>
      <c r="AB929" s="26"/>
      <c r="AC929" s="26"/>
      <c r="AD929" s="26"/>
      <c r="AE929" s="115"/>
      <c r="AF929" s="85"/>
      <c r="AG929" s="67"/>
      <c r="AH929" s="67"/>
      <c r="AI929" s="85"/>
      <c r="AJ929" s="85"/>
      <c r="AK929" s="85"/>
      <c r="AL929" s="85"/>
    </row>
    <row r="930" spans="1:38">
      <c r="A930" s="26"/>
      <c r="B930" s="26"/>
      <c r="C930" s="26"/>
      <c r="D930" s="26"/>
      <c r="E930" s="26"/>
      <c r="F930" s="26"/>
      <c r="G930" s="26"/>
      <c r="H930" s="26"/>
      <c r="I930" s="26"/>
      <c r="J930" s="26"/>
      <c r="K930" s="112"/>
      <c r="L930" s="26"/>
      <c r="M930" s="26"/>
      <c r="N930" s="26"/>
      <c r="O930" s="113"/>
      <c r="P930" s="26"/>
      <c r="Q930" s="26"/>
      <c r="R930" s="26"/>
      <c r="S930" s="26"/>
      <c r="T930" s="26"/>
      <c r="U930" s="26"/>
      <c r="V930" s="26"/>
      <c r="W930" s="26"/>
      <c r="X930" s="26"/>
      <c r="Y930" s="26"/>
      <c r="Z930" s="26"/>
      <c r="AA930" s="26"/>
      <c r="AB930" s="26"/>
      <c r="AC930" s="26"/>
      <c r="AD930" s="26"/>
      <c r="AE930" s="115"/>
      <c r="AF930" s="85"/>
      <c r="AG930" s="67"/>
      <c r="AH930" s="67"/>
      <c r="AI930" s="85"/>
      <c r="AJ930" s="85"/>
      <c r="AK930" s="85"/>
      <c r="AL930" s="85"/>
    </row>
    <row r="931" spans="1:38">
      <c r="A931" s="26"/>
      <c r="B931" s="26"/>
      <c r="C931" s="26"/>
      <c r="D931" s="26"/>
      <c r="E931" s="26"/>
      <c r="F931" s="26"/>
      <c r="G931" s="26"/>
      <c r="H931" s="26"/>
      <c r="I931" s="26"/>
      <c r="J931" s="26"/>
      <c r="K931" s="112"/>
      <c r="L931" s="26"/>
      <c r="M931" s="26"/>
      <c r="N931" s="26"/>
      <c r="O931" s="113"/>
      <c r="P931" s="26"/>
      <c r="Q931" s="26"/>
      <c r="R931" s="26"/>
      <c r="S931" s="26"/>
      <c r="T931" s="26"/>
      <c r="U931" s="26"/>
      <c r="V931" s="26"/>
      <c r="W931" s="26"/>
      <c r="X931" s="26"/>
      <c r="Y931" s="26"/>
      <c r="Z931" s="26"/>
      <c r="AA931" s="26"/>
      <c r="AB931" s="26"/>
      <c r="AC931" s="26"/>
      <c r="AD931" s="26"/>
      <c r="AE931" s="115"/>
      <c r="AF931" s="85"/>
      <c r="AG931" s="67"/>
      <c r="AH931" s="67"/>
      <c r="AI931" s="85"/>
      <c r="AJ931" s="85"/>
      <c r="AK931" s="85"/>
      <c r="AL931" s="85"/>
    </row>
    <row r="932" spans="1:38">
      <c r="A932" s="26"/>
      <c r="B932" s="26"/>
      <c r="C932" s="26"/>
      <c r="D932" s="26"/>
      <c r="E932" s="26"/>
      <c r="F932" s="26"/>
      <c r="G932" s="26"/>
      <c r="H932" s="26"/>
      <c r="I932" s="26"/>
      <c r="J932" s="26"/>
      <c r="K932" s="112"/>
      <c r="L932" s="26"/>
      <c r="M932" s="26"/>
      <c r="N932" s="26"/>
      <c r="O932" s="113"/>
      <c r="P932" s="26"/>
      <c r="Q932" s="26"/>
      <c r="R932" s="26"/>
      <c r="S932" s="26"/>
      <c r="T932" s="26"/>
      <c r="U932" s="26"/>
      <c r="V932" s="26"/>
      <c r="W932" s="26"/>
      <c r="X932" s="26"/>
      <c r="Y932" s="26"/>
      <c r="Z932" s="26"/>
      <c r="AA932" s="26"/>
      <c r="AB932" s="26"/>
      <c r="AC932" s="26"/>
      <c r="AD932" s="26"/>
      <c r="AE932" s="115"/>
      <c r="AF932" s="85"/>
      <c r="AG932" s="67"/>
      <c r="AH932" s="67"/>
      <c r="AI932" s="85"/>
      <c r="AJ932" s="85"/>
      <c r="AK932" s="85"/>
      <c r="AL932" s="85"/>
    </row>
    <row r="933" spans="1:38">
      <c r="A933" s="26"/>
      <c r="B933" s="26"/>
      <c r="C933" s="26"/>
      <c r="D933" s="26"/>
      <c r="E933" s="26"/>
      <c r="F933" s="26"/>
      <c r="G933" s="26"/>
      <c r="H933" s="26"/>
      <c r="I933" s="26"/>
      <c r="J933" s="26"/>
      <c r="K933" s="112"/>
      <c r="L933" s="26"/>
      <c r="M933" s="26"/>
      <c r="N933" s="26"/>
      <c r="O933" s="113"/>
      <c r="P933" s="26"/>
      <c r="Q933" s="26"/>
      <c r="R933" s="26"/>
      <c r="S933" s="26"/>
      <c r="T933" s="26"/>
      <c r="U933" s="26"/>
      <c r="V933" s="26"/>
      <c r="W933" s="26"/>
      <c r="X933" s="26"/>
      <c r="Y933" s="26"/>
      <c r="Z933" s="26"/>
      <c r="AA933" s="26"/>
      <c r="AB933" s="26"/>
      <c r="AC933" s="26"/>
      <c r="AD933" s="26"/>
      <c r="AE933" s="115"/>
      <c r="AF933" s="85"/>
      <c r="AG933" s="67"/>
      <c r="AH933" s="67"/>
      <c r="AI933" s="85"/>
      <c r="AJ933" s="85"/>
      <c r="AK933" s="85"/>
      <c r="AL933" s="85"/>
    </row>
    <row r="934" spans="1:38">
      <c r="A934" s="26"/>
      <c r="B934" s="26"/>
      <c r="C934" s="26"/>
      <c r="D934" s="26"/>
      <c r="E934" s="26"/>
      <c r="F934" s="26"/>
      <c r="G934" s="26"/>
      <c r="H934" s="26"/>
      <c r="I934" s="26"/>
      <c r="J934" s="26"/>
      <c r="K934" s="112"/>
      <c r="L934" s="26"/>
      <c r="M934" s="26"/>
      <c r="N934" s="26"/>
      <c r="O934" s="113"/>
      <c r="P934" s="26"/>
      <c r="Q934" s="26"/>
      <c r="R934" s="26"/>
      <c r="S934" s="26"/>
      <c r="T934" s="26"/>
      <c r="U934" s="26"/>
      <c r="V934" s="26"/>
      <c r="W934" s="26"/>
      <c r="X934" s="26"/>
      <c r="Y934" s="26"/>
      <c r="Z934" s="26"/>
      <c r="AA934" s="26"/>
      <c r="AB934" s="26"/>
      <c r="AC934" s="26"/>
      <c r="AD934" s="26"/>
      <c r="AE934" s="115"/>
      <c r="AF934" s="85"/>
      <c r="AG934" s="67"/>
      <c r="AH934" s="67"/>
      <c r="AI934" s="85"/>
      <c r="AJ934" s="85"/>
      <c r="AK934" s="85"/>
      <c r="AL934" s="85"/>
    </row>
    <row r="935" spans="1:38">
      <c r="A935" s="26"/>
      <c r="B935" s="26"/>
      <c r="C935" s="26"/>
      <c r="D935" s="26"/>
      <c r="E935" s="26"/>
      <c r="F935" s="26"/>
      <c r="G935" s="26"/>
      <c r="H935" s="26"/>
      <c r="I935" s="26"/>
      <c r="J935" s="26"/>
      <c r="K935" s="112"/>
      <c r="L935" s="26"/>
      <c r="M935" s="26"/>
      <c r="N935" s="26"/>
      <c r="O935" s="113"/>
      <c r="P935" s="26"/>
      <c r="Q935" s="26"/>
      <c r="R935" s="26"/>
      <c r="S935" s="26"/>
      <c r="T935" s="26"/>
      <c r="U935" s="26"/>
      <c r="V935" s="26"/>
      <c r="W935" s="26"/>
      <c r="X935" s="26"/>
      <c r="Y935" s="26"/>
      <c r="Z935" s="26"/>
      <c r="AA935" s="26"/>
      <c r="AB935" s="26"/>
      <c r="AC935" s="26"/>
      <c r="AD935" s="26"/>
      <c r="AE935" s="115"/>
      <c r="AF935" s="85"/>
      <c r="AG935" s="67"/>
      <c r="AH935" s="67"/>
      <c r="AI935" s="85"/>
      <c r="AJ935" s="85"/>
      <c r="AK935" s="85"/>
      <c r="AL935" s="85"/>
    </row>
    <row r="936" spans="1:38">
      <c r="A936" s="26"/>
      <c r="B936" s="26"/>
      <c r="C936" s="26"/>
      <c r="D936" s="26"/>
      <c r="E936" s="26"/>
      <c r="F936" s="26"/>
      <c r="G936" s="26"/>
      <c r="H936" s="26"/>
      <c r="I936" s="26"/>
      <c r="J936" s="26"/>
      <c r="K936" s="112"/>
      <c r="L936" s="26"/>
      <c r="M936" s="26"/>
      <c r="N936" s="26"/>
      <c r="O936" s="113"/>
      <c r="P936" s="26"/>
      <c r="Q936" s="26"/>
      <c r="R936" s="26"/>
      <c r="S936" s="26"/>
      <c r="T936" s="26"/>
      <c r="U936" s="26"/>
      <c r="V936" s="26"/>
      <c r="W936" s="26"/>
      <c r="X936" s="26"/>
      <c r="Y936" s="26"/>
      <c r="Z936" s="26"/>
      <c r="AA936" s="26"/>
      <c r="AB936" s="26"/>
      <c r="AC936" s="26"/>
      <c r="AD936" s="26"/>
      <c r="AE936" s="115"/>
      <c r="AF936" s="85"/>
      <c r="AG936" s="67"/>
      <c r="AH936" s="67"/>
      <c r="AI936" s="85"/>
      <c r="AJ936" s="85"/>
      <c r="AK936" s="85"/>
      <c r="AL936" s="85"/>
    </row>
    <row r="937" spans="1:38">
      <c r="A937" s="26"/>
      <c r="B937" s="26"/>
      <c r="C937" s="26"/>
      <c r="D937" s="26"/>
      <c r="E937" s="26"/>
      <c r="F937" s="26"/>
      <c r="G937" s="26"/>
      <c r="H937" s="26"/>
      <c r="I937" s="26"/>
      <c r="J937" s="26"/>
      <c r="K937" s="112"/>
      <c r="L937" s="26"/>
      <c r="M937" s="26"/>
      <c r="N937" s="26"/>
      <c r="O937" s="113"/>
      <c r="P937" s="26"/>
      <c r="Q937" s="26"/>
      <c r="R937" s="26"/>
      <c r="S937" s="26"/>
      <c r="T937" s="26"/>
      <c r="U937" s="26"/>
      <c r="V937" s="26"/>
      <c r="W937" s="26"/>
      <c r="X937" s="26"/>
      <c r="Y937" s="26"/>
      <c r="Z937" s="26"/>
      <c r="AA937" s="26"/>
      <c r="AB937" s="26"/>
      <c r="AC937" s="26"/>
      <c r="AD937" s="26"/>
      <c r="AE937" s="115"/>
      <c r="AF937" s="85"/>
      <c r="AG937" s="67"/>
      <c r="AH937" s="67"/>
      <c r="AI937" s="85"/>
      <c r="AJ937" s="85"/>
      <c r="AK937" s="85"/>
      <c r="AL937" s="85"/>
    </row>
    <row r="938" spans="1:38">
      <c r="A938" s="26"/>
      <c r="B938" s="26"/>
      <c r="C938" s="26"/>
      <c r="D938" s="26"/>
      <c r="E938" s="26"/>
      <c r="F938" s="26"/>
      <c r="G938" s="26"/>
      <c r="H938" s="26"/>
      <c r="I938" s="26"/>
      <c r="J938" s="26"/>
      <c r="K938" s="112"/>
      <c r="L938" s="26"/>
      <c r="M938" s="26"/>
      <c r="N938" s="26"/>
      <c r="O938" s="113"/>
      <c r="P938" s="26"/>
      <c r="Q938" s="26"/>
      <c r="R938" s="26"/>
      <c r="S938" s="26"/>
      <c r="T938" s="26"/>
      <c r="U938" s="26"/>
      <c r="V938" s="26"/>
      <c r="W938" s="26"/>
      <c r="X938" s="26"/>
      <c r="Y938" s="26"/>
      <c r="Z938" s="26"/>
      <c r="AA938" s="26"/>
      <c r="AB938" s="26"/>
      <c r="AC938" s="26"/>
      <c r="AD938" s="26"/>
      <c r="AE938" s="115"/>
      <c r="AF938" s="85"/>
      <c r="AG938" s="67"/>
      <c r="AH938" s="67"/>
      <c r="AI938" s="85"/>
      <c r="AJ938" s="85"/>
      <c r="AK938" s="85"/>
      <c r="AL938" s="85"/>
    </row>
    <row r="939" spans="1:38">
      <c r="A939" s="26"/>
      <c r="B939" s="26"/>
      <c r="C939" s="26"/>
      <c r="D939" s="26"/>
      <c r="E939" s="26"/>
      <c r="F939" s="26"/>
      <c r="G939" s="26"/>
      <c r="H939" s="26"/>
      <c r="I939" s="26"/>
      <c r="J939" s="26"/>
      <c r="K939" s="112"/>
      <c r="L939" s="26"/>
      <c r="M939" s="26"/>
      <c r="N939" s="26"/>
      <c r="O939" s="113"/>
      <c r="P939" s="26"/>
      <c r="Q939" s="26"/>
      <c r="R939" s="26"/>
      <c r="S939" s="26"/>
      <c r="T939" s="26"/>
      <c r="U939" s="26"/>
      <c r="V939" s="26"/>
      <c r="W939" s="26"/>
      <c r="X939" s="26"/>
      <c r="Y939" s="26"/>
      <c r="Z939" s="26"/>
      <c r="AA939" s="26"/>
      <c r="AB939" s="26"/>
      <c r="AC939" s="26"/>
      <c r="AD939" s="26"/>
      <c r="AE939" s="115"/>
      <c r="AF939" s="85"/>
      <c r="AG939" s="67"/>
      <c r="AH939" s="67"/>
      <c r="AI939" s="85"/>
      <c r="AJ939" s="85"/>
      <c r="AK939" s="85"/>
      <c r="AL939" s="85"/>
    </row>
    <row r="940" spans="1:38">
      <c r="A940" s="26"/>
      <c r="B940" s="26"/>
      <c r="C940" s="26"/>
      <c r="D940" s="26"/>
      <c r="E940" s="26"/>
      <c r="F940" s="26"/>
      <c r="G940" s="26"/>
      <c r="H940" s="26"/>
      <c r="I940" s="26"/>
      <c r="J940" s="26"/>
      <c r="K940" s="112"/>
      <c r="L940" s="26"/>
      <c r="M940" s="26"/>
      <c r="N940" s="26"/>
      <c r="O940" s="113"/>
      <c r="P940" s="26"/>
      <c r="Q940" s="26"/>
      <c r="R940" s="26"/>
      <c r="S940" s="26"/>
      <c r="T940" s="26"/>
      <c r="U940" s="26"/>
      <c r="V940" s="26"/>
      <c r="W940" s="26"/>
      <c r="X940" s="26"/>
      <c r="Y940" s="26"/>
      <c r="Z940" s="26"/>
      <c r="AA940" s="26"/>
      <c r="AB940" s="26"/>
      <c r="AC940" s="26"/>
      <c r="AD940" s="26"/>
      <c r="AE940" s="115"/>
      <c r="AF940" s="85"/>
      <c r="AG940" s="67"/>
      <c r="AH940" s="67"/>
      <c r="AI940" s="85"/>
      <c r="AJ940" s="85"/>
      <c r="AK940" s="85"/>
      <c r="AL940" s="85"/>
    </row>
    <row r="941" spans="1:38">
      <c r="A941" s="26"/>
      <c r="B941" s="26"/>
      <c r="C941" s="26"/>
      <c r="D941" s="26"/>
      <c r="E941" s="26"/>
      <c r="F941" s="26"/>
      <c r="G941" s="26"/>
      <c r="H941" s="26"/>
      <c r="I941" s="26"/>
      <c r="J941" s="26"/>
      <c r="K941" s="112"/>
      <c r="L941" s="26"/>
      <c r="M941" s="26"/>
      <c r="N941" s="26"/>
      <c r="O941" s="113"/>
      <c r="P941" s="26"/>
      <c r="Q941" s="26"/>
      <c r="R941" s="26"/>
      <c r="S941" s="26"/>
      <c r="T941" s="26"/>
      <c r="U941" s="26"/>
      <c r="V941" s="26"/>
      <c r="W941" s="26"/>
      <c r="X941" s="26"/>
      <c r="Y941" s="26"/>
      <c r="Z941" s="26"/>
      <c r="AA941" s="26"/>
      <c r="AB941" s="26"/>
      <c r="AC941" s="26"/>
      <c r="AD941" s="26"/>
      <c r="AE941" s="115"/>
      <c r="AF941" s="85"/>
      <c r="AG941" s="67"/>
      <c r="AH941" s="67"/>
      <c r="AI941" s="85"/>
      <c r="AJ941" s="85"/>
      <c r="AK941" s="85"/>
      <c r="AL941" s="85"/>
    </row>
    <row r="942" spans="1:38">
      <c r="A942" s="26"/>
      <c r="B942" s="26"/>
      <c r="C942" s="26"/>
      <c r="D942" s="26"/>
      <c r="E942" s="26"/>
      <c r="F942" s="26"/>
      <c r="G942" s="26"/>
      <c r="H942" s="26"/>
      <c r="I942" s="26"/>
      <c r="J942" s="26"/>
      <c r="K942" s="112"/>
      <c r="L942" s="26"/>
      <c r="M942" s="26"/>
      <c r="N942" s="26"/>
      <c r="O942" s="113"/>
      <c r="P942" s="26"/>
      <c r="Q942" s="26"/>
      <c r="R942" s="26"/>
      <c r="S942" s="26"/>
      <c r="T942" s="26"/>
      <c r="U942" s="26"/>
      <c r="V942" s="26"/>
      <c r="W942" s="26"/>
      <c r="X942" s="26"/>
      <c r="Y942" s="26"/>
      <c r="Z942" s="26"/>
      <c r="AA942" s="26"/>
      <c r="AB942" s="26"/>
      <c r="AC942" s="26"/>
      <c r="AD942" s="26"/>
      <c r="AE942" s="115"/>
      <c r="AF942" s="85"/>
      <c r="AG942" s="67"/>
      <c r="AH942" s="67"/>
      <c r="AI942" s="85"/>
      <c r="AJ942" s="85"/>
      <c r="AK942" s="85"/>
      <c r="AL942" s="85"/>
    </row>
    <row r="943" spans="1:38">
      <c r="A943" s="26"/>
      <c r="B943" s="26"/>
      <c r="C943" s="26"/>
      <c r="D943" s="26"/>
      <c r="E943" s="26"/>
      <c r="F943" s="26"/>
      <c r="G943" s="26"/>
      <c r="H943" s="26"/>
      <c r="I943" s="26"/>
      <c r="J943" s="26"/>
      <c r="K943" s="112"/>
      <c r="L943" s="26"/>
      <c r="M943" s="26"/>
      <c r="N943" s="26"/>
      <c r="O943" s="113"/>
      <c r="P943" s="26"/>
      <c r="Q943" s="26"/>
      <c r="R943" s="26"/>
      <c r="S943" s="26"/>
      <c r="T943" s="26"/>
      <c r="U943" s="26"/>
      <c r="V943" s="26"/>
      <c r="W943" s="26"/>
      <c r="X943" s="26"/>
      <c r="Y943" s="26"/>
      <c r="Z943" s="26"/>
      <c r="AA943" s="26"/>
      <c r="AB943" s="26"/>
      <c r="AC943" s="26"/>
      <c r="AD943" s="26"/>
      <c r="AE943" s="115"/>
      <c r="AF943" s="85"/>
      <c r="AG943" s="67"/>
      <c r="AH943" s="67"/>
      <c r="AI943" s="85"/>
      <c r="AJ943" s="85"/>
      <c r="AK943" s="85"/>
      <c r="AL943" s="85"/>
    </row>
    <row r="944" spans="1:38">
      <c r="A944" s="26"/>
      <c r="B944" s="26"/>
      <c r="C944" s="26"/>
      <c r="D944" s="26"/>
      <c r="E944" s="26"/>
      <c r="F944" s="26"/>
      <c r="G944" s="26"/>
      <c r="H944" s="26"/>
      <c r="I944" s="26"/>
      <c r="J944" s="26"/>
      <c r="K944" s="112"/>
      <c r="L944" s="26"/>
      <c r="M944" s="26"/>
      <c r="N944" s="26"/>
      <c r="O944" s="113"/>
      <c r="P944" s="26"/>
      <c r="Q944" s="26"/>
      <c r="R944" s="26"/>
      <c r="S944" s="26"/>
      <c r="T944" s="26"/>
      <c r="U944" s="26"/>
      <c r="V944" s="26"/>
      <c r="W944" s="26"/>
      <c r="X944" s="26"/>
      <c r="Y944" s="26"/>
      <c r="Z944" s="26"/>
      <c r="AA944" s="26"/>
      <c r="AB944" s="26"/>
      <c r="AC944" s="26"/>
      <c r="AD944" s="26"/>
      <c r="AE944" s="115"/>
      <c r="AF944" s="85"/>
      <c r="AG944" s="67"/>
      <c r="AH944" s="67"/>
      <c r="AI944" s="85"/>
      <c r="AJ944" s="85"/>
      <c r="AK944" s="85"/>
      <c r="AL944" s="85"/>
    </row>
    <row r="945" spans="1:38">
      <c r="A945" s="26"/>
      <c r="B945" s="26"/>
      <c r="C945" s="26"/>
      <c r="D945" s="26"/>
      <c r="E945" s="26"/>
      <c r="F945" s="26"/>
      <c r="G945" s="26"/>
      <c r="H945" s="26"/>
      <c r="I945" s="26"/>
      <c r="J945" s="26"/>
      <c r="K945" s="112"/>
      <c r="L945" s="26"/>
      <c r="M945" s="26"/>
      <c r="N945" s="26"/>
      <c r="O945" s="113"/>
      <c r="P945" s="26"/>
      <c r="Q945" s="26"/>
      <c r="R945" s="26"/>
      <c r="S945" s="26"/>
      <c r="T945" s="26"/>
      <c r="U945" s="26"/>
      <c r="V945" s="26"/>
      <c r="W945" s="26"/>
      <c r="X945" s="26"/>
      <c r="Y945" s="26"/>
      <c r="Z945" s="26"/>
      <c r="AA945" s="26"/>
      <c r="AB945" s="26"/>
      <c r="AC945" s="26"/>
      <c r="AD945" s="26"/>
      <c r="AE945" s="115"/>
      <c r="AF945" s="85"/>
      <c r="AG945" s="67"/>
      <c r="AH945" s="67"/>
      <c r="AI945" s="85"/>
      <c r="AJ945" s="85"/>
      <c r="AK945" s="85"/>
      <c r="AL945" s="85"/>
    </row>
    <row r="946" spans="1:38">
      <c r="A946" s="26"/>
      <c r="B946" s="26"/>
      <c r="C946" s="26"/>
      <c r="D946" s="26"/>
      <c r="E946" s="26"/>
      <c r="F946" s="26"/>
      <c r="G946" s="26"/>
      <c r="H946" s="26"/>
      <c r="I946" s="26"/>
      <c r="J946" s="26"/>
      <c r="K946" s="112"/>
      <c r="L946" s="26"/>
      <c r="M946" s="26"/>
      <c r="N946" s="26"/>
      <c r="O946" s="113"/>
      <c r="P946" s="26"/>
      <c r="Q946" s="26"/>
      <c r="R946" s="26"/>
      <c r="S946" s="26"/>
      <c r="T946" s="26"/>
      <c r="U946" s="26"/>
      <c r="V946" s="26"/>
      <c r="W946" s="26"/>
      <c r="X946" s="26"/>
      <c r="Y946" s="26"/>
      <c r="Z946" s="26"/>
      <c r="AA946" s="26"/>
      <c r="AB946" s="26"/>
      <c r="AC946" s="26"/>
      <c r="AD946" s="26"/>
      <c r="AE946" s="115"/>
      <c r="AF946" s="85"/>
      <c r="AG946" s="67"/>
      <c r="AH946" s="67"/>
      <c r="AI946" s="85"/>
      <c r="AJ946" s="85"/>
      <c r="AK946" s="85"/>
      <c r="AL946" s="85"/>
    </row>
    <row r="947" spans="1:38">
      <c r="A947" s="26"/>
      <c r="B947" s="26"/>
      <c r="C947" s="26"/>
      <c r="D947" s="26"/>
      <c r="E947" s="26"/>
      <c r="F947" s="26"/>
      <c r="G947" s="26"/>
      <c r="H947" s="26"/>
      <c r="I947" s="26"/>
      <c r="J947" s="26"/>
      <c r="K947" s="112"/>
      <c r="L947" s="26"/>
      <c r="M947" s="26"/>
      <c r="N947" s="26"/>
      <c r="O947" s="113"/>
      <c r="P947" s="26"/>
      <c r="Q947" s="26"/>
      <c r="R947" s="26"/>
      <c r="S947" s="26"/>
      <c r="T947" s="26"/>
      <c r="U947" s="26"/>
      <c r="V947" s="26"/>
      <c r="W947" s="26"/>
      <c r="X947" s="26"/>
      <c r="Y947" s="26"/>
      <c r="Z947" s="26"/>
      <c r="AA947" s="26"/>
      <c r="AB947" s="26"/>
      <c r="AC947" s="26"/>
      <c r="AD947" s="26"/>
      <c r="AE947" s="115"/>
      <c r="AF947" s="85"/>
      <c r="AG947" s="67"/>
      <c r="AH947" s="67"/>
      <c r="AI947" s="85"/>
      <c r="AJ947" s="85"/>
      <c r="AK947" s="85"/>
      <c r="AL947" s="85"/>
    </row>
    <row r="948" spans="1:38">
      <c r="A948" s="26"/>
      <c r="B948" s="26"/>
      <c r="C948" s="26"/>
      <c r="D948" s="26"/>
      <c r="E948" s="26"/>
      <c r="F948" s="26"/>
      <c r="G948" s="26"/>
      <c r="H948" s="26"/>
      <c r="I948" s="26"/>
      <c r="J948" s="26"/>
      <c r="K948" s="112"/>
      <c r="L948" s="26"/>
      <c r="M948" s="26"/>
      <c r="N948" s="26"/>
      <c r="O948" s="113"/>
      <c r="P948" s="26"/>
      <c r="Q948" s="26"/>
      <c r="R948" s="26"/>
      <c r="S948" s="26"/>
      <c r="T948" s="26"/>
      <c r="U948" s="26"/>
      <c r="V948" s="26"/>
      <c r="W948" s="26"/>
      <c r="X948" s="26"/>
      <c r="Y948" s="26"/>
      <c r="Z948" s="26"/>
      <c r="AA948" s="26"/>
      <c r="AB948" s="26"/>
      <c r="AC948" s="26"/>
      <c r="AD948" s="26"/>
      <c r="AE948" s="115"/>
      <c r="AF948" s="85"/>
      <c r="AG948" s="67"/>
      <c r="AH948" s="67"/>
      <c r="AI948" s="85"/>
      <c r="AJ948" s="85"/>
      <c r="AK948" s="85"/>
      <c r="AL948" s="85"/>
    </row>
    <row r="949" spans="1:38">
      <c r="A949" s="26"/>
      <c r="B949" s="26"/>
      <c r="C949" s="26"/>
      <c r="D949" s="26"/>
      <c r="E949" s="26"/>
      <c r="F949" s="26"/>
      <c r="G949" s="26"/>
      <c r="H949" s="26"/>
      <c r="I949" s="26"/>
      <c r="J949" s="26"/>
      <c r="K949" s="112"/>
      <c r="L949" s="26"/>
      <c r="M949" s="26"/>
      <c r="N949" s="26"/>
      <c r="O949" s="113"/>
      <c r="P949" s="26"/>
      <c r="Q949" s="26"/>
      <c r="R949" s="26"/>
      <c r="S949" s="26"/>
      <c r="T949" s="26"/>
      <c r="U949" s="26"/>
      <c r="V949" s="26"/>
      <c r="W949" s="26"/>
      <c r="X949" s="26"/>
      <c r="Y949" s="26"/>
      <c r="Z949" s="26"/>
      <c r="AA949" s="26"/>
      <c r="AB949" s="26"/>
      <c r="AC949" s="26"/>
      <c r="AD949" s="26"/>
      <c r="AE949" s="115"/>
      <c r="AF949" s="85"/>
      <c r="AG949" s="67"/>
      <c r="AH949" s="67"/>
      <c r="AI949" s="85"/>
      <c r="AJ949" s="85"/>
      <c r="AK949" s="85"/>
      <c r="AL949" s="85"/>
    </row>
    <row r="950" spans="1:38">
      <c r="A950" s="26"/>
      <c r="B950" s="26"/>
      <c r="C950" s="26"/>
      <c r="D950" s="26"/>
      <c r="E950" s="26"/>
      <c r="F950" s="26"/>
      <c r="G950" s="26"/>
      <c r="H950" s="26"/>
      <c r="I950" s="26"/>
      <c r="J950" s="26"/>
      <c r="K950" s="112"/>
      <c r="L950" s="26"/>
      <c r="M950" s="26"/>
      <c r="N950" s="26"/>
      <c r="O950" s="113"/>
      <c r="P950" s="26"/>
      <c r="Q950" s="26"/>
      <c r="R950" s="26"/>
      <c r="S950" s="26"/>
      <c r="T950" s="26"/>
      <c r="U950" s="26"/>
      <c r="V950" s="26"/>
      <c r="W950" s="26"/>
      <c r="X950" s="26"/>
      <c r="Y950" s="26"/>
      <c r="Z950" s="26"/>
      <c r="AA950" s="26"/>
      <c r="AB950" s="26"/>
      <c r="AC950" s="26"/>
      <c r="AD950" s="26"/>
      <c r="AE950" s="115"/>
      <c r="AF950" s="85"/>
      <c r="AG950" s="67"/>
      <c r="AH950" s="67"/>
      <c r="AI950" s="85"/>
      <c r="AJ950" s="85"/>
      <c r="AK950" s="85"/>
      <c r="AL950" s="85"/>
    </row>
    <row r="951" spans="1:38">
      <c r="A951" s="26"/>
      <c r="B951" s="26"/>
      <c r="C951" s="26"/>
      <c r="D951" s="26"/>
      <c r="E951" s="26"/>
      <c r="F951" s="26"/>
      <c r="G951" s="26"/>
      <c r="H951" s="26"/>
      <c r="I951" s="26"/>
      <c r="J951" s="26"/>
      <c r="K951" s="112"/>
      <c r="L951" s="26"/>
      <c r="M951" s="26"/>
      <c r="N951" s="26"/>
      <c r="O951" s="113"/>
      <c r="P951" s="26"/>
      <c r="Q951" s="26"/>
      <c r="R951" s="26"/>
      <c r="S951" s="26"/>
      <c r="T951" s="26"/>
      <c r="U951" s="26"/>
      <c r="V951" s="26"/>
      <c r="W951" s="26"/>
      <c r="X951" s="26"/>
      <c r="Y951" s="26"/>
      <c r="Z951" s="26"/>
      <c r="AA951" s="26"/>
      <c r="AB951" s="26"/>
      <c r="AC951" s="26"/>
      <c r="AD951" s="26"/>
      <c r="AE951" s="115"/>
      <c r="AF951" s="85"/>
      <c r="AG951" s="67"/>
      <c r="AH951" s="67"/>
      <c r="AI951" s="85"/>
      <c r="AJ951" s="85"/>
      <c r="AK951" s="85"/>
      <c r="AL951" s="85"/>
    </row>
    <row r="952" spans="1:38">
      <c r="A952" s="26"/>
      <c r="B952" s="26"/>
      <c r="C952" s="26"/>
      <c r="D952" s="26"/>
      <c r="E952" s="26"/>
      <c r="F952" s="26"/>
      <c r="G952" s="26"/>
      <c r="H952" s="26"/>
      <c r="I952" s="26"/>
      <c r="J952" s="26"/>
      <c r="K952" s="112"/>
      <c r="L952" s="26"/>
      <c r="M952" s="26"/>
      <c r="N952" s="26"/>
      <c r="O952" s="113"/>
      <c r="P952" s="26"/>
      <c r="Q952" s="26"/>
      <c r="R952" s="26"/>
      <c r="S952" s="26"/>
      <c r="T952" s="26"/>
      <c r="U952" s="26"/>
      <c r="V952" s="26"/>
      <c r="W952" s="26"/>
      <c r="X952" s="26"/>
      <c r="Y952" s="26"/>
      <c r="Z952" s="26"/>
      <c r="AA952" s="26"/>
      <c r="AB952" s="26"/>
      <c r="AC952" s="26"/>
      <c r="AD952" s="26"/>
      <c r="AE952" s="115"/>
      <c r="AF952" s="85"/>
      <c r="AG952" s="67"/>
      <c r="AH952" s="67"/>
      <c r="AI952" s="85"/>
      <c r="AJ952" s="85"/>
      <c r="AK952" s="85"/>
      <c r="AL952" s="85"/>
    </row>
    <row r="953" spans="1:38">
      <c r="A953" s="26"/>
      <c r="B953" s="26"/>
      <c r="C953" s="26"/>
      <c r="D953" s="26"/>
      <c r="E953" s="26"/>
      <c r="F953" s="26"/>
      <c r="G953" s="26"/>
      <c r="H953" s="26"/>
      <c r="I953" s="26"/>
      <c r="J953" s="26"/>
      <c r="K953" s="112"/>
      <c r="L953" s="26"/>
      <c r="M953" s="26"/>
      <c r="N953" s="26"/>
      <c r="O953" s="113"/>
      <c r="P953" s="26"/>
      <c r="Q953" s="26"/>
      <c r="R953" s="26"/>
      <c r="S953" s="26"/>
      <c r="T953" s="26"/>
      <c r="U953" s="26"/>
      <c r="V953" s="26"/>
      <c r="W953" s="26"/>
      <c r="X953" s="26"/>
      <c r="Y953" s="26"/>
      <c r="Z953" s="26"/>
      <c r="AA953" s="26"/>
      <c r="AB953" s="26"/>
      <c r="AC953" s="26"/>
      <c r="AD953" s="26"/>
      <c r="AE953" s="115"/>
      <c r="AF953" s="85"/>
      <c r="AG953" s="67"/>
      <c r="AH953" s="67"/>
      <c r="AI953" s="85"/>
      <c r="AJ953" s="85"/>
      <c r="AK953" s="85"/>
      <c r="AL953" s="85"/>
    </row>
    <row r="954" spans="1:38">
      <c r="A954" s="26"/>
      <c r="B954" s="26"/>
      <c r="C954" s="26"/>
      <c r="D954" s="26"/>
      <c r="E954" s="26"/>
      <c r="F954" s="26"/>
      <c r="G954" s="26"/>
      <c r="H954" s="26"/>
      <c r="I954" s="26"/>
      <c r="J954" s="26"/>
      <c r="K954" s="112"/>
      <c r="L954" s="26"/>
      <c r="M954" s="26"/>
      <c r="N954" s="26"/>
      <c r="O954" s="113"/>
      <c r="P954" s="26"/>
      <c r="Q954" s="26"/>
      <c r="R954" s="26"/>
      <c r="S954" s="26"/>
      <c r="T954" s="26"/>
      <c r="U954" s="26"/>
      <c r="V954" s="26"/>
      <c r="W954" s="26"/>
      <c r="X954" s="26"/>
      <c r="Y954" s="26"/>
      <c r="Z954" s="26"/>
      <c r="AA954" s="26"/>
      <c r="AB954" s="26"/>
      <c r="AC954" s="26"/>
      <c r="AD954" s="26"/>
      <c r="AE954" s="115"/>
      <c r="AF954" s="85"/>
      <c r="AG954" s="67"/>
      <c r="AH954" s="67"/>
      <c r="AI954" s="85"/>
      <c r="AJ954" s="85"/>
      <c r="AK954" s="85"/>
      <c r="AL954" s="85"/>
    </row>
    <row r="955" spans="1:38">
      <c r="A955" s="26"/>
      <c r="B955" s="26"/>
      <c r="C955" s="26"/>
      <c r="D955" s="26"/>
      <c r="E955" s="26"/>
      <c r="F955" s="26"/>
      <c r="G955" s="26"/>
      <c r="H955" s="26"/>
      <c r="I955" s="26"/>
      <c r="J955" s="26"/>
      <c r="K955" s="112"/>
      <c r="L955" s="26"/>
      <c r="M955" s="26"/>
      <c r="N955" s="26"/>
      <c r="O955" s="113"/>
      <c r="P955" s="26"/>
      <c r="Q955" s="26"/>
      <c r="R955" s="26"/>
      <c r="S955" s="26"/>
      <c r="T955" s="26"/>
      <c r="U955" s="26"/>
      <c r="V955" s="26"/>
      <c r="W955" s="26"/>
      <c r="X955" s="26"/>
      <c r="Y955" s="26"/>
      <c r="Z955" s="26"/>
      <c r="AA955" s="26"/>
      <c r="AB955" s="26"/>
      <c r="AC955" s="26"/>
      <c r="AD955" s="26"/>
      <c r="AE955" s="115"/>
      <c r="AF955" s="85"/>
      <c r="AG955" s="67"/>
      <c r="AH955" s="67"/>
      <c r="AI955" s="85"/>
      <c r="AJ955" s="85"/>
      <c r="AK955" s="85"/>
      <c r="AL955" s="85"/>
    </row>
    <row r="956" spans="1:38">
      <c r="A956" s="26"/>
      <c r="B956" s="26"/>
      <c r="C956" s="26"/>
      <c r="D956" s="26"/>
      <c r="E956" s="26"/>
      <c r="F956" s="26"/>
      <c r="G956" s="26"/>
      <c r="H956" s="26"/>
      <c r="I956" s="26"/>
      <c r="J956" s="26"/>
      <c r="K956" s="112"/>
      <c r="L956" s="26"/>
      <c r="M956" s="26"/>
      <c r="N956" s="26"/>
      <c r="O956" s="113"/>
      <c r="P956" s="26"/>
      <c r="Q956" s="26"/>
      <c r="R956" s="26"/>
      <c r="S956" s="26"/>
      <c r="T956" s="26"/>
      <c r="U956" s="26"/>
      <c r="V956" s="26"/>
      <c r="W956" s="26"/>
      <c r="X956" s="26"/>
      <c r="Y956" s="26"/>
      <c r="Z956" s="26"/>
      <c r="AA956" s="26"/>
      <c r="AB956" s="26"/>
      <c r="AC956" s="26"/>
      <c r="AD956" s="26"/>
      <c r="AE956" s="115"/>
      <c r="AF956" s="85"/>
      <c r="AG956" s="67"/>
      <c r="AH956" s="67"/>
      <c r="AI956" s="85"/>
      <c r="AJ956" s="85"/>
      <c r="AK956" s="85"/>
      <c r="AL956" s="85"/>
    </row>
    <row r="957" spans="1:38">
      <c r="A957" s="26"/>
      <c r="B957" s="26"/>
      <c r="C957" s="26"/>
      <c r="D957" s="26"/>
      <c r="E957" s="26"/>
      <c r="F957" s="26"/>
      <c r="G957" s="26"/>
      <c r="H957" s="26"/>
      <c r="I957" s="26"/>
      <c r="J957" s="26"/>
      <c r="K957" s="112"/>
      <c r="L957" s="26"/>
      <c r="M957" s="26"/>
      <c r="N957" s="26"/>
      <c r="O957" s="113"/>
      <c r="P957" s="26"/>
      <c r="Q957" s="26"/>
      <c r="R957" s="26"/>
      <c r="S957" s="26"/>
      <c r="T957" s="26"/>
      <c r="U957" s="26"/>
      <c r="V957" s="26"/>
      <c r="W957" s="26"/>
      <c r="X957" s="26"/>
      <c r="Y957" s="26"/>
      <c r="Z957" s="26"/>
      <c r="AA957" s="26"/>
      <c r="AB957" s="26"/>
      <c r="AC957" s="26"/>
      <c r="AD957" s="26"/>
      <c r="AE957" s="115"/>
      <c r="AF957" s="85"/>
      <c r="AG957" s="67"/>
      <c r="AH957" s="67"/>
      <c r="AI957" s="85"/>
      <c r="AJ957" s="85"/>
      <c r="AK957" s="85"/>
      <c r="AL957" s="85"/>
    </row>
    <row r="958" spans="1:38">
      <c r="A958" s="26"/>
      <c r="B958" s="26"/>
      <c r="C958" s="26"/>
      <c r="D958" s="26"/>
      <c r="E958" s="26"/>
      <c r="F958" s="26"/>
      <c r="G958" s="26"/>
      <c r="H958" s="26"/>
      <c r="I958" s="26"/>
      <c r="J958" s="26"/>
      <c r="K958" s="112"/>
      <c r="L958" s="26"/>
      <c r="M958" s="26"/>
      <c r="N958" s="26"/>
      <c r="O958" s="113"/>
      <c r="P958" s="26"/>
      <c r="Q958" s="26"/>
      <c r="R958" s="26"/>
      <c r="S958" s="26"/>
      <c r="T958" s="26"/>
      <c r="U958" s="26"/>
      <c r="V958" s="26"/>
      <c r="W958" s="26"/>
      <c r="X958" s="26"/>
      <c r="Y958" s="26"/>
      <c r="Z958" s="26"/>
      <c r="AA958" s="26"/>
      <c r="AB958" s="26"/>
      <c r="AC958" s="26"/>
      <c r="AD958" s="26"/>
      <c r="AE958" s="115"/>
      <c r="AF958" s="85"/>
      <c r="AG958" s="67"/>
      <c r="AH958" s="67"/>
      <c r="AI958" s="85"/>
      <c r="AJ958" s="85"/>
      <c r="AK958" s="85"/>
      <c r="AL958" s="85"/>
    </row>
    <row r="959" spans="1:38">
      <c r="A959" s="26"/>
      <c r="B959" s="26"/>
      <c r="C959" s="26"/>
      <c r="D959" s="26"/>
      <c r="E959" s="26"/>
      <c r="F959" s="26"/>
      <c r="G959" s="26"/>
      <c r="H959" s="26"/>
      <c r="I959" s="26"/>
      <c r="J959" s="26"/>
      <c r="K959" s="112"/>
      <c r="L959" s="26"/>
      <c r="M959" s="26"/>
      <c r="N959" s="26"/>
      <c r="O959" s="113"/>
      <c r="P959" s="26"/>
      <c r="Q959" s="26"/>
      <c r="R959" s="26"/>
      <c r="S959" s="26"/>
      <c r="T959" s="26"/>
      <c r="U959" s="26"/>
      <c r="V959" s="26"/>
      <c r="W959" s="26"/>
      <c r="X959" s="26"/>
      <c r="Y959" s="26"/>
      <c r="Z959" s="26"/>
      <c r="AA959" s="26"/>
      <c r="AB959" s="26"/>
      <c r="AC959" s="26"/>
      <c r="AD959" s="26"/>
      <c r="AE959" s="115"/>
      <c r="AF959" s="85"/>
      <c r="AG959" s="67"/>
      <c r="AH959" s="67"/>
      <c r="AI959" s="85"/>
      <c r="AJ959" s="85"/>
      <c r="AK959" s="85"/>
      <c r="AL959" s="85"/>
    </row>
    <row r="960" spans="1:38">
      <c r="A960" s="26"/>
      <c r="B960" s="26"/>
      <c r="C960" s="26"/>
      <c r="D960" s="26"/>
      <c r="E960" s="26"/>
      <c r="F960" s="26"/>
      <c r="G960" s="26"/>
      <c r="H960" s="26"/>
      <c r="I960" s="26"/>
      <c r="J960" s="26"/>
      <c r="K960" s="112"/>
      <c r="L960" s="26"/>
      <c r="M960" s="26"/>
      <c r="N960" s="26"/>
      <c r="O960" s="113"/>
      <c r="P960" s="26"/>
      <c r="Q960" s="26"/>
      <c r="R960" s="26"/>
      <c r="S960" s="26"/>
      <c r="T960" s="26"/>
      <c r="U960" s="26"/>
      <c r="V960" s="26"/>
      <c r="W960" s="26"/>
      <c r="X960" s="26"/>
      <c r="Y960" s="26"/>
      <c r="Z960" s="26"/>
      <c r="AA960" s="26"/>
      <c r="AB960" s="26"/>
      <c r="AC960" s="26"/>
      <c r="AD960" s="26"/>
      <c r="AE960" s="115"/>
      <c r="AF960" s="85"/>
      <c r="AG960" s="67"/>
      <c r="AH960" s="67"/>
      <c r="AI960" s="85"/>
      <c r="AJ960" s="85"/>
      <c r="AK960" s="85"/>
      <c r="AL960" s="85"/>
    </row>
    <row r="961" spans="1:38">
      <c r="A961" s="26"/>
      <c r="B961" s="26"/>
      <c r="C961" s="26"/>
      <c r="D961" s="26"/>
      <c r="E961" s="26"/>
      <c r="F961" s="26"/>
      <c r="G961" s="26"/>
      <c r="H961" s="26"/>
      <c r="I961" s="26"/>
      <c r="J961" s="26"/>
      <c r="K961" s="112"/>
      <c r="L961" s="26"/>
      <c r="M961" s="26"/>
      <c r="N961" s="26"/>
      <c r="O961" s="113"/>
      <c r="P961" s="26"/>
      <c r="Q961" s="26"/>
      <c r="R961" s="26"/>
      <c r="S961" s="26"/>
      <c r="T961" s="26"/>
      <c r="U961" s="26"/>
      <c r="V961" s="26"/>
      <c r="W961" s="26"/>
      <c r="X961" s="26"/>
      <c r="Y961" s="26"/>
      <c r="Z961" s="26"/>
      <c r="AA961" s="26"/>
      <c r="AB961" s="26"/>
      <c r="AC961" s="26"/>
      <c r="AD961" s="26"/>
      <c r="AE961" s="115"/>
      <c r="AF961" s="85"/>
      <c r="AG961" s="67"/>
      <c r="AH961" s="67"/>
      <c r="AI961" s="85"/>
      <c r="AJ961" s="85"/>
      <c r="AK961" s="85"/>
      <c r="AL961" s="85"/>
    </row>
    <row r="962" spans="1:38">
      <c r="A962" s="26"/>
      <c r="B962" s="26"/>
      <c r="C962" s="26"/>
      <c r="D962" s="26"/>
      <c r="E962" s="26"/>
      <c r="F962" s="26"/>
      <c r="G962" s="26"/>
      <c r="H962" s="26"/>
      <c r="I962" s="26"/>
      <c r="J962" s="26"/>
      <c r="K962" s="112"/>
      <c r="L962" s="26"/>
      <c r="M962" s="26"/>
      <c r="N962" s="26"/>
      <c r="O962" s="113"/>
      <c r="P962" s="26"/>
      <c r="Q962" s="26"/>
      <c r="R962" s="26"/>
      <c r="S962" s="26"/>
      <c r="T962" s="26"/>
      <c r="U962" s="26"/>
      <c r="V962" s="26"/>
      <c r="W962" s="26"/>
      <c r="X962" s="26"/>
      <c r="Y962" s="26"/>
      <c r="Z962" s="26"/>
      <c r="AA962" s="26"/>
      <c r="AB962" s="26"/>
      <c r="AC962" s="26"/>
      <c r="AD962" s="26"/>
      <c r="AE962" s="115"/>
      <c r="AF962" s="85"/>
      <c r="AG962" s="67"/>
      <c r="AH962" s="67"/>
      <c r="AI962" s="85"/>
      <c r="AJ962" s="85"/>
      <c r="AK962" s="85"/>
      <c r="AL962" s="85"/>
    </row>
    <row r="963" spans="1:38">
      <c r="A963" s="26"/>
      <c r="B963" s="26"/>
      <c r="C963" s="26"/>
      <c r="D963" s="26"/>
      <c r="E963" s="26"/>
      <c r="F963" s="26"/>
      <c r="G963" s="26"/>
      <c r="H963" s="26"/>
      <c r="I963" s="26"/>
      <c r="J963" s="26"/>
      <c r="K963" s="112"/>
      <c r="L963" s="26"/>
      <c r="M963" s="26"/>
      <c r="N963" s="26"/>
      <c r="O963" s="113"/>
      <c r="P963" s="26"/>
      <c r="Q963" s="26"/>
      <c r="R963" s="26"/>
      <c r="S963" s="26"/>
      <c r="T963" s="26"/>
      <c r="U963" s="26"/>
      <c r="V963" s="26"/>
      <c r="W963" s="26"/>
      <c r="X963" s="26"/>
      <c r="Y963" s="26"/>
      <c r="Z963" s="26"/>
      <c r="AA963" s="26"/>
      <c r="AB963" s="26"/>
      <c r="AC963" s="26"/>
      <c r="AD963" s="26"/>
      <c r="AE963" s="115"/>
      <c r="AF963" s="85"/>
      <c r="AG963" s="67"/>
      <c r="AH963" s="67"/>
      <c r="AI963" s="85"/>
      <c r="AJ963" s="85"/>
      <c r="AK963" s="85"/>
      <c r="AL963" s="85"/>
    </row>
    <row r="964" spans="1:38">
      <c r="A964" s="26"/>
      <c r="B964" s="26"/>
      <c r="C964" s="26"/>
      <c r="D964" s="26"/>
      <c r="E964" s="26"/>
      <c r="F964" s="26"/>
      <c r="G964" s="26"/>
      <c r="H964" s="26"/>
      <c r="I964" s="26"/>
      <c r="J964" s="26"/>
      <c r="K964" s="112"/>
      <c r="L964" s="26"/>
      <c r="M964" s="26"/>
      <c r="N964" s="26"/>
      <c r="O964" s="113"/>
      <c r="P964" s="26"/>
      <c r="Q964" s="26"/>
      <c r="R964" s="26"/>
      <c r="S964" s="26"/>
      <c r="T964" s="26"/>
      <c r="U964" s="26"/>
      <c r="V964" s="26"/>
      <c r="W964" s="26"/>
      <c r="X964" s="26"/>
      <c r="Y964" s="26"/>
      <c r="Z964" s="26"/>
      <c r="AA964" s="26"/>
      <c r="AB964" s="26"/>
      <c r="AC964" s="26"/>
      <c r="AD964" s="26"/>
      <c r="AE964" s="115"/>
      <c r="AF964" s="85"/>
      <c r="AG964" s="67"/>
      <c r="AH964" s="67"/>
      <c r="AI964" s="85"/>
      <c r="AJ964" s="85"/>
      <c r="AK964" s="85"/>
      <c r="AL964" s="85"/>
    </row>
    <row r="965" spans="1:38">
      <c r="A965" s="26"/>
      <c r="B965" s="26"/>
      <c r="C965" s="26"/>
      <c r="D965" s="26"/>
      <c r="E965" s="26"/>
      <c r="F965" s="26"/>
      <c r="G965" s="26"/>
      <c r="H965" s="26"/>
      <c r="I965" s="26"/>
      <c r="J965" s="26"/>
      <c r="K965" s="112"/>
      <c r="L965" s="26"/>
      <c r="M965" s="26"/>
      <c r="N965" s="26"/>
      <c r="O965" s="113"/>
      <c r="P965" s="26"/>
      <c r="Q965" s="26"/>
      <c r="R965" s="26"/>
      <c r="S965" s="26"/>
      <c r="T965" s="26"/>
      <c r="U965" s="26"/>
      <c r="V965" s="26"/>
      <c r="W965" s="26"/>
      <c r="X965" s="26"/>
      <c r="Y965" s="26"/>
      <c r="Z965" s="26"/>
      <c r="AA965" s="26"/>
      <c r="AB965" s="26"/>
      <c r="AC965" s="26"/>
      <c r="AD965" s="26"/>
      <c r="AE965" s="115"/>
      <c r="AF965" s="85"/>
      <c r="AG965" s="67"/>
      <c r="AH965" s="67"/>
      <c r="AI965" s="85"/>
      <c r="AJ965" s="85"/>
      <c r="AK965" s="85"/>
      <c r="AL965" s="85"/>
    </row>
    <row r="966" spans="1:38">
      <c r="A966" s="26"/>
      <c r="B966" s="26"/>
      <c r="C966" s="26"/>
      <c r="D966" s="26"/>
      <c r="E966" s="26"/>
      <c r="F966" s="26"/>
      <c r="G966" s="26"/>
      <c r="H966" s="26"/>
      <c r="I966" s="26"/>
      <c r="J966" s="26"/>
      <c r="K966" s="112"/>
      <c r="L966" s="26"/>
      <c r="M966" s="26"/>
      <c r="N966" s="26"/>
      <c r="O966" s="113"/>
      <c r="P966" s="26"/>
      <c r="Q966" s="26"/>
      <c r="R966" s="26"/>
      <c r="S966" s="26"/>
      <c r="T966" s="26"/>
      <c r="U966" s="26"/>
      <c r="V966" s="26"/>
      <c r="W966" s="26"/>
      <c r="X966" s="26"/>
      <c r="Y966" s="26"/>
      <c r="Z966" s="26"/>
      <c r="AA966" s="26"/>
      <c r="AB966" s="26"/>
      <c r="AC966" s="26"/>
      <c r="AD966" s="26"/>
      <c r="AE966" s="115"/>
      <c r="AF966" s="85"/>
      <c r="AG966" s="67"/>
      <c r="AH966" s="67"/>
      <c r="AI966" s="85"/>
      <c r="AJ966" s="85"/>
      <c r="AK966" s="85"/>
      <c r="AL966" s="85"/>
    </row>
    <row r="967" spans="1:38">
      <c r="A967" s="26"/>
      <c r="B967" s="26"/>
      <c r="C967" s="26"/>
      <c r="D967" s="26"/>
      <c r="E967" s="26"/>
      <c r="F967" s="26"/>
      <c r="G967" s="26"/>
      <c r="H967" s="26"/>
      <c r="I967" s="26"/>
      <c r="J967" s="26"/>
      <c r="K967" s="112"/>
      <c r="L967" s="26"/>
      <c r="M967" s="26"/>
      <c r="N967" s="26"/>
      <c r="O967" s="113"/>
      <c r="P967" s="26"/>
      <c r="Q967" s="26"/>
      <c r="R967" s="26"/>
      <c r="S967" s="26"/>
      <c r="T967" s="26"/>
      <c r="U967" s="26"/>
      <c r="V967" s="26"/>
      <c r="W967" s="26"/>
      <c r="X967" s="26"/>
      <c r="Y967" s="26"/>
      <c r="Z967" s="26"/>
      <c r="AA967" s="26"/>
      <c r="AB967" s="26"/>
      <c r="AC967" s="26"/>
      <c r="AD967" s="26"/>
      <c r="AE967" s="115"/>
      <c r="AF967" s="85"/>
      <c r="AG967" s="67"/>
      <c r="AH967" s="67"/>
      <c r="AI967" s="85"/>
      <c r="AJ967" s="85"/>
      <c r="AK967" s="85"/>
      <c r="AL967" s="85"/>
    </row>
    <row r="968" spans="1:38">
      <c r="A968" s="26"/>
      <c r="B968" s="26"/>
      <c r="C968" s="26"/>
      <c r="D968" s="26"/>
      <c r="E968" s="26"/>
      <c r="F968" s="26"/>
      <c r="G968" s="26"/>
      <c r="H968" s="26"/>
      <c r="I968" s="26"/>
      <c r="J968" s="26"/>
      <c r="K968" s="112"/>
      <c r="L968" s="26"/>
      <c r="M968" s="26"/>
      <c r="N968" s="26"/>
      <c r="O968" s="113"/>
      <c r="P968" s="26"/>
      <c r="Q968" s="26"/>
      <c r="R968" s="26"/>
      <c r="S968" s="26"/>
      <c r="T968" s="26"/>
      <c r="U968" s="26"/>
      <c r="V968" s="26"/>
      <c r="W968" s="26"/>
      <c r="X968" s="26"/>
      <c r="Y968" s="26"/>
      <c r="Z968" s="26"/>
      <c r="AA968" s="26"/>
      <c r="AB968" s="26"/>
      <c r="AC968" s="26"/>
      <c r="AD968" s="26"/>
      <c r="AE968" s="115"/>
      <c r="AF968" s="85"/>
      <c r="AG968" s="67"/>
      <c r="AH968" s="67"/>
      <c r="AI968" s="85"/>
      <c r="AJ968" s="85"/>
      <c r="AK968" s="85"/>
      <c r="AL968" s="85"/>
    </row>
    <row r="969" spans="1:38">
      <c r="A969" s="26"/>
      <c r="B969" s="26"/>
      <c r="C969" s="26"/>
      <c r="D969" s="26"/>
      <c r="E969" s="26"/>
      <c r="F969" s="26"/>
      <c r="G969" s="26"/>
      <c r="H969" s="26"/>
      <c r="I969" s="26"/>
      <c r="J969" s="26"/>
      <c r="K969" s="112"/>
      <c r="L969" s="26"/>
      <c r="M969" s="26"/>
      <c r="N969" s="26"/>
      <c r="O969" s="113"/>
      <c r="P969" s="26"/>
      <c r="Q969" s="26"/>
      <c r="R969" s="26"/>
      <c r="S969" s="26"/>
      <c r="T969" s="26"/>
      <c r="U969" s="26"/>
      <c r="V969" s="26"/>
      <c r="W969" s="26"/>
      <c r="X969" s="26"/>
      <c r="Y969" s="26"/>
      <c r="Z969" s="26"/>
      <c r="AA969" s="26"/>
      <c r="AB969" s="26"/>
      <c r="AC969" s="26"/>
      <c r="AD969" s="26"/>
      <c r="AE969" s="115"/>
      <c r="AF969" s="85"/>
      <c r="AG969" s="67"/>
      <c r="AH969" s="67"/>
      <c r="AI969" s="85"/>
      <c r="AJ969" s="85"/>
      <c r="AK969" s="85"/>
      <c r="AL969" s="85"/>
    </row>
    <row r="970" spans="1:38">
      <c r="A970" s="26"/>
      <c r="B970" s="26"/>
      <c r="C970" s="26"/>
      <c r="D970" s="26"/>
      <c r="E970" s="26"/>
      <c r="F970" s="26"/>
      <c r="G970" s="26"/>
      <c r="H970" s="26"/>
      <c r="I970" s="26"/>
      <c r="J970" s="26"/>
      <c r="K970" s="112"/>
      <c r="L970" s="26"/>
      <c r="M970" s="26"/>
      <c r="N970" s="26"/>
      <c r="O970" s="113"/>
      <c r="P970" s="26"/>
      <c r="Q970" s="26"/>
      <c r="R970" s="26"/>
      <c r="S970" s="26"/>
      <c r="T970" s="26"/>
      <c r="U970" s="26"/>
      <c r="V970" s="26"/>
      <c r="W970" s="26"/>
      <c r="X970" s="26"/>
      <c r="Y970" s="26"/>
      <c r="Z970" s="26"/>
      <c r="AA970" s="26"/>
      <c r="AB970" s="26"/>
      <c r="AC970" s="26"/>
      <c r="AD970" s="26"/>
      <c r="AE970" s="115"/>
      <c r="AF970" s="85"/>
      <c r="AG970" s="67"/>
      <c r="AH970" s="67"/>
      <c r="AI970" s="85"/>
      <c r="AJ970" s="85"/>
      <c r="AK970" s="85"/>
      <c r="AL970" s="85"/>
    </row>
    <row r="971" spans="1:38">
      <c r="A971" s="26"/>
      <c r="B971" s="26"/>
      <c r="C971" s="26"/>
      <c r="D971" s="26"/>
      <c r="E971" s="26"/>
      <c r="F971" s="26"/>
      <c r="G971" s="26"/>
      <c r="H971" s="26"/>
      <c r="I971" s="26"/>
      <c r="J971" s="26"/>
      <c r="K971" s="112"/>
      <c r="L971" s="26"/>
      <c r="M971" s="26"/>
      <c r="N971" s="26"/>
      <c r="O971" s="113"/>
      <c r="P971" s="26"/>
      <c r="Q971" s="26"/>
      <c r="R971" s="26"/>
      <c r="S971" s="26"/>
      <c r="T971" s="26"/>
      <c r="U971" s="26"/>
      <c r="V971" s="26"/>
      <c r="W971" s="26"/>
      <c r="X971" s="26"/>
      <c r="Y971" s="26"/>
      <c r="Z971" s="26"/>
      <c r="AA971" s="26"/>
      <c r="AB971" s="26"/>
      <c r="AC971" s="26"/>
      <c r="AD971" s="26"/>
      <c r="AE971" s="115"/>
      <c r="AF971" s="85"/>
      <c r="AG971" s="67"/>
      <c r="AH971" s="67"/>
      <c r="AI971" s="85"/>
      <c r="AJ971" s="85"/>
      <c r="AK971" s="85"/>
      <c r="AL971" s="85"/>
    </row>
    <row r="972" spans="1:38">
      <c r="A972" s="26"/>
      <c r="B972" s="26"/>
      <c r="C972" s="26"/>
      <c r="D972" s="26"/>
      <c r="E972" s="26"/>
      <c r="F972" s="26"/>
      <c r="G972" s="26"/>
      <c r="H972" s="26"/>
      <c r="I972" s="26"/>
      <c r="J972" s="26"/>
      <c r="K972" s="112"/>
      <c r="L972" s="26"/>
      <c r="M972" s="26"/>
      <c r="N972" s="26"/>
      <c r="O972" s="113"/>
      <c r="P972" s="26"/>
      <c r="Q972" s="26"/>
      <c r="R972" s="26"/>
      <c r="S972" s="26"/>
      <c r="T972" s="26"/>
      <c r="U972" s="26"/>
      <c r="V972" s="26"/>
      <c r="W972" s="26"/>
      <c r="X972" s="26"/>
      <c r="Y972" s="26"/>
      <c r="Z972" s="26"/>
      <c r="AA972" s="26"/>
      <c r="AB972" s="26"/>
      <c r="AC972" s="26"/>
      <c r="AD972" s="26"/>
      <c r="AE972" s="115"/>
      <c r="AF972" s="85"/>
      <c r="AG972" s="67"/>
      <c r="AH972" s="67"/>
      <c r="AI972" s="85"/>
      <c r="AJ972" s="85"/>
      <c r="AK972" s="85"/>
      <c r="AL972" s="85"/>
    </row>
    <row r="973" spans="1:38">
      <c r="A973" s="26"/>
      <c r="B973" s="26"/>
      <c r="C973" s="26"/>
      <c r="D973" s="26"/>
      <c r="E973" s="26"/>
      <c r="F973" s="26"/>
      <c r="G973" s="26"/>
      <c r="H973" s="26"/>
      <c r="I973" s="26"/>
      <c r="J973" s="26"/>
      <c r="K973" s="112"/>
      <c r="L973" s="26"/>
      <c r="M973" s="26"/>
      <c r="N973" s="26"/>
      <c r="O973" s="113"/>
      <c r="P973" s="26"/>
      <c r="Q973" s="26"/>
      <c r="R973" s="26"/>
      <c r="S973" s="26"/>
      <c r="T973" s="26"/>
      <c r="U973" s="26"/>
      <c r="V973" s="26"/>
      <c r="W973" s="26"/>
      <c r="X973" s="26"/>
      <c r="Y973" s="26"/>
      <c r="Z973" s="26"/>
      <c r="AA973" s="26"/>
      <c r="AB973" s="26"/>
      <c r="AC973" s="26"/>
      <c r="AD973" s="26"/>
      <c r="AE973" s="115"/>
      <c r="AF973" s="85"/>
      <c r="AG973" s="67"/>
      <c r="AH973" s="67"/>
      <c r="AI973" s="85"/>
      <c r="AJ973" s="85"/>
      <c r="AK973" s="85"/>
      <c r="AL973" s="85"/>
    </row>
    <row r="974" spans="1:38">
      <c r="A974" s="26"/>
      <c r="B974" s="26"/>
      <c r="C974" s="26"/>
      <c r="D974" s="26"/>
      <c r="E974" s="26"/>
      <c r="F974" s="26"/>
      <c r="G974" s="26"/>
      <c r="H974" s="26"/>
      <c r="I974" s="26"/>
      <c r="J974" s="26"/>
      <c r="K974" s="112"/>
      <c r="L974" s="26"/>
      <c r="M974" s="26"/>
      <c r="N974" s="26"/>
      <c r="O974" s="113"/>
      <c r="P974" s="26"/>
      <c r="Q974" s="26"/>
      <c r="R974" s="26"/>
      <c r="S974" s="26"/>
      <c r="T974" s="26"/>
      <c r="U974" s="26"/>
      <c r="V974" s="26"/>
      <c r="W974" s="26"/>
      <c r="X974" s="26"/>
      <c r="Y974" s="26"/>
      <c r="Z974" s="26"/>
      <c r="AA974" s="26"/>
      <c r="AB974" s="26"/>
      <c r="AC974" s="26"/>
      <c r="AD974" s="26"/>
      <c r="AE974" s="115"/>
      <c r="AF974" s="85"/>
      <c r="AG974" s="67"/>
      <c r="AH974" s="67"/>
      <c r="AI974" s="85"/>
      <c r="AJ974" s="85"/>
      <c r="AK974" s="85"/>
      <c r="AL974" s="85"/>
    </row>
    <row r="975" spans="1:38">
      <c r="A975" s="26"/>
      <c r="B975" s="26"/>
      <c r="C975" s="26"/>
      <c r="D975" s="26"/>
      <c r="E975" s="26"/>
      <c r="F975" s="26"/>
      <c r="G975" s="26"/>
      <c r="H975" s="26"/>
      <c r="I975" s="26"/>
      <c r="J975" s="26"/>
      <c r="K975" s="112"/>
      <c r="L975" s="26"/>
      <c r="M975" s="26"/>
      <c r="N975" s="26"/>
      <c r="O975" s="113"/>
      <c r="P975" s="26"/>
      <c r="Q975" s="26"/>
      <c r="R975" s="26"/>
      <c r="S975" s="26"/>
      <c r="T975" s="26"/>
      <c r="U975" s="26"/>
      <c r="V975" s="26"/>
      <c r="W975" s="26"/>
      <c r="X975" s="26"/>
      <c r="Y975" s="26"/>
      <c r="Z975" s="26"/>
      <c r="AA975" s="26"/>
      <c r="AB975" s="26"/>
      <c r="AC975" s="26"/>
      <c r="AD975" s="26"/>
      <c r="AE975" s="115"/>
      <c r="AF975" s="85"/>
      <c r="AG975" s="67"/>
      <c r="AH975" s="67"/>
      <c r="AI975" s="85"/>
      <c r="AJ975" s="85"/>
      <c r="AK975" s="85"/>
      <c r="AL975" s="85"/>
    </row>
    <row r="976" spans="1:38">
      <c r="A976" s="26"/>
      <c r="B976" s="26"/>
      <c r="C976" s="26"/>
      <c r="D976" s="26"/>
      <c r="E976" s="26"/>
      <c r="F976" s="26"/>
      <c r="G976" s="26"/>
      <c r="H976" s="26"/>
      <c r="I976" s="26"/>
      <c r="J976" s="26"/>
      <c r="K976" s="112"/>
      <c r="L976" s="26"/>
      <c r="M976" s="26"/>
      <c r="N976" s="26"/>
      <c r="O976" s="113"/>
      <c r="P976" s="26"/>
      <c r="Q976" s="26"/>
      <c r="R976" s="26"/>
      <c r="S976" s="26"/>
      <c r="T976" s="26"/>
      <c r="U976" s="26"/>
      <c r="V976" s="26"/>
      <c r="W976" s="26"/>
      <c r="X976" s="26"/>
      <c r="Y976" s="26"/>
      <c r="Z976" s="26"/>
      <c r="AA976" s="26"/>
      <c r="AB976" s="26"/>
      <c r="AC976" s="26"/>
      <c r="AD976" s="26"/>
      <c r="AE976" s="115"/>
      <c r="AF976" s="85"/>
      <c r="AG976" s="67"/>
      <c r="AH976" s="67"/>
      <c r="AI976" s="85"/>
      <c r="AJ976" s="85"/>
      <c r="AK976" s="85"/>
      <c r="AL976" s="85"/>
    </row>
    <row r="977" spans="1:38">
      <c r="A977" s="26"/>
      <c r="B977" s="26"/>
      <c r="C977" s="26"/>
      <c r="D977" s="26"/>
      <c r="E977" s="26"/>
      <c r="F977" s="26"/>
      <c r="G977" s="26"/>
      <c r="H977" s="26"/>
      <c r="I977" s="26"/>
      <c r="J977" s="26"/>
      <c r="K977" s="112"/>
      <c r="L977" s="26"/>
      <c r="M977" s="26"/>
      <c r="N977" s="26"/>
      <c r="O977" s="113"/>
      <c r="P977" s="26"/>
      <c r="Q977" s="26"/>
      <c r="R977" s="26"/>
      <c r="S977" s="26"/>
      <c r="T977" s="26"/>
      <c r="U977" s="26"/>
      <c r="V977" s="26"/>
      <c r="W977" s="26"/>
      <c r="X977" s="26"/>
      <c r="Y977" s="26"/>
      <c r="Z977" s="26"/>
      <c r="AA977" s="26"/>
      <c r="AB977" s="26"/>
      <c r="AC977" s="26"/>
      <c r="AD977" s="26"/>
      <c r="AE977" s="115"/>
      <c r="AF977" s="85"/>
      <c r="AG977" s="67"/>
      <c r="AH977" s="67"/>
      <c r="AI977" s="85"/>
      <c r="AJ977" s="85"/>
      <c r="AK977" s="85"/>
      <c r="AL977" s="85"/>
    </row>
    <row r="978" spans="1:38">
      <c r="A978" s="26"/>
      <c r="B978" s="26"/>
      <c r="C978" s="26"/>
      <c r="D978" s="26"/>
      <c r="E978" s="26"/>
      <c r="F978" s="26"/>
      <c r="G978" s="26"/>
      <c r="H978" s="26"/>
      <c r="I978" s="26"/>
      <c r="J978" s="26"/>
      <c r="K978" s="112"/>
      <c r="L978" s="26"/>
      <c r="M978" s="26"/>
      <c r="N978" s="26"/>
      <c r="O978" s="113"/>
      <c r="P978" s="26"/>
      <c r="Q978" s="26"/>
      <c r="R978" s="26"/>
      <c r="S978" s="26"/>
      <c r="T978" s="26"/>
      <c r="U978" s="26"/>
      <c r="V978" s="26"/>
      <c r="W978" s="26"/>
      <c r="X978" s="26"/>
      <c r="Y978" s="26"/>
      <c r="Z978" s="26"/>
      <c r="AA978" s="26"/>
      <c r="AB978" s="26"/>
      <c r="AC978" s="26"/>
      <c r="AD978" s="26"/>
      <c r="AE978" s="115"/>
      <c r="AF978" s="85"/>
      <c r="AG978" s="67"/>
      <c r="AH978" s="67"/>
      <c r="AI978" s="85"/>
      <c r="AJ978" s="85"/>
      <c r="AK978" s="85"/>
      <c r="AL978" s="85"/>
    </row>
    <row r="979" spans="1:38">
      <c r="A979" s="26"/>
      <c r="B979" s="26"/>
      <c r="C979" s="26"/>
      <c r="D979" s="26"/>
      <c r="E979" s="26"/>
      <c r="F979" s="26"/>
      <c r="G979" s="26"/>
      <c r="H979" s="26"/>
      <c r="I979" s="26"/>
      <c r="J979" s="26"/>
      <c r="K979" s="112"/>
      <c r="L979" s="26"/>
      <c r="M979" s="26"/>
      <c r="N979" s="26"/>
      <c r="O979" s="113"/>
      <c r="P979" s="26"/>
      <c r="Q979" s="26"/>
      <c r="R979" s="26"/>
      <c r="S979" s="26"/>
      <c r="T979" s="26"/>
      <c r="U979" s="26"/>
      <c r="V979" s="26"/>
      <c r="W979" s="26"/>
      <c r="X979" s="26"/>
      <c r="Y979" s="26"/>
      <c r="Z979" s="26"/>
      <c r="AA979" s="26"/>
      <c r="AB979" s="26"/>
      <c r="AC979" s="26"/>
      <c r="AD979" s="26"/>
      <c r="AE979" s="115"/>
      <c r="AF979" s="85"/>
      <c r="AG979" s="67"/>
      <c r="AH979" s="67"/>
      <c r="AI979" s="85"/>
      <c r="AJ979" s="85"/>
      <c r="AK979" s="85"/>
      <c r="AL979" s="85"/>
    </row>
    <row r="980" spans="1:38">
      <c r="A980" s="26"/>
      <c r="B980" s="26"/>
      <c r="C980" s="26"/>
      <c r="D980" s="26"/>
      <c r="E980" s="26"/>
      <c r="F980" s="26"/>
      <c r="G980" s="26"/>
      <c r="H980" s="26"/>
      <c r="I980" s="26"/>
      <c r="J980" s="26"/>
      <c r="K980" s="112"/>
      <c r="L980" s="26"/>
      <c r="M980" s="26"/>
      <c r="N980" s="26"/>
      <c r="O980" s="113"/>
      <c r="P980" s="26"/>
      <c r="Q980" s="26"/>
      <c r="R980" s="26"/>
      <c r="S980" s="26"/>
      <c r="T980" s="26"/>
      <c r="U980" s="26"/>
      <c r="V980" s="26"/>
      <c r="W980" s="26"/>
      <c r="X980" s="26"/>
      <c r="Y980" s="26"/>
      <c r="Z980" s="26"/>
      <c r="AA980" s="26"/>
      <c r="AB980" s="26"/>
      <c r="AC980" s="26"/>
      <c r="AD980" s="26"/>
      <c r="AE980" s="115"/>
      <c r="AF980" s="85"/>
      <c r="AG980" s="67"/>
      <c r="AH980" s="67"/>
      <c r="AI980" s="85"/>
      <c r="AJ980" s="85"/>
      <c r="AK980" s="85"/>
      <c r="AL980" s="85"/>
    </row>
    <row r="981" spans="1:38">
      <c r="A981" s="26"/>
      <c r="B981" s="26"/>
      <c r="C981" s="26"/>
      <c r="D981" s="26"/>
      <c r="E981" s="26"/>
      <c r="F981" s="26"/>
      <c r="G981" s="26"/>
      <c r="H981" s="26"/>
      <c r="I981" s="26"/>
      <c r="J981" s="26"/>
      <c r="K981" s="112"/>
      <c r="L981" s="26"/>
      <c r="M981" s="26"/>
      <c r="N981" s="26"/>
      <c r="O981" s="113"/>
      <c r="P981" s="26"/>
      <c r="Q981" s="26"/>
      <c r="R981" s="26"/>
      <c r="S981" s="26"/>
      <c r="T981" s="26"/>
      <c r="U981" s="26"/>
      <c r="V981" s="26"/>
      <c r="W981" s="26"/>
      <c r="X981" s="26"/>
      <c r="Y981" s="26"/>
      <c r="Z981" s="26"/>
      <c r="AA981" s="26"/>
      <c r="AB981" s="26"/>
      <c r="AC981" s="26"/>
      <c r="AD981" s="26"/>
      <c r="AE981" s="115"/>
      <c r="AF981" s="85"/>
      <c r="AG981" s="67"/>
      <c r="AH981" s="67"/>
      <c r="AI981" s="85"/>
      <c r="AJ981" s="85"/>
      <c r="AK981" s="85"/>
      <c r="AL981" s="85"/>
    </row>
    <row r="982" spans="1:38">
      <c r="A982" s="26"/>
      <c r="B982" s="26"/>
      <c r="C982" s="26"/>
      <c r="D982" s="26"/>
      <c r="E982" s="26"/>
      <c r="F982" s="26"/>
      <c r="G982" s="26"/>
      <c r="H982" s="26"/>
      <c r="I982" s="26"/>
      <c r="J982" s="26"/>
      <c r="K982" s="112"/>
      <c r="L982" s="26"/>
      <c r="M982" s="26"/>
      <c r="N982" s="26"/>
      <c r="O982" s="113"/>
      <c r="P982" s="26"/>
      <c r="Q982" s="26"/>
      <c r="R982" s="26"/>
      <c r="S982" s="26"/>
      <c r="T982" s="26"/>
      <c r="U982" s="26"/>
      <c r="V982" s="26"/>
      <c r="W982" s="26"/>
      <c r="X982" s="26"/>
      <c r="Y982" s="26"/>
      <c r="Z982" s="26"/>
      <c r="AA982" s="26"/>
      <c r="AB982" s="26"/>
      <c r="AC982" s="26"/>
      <c r="AD982" s="26"/>
      <c r="AE982" s="115"/>
      <c r="AF982" s="85"/>
      <c r="AG982" s="67"/>
      <c r="AH982" s="67"/>
      <c r="AI982" s="85"/>
      <c r="AJ982" s="85"/>
      <c r="AK982" s="85"/>
      <c r="AL982" s="85"/>
    </row>
    <row r="983" spans="1:38">
      <c r="A983" s="26"/>
      <c r="B983" s="26"/>
      <c r="C983" s="26"/>
      <c r="D983" s="26"/>
      <c r="E983" s="26"/>
      <c r="F983" s="26"/>
      <c r="G983" s="26"/>
      <c r="H983" s="26"/>
      <c r="I983" s="26"/>
      <c r="J983" s="26"/>
      <c r="K983" s="112"/>
      <c r="L983" s="26"/>
      <c r="M983" s="26"/>
      <c r="N983" s="26"/>
      <c r="O983" s="113"/>
      <c r="P983" s="26"/>
      <c r="Q983" s="26"/>
      <c r="R983" s="26"/>
      <c r="S983" s="26"/>
      <c r="T983" s="26"/>
      <c r="U983" s="26"/>
      <c r="V983" s="26"/>
      <c r="W983" s="26"/>
      <c r="X983" s="26"/>
      <c r="Y983" s="26"/>
      <c r="Z983" s="26"/>
      <c r="AA983" s="26"/>
      <c r="AB983" s="26"/>
      <c r="AC983" s="26"/>
      <c r="AD983" s="26"/>
      <c r="AE983" s="115"/>
      <c r="AF983" s="85"/>
      <c r="AG983" s="67"/>
      <c r="AH983" s="67"/>
      <c r="AI983" s="85"/>
      <c r="AJ983" s="85"/>
      <c r="AK983" s="85"/>
      <c r="AL983" s="85"/>
    </row>
    <row r="984" spans="1:38">
      <c r="A984" s="26"/>
      <c r="B984" s="26"/>
      <c r="C984" s="26"/>
      <c r="D984" s="26"/>
      <c r="E984" s="26"/>
      <c r="F984" s="26"/>
      <c r="G984" s="26"/>
      <c r="H984" s="26"/>
      <c r="I984" s="26"/>
      <c r="J984" s="26"/>
      <c r="K984" s="112"/>
      <c r="L984" s="26"/>
      <c r="M984" s="26"/>
      <c r="N984" s="26"/>
      <c r="O984" s="113"/>
      <c r="P984" s="26"/>
      <c r="Q984" s="26"/>
      <c r="R984" s="26"/>
      <c r="S984" s="26"/>
      <c r="T984" s="26"/>
      <c r="U984" s="26"/>
      <c r="V984" s="26"/>
      <c r="W984" s="26"/>
      <c r="X984" s="26"/>
      <c r="Y984" s="26"/>
      <c r="Z984" s="26"/>
      <c r="AA984" s="26"/>
      <c r="AB984" s="26"/>
      <c r="AC984" s="26"/>
      <c r="AD984" s="26"/>
      <c r="AE984" s="115"/>
      <c r="AF984" s="85"/>
      <c r="AG984" s="67"/>
      <c r="AH984" s="67"/>
      <c r="AI984" s="85"/>
      <c r="AJ984" s="85"/>
      <c r="AK984" s="85"/>
      <c r="AL984" s="85"/>
    </row>
    <row r="985" spans="1:38">
      <c r="A985" s="26"/>
      <c r="B985" s="26"/>
      <c r="C985" s="26"/>
      <c r="D985" s="26"/>
      <c r="E985" s="26"/>
      <c r="F985" s="26"/>
      <c r="G985" s="26"/>
      <c r="H985" s="26"/>
      <c r="I985" s="26"/>
      <c r="J985" s="26"/>
      <c r="K985" s="112"/>
      <c r="L985" s="26"/>
      <c r="M985" s="26"/>
      <c r="N985" s="26"/>
      <c r="O985" s="113"/>
      <c r="P985" s="26"/>
      <c r="Q985" s="26"/>
      <c r="R985" s="26"/>
      <c r="S985" s="26"/>
      <c r="T985" s="26"/>
      <c r="U985" s="26"/>
      <c r="V985" s="26"/>
      <c r="W985" s="26"/>
      <c r="X985" s="26"/>
      <c r="Y985" s="26"/>
      <c r="Z985" s="26"/>
      <c r="AA985" s="26"/>
      <c r="AB985" s="26"/>
      <c r="AC985" s="26"/>
      <c r="AD985" s="26"/>
      <c r="AE985" s="115"/>
      <c r="AF985" s="85"/>
      <c r="AG985" s="67"/>
      <c r="AH985" s="67"/>
      <c r="AI985" s="85"/>
      <c r="AJ985" s="85"/>
      <c r="AK985" s="85"/>
      <c r="AL985" s="85"/>
    </row>
    <row r="986" spans="1:38">
      <c r="A986" s="26"/>
      <c r="B986" s="26"/>
      <c r="C986" s="26"/>
      <c r="D986" s="26"/>
      <c r="E986" s="26"/>
      <c r="F986" s="26"/>
      <c r="G986" s="26"/>
      <c r="H986" s="26"/>
      <c r="I986" s="26"/>
      <c r="J986" s="26"/>
      <c r="K986" s="112"/>
      <c r="L986" s="26"/>
      <c r="M986" s="26"/>
      <c r="N986" s="26"/>
      <c r="O986" s="113"/>
      <c r="P986" s="26"/>
      <c r="Q986" s="26"/>
      <c r="R986" s="26"/>
      <c r="S986" s="26"/>
      <c r="T986" s="26"/>
      <c r="U986" s="26"/>
      <c r="V986" s="26"/>
      <c r="W986" s="26"/>
      <c r="X986" s="26"/>
      <c r="Y986" s="26"/>
      <c r="Z986" s="26"/>
      <c r="AA986" s="26"/>
      <c r="AB986" s="26"/>
      <c r="AC986" s="26"/>
      <c r="AD986" s="26"/>
      <c r="AE986" s="115"/>
      <c r="AF986" s="85"/>
      <c r="AG986" s="67"/>
      <c r="AH986" s="67"/>
      <c r="AI986" s="85"/>
      <c r="AJ986" s="85"/>
      <c r="AK986" s="85"/>
      <c r="AL986" s="85"/>
    </row>
    <row r="987" spans="1:38">
      <c r="A987" s="26"/>
      <c r="B987" s="26"/>
      <c r="C987" s="26"/>
      <c r="D987" s="26"/>
      <c r="E987" s="26"/>
      <c r="F987" s="26"/>
      <c r="G987" s="26"/>
      <c r="H987" s="26"/>
      <c r="I987" s="26"/>
      <c r="J987" s="26"/>
      <c r="K987" s="112"/>
      <c r="L987" s="26"/>
      <c r="M987" s="26"/>
      <c r="N987" s="26"/>
      <c r="O987" s="113"/>
      <c r="P987" s="26"/>
      <c r="Q987" s="26"/>
      <c r="R987" s="26"/>
      <c r="S987" s="26"/>
      <c r="T987" s="26"/>
      <c r="U987" s="26"/>
      <c r="V987" s="26"/>
      <c r="W987" s="26"/>
      <c r="X987" s="26"/>
      <c r="Y987" s="26"/>
      <c r="Z987" s="26"/>
      <c r="AA987" s="26"/>
      <c r="AB987" s="26"/>
      <c r="AC987" s="26"/>
      <c r="AD987" s="26"/>
      <c r="AE987" s="115"/>
      <c r="AF987" s="85"/>
      <c r="AG987" s="67"/>
      <c r="AH987" s="67"/>
      <c r="AI987" s="85"/>
      <c r="AJ987" s="85"/>
      <c r="AK987" s="85"/>
      <c r="AL987" s="85"/>
    </row>
    <row r="988" spans="1:38">
      <c r="A988" s="26"/>
      <c r="B988" s="26"/>
      <c r="C988" s="26"/>
      <c r="D988" s="26"/>
      <c r="E988" s="26"/>
      <c r="F988" s="26"/>
      <c r="G988" s="26"/>
      <c r="H988" s="26"/>
      <c r="I988" s="26"/>
      <c r="J988" s="26"/>
      <c r="K988" s="112"/>
      <c r="L988" s="26"/>
      <c r="M988" s="26"/>
      <c r="N988" s="26"/>
      <c r="O988" s="113"/>
      <c r="P988" s="26"/>
      <c r="Q988" s="26"/>
      <c r="R988" s="26"/>
      <c r="S988" s="26"/>
      <c r="T988" s="26"/>
      <c r="U988" s="26"/>
      <c r="V988" s="26"/>
      <c r="W988" s="26"/>
      <c r="X988" s="26"/>
      <c r="Y988" s="26"/>
      <c r="Z988" s="26"/>
      <c r="AA988" s="26"/>
      <c r="AB988" s="26"/>
      <c r="AC988" s="26"/>
      <c r="AD988" s="26"/>
      <c r="AE988" s="115"/>
      <c r="AF988" s="85"/>
      <c r="AG988" s="67"/>
      <c r="AH988" s="67"/>
      <c r="AI988" s="85"/>
      <c r="AJ988" s="85"/>
      <c r="AK988" s="85"/>
      <c r="AL988" s="85"/>
    </row>
    <row r="989" spans="1:38">
      <c r="A989" s="26"/>
      <c r="B989" s="26"/>
      <c r="C989" s="26"/>
      <c r="D989" s="26"/>
      <c r="E989" s="26"/>
      <c r="F989" s="26"/>
      <c r="G989" s="26"/>
      <c r="H989" s="26"/>
      <c r="I989" s="26"/>
      <c r="J989" s="26"/>
      <c r="K989" s="112"/>
      <c r="L989" s="26"/>
      <c r="M989" s="26"/>
      <c r="N989" s="26"/>
      <c r="O989" s="113"/>
      <c r="P989" s="26"/>
      <c r="Q989" s="26"/>
      <c r="R989" s="26"/>
      <c r="S989" s="26"/>
      <c r="T989" s="26"/>
      <c r="U989" s="26"/>
      <c r="V989" s="26"/>
      <c r="W989" s="26"/>
      <c r="X989" s="26"/>
      <c r="Y989" s="26"/>
      <c r="Z989" s="26"/>
      <c r="AA989" s="26"/>
      <c r="AB989" s="26"/>
      <c r="AC989" s="26"/>
      <c r="AD989" s="26"/>
      <c r="AE989" s="115"/>
      <c r="AF989" s="85"/>
      <c r="AG989" s="67"/>
      <c r="AH989" s="67"/>
      <c r="AI989" s="85"/>
      <c r="AJ989" s="85"/>
      <c r="AK989" s="85"/>
      <c r="AL989" s="85"/>
    </row>
    <row r="990" spans="1:38">
      <c r="A990" s="26"/>
      <c r="B990" s="26"/>
      <c r="C990" s="26"/>
      <c r="D990" s="26"/>
      <c r="E990" s="26"/>
      <c r="F990" s="26"/>
      <c r="G990" s="26"/>
      <c r="H990" s="26"/>
      <c r="I990" s="26"/>
      <c r="J990" s="26"/>
      <c r="K990" s="112"/>
      <c r="L990" s="26"/>
      <c r="M990" s="26"/>
      <c r="N990" s="26"/>
      <c r="O990" s="113"/>
      <c r="P990" s="26"/>
      <c r="Q990" s="26"/>
      <c r="R990" s="26"/>
      <c r="S990" s="26"/>
      <c r="T990" s="26"/>
      <c r="U990" s="26"/>
      <c r="V990" s="26"/>
      <c r="W990" s="26"/>
      <c r="X990" s="26"/>
      <c r="Y990" s="26"/>
      <c r="Z990" s="26"/>
      <c r="AA990" s="26"/>
      <c r="AB990" s="26"/>
      <c r="AC990" s="26"/>
      <c r="AD990" s="26"/>
      <c r="AE990" s="115"/>
      <c r="AF990" s="85"/>
      <c r="AG990" s="67"/>
      <c r="AH990" s="67"/>
      <c r="AI990" s="85"/>
      <c r="AJ990" s="85"/>
      <c r="AK990" s="85"/>
      <c r="AL990" s="85"/>
    </row>
    <row r="991" spans="1:38">
      <c r="A991" s="26"/>
      <c r="B991" s="26"/>
      <c r="C991" s="26"/>
      <c r="D991" s="26"/>
      <c r="E991" s="26"/>
      <c r="F991" s="26"/>
      <c r="G991" s="26"/>
      <c r="H991" s="26"/>
      <c r="I991" s="26"/>
      <c r="J991" s="26"/>
      <c r="K991" s="112"/>
      <c r="L991" s="26"/>
      <c r="M991" s="26"/>
      <c r="N991" s="26"/>
      <c r="O991" s="113"/>
      <c r="P991" s="26"/>
      <c r="Q991" s="26"/>
      <c r="R991" s="26"/>
      <c r="S991" s="26"/>
      <c r="T991" s="26"/>
      <c r="U991" s="26"/>
      <c r="V991" s="26"/>
      <c r="W991" s="26"/>
      <c r="X991" s="26"/>
      <c r="Y991" s="26"/>
      <c r="Z991" s="26"/>
      <c r="AA991" s="26"/>
      <c r="AB991" s="26"/>
      <c r="AC991" s="26"/>
      <c r="AD991" s="26"/>
      <c r="AE991" s="115"/>
      <c r="AF991" s="85"/>
      <c r="AG991" s="67"/>
      <c r="AH991" s="67"/>
      <c r="AI991" s="85"/>
      <c r="AJ991" s="85"/>
      <c r="AK991" s="85"/>
      <c r="AL991" s="85"/>
    </row>
    <row r="992" spans="1:38">
      <c r="A992" s="26"/>
      <c r="B992" s="26"/>
      <c r="C992" s="26"/>
      <c r="D992" s="26"/>
      <c r="E992" s="26"/>
      <c r="F992" s="26"/>
      <c r="G992" s="26"/>
      <c r="H992" s="26"/>
      <c r="I992" s="26"/>
      <c r="J992" s="26"/>
      <c r="K992" s="112"/>
      <c r="L992" s="26"/>
      <c r="M992" s="26"/>
      <c r="N992" s="26"/>
      <c r="O992" s="113"/>
      <c r="P992" s="26"/>
      <c r="Q992" s="26"/>
      <c r="R992" s="26"/>
      <c r="S992" s="26"/>
      <c r="T992" s="26"/>
      <c r="U992" s="26"/>
      <c r="V992" s="26"/>
      <c r="W992" s="26"/>
      <c r="X992" s="26"/>
      <c r="Y992" s="26"/>
      <c r="Z992" s="26"/>
      <c r="AA992" s="26"/>
      <c r="AB992" s="26"/>
      <c r="AC992" s="26"/>
      <c r="AD992" s="26"/>
      <c r="AE992" s="115"/>
      <c r="AF992" s="85"/>
      <c r="AG992" s="67"/>
      <c r="AH992" s="67"/>
      <c r="AI992" s="85"/>
      <c r="AJ992" s="85"/>
      <c r="AK992" s="85"/>
      <c r="AL992" s="85"/>
    </row>
    <row r="993" spans="1:38">
      <c r="A993" s="26"/>
      <c r="B993" s="26"/>
      <c r="C993" s="26"/>
      <c r="D993" s="26"/>
      <c r="E993" s="26"/>
      <c r="F993" s="26"/>
      <c r="G993" s="26"/>
      <c r="H993" s="26"/>
      <c r="I993" s="26"/>
      <c r="J993" s="26"/>
      <c r="K993" s="112"/>
      <c r="L993" s="26"/>
      <c r="M993" s="26"/>
      <c r="N993" s="26"/>
      <c r="O993" s="113"/>
      <c r="P993" s="26"/>
      <c r="Q993" s="26"/>
      <c r="R993" s="26"/>
      <c r="S993" s="26"/>
      <c r="T993" s="26"/>
      <c r="U993" s="26"/>
      <c r="V993" s="26"/>
      <c r="W993" s="26"/>
      <c r="X993" s="26"/>
      <c r="Y993" s="26"/>
      <c r="Z993" s="26"/>
      <c r="AA993" s="26"/>
      <c r="AB993" s="26"/>
      <c r="AC993" s="26"/>
      <c r="AD993" s="26"/>
      <c r="AE993" s="115"/>
      <c r="AF993" s="85"/>
      <c r="AG993" s="67"/>
      <c r="AH993" s="67"/>
      <c r="AI993" s="85"/>
      <c r="AJ993" s="85"/>
      <c r="AK993" s="85"/>
      <c r="AL993" s="85"/>
    </row>
    <row r="994" spans="1:38">
      <c r="A994" s="26"/>
      <c r="B994" s="26"/>
      <c r="C994" s="26"/>
      <c r="D994" s="26"/>
      <c r="E994" s="26"/>
      <c r="F994" s="26"/>
      <c r="G994" s="26"/>
      <c r="H994" s="26"/>
      <c r="I994" s="26"/>
      <c r="J994" s="26"/>
      <c r="K994" s="112"/>
      <c r="L994" s="26"/>
      <c r="M994" s="26"/>
      <c r="N994" s="26"/>
      <c r="O994" s="113"/>
      <c r="P994" s="26"/>
      <c r="Q994" s="26"/>
      <c r="R994" s="26"/>
      <c r="S994" s="26"/>
      <c r="T994" s="26"/>
      <c r="U994" s="26"/>
      <c r="V994" s="26"/>
      <c r="W994" s="26"/>
      <c r="X994" s="26"/>
      <c r="Y994" s="26"/>
      <c r="Z994" s="26"/>
      <c r="AA994" s="26"/>
      <c r="AB994" s="26"/>
      <c r="AC994" s="26"/>
      <c r="AD994" s="26"/>
      <c r="AE994" s="115"/>
      <c r="AF994" s="85"/>
      <c r="AG994" s="67"/>
      <c r="AH994" s="67"/>
      <c r="AI994" s="85"/>
      <c r="AJ994" s="85"/>
      <c r="AK994" s="85"/>
      <c r="AL994" s="85"/>
    </row>
    <row r="995" spans="1:38">
      <c r="A995" s="26"/>
      <c r="B995" s="26"/>
      <c r="C995" s="26"/>
      <c r="D995" s="26"/>
      <c r="E995" s="26"/>
      <c r="F995" s="26"/>
      <c r="G995" s="26"/>
      <c r="H995" s="26"/>
      <c r="I995" s="26"/>
      <c r="J995" s="26"/>
      <c r="K995" s="112"/>
      <c r="L995" s="26"/>
      <c r="M995" s="26"/>
      <c r="N995" s="26"/>
      <c r="O995" s="113"/>
      <c r="P995" s="26"/>
      <c r="Q995" s="26"/>
      <c r="R995" s="26"/>
      <c r="S995" s="26"/>
      <c r="T995" s="26"/>
      <c r="U995" s="26"/>
      <c r="V995" s="26"/>
      <c r="W995" s="26"/>
      <c r="X995" s="26"/>
      <c r="Y995" s="26"/>
      <c r="Z995" s="26"/>
      <c r="AA995" s="26"/>
      <c r="AB995" s="26"/>
      <c r="AC995" s="26"/>
      <c r="AD995" s="26"/>
      <c r="AE995" s="115"/>
      <c r="AF995" s="85"/>
      <c r="AG995" s="67"/>
      <c r="AH995" s="67"/>
      <c r="AI995" s="85"/>
      <c r="AJ995" s="85"/>
      <c r="AK995" s="85"/>
      <c r="AL995" s="85"/>
    </row>
    <row r="996" spans="1:38">
      <c r="A996" s="26"/>
      <c r="B996" s="26"/>
      <c r="C996" s="26"/>
      <c r="D996" s="26"/>
      <c r="E996" s="26"/>
      <c r="F996" s="26"/>
      <c r="G996" s="26"/>
      <c r="H996" s="26"/>
      <c r="I996" s="26"/>
      <c r="J996" s="26"/>
      <c r="K996" s="112"/>
      <c r="L996" s="26"/>
      <c r="M996" s="26"/>
      <c r="N996" s="26"/>
      <c r="O996" s="113"/>
      <c r="P996" s="26"/>
      <c r="Q996" s="26"/>
      <c r="R996" s="26"/>
      <c r="S996" s="26"/>
      <c r="T996" s="26"/>
      <c r="U996" s="26"/>
      <c r="V996" s="26"/>
      <c r="W996" s="26"/>
      <c r="X996" s="26"/>
      <c r="Y996" s="26"/>
      <c r="Z996" s="26"/>
      <c r="AA996" s="26"/>
      <c r="AB996" s="26"/>
      <c r="AC996" s="26"/>
      <c r="AD996" s="26"/>
      <c r="AE996" s="115"/>
      <c r="AF996" s="85"/>
      <c r="AG996" s="67"/>
      <c r="AH996" s="67"/>
      <c r="AI996" s="85"/>
      <c r="AJ996" s="85"/>
      <c r="AK996" s="85"/>
      <c r="AL996" s="85"/>
    </row>
    <row r="997" spans="1:38">
      <c r="A997" s="26"/>
      <c r="B997" s="26"/>
      <c r="C997" s="26"/>
      <c r="D997" s="26"/>
      <c r="E997" s="26"/>
      <c r="F997" s="26"/>
      <c r="G997" s="26"/>
      <c r="H997" s="26"/>
      <c r="I997" s="26"/>
      <c r="J997" s="26"/>
      <c r="K997" s="112"/>
      <c r="L997" s="26"/>
      <c r="M997" s="26"/>
      <c r="N997" s="26"/>
      <c r="O997" s="113"/>
      <c r="P997" s="26"/>
      <c r="Q997" s="26"/>
      <c r="R997" s="26"/>
      <c r="S997" s="26"/>
      <c r="T997" s="26"/>
      <c r="U997" s="26"/>
      <c r="V997" s="26"/>
      <c r="W997" s="26"/>
      <c r="X997" s="26"/>
      <c r="Y997" s="26"/>
      <c r="Z997" s="26"/>
      <c r="AA997" s="26"/>
      <c r="AB997" s="26"/>
      <c r="AC997" s="26"/>
      <c r="AD997" s="26"/>
      <c r="AE997" s="115"/>
      <c r="AF997" s="85"/>
      <c r="AG997" s="67"/>
      <c r="AH997" s="67"/>
      <c r="AI997" s="85"/>
      <c r="AJ997" s="85"/>
      <c r="AK997" s="85"/>
      <c r="AL997" s="85"/>
    </row>
  </sheetData>
  <mergeCells count="9">
    <mergeCell ref="AA5:AE5"/>
    <mergeCell ref="AF5:AL5"/>
    <mergeCell ref="C1:AE2"/>
    <mergeCell ref="C3:AE4"/>
    <mergeCell ref="D5:F5"/>
    <mergeCell ref="G5:M5"/>
    <mergeCell ref="N5:P5"/>
    <mergeCell ref="Q5:V5"/>
    <mergeCell ref="W5:Z5"/>
  </mergeCells>
  <phoneticPr fontId="2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FF"/>
  </sheetPr>
  <dimension ref="A1:BI1408"/>
  <sheetViews>
    <sheetView workbookViewId="0">
      <pane xSplit="7" topLeftCell="H1" activePane="topRight" state="frozen"/>
      <selection pane="topRight" activeCell="I2" sqref="I2"/>
    </sheetView>
  </sheetViews>
  <sheetFormatPr defaultColWidth="14.42578125" defaultRowHeight="15" customHeight="1"/>
  <cols>
    <col min="1" max="1" width="17.42578125" customWidth="1"/>
    <col min="2" max="2" width="30.5703125" customWidth="1"/>
    <col min="3" max="3" width="16.42578125" customWidth="1"/>
    <col min="4" max="5" width="16.85546875" customWidth="1"/>
    <col min="6" max="6" width="19.140625" customWidth="1"/>
    <col min="7" max="7" width="13.5703125" customWidth="1"/>
    <col min="8" max="8" width="17.7109375" customWidth="1"/>
    <col min="9" max="9" width="19.140625" customWidth="1"/>
    <col min="10" max="12" width="13.5703125" customWidth="1"/>
    <col min="13" max="13" width="17.7109375" customWidth="1"/>
    <col min="14" max="15" width="16.85546875" customWidth="1"/>
    <col min="16" max="16" width="17.7109375" customWidth="1"/>
    <col min="17" max="17" width="19.85546875" customWidth="1"/>
    <col min="18" max="18" width="13.5703125" customWidth="1"/>
    <col min="19" max="22" width="17.7109375" customWidth="1"/>
    <col min="23" max="23" width="16.85546875" customWidth="1"/>
    <col min="24" max="24" width="17.7109375" customWidth="1"/>
    <col min="25" max="25" width="20" customWidth="1"/>
    <col min="26" max="26" width="16.85546875" customWidth="1"/>
    <col min="27" max="27" width="21.42578125" customWidth="1"/>
    <col min="28" max="29" width="16.85546875" customWidth="1"/>
    <col min="30" max="30" width="19.140625" customWidth="1"/>
    <col min="31" max="31" width="16.85546875" customWidth="1"/>
    <col min="32" max="61" width="13.5703125" customWidth="1"/>
  </cols>
  <sheetData>
    <row r="1" spans="1:61" ht="28.5" customHeight="1">
      <c r="A1" s="1"/>
      <c r="B1" s="139"/>
      <c r="C1" s="1"/>
      <c r="D1" s="1"/>
      <c r="E1" s="1"/>
      <c r="F1" s="1"/>
      <c r="G1" s="1"/>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1"/>
      <c r="AN1" s="1"/>
      <c r="AO1" s="1"/>
      <c r="AP1" s="1"/>
      <c r="AQ1" s="1"/>
      <c r="AR1" s="1"/>
      <c r="AS1" s="1"/>
      <c r="AT1" s="1"/>
      <c r="AU1" s="1"/>
      <c r="AV1" s="1"/>
      <c r="AW1" s="1"/>
      <c r="AX1" s="1"/>
      <c r="AY1" s="1"/>
      <c r="AZ1" s="1"/>
      <c r="BA1" s="1"/>
      <c r="BB1" s="1"/>
      <c r="BC1" s="1"/>
      <c r="BD1" s="1"/>
      <c r="BE1" s="1"/>
      <c r="BF1" s="1"/>
      <c r="BG1" s="1"/>
      <c r="BH1" s="1"/>
      <c r="BI1" s="1"/>
    </row>
    <row r="2" spans="1:61" ht="28.5" customHeight="1">
      <c r="A2" s="118">
        <v>192</v>
      </c>
      <c r="B2" s="118"/>
      <c r="C2" s="186"/>
      <c r="D2" s="187"/>
      <c r="E2" s="187"/>
      <c r="F2" s="187"/>
      <c r="G2" s="187"/>
      <c r="H2" s="61"/>
      <c r="I2" s="61"/>
      <c r="J2" s="61"/>
      <c r="K2" s="61"/>
      <c r="L2" s="61"/>
      <c r="M2" s="9"/>
      <c r="N2" s="9"/>
      <c r="O2" s="9"/>
      <c r="P2" s="9"/>
      <c r="Q2" s="9"/>
      <c r="R2" s="9"/>
      <c r="S2" s="9"/>
      <c r="T2" s="9"/>
      <c r="U2" s="9"/>
      <c r="V2" s="9"/>
      <c r="W2" s="9"/>
      <c r="X2" s="61"/>
      <c r="Y2" s="9"/>
      <c r="Z2" s="9"/>
      <c r="AA2" s="9"/>
      <c r="AB2" s="9"/>
      <c r="AC2" s="9"/>
      <c r="AD2" s="9"/>
      <c r="AE2" s="188"/>
      <c r="AF2" s="9"/>
      <c r="AG2" s="8"/>
      <c r="AH2" s="8"/>
      <c r="AI2" s="8"/>
      <c r="AJ2" s="8"/>
      <c r="AK2" s="5"/>
      <c r="AL2" s="148"/>
      <c r="AM2" s="118"/>
      <c r="AN2" s="11"/>
      <c r="AO2" s="11"/>
      <c r="AP2" s="118"/>
      <c r="AQ2" s="118"/>
      <c r="AR2" s="118"/>
      <c r="AS2" s="126"/>
      <c r="AT2" s="126"/>
      <c r="AU2" s="126"/>
      <c r="AV2" s="118"/>
      <c r="AW2" s="118"/>
      <c r="AX2" s="118"/>
      <c r="AY2" s="118"/>
      <c r="AZ2" s="118"/>
      <c r="BA2" s="118"/>
      <c r="BB2" s="118"/>
      <c r="BC2" s="118"/>
      <c r="BD2" s="118"/>
      <c r="BE2" s="118"/>
      <c r="BF2" s="118"/>
      <c r="BG2" s="118"/>
      <c r="BH2" s="118"/>
      <c r="BI2" s="47"/>
    </row>
    <row r="3" spans="1:61" ht="28.5" customHeight="1">
      <c r="A3" s="118"/>
      <c r="B3" s="118"/>
      <c r="C3" s="186"/>
      <c r="D3" s="187"/>
      <c r="E3" s="187"/>
      <c r="F3" s="187"/>
      <c r="G3" s="187"/>
      <c r="H3" s="61"/>
      <c r="I3" s="61"/>
      <c r="J3" s="61"/>
      <c r="K3" s="61"/>
      <c r="L3" s="61"/>
      <c r="M3" s="61"/>
      <c r="N3" s="9"/>
      <c r="O3" s="9"/>
      <c r="P3" s="9"/>
      <c r="Q3" s="9"/>
      <c r="R3" s="9"/>
      <c r="S3" s="9"/>
      <c r="T3" s="9"/>
      <c r="U3" s="9"/>
      <c r="V3" s="9"/>
      <c r="W3" s="9"/>
      <c r="X3" s="9"/>
      <c r="Y3" s="61"/>
      <c r="Z3" s="9"/>
      <c r="AA3" s="9"/>
      <c r="AB3" s="9"/>
      <c r="AC3" s="9"/>
      <c r="AD3" s="9"/>
      <c r="AE3" s="9"/>
      <c r="AF3" s="188"/>
      <c r="AG3" s="9"/>
      <c r="AH3" s="8"/>
      <c r="AI3" s="8"/>
      <c r="AJ3" s="8"/>
      <c r="AK3" s="8"/>
      <c r="AL3" s="5"/>
      <c r="AM3" s="148"/>
      <c r="AN3" s="118"/>
      <c r="AO3" s="11"/>
      <c r="AP3" s="11"/>
      <c r="AQ3" s="118"/>
      <c r="AR3" s="118"/>
      <c r="AS3" s="118"/>
      <c r="AT3" s="126"/>
      <c r="AU3" s="126"/>
      <c r="AV3" s="126"/>
      <c r="AW3" s="118"/>
      <c r="AX3" s="118"/>
      <c r="AY3" s="118"/>
      <c r="AZ3" s="118"/>
      <c r="BA3" s="118"/>
      <c r="BB3" s="118"/>
      <c r="BC3" s="118"/>
      <c r="BD3" s="118"/>
      <c r="BE3" s="118"/>
      <c r="BF3" s="118"/>
      <c r="BG3" s="118"/>
      <c r="BH3" s="118"/>
      <c r="BI3" s="118"/>
    </row>
    <row r="4" spans="1:61" ht="28.5" customHeight="1">
      <c r="A4" s="1"/>
      <c r="B4" s="290"/>
      <c r="C4" s="291"/>
      <c r="D4" s="2"/>
      <c r="E4" s="2"/>
      <c r="F4" s="2"/>
      <c r="G4" s="2"/>
      <c r="H4" s="2"/>
      <c r="I4" s="2"/>
      <c r="J4" s="2"/>
      <c r="K4" s="2"/>
      <c r="L4" s="2"/>
      <c r="M4" s="2"/>
      <c r="N4" s="292"/>
      <c r="O4" s="292"/>
      <c r="P4" s="2"/>
      <c r="Q4" s="2"/>
      <c r="R4" s="2"/>
      <c r="S4" s="293"/>
      <c r="T4" s="2"/>
      <c r="U4" s="2"/>
      <c r="V4" s="2"/>
      <c r="W4" s="2"/>
      <c r="X4" s="2"/>
      <c r="Y4" s="2"/>
      <c r="Z4" s="2"/>
      <c r="AA4" s="2"/>
      <c r="AB4" s="2"/>
      <c r="AC4" s="2"/>
      <c r="AD4" s="2"/>
      <c r="AE4" s="2"/>
      <c r="AF4" s="1"/>
      <c r="AG4" s="1"/>
      <c r="AH4" s="1"/>
      <c r="AI4" s="1"/>
      <c r="AJ4" s="1"/>
      <c r="AK4" s="1"/>
      <c r="AL4" s="1"/>
      <c r="AM4" s="1"/>
      <c r="AN4" s="1"/>
      <c r="AO4" s="1"/>
      <c r="AP4" s="1"/>
      <c r="AQ4" s="1"/>
      <c r="AR4" s="1"/>
      <c r="AS4" s="1"/>
      <c r="AT4" s="7"/>
      <c r="AU4" s="7"/>
      <c r="AV4" s="7"/>
      <c r="AW4" s="47"/>
      <c r="AX4" s="47"/>
      <c r="AY4" s="47"/>
      <c r="AZ4" s="47"/>
      <c r="BA4" s="47"/>
      <c r="BB4" s="47"/>
      <c r="BC4" s="47"/>
      <c r="BD4" s="47"/>
      <c r="BE4" s="47"/>
      <c r="BF4" s="47"/>
      <c r="BG4" s="47"/>
      <c r="BH4" s="47"/>
      <c r="BI4" s="47"/>
    </row>
    <row r="5" spans="1:61" ht="28.5" customHeight="1">
      <c r="A5" s="1"/>
      <c r="B5" s="290"/>
      <c r="C5" s="291"/>
      <c r="D5" s="2"/>
      <c r="E5" s="2"/>
      <c r="F5" s="2"/>
      <c r="G5" s="2"/>
      <c r="H5" s="2"/>
      <c r="I5" s="2"/>
      <c r="J5" s="2"/>
      <c r="K5" s="2"/>
      <c r="L5" s="2"/>
      <c r="M5" s="2"/>
      <c r="N5" s="292"/>
      <c r="O5" s="292"/>
      <c r="P5" s="2"/>
      <c r="Q5" s="2"/>
      <c r="R5" s="2"/>
      <c r="S5" s="293"/>
      <c r="T5" s="2"/>
      <c r="U5" s="2"/>
      <c r="V5" s="2"/>
      <c r="W5" s="2"/>
      <c r="X5" s="2"/>
      <c r="Y5" s="2"/>
      <c r="Z5" s="2"/>
      <c r="AA5" s="2"/>
      <c r="AB5" s="2"/>
      <c r="AC5" s="2"/>
      <c r="AD5" s="2"/>
      <c r="AE5" s="2"/>
      <c r="AF5" s="1"/>
      <c r="AG5" s="1"/>
      <c r="AH5" s="1"/>
      <c r="AI5" s="1"/>
      <c r="AJ5" s="1"/>
      <c r="AK5" s="1"/>
      <c r="AL5" s="1"/>
      <c r="AM5" s="1"/>
      <c r="AN5" s="1"/>
      <c r="AO5" s="1"/>
      <c r="AP5" s="1"/>
      <c r="AQ5" s="1"/>
      <c r="AR5" s="1"/>
      <c r="AS5" s="1"/>
      <c r="AT5" s="7"/>
      <c r="AU5" s="7"/>
      <c r="AV5" s="7"/>
      <c r="AW5" s="47"/>
      <c r="AX5" s="47"/>
      <c r="AY5" s="47"/>
      <c r="AZ5" s="47"/>
      <c r="BA5" s="47"/>
      <c r="BB5" s="47"/>
      <c r="BC5" s="47"/>
      <c r="BD5" s="47"/>
      <c r="BE5" s="47"/>
      <c r="BF5" s="47"/>
      <c r="BG5" s="47"/>
      <c r="BH5" s="47"/>
      <c r="BI5" s="47"/>
    </row>
    <row r="6" spans="1:61" ht="28.5" customHeight="1">
      <c r="A6" s="26"/>
      <c r="B6" s="189"/>
      <c r="C6" s="134">
        <v>45870</v>
      </c>
      <c r="D6" s="190" t="s">
        <v>0</v>
      </c>
      <c r="E6" s="190" t="s">
        <v>1</v>
      </c>
      <c r="F6" s="190" t="s">
        <v>2</v>
      </c>
      <c r="G6" s="190" t="s">
        <v>3</v>
      </c>
      <c r="H6" s="191" t="s">
        <v>4</v>
      </c>
      <c r="I6" s="192" t="s">
        <v>5</v>
      </c>
      <c r="J6" s="192" t="s">
        <v>90</v>
      </c>
      <c r="K6" s="192" t="s">
        <v>124</v>
      </c>
      <c r="L6" s="193" t="s">
        <v>6</v>
      </c>
      <c r="M6" s="194" t="s">
        <v>7</v>
      </c>
      <c r="N6" s="123" t="s">
        <v>125</v>
      </c>
      <c r="O6" s="123" t="s">
        <v>8</v>
      </c>
      <c r="P6" s="123" t="s">
        <v>9</v>
      </c>
      <c r="Q6" s="15" t="s">
        <v>10</v>
      </c>
      <c r="R6" s="123" t="s">
        <v>92</v>
      </c>
      <c r="S6" s="196" t="s">
        <v>11</v>
      </c>
      <c r="T6" s="17" t="s">
        <v>12</v>
      </c>
      <c r="U6" s="17" t="s">
        <v>13</v>
      </c>
      <c r="V6" s="17" t="s">
        <v>14</v>
      </c>
      <c r="W6" s="17" t="s">
        <v>15</v>
      </c>
      <c r="X6" s="17" t="s">
        <v>16</v>
      </c>
      <c r="Y6" s="17" t="s">
        <v>17</v>
      </c>
      <c r="Z6" s="19" t="s">
        <v>18</v>
      </c>
      <c r="AA6" s="19" t="s">
        <v>19</v>
      </c>
      <c r="AB6" s="20" t="s">
        <v>20</v>
      </c>
      <c r="AC6" s="22" t="s">
        <v>93</v>
      </c>
      <c r="AD6" s="197" t="s">
        <v>21</v>
      </c>
      <c r="AE6" s="21" t="s">
        <v>22</v>
      </c>
      <c r="AF6" s="23" t="s">
        <v>23</v>
      </c>
      <c r="AG6" s="23" t="s">
        <v>21</v>
      </c>
      <c r="AH6" s="23" t="s">
        <v>24</v>
      </c>
      <c r="AI6" s="24" t="s">
        <v>26</v>
      </c>
      <c r="AJ6" s="23" t="s">
        <v>27</v>
      </c>
      <c r="AK6" s="21" t="s">
        <v>147</v>
      </c>
      <c r="AL6" s="282" t="s">
        <v>148</v>
      </c>
      <c r="AM6" s="124" t="s">
        <v>94</v>
      </c>
      <c r="AN6" s="125" t="s">
        <v>95</v>
      </c>
      <c r="AO6" s="26"/>
      <c r="AP6" s="26"/>
      <c r="AQ6" s="27"/>
      <c r="AR6" s="27"/>
      <c r="AS6" s="27"/>
      <c r="AT6" s="27"/>
      <c r="AU6" s="27"/>
      <c r="AV6" s="27"/>
      <c r="AW6" s="26"/>
      <c r="AX6" s="26"/>
      <c r="AY6" s="26"/>
      <c r="AZ6" s="26"/>
      <c r="BA6" s="26"/>
      <c r="BB6" s="26"/>
      <c r="BC6" s="26"/>
      <c r="BD6" s="26"/>
      <c r="BE6" s="26"/>
      <c r="BF6" s="26"/>
      <c r="BG6" s="26"/>
      <c r="BH6" s="26"/>
      <c r="BI6" s="26"/>
    </row>
    <row r="7" spans="1:61" ht="28.5" customHeight="1">
      <c r="A7" s="26"/>
      <c r="B7" s="200"/>
      <c r="C7" s="42" t="s">
        <v>107</v>
      </c>
      <c r="D7" s="28">
        <f t="shared" ref="D7:D29" si="0">E7-F7</f>
        <v>0.21213186534313297</v>
      </c>
      <c r="E7" s="201">
        <v>0.39700000000000002</v>
      </c>
      <c r="F7" s="30">
        <f t="shared" ref="F7:F29" si="1">(Z7+AC7)/V7</f>
        <v>0.18486813465686705</v>
      </c>
      <c r="G7" s="30">
        <f t="shared" ref="G7:G29" si="2">R7/AN7</f>
        <v>9.03954802259887E-2</v>
      </c>
      <c r="H7" s="48"/>
      <c r="I7" s="48">
        <f t="shared" ref="I7:I29" si="3">N7*7</f>
        <v>1190</v>
      </c>
      <c r="J7" s="48">
        <f t="shared" ref="J7:J10" si="4">N7*14</f>
        <v>2380</v>
      </c>
      <c r="K7" s="48">
        <f t="shared" ref="K7:K9" si="5">N7*14</f>
        <v>2380</v>
      </c>
      <c r="L7" s="48">
        <v>1870</v>
      </c>
      <c r="M7" s="48">
        <v>4080</v>
      </c>
      <c r="N7" s="36">
        <v>170</v>
      </c>
      <c r="O7" s="36">
        <v>156</v>
      </c>
      <c r="P7" s="31">
        <f t="shared" ref="P7:P29" si="6">O7-S7</f>
        <v>156</v>
      </c>
      <c r="Q7" s="36">
        <v>11</v>
      </c>
      <c r="R7" s="167">
        <v>112</v>
      </c>
      <c r="S7" s="36"/>
      <c r="T7" s="34">
        <f t="shared" ref="T7:T29" si="7">W7*O7</f>
        <v>4098120</v>
      </c>
      <c r="U7" s="31">
        <f t="shared" ref="U7:U29" si="8">W7*S7</f>
        <v>0</v>
      </c>
      <c r="V7" s="34">
        <f t="shared" ref="V7:V29" si="9">T7-U7</f>
        <v>4098120</v>
      </c>
      <c r="W7" s="43">
        <v>26270</v>
      </c>
      <c r="X7" s="34">
        <f t="shared" ref="X7:X29" si="10">AL7*$A$2</f>
        <v>9891.84</v>
      </c>
      <c r="Y7" s="34">
        <f t="shared" ref="Y7:Y29" si="11">X7*P7</f>
        <v>1543127.04</v>
      </c>
      <c r="Z7" s="34">
        <f t="shared" ref="Z7:Z29" si="12">AA7*1.1</f>
        <v>733719.8</v>
      </c>
      <c r="AA7" s="48">
        <v>667018</v>
      </c>
      <c r="AB7" s="36"/>
      <c r="AC7" s="204">
        <f t="shared" ref="AC7:AC8" si="13">(1072+1100)*Q7</f>
        <v>23892</v>
      </c>
      <c r="AD7" s="152">
        <v>0.1</v>
      </c>
      <c r="AE7" s="31">
        <f>3050*(P7+S7)</f>
        <v>475800</v>
      </c>
      <c r="AF7" s="28">
        <f t="shared" ref="AF7:AF30" si="14">AD7+(AE7/V7)</f>
        <v>0.2161020175104682</v>
      </c>
      <c r="AG7" s="34">
        <f t="shared" ref="AG7:AG30" si="15">V7*AF7+3%</f>
        <v>885612.03</v>
      </c>
      <c r="AH7" s="34">
        <f t="shared" ref="AH7:AH30" si="16">(V7)*10%-(Y7+AG7)*10%</f>
        <v>166938.09299999996</v>
      </c>
      <c r="AI7" s="34">
        <f t="shared" ref="AI7:AI30" si="17">V7-(Y7+AG7+AH7)</f>
        <v>1502442.8369999998</v>
      </c>
      <c r="AJ7" s="46">
        <f t="shared" ref="AJ7:AJ29" si="18">AI7-Z7</f>
        <v>768723.03699999978</v>
      </c>
      <c r="AK7" s="40">
        <v>40</v>
      </c>
      <c r="AL7" s="41">
        <f t="shared" ref="AL7:AL29" si="19">(AK7*1.15)*1.12</f>
        <v>51.52</v>
      </c>
      <c r="AM7" s="36">
        <v>284977</v>
      </c>
      <c r="AN7" s="284">
        <v>1239</v>
      </c>
      <c r="AO7" s="26"/>
      <c r="AP7" s="26"/>
      <c r="AQ7" s="27"/>
      <c r="AR7" s="27"/>
      <c r="AS7" s="27"/>
      <c r="AT7" s="27"/>
      <c r="AU7" s="27"/>
      <c r="AV7" s="27"/>
      <c r="AW7" s="26"/>
      <c r="AX7" s="26"/>
      <c r="AY7" s="26"/>
      <c r="AZ7" s="26"/>
      <c r="BA7" s="26"/>
      <c r="BB7" s="26"/>
      <c r="BC7" s="26"/>
      <c r="BD7" s="26"/>
      <c r="BE7" s="26"/>
      <c r="BF7" s="26"/>
      <c r="BG7" s="26"/>
      <c r="BH7" s="26"/>
      <c r="BI7" s="26"/>
    </row>
    <row r="8" spans="1:61" ht="28.5" customHeight="1">
      <c r="A8" s="26"/>
      <c r="B8" s="200"/>
      <c r="C8" s="42" t="s">
        <v>108</v>
      </c>
      <c r="D8" s="28">
        <f t="shared" si="0"/>
        <v>0.33629694323144105</v>
      </c>
      <c r="E8" s="201">
        <v>0.379</v>
      </c>
      <c r="F8" s="30">
        <f t="shared" si="1"/>
        <v>4.2703056768558956E-2</v>
      </c>
      <c r="G8" s="30">
        <f t="shared" si="2"/>
        <v>4.5454545454545456E-2</v>
      </c>
      <c r="H8" s="48"/>
      <c r="I8" s="48">
        <f t="shared" si="3"/>
        <v>1190</v>
      </c>
      <c r="J8" s="48">
        <f t="shared" si="4"/>
        <v>2380</v>
      </c>
      <c r="K8" s="48">
        <f t="shared" si="5"/>
        <v>2380</v>
      </c>
      <c r="L8" s="210">
        <v>1190</v>
      </c>
      <c r="M8" s="210">
        <v>1700</v>
      </c>
      <c r="N8" s="36">
        <v>170</v>
      </c>
      <c r="O8" s="36">
        <v>3</v>
      </c>
      <c r="P8" s="31">
        <f t="shared" si="6"/>
        <v>3</v>
      </c>
      <c r="Q8" s="36">
        <v>0</v>
      </c>
      <c r="R8" s="167">
        <v>1</v>
      </c>
      <c r="S8" s="36"/>
      <c r="T8" s="34">
        <f t="shared" si="7"/>
        <v>68700</v>
      </c>
      <c r="U8" s="31">
        <f t="shared" si="8"/>
        <v>0</v>
      </c>
      <c r="V8" s="34">
        <f t="shared" si="9"/>
        <v>68700</v>
      </c>
      <c r="W8" s="43">
        <v>22900</v>
      </c>
      <c r="X8" s="34">
        <f t="shared" si="10"/>
        <v>7913.4719999999998</v>
      </c>
      <c r="Y8" s="34">
        <f t="shared" si="11"/>
        <v>23740.415999999997</v>
      </c>
      <c r="Z8" s="34">
        <f t="shared" si="12"/>
        <v>2933.7000000000003</v>
      </c>
      <c r="AA8" s="48">
        <v>2667</v>
      </c>
      <c r="AB8" s="36"/>
      <c r="AC8" s="204">
        <f t="shared" si="13"/>
        <v>0</v>
      </c>
      <c r="AD8" s="152">
        <v>0.1</v>
      </c>
      <c r="AE8" s="31">
        <f>2950*(P8+S8)</f>
        <v>8850</v>
      </c>
      <c r="AF8" s="28">
        <f t="shared" si="14"/>
        <v>0.22882096069868996</v>
      </c>
      <c r="AG8" s="34">
        <f t="shared" si="15"/>
        <v>15720.03</v>
      </c>
      <c r="AH8" s="34">
        <f t="shared" si="16"/>
        <v>2923.9554000000003</v>
      </c>
      <c r="AI8" s="34">
        <f t="shared" si="17"/>
        <v>26315.598600000005</v>
      </c>
      <c r="AJ8" s="46">
        <f t="shared" si="18"/>
        <v>23381.898600000004</v>
      </c>
      <c r="AK8" s="40">
        <v>32</v>
      </c>
      <c r="AL8" s="41">
        <f t="shared" si="19"/>
        <v>41.216000000000001</v>
      </c>
      <c r="AM8" s="36">
        <v>20304</v>
      </c>
      <c r="AN8" s="284">
        <v>22</v>
      </c>
      <c r="AO8" s="26"/>
      <c r="AP8" s="26"/>
      <c r="AQ8" s="27"/>
      <c r="AR8" s="27"/>
      <c r="AS8" s="27"/>
      <c r="AT8" s="27"/>
      <c r="AU8" s="27"/>
      <c r="AV8" s="27"/>
      <c r="AW8" s="26"/>
      <c r="AX8" s="26"/>
      <c r="AY8" s="26"/>
      <c r="AZ8" s="26"/>
      <c r="BA8" s="26"/>
      <c r="BB8" s="26"/>
      <c r="BC8" s="26"/>
      <c r="BD8" s="26"/>
      <c r="BE8" s="26"/>
      <c r="BF8" s="26"/>
      <c r="BG8" s="26"/>
      <c r="BH8" s="26"/>
      <c r="BI8" s="26"/>
    </row>
    <row r="9" spans="1:61" ht="28.5" customHeight="1">
      <c r="A9" s="336"/>
      <c r="B9" s="323"/>
      <c r="C9" s="42" t="s">
        <v>109</v>
      </c>
      <c r="D9" s="28">
        <f t="shared" si="0"/>
        <v>-0.49756081081081083</v>
      </c>
      <c r="E9" s="201">
        <v>0.373</v>
      </c>
      <c r="F9" s="30">
        <f t="shared" si="1"/>
        <v>0.87056081081081083</v>
      </c>
      <c r="G9" s="30">
        <f t="shared" si="2"/>
        <v>8.1632653061224483E-2</v>
      </c>
      <c r="H9" s="48"/>
      <c r="I9" s="48">
        <f t="shared" si="3"/>
        <v>1190</v>
      </c>
      <c r="J9" s="48">
        <f t="shared" si="4"/>
        <v>2380</v>
      </c>
      <c r="K9" s="48">
        <f t="shared" si="5"/>
        <v>2380</v>
      </c>
      <c r="L9" s="48">
        <v>1870</v>
      </c>
      <c r="M9" s="48">
        <v>6000</v>
      </c>
      <c r="N9" s="36">
        <v>170</v>
      </c>
      <c r="O9" s="36">
        <v>1</v>
      </c>
      <c r="P9" s="31">
        <f t="shared" si="6"/>
        <v>1</v>
      </c>
      <c r="Q9" s="36">
        <v>1</v>
      </c>
      <c r="R9" s="167">
        <v>4</v>
      </c>
      <c r="S9" s="36"/>
      <c r="T9" s="34">
        <f t="shared" si="7"/>
        <v>44400</v>
      </c>
      <c r="U9" s="31">
        <f t="shared" si="8"/>
        <v>0</v>
      </c>
      <c r="V9" s="34">
        <f t="shared" si="9"/>
        <v>44400</v>
      </c>
      <c r="W9" s="43">
        <v>44400</v>
      </c>
      <c r="X9" s="34">
        <f t="shared" si="10"/>
        <v>16989.235200000003</v>
      </c>
      <c r="Y9" s="34">
        <f t="shared" si="11"/>
        <v>16989.235200000003</v>
      </c>
      <c r="Z9" s="34">
        <f t="shared" si="12"/>
        <v>36342.9</v>
      </c>
      <c r="AA9" s="48">
        <v>33039</v>
      </c>
      <c r="AB9" s="36"/>
      <c r="AC9" s="204">
        <f t="shared" ref="AC9:AC29" si="20">(1210+1100)*Q9</f>
        <v>2310</v>
      </c>
      <c r="AD9" s="152">
        <v>0.11</v>
      </c>
      <c r="AE9" s="31">
        <f t="shared" ref="AE9:AE10" si="21">4150*(P9+S9)</f>
        <v>4150</v>
      </c>
      <c r="AF9" s="28">
        <f t="shared" si="14"/>
        <v>0.20346846846846847</v>
      </c>
      <c r="AG9" s="34">
        <f t="shared" si="15"/>
        <v>9034.0300000000007</v>
      </c>
      <c r="AH9" s="34">
        <f t="shared" si="16"/>
        <v>1837.6734799999995</v>
      </c>
      <c r="AI9" s="34">
        <f t="shared" si="17"/>
        <v>16539.061320000001</v>
      </c>
      <c r="AJ9" s="46">
        <f t="shared" si="18"/>
        <v>-19803.838680000001</v>
      </c>
      <c r="AK9" s="40">
        <v>68.7</v>
      </c>
      <c r="AL9" s="41">
        <f t="shared" si="19"/>
        <v>88.485600000000005</v>
      </c>
      <c r="AM9" s="36">
        <v>29770</v>
      </c>
      <c r="AN9" s="284">
        <v>49</v>
      </c>
      <c r="AO9" s="26"/>
      <c r="AP9" s="26"/>
      <c r="AQ9" s="27"/>
      <c r="AR9" s="27"/>
      <c r="AS9" s="27"/>
      <c r="AT9" s="27"/>
      <c r="AU9" s="27"/>
      <c r="AV9" s="27"/>
      <c r="AW9" s="26"/>
      <c r="AX9" s="26"/>
      <c r="AY9" s="26"/>
      <c r="AZ9" s="26"/>
      <c r="BA9" s="26"/>
      <c r="BB9" s="26"/>
      <c r="BC9" s="26"/>
      <c r="BD9" s="26"/>
      <c r="BE9" s="26"/>
      <c r="BF9" s="26"/>
      <c r="BG9" s="26"/>
      <c r="BH9" s="26"/>
      <c r="BI9" s="26"/>
    </row>
    <row r="10" spans="1:61" ht="28.5" customHeight="1">
      <c r="A10" s="311"/>
      <c r="B10" s="324"/>
      <c r="C10" s="42" t="s">
        <v>110</v>
      </c>
      <c r="D10" s="28">
        <f t="shared" si="0"/>
        <v>-7.1698005698005718E-2</v>
      </c>
      <c r="E10" s="201">
        <v>0.29499999999999998</v>
      </c>
      <c r="F10" s="30">
        <f t="shared" si="1"/>
        <v>0.3666980056980057</v>
      </c>
      <c r="G10" s="30">
        <f t="shared" si="2"/>
        <v>2.3529411764705882E-2</v>
      </c>
      <c r="H10" s="48"/>
      <c r="I10" s="48">
        <f t="shared" si="3"/>
        <v>0</v>
      </c>
      <c r="J10" s="48">
        <f t="shared" si="4"/>
        <v>0</v>
      </c>
      <c r="K10" s="48"/>
      <c r="L10" s="294"/>
      <c r="M10" s="48"/>
      <c r="N10" s="36"/>
      <c r="O10" s="36">
        <v>3</v>
      </c>
      <c r="P10" s="31">
        <f t="shared" si="6"/>
        <v>3</v>
      </c>
      <c r="Q10" s="36">
        <v>0</v>
      </c>
      <c r="R10" s="167">
        <v>2</v>
      </c>
      <c r="S10" s="36"/>
      <c r="T10" s="34">
        <f t="shared" si="7"/>
        <v>140400</v>
      </c>
      <c r="U10" s="31">
        <f t="shared" si="8"/>
        <v>0</v>
      </c>
      <c r="V10" s="34">
        <f t="shared" si="9"/>
        <v>140400</v>
      </c>
      <c r="W10" s="43">
        <v>46800</v>
      </c>
      <c r="X10" s="34">
        <f t="shared" si="10"/>
        <v>22182.451200000003</v>
      </c>
      <c r="Y10" s="34">
        <f t="shared" si="11"/>
        <v>66547.353600000002</v>
      </c>
      <c r="Z10" s="34">
        <f t="shared" si="12"/>
        <v>51484.4</v>
      </c>
      <c r="AA10" s="48">
        <v>46804</v>
      </c>
      <c r="AB10" s="36"/>
      <c r="AC10" s="204">
        <f t="shared" si="20"/>
        <v>0</v>
      </c>
      <c r="AD10" s="152">
        <v>0.11</v>
      </c>
      <c r="AE10" s="31">
        <f t="shared" si="21"/>
        <v>12450</v>
      </c>
      <c r="AF10" s="28">
        <f t="shared" si="14"/>
        <v>0.19867521367521368</v>
      </c>
      <c r="AG10" s="34">
        <f t="shared" si="15"/>
        <v>27894.03</v>
      </c>
      <c r="AH10" s="34">
        <f t="shared" si="16"/>
        <v>4595.8616399999992</v>
      </c>
      <c r="AI10" s="34">
        <f t="shared" si="17"/>
        <v>41362.754759999996</v>
      </c>
      <c r="AJ10" s="46">
        <f t="shared" si="18"/>
        <v>-10121.645240000005</v>
      </c>
      <c r="AK10" s="40">
        <v>89.7</v>
      </c>
      <c r="AL10" s="41">
        <f t="shared" si="19"/>
        <v>115.53360000000001</v>
      </c>
      <c r="AM10" s="36">
        <v>40754</v>
      </c>
      <c r="AN10" s="284">
        <v>85</v>
      </c>
      <c r="AO10" s="26"/>
      <c r="AP10" s="26"/>
      <c r="AQ10" s="27"/>
      <c r="AR10" s="27"/>
      <c r="AS10" s="27"/>
      <c r="AT10" s="27"/>
      <c r="AU10" s="27"/>
      <c r="AV10" s="27"/>
      <c r="AW10" s="26"/>
      <c r="AX10" s="26"/>
      <c r="AY10" s="26"/>
      <c r="AZ10" s="26"/>
      <c r="BA10" s="26"/>
      <c r="BB10" s="26"/>
      <c r="BC10" s="26"/>
      <c r="BD10" s="26"/>
      <c r="BE10" s="26"/>
      <c r="BF10" s="26"/>
      <c r="BG10" s="26"/>
      <c r="BH10" s="26"/>
      <c r="BI10" s="26"/>
    </row>
    <row r="11" spans="1:61" ht="28.5" customHeight="1">
      <c r="A11" s="26"/>
      <c r="B11" s="323"/>
      <c r="C11" s="42" t="s">
        <v>32</v>
      </c>
      <c r="D11" s="28">
        <f t="shared" si="0"/>
        <v>-6.8309921962095899E-2</v>
      </c>
      <c r="E11" s="201">
        <v>0.41</v>
      </c>
      <c r="F11" s="30">
        <f t="shared" si="1"/>
        <v>0.47830992196209587</v>
      </c>
      <c r="G11" s="30">
        <f t="shared" si="2"/>
        <v>1.5267175572519083E-2</v>
      </c>
      <c r="H11" s="33"/>
      <c r="I11" s="48">
        <f t="shared" si="3"/>
        <v>0</v>
      </c>
      <c r="J11" s="48"/>
      <c r="K11" s="334"/>
      <c r="L11" s="48"/>
      <c r="N11" s="36"/>
      <c r="O11" s="36">
        <v>8</v>
      </c>
      <c r="P11" s="31">
        <f t="shared" si="6"/>
        <v>3</v>
      </c>
      <c r="Q11" s="36">
        <v>1</v>
      </c>
      <c r="R11" s="167">
        <v>2</v>
      </c>
      <c r="S11" s="36">
        <v>5</v>
      </c>
      <c r="T11" s="34">
        <f t="shared" si="7"/>
        <v>478400</v>
      </c>
      <c r="U11" s="31">
        <f t="shared" si="8"/>
        <v>299000</v>
      </c>
      <c r="V11" s="34">
        <f t="shared" si="9"/>
        <v>179400</v>
      </c>
      <c r="W11" s="43">
        <v>59800</v>
      </c>
      <c r="X11" s="34">
        <f t="shared" si="10"/>
        <v>21143.807999999997</v>
      </c>
      <c r="Y11" s="34">
        <f t="shared" si="11"/>
        <v>63431.423999999992</v>
      </c>
      <c r="Z11" s="34">
        <f t="shared" si="12"/>
        <v>83498.8</v>
      </c>
      <c r="AA11" s="48">
        <v>75908</v>
      </c>
      <c r="AB11" s="287">
        <f>((59800*0.015)+(59800*0.19)+2100+4950)*5</f>
        <v>96545</v>
      </c>
      <c r="AC11" s="204">
        <f t="shared" si="20"/>
        <v>2310</v>
      </c>
      <c r="AD11" s="152">
        <v>0.108</v>
      </c>
      <c r="AE11" s="31">
        <f t="shared" ref="AE11:AE12" si="22">4825*(P11+S11)</f>
        <v>38600</v>
      </c>
      <c r="AF11" s="28">
        <f t="shared" si="14"/>
        <v>0.32316164994425861</v>
      </c>
      <c r="AG11" s="34">
        <f t="shared" si="15"/>
        <v>57975.229999999996</v>
      </c>
      <c r="AH11" s="34">
        <f t="shared" si="16"/>
        <v>5799.334600000002</v>
      </c>
      <c r="AI11" s="34">
        <f t="shared" si="17"/>
        <v>52194.011400000018</v>
      </c>
      <c r="AJ11" s="46">
        <f t="shared" si="18"/>
        <v>-31304.788599999985</v>
      </c>
      <c r="AK11" s="40">
        <v>85.5</v>
      </c>
      <c r="AL11" s="41">
        <f t="shared" si="19"/>
        <v>110.124</v>
      </c>
      <c r="AM11" s="36">
        <v>20926</v>
      </c>
      <c r="AN11" s="284">
        <v>131</v>
      </c>
      <c r="AO11" s="26"/>
      <c r="AP11" s="26"/>
      <c r="AQ11" s="27"/>
      <c r="AR11" s="27"/>
      <c r="AS11" s="27"/>
      <c r="AT11" s="27"/>
      <c r="AU11" s="27"/>
      <c r="AV11" s="27"/>
      <c r="AW11" s="26"/>
      <c r="AX11" s="26"/>
      <c r="AY11" s="26"/>
      <c r="AZ11" s="26"/>
      <c r="BA11" s="26"/>
      <c r="BB11" s="26"/>
      <c r="BC11" s="26"/>
      <c r="BD11" s="26"/>
      <c r="BE11" s="26"/>
      <c r="BF11" s="26"/>
      <c r="BG11" s="26"/>
      <c r="BH11" s="26"/>
      <c r="BI11" s="26"/>
    </row>
    <row r="12" spans="1:61" ht="28.5" customHeight="1">
      <c r="A12" s="26"/>
      <c r="B12" s="333"/>
      <c r="C12" s="42" t="s">
        <v>33</v>
      </c>
      <c r="D12" s="28">
        <f t="shared" si="0"/>
        <v>0.17969310311888045</v>
      </c>
      <c r="E12" s="201">
        <v>0.40100000000000002</v>
      </c>
      <c r="F12" s="30">
        <f t="shared" si="1"/>
        <v>0.22130689688111957</v>
      </c>
      <c r="G12" s="30">
        <f t="shared" si="2"/>
        <v>6.1946902654867256E-2</v>
      </c>
      <c r="H12" s="48"/>
      <c r="I12" s="48">
        <f t="shared" si="3"/>
        <v>0</v>
      </c>
      <c r="J12" s="48"/>
      <c r="K12" s="310"/>
      <c r="L12" s="48"/>
      <c r="N12" s="36"/>
      <c r="O12" s="36">
        <v>12</v>
      </c>
      <c r="P12" s="31">
        <f t="shared" si="6"/>
        <v>12</v>
      </c>
      <c r="Q12" s="36">
        <v>3</v>
      </c>
      <c r="R12" s="167">
        <v>14</v>
      </c>
      <c r="S12" s="36"/>
      <c r="T12" s="34">
        <f t="shared" si="7"/>
        <v>837480</v>
      </c>
      <c r="U12" s="31">
        <f t="shared" si="8"/>
        <v>0</v>
      </c>
      <c r="V12" s="34">
        <f t="shared" si="9"/>
        <v>837480</v>
      </c>
      <c r="W12" s="43">
        <v>69790</v>
      </c>
      <c r="X12" s="34">
        <f t="shared" si="10"/>
        <v>26337.023999999998</v>
      </c>
      <c r="Y12" s="34">
        <f t="shared" si="11"/>
        <v>316044.28799999994</v>
      </c>
      <c r="Z12" s="34">
        <f t="shared" si="12"/>
        <v>178410.1</v>
      </c>
      <c r="AA12" s="48">
        <v>162191</v>
      </c>
      <c r="AB12" s="36"/>
      <c r="AC12" s="204">
        <f t="shared" si="20"/>
        <v>6930</v>
      </c>
      <c r="AD12" s="152">
        <v>0.108</v>
      </c>
      <c r="AE12" s="31">
        <f t="shared" si="22"/>
        <v>57900</v>
      </c>
      <c r="AF12" s="28">
        <f t="shared" si="14"/>
        <v>0.17713597936667144</v>
      </c>
      <c r="AG12" s="34">
        <f t="shared" si="15"/>
        <v>148347.87</v>
      </c>
      <c r="AH12" s="34">
        <f t="shared" si="16"/>
        <v>37308.784200000002</v>
      </c>
      <c r="AI12" s="34">
        <f t="shared" si="17"/>
        <v>335779.05780000007</v>
      </c>
      <c r="AJ12" s="46">
        <f t="shared" si="18"/>
        <v>157368.95780000006</v>
      </c>
      <c r="AK12" s="40">
        <v>106.5</v>
      </c>
      <c r="AL12" s="41">
        <f t="shared" si="19"/>
        <v>137.172</v>
      </c>
      <c r="AM12" s="36">
        <v>54776</v>
      </c>
      <c r="AN12" s="284">
        <v>226</v>
      </c>
      <c r="AO12" s="26"/>
      <c r="AP12" s="26"/>
      <c r="AQ12" s="27"/>
      <c r="AR12" s="27"/>
      <c r="AS12" s="27"/>
      <c r="AT12" s="27"/>
      <c r="AU12" s="27"/>
      <c r="AV12" s="27"/>
      <c r="AW12" s="26"/>
      <c r="AX12" s="26"/>
      <c r="AY12" s="26"/>
      <c r="AZ12" s="26"/>
      <c r="BA12" s="26"/>
      <c r="BB12" s="26"/>
      <c r="BC12" s="26"/>
      <c r="BD12" s="26"/>
      <c r="BE12" s="26"/>
      <c r="BF12" s="26"/>
      <c r="BG12" s="26"/>
      <c r="BH12" s="26"/>
      <c r="BI12" s="26"/>
    </row>
    <row r="13" spans="1:61" ht="28.5" customHeight="1">
      <c r="A13" s="26"/>
      <c r="B13" s="333"/>
      <c r="C13" s="42" t="s">
        <v>149</v>
      </c>
      <c r="D13" s="28">
        <f t="shared" si="0"/>
        <v>-1.3277588168373156E-2</v>
      </c>
      <c r="E13" s="201">
        <v>0.40100000000000002</v>
      </c>
      <c r="F13" s="30">
        <f t="shared" si="1"/>
        <v>0.41427758816837318</v>
      </c>
      <c r="G13" s="30">
        <f t="shared" si="2"/>
        <v>2.9411764705882353E-2</v>
      </c>
      <c r="H13" s="48"/>
      <c r="I13" s="48">
        <f t="shared" si="3"/>
        <v>0</v>
      </c>
      <c r="J13" s="48">
        <f t="shared" ref="J13:J29" si="23">N13*14</f>
        <v>0</v>
      </c>
      <c r="K13" s="48"/>
      <c r="L13" s="334"/>
      <c r="M13" s="48"/>
      <c r="N13" s="36"/>
      <c r="O13" s="36">
        <v>2</v>
      </c>
      <c r="P13" s="31">
        <f t="shared" si="6"/>
        <v>2</v>
      </c>
      <c r="Q13" s="36">
        <v>1</v>
      </c>
      <c r="R13" s="167">
        <v>2</v>
      </c>
      <c r="S13" s="36"/>
      <c r="T13" s="34">
        <f t="shared" si="7"/>
        <v>193380</v>
      </c>
      <c r="U13" s="31">
        <f t="shared" si="8"/>
        <v>0</v>
      </c>
      <c r="V13" s="34">
        <f t="shared" si="9"/>
        <v>193380</v>
      </c>
      <c r="W13" s="43">
        <v>96690</v>
      </c>
      <c r="X13" s="34">
        <f t="shared" si="10"/>
        <v>36723.455999999998</v>
      </c>
      <c r="Y13" s="34">
        <f t="shared" si="11"/>
        <v>73446.911999999997</v>
      </c>
      <c r="Z13" s="34">
        <f t="shared" si="12"/>
        <v>77803</v>
      </c>
      <c r="AA13" s="48">
        <v>70730</v>
      </c>
      <c r="AB13" s="36"/>
      <c r="AC13" s="204">
        <f t="shared" si="20"/>
        <v>2310</v>
      </c>
      <c r="AD13" s="152">
        <v>0.108</v>
      </c>
      <c r="AE13" s="31">
        <f t="shared" ref="AE13:AE14" si="24">6200*(P13+S13)</f>
        <v>12400</v>
      </c>
      <c r="AF13" s="28">
        <f t="shared" si="14"/>
        <v>0.17212245320095149</v>
      </c>
      <c r="AG13" s="34">
        <f t="shared" si="15"/>
        <v>33285.07</v>
      </c>
      <c r="AH13" s="34">
        <f t="shared" si="16"/>
        <v>8664.8018000000011</v>
      </c>
      <c r="AI13" s="34">
        <f t="shared" si="17"/>
        <v>77983.21620000001</v>
      </c>
      <c r="AJ13" s="46">
        <f t="shared" si="18"/>
        <v>180.21620000000985</v>
      </c>
      <c r="AK13" s="40">
        <v>148.5</v>
      </c>
      <c r="AL13" s="41">
        <f t="shared" si="19"/>
        <v>191.268</v>
      </c>
      <c r="AM13" s="36">
        <v>9880</v>
      </c>
      <c r="AN13" s="284">
        <v>68</v>
      </c>
      <c r="AO13" s="26"/>
      <c r="AP13" s="26"/>
      <c r="AQ13" s="27"/>
      <c r="AR13" s="27"/>
      <c r="AS13" s="27"/>
      <c r="AT13" s="27"/>
      <c r="AU13" s="27"/>
      <c r="AV13" s="27"/>
      <c r="AW13" s="26"/>
      <c r="AX13" s="26"/>
      <c r="AY13" s="26"/>
      <c r="AZ13" s="26"/>
      <c r="BA13" s="26"/>
      <c r="BB13" s="26"/>
      <c r="BC13" s="26"/>
      <c r="BD13" s="26"/>
      <c r="BE13" s="26"/>
      <c r="BF13" s="26"/>
      <c r="BG13" s="26"/>
      <c r="BH13" s="26"/>
      <c r="BI13" s="26"/>
    </row>
    <row r="14" spans="1:61" ht="28.5" customHeight="1">
      <c r="A14" s="26"/>
      <c r="B14" s="324"/>
      <c r="C14" s="42" t="s">
        <v>150</v>
      </c>
      <c r="D14" s="28">
        <f t="shared" si="0"/>
        <v>0.12410071718116622</v>
      </c>
      <c r="E14" s="201">
        <v>0.39600000000000002</v>
      </c>
      <c r="F14" s="30">
        <f t="shared" si="1"/>
        <v>0.2718992828188338</v>
      </c>
      <c r="G14" s="30">
        <f t="shared" si="2"/>
        <v>2.9411764705882353E-2</v>
      </c>
      <c r="H14" s="48"/>
      <c r="I14" s="48">
        <f t="shared" si="3"/>
        <v>0</v>
      </c>
      <c r="J14" s="48">
        <f t="shared" si="23"/>
        <v>0</v>
      </c>
      <c r="K14" s="48"/>
      <c r="L14" s="310"/>
      <c r="M14" s="48"/>
      <c r="N14" s="36"/>
      <c r="O14" s="36">
        <v>3</v>
      </c>
      <c r="P14" s="31">
        <f t="shared" si="6"/>
        <v>3</v>
      </c>
      <c r="Q14" s="36">
        <v>0</v>
      </c>
      <c r="R14" s="167">
        <v>2</v>
      </c>
      <c r="S14" s="36"/>
      <c r="T14" s="34">
        <f t="shared" si="7"/>
        <v>320700</v>
      </c>
      <c r="U14" s="31">
        <f t="shared" si="8"/>
        <v>0</v>
      </c>
      <c r="V14" s="34">
        <f t="shared" si="9"/>
        <v>320700</v>
      </c>
      <c r="W14" s="43">
        <v>106900</v>
      </c>
      <c r="X14" s="34">
        <f t="shared" si="10"/>
        <v>41916.671999999999</v>
      </c>
      <c r="Y14" s="34">
        <f t="shared" si="11"/>
        <v>125750.016</v>
      </c>
      <c r="Z14" s="34">
        <f t="shared" si="12"/>
        <v>87198.1</v>
      </c>
      <c r="AA14" s="48">
        <v>79271</v>
      </c>
      <c r="AB14" s="36"/>
      <c r="AC14" s="204">
        <f t="shared" si="20"/>
        <v>0</v>
      </c>
      <c r="AD14" s="152">
        <v>0.108</v>
      </c>
      <c r="AE14" s="31">
        <f t="shared" si="24"/>
        <v>18600</v>
      </c>
      <c r="AF14" s="28">
        <f t="shared" si="14"/>
        <v>0.16599812909260991</v>
      </c>
      <c r="AG14" s="34">
        <f t="shared" si="15"/>
        <v>53235.63</v>
      </c>
      <c r="AH14" s="34">
        <f t="shared" si="16"/>
        <v>14171.435399999998</v>
      </c>
      <c r="AI14" s="34">
        <f t="shared" si="17"/>
        <v>127542.9186</v>
      </c>
      <c r="AJ14" s="46">
        <f t="shared" si="18"/>
        <v>40344.818599999999</v>
      </c>
      <c r="AK14" s="40">
        <v>169.5</v>
      </c>
      <c r="AL14" s="41">
        <f t="shared" si="19"/>
        <v>218.316</v>
      </c>
      <c r="AM14" s="36">
        <v>10527</v>
      </c>
      <c r="AN14" s="284">
        <v>68</v>
      </c>
      <c r="AO14" s="26"/>
      <c r="AP14" s="26"/>
      <c r="AQ14" s="27"/>
      <c r="AR14" s="27"/>
      <c r="AS14" s="27"/>
      <c r="AT14" s="27"/>
      <c r="AU14" s="27"/>
      <c r="AV14" s="27"/>
      <c r="AW14" s="26"/>
      <c r="AX14" s="26"/>
      <c r="AY14" s="26"/>
      <c r="AZ14" s="26"/>
      <c r="BA14" s="26"/>
      <c r="BB14" s="26"/>
      <c r="BC14" s="26"/>
      <c r="BD14" s="26"/>
      <c r="BE14" s="26"/>
      <c r="BF14" s="26"/>
      <c r="BG14" s="26"/>
      <c r="BH14" s="26"/>
      <c r="BI14" s="26"/>
    </row>
    <row r="15" spans="1:61" ht="28.5" customHeight="1">
      <c r="A15" s="26"/>
      <c r="B15" s="200"/>
      <c r="C15" s="42" t="s">
        <v>111</v>
      </c>
      <c r="D15" s="28">
        <f t="shared" si="0"/>
        <v>7.5641025641026705E-4</v>
      </c>
      <c r="E15" s="201">
        <v>0.378</v>
      </c>
      <c r="F15" s="30">
        <f t="shared" si="1"/>
        <v>0.37724358974358974</v>
      </c>
      <c r="G15" s="30">
        <f t="shared" si="2"/>
        <v>7.6923076923076927E-2</v>
      </c>
      <c r="H15" s="48"/>
      <c r="I15" s="48">
        <f t="shared" si="3"/>
        <v>0</v>
      </c>
      <c r="J15" s="48">
        <f t="shared" si="23"/>
        <v>0</v>
      </c>
      <c r="K15" s="210"/>
      <c r="L15" s="210"/>
      <c r="M15" s="210"/>
      <c r="N15" s="36"/>
      <c r="O15" s="36">
        <v>6</v>
      </c>
      <c r="P15" s="31">
        <f t="shared" si="6"/>
        <v>6</v>
      </c>
      <c r="Q15" s="36">
        <v>2</v>
      </c>
      <c r="R15" s="167">
        <v>6</v>
      </c>
      <c r="S15" s="36"/>
      <c r="T15" s="34">
        <f t="shared" si="7"/>
        <v>102960</v>
      </c>
      <c r="U15" s="31">
        <f t="shared" si="8"/>
        <v>0</v>
      </c>
      <c r="V15" s="34">
        <f t="shared" si="9"/>
        <v>102960</v>
      </c>
      <c r="W15" s="43">
        <v>17160</v>
      </c>
      <c r="X15" s="34">
        <f t="shared" si="10"/>
        <v>5687.8080000000009</v>
      </c>
      <c r="Y15" s="34">
        <f t="shared" si="11"/>
        <v>34126.848000000005</v>
      </c>
      <c r="Z15" s="34">
        <f t="shared" si="12"/>
        <v>34221</v>
      </c>
      <c r="AA15" s="48">
        <v>31110</v>
      </c>
      <c r="AB15" s="287"/>
      <c r="AC15" s="204">
        <f t="shared" si="20"/>
        <v>4620</v>
      </c>
      <c r="AD15" s="152">
        <v>7.8E-2</v>
      </c>
      <c r="AE15" s="31">
        <f>2900*(P15+S15)</f>
        <v>17400</v>
      </c>
      <c r="AF15" s="28">
        <f t="shared" si="14"/>
        <v>0.24699766899766901</v>
      </c>
      <c r="AG15" s="34">
        <f t="shared" si="15"/>
        <v>25430.91</v>
      </c>
      <c r="AH15" s="34">
        <f t="shared" si="16"/>
        <v>4340.2241999999997</v>
      </c>
      <c r="AI15" s="34">
        <f t="shared" si="17"/>
        <v>39062.017800000001</v>
      </c>
      <c r="AJ15" s="46">
        <f t="shared" si="18"/>
        <v>4841.0178000000014</v>
      </c>
      <c r="AK15" s="40">
        <v>23</v>
      </c>
      <c r="AL15" s="41">
        <f t="shared" si="19"/>
        <v>29.624000000000002</v>
      </c>
      <c r="AM15" s="36">
        <v>35957</v>
      </c>
      <c r="AN15" s="284">
        <v>78</v>
      </c>
      <c r="AO15" s="26"/>
      <c r="AP15" s="26"/>
      <c r="AQ15" s="27"/>
      <c r="AR15" s="27"/>
      <c r="AS15" s="27"/>
      <c r="AT15" s="27"/>
      <c r="AU15" s="27"/>
      <c r="AV15" s="27"/>
      <c r="AW15" s="26"/>
      <c r="AX15" s="26"/>
      <c r="AY15" s="26"/>
      <c r="AZ15" s="26"/>
      <c r="BA15" s="26"/>
      <c r="BB15" s="26"/>
      <c r="BC15" s="26"/>
      <c r="BD15" s="26"/>
      <c r="BE15" s="26"/>
      <c r="BF15" s="26"/>
      <c r="BG15" s="26"/>
      <c r="BH15" s="26"/>
      <c r="BI15" s="26"/>
    </row>
    <row r="16" spans="1:61" ht="28.5" customHeight="1">
      <c r="A16" s="26"/>
      <c r="B16" s="207"/>
      <c r="C16" s="42" t="s">
        <v>151</v>
      </c>
      <c r="D16" s="28">
        <f t="shared" si="0"/>
        <v>-0.29523015873015879</v>
      </c>
      <c r="E16" s="201">
        <v>0.27700000000000002</v>
      </c>
      <c r="F16" s="30">
        <f t="shared" si="1"/>
        <v>0.57223015873015881</v>
      </c>
      <c r="G16" s="30">
        <f t="shared" si="2"/>
        <v>0.11510791366906475</v>
      </c>
      <c r="H16" s="48"/>
      <c r="I16" s="48">
        <f t="shared" si="3"/>
        <v>0</v>
      </c>
      <c r="J16" s="48">
        <f t="shared" si="23"/>
        <v>0</v>
      </c>
      <c r="K16" s="210"/>
      <c r="L16" s="335"/>
      <c r="M16" s="210"/>
      <c r="N16" s="36"/>
      <c r="O16" s="36">
        <v>14</v>
      </c>
      <c r="P16" s="31">
        <f t="shared" si="6"/>
        <v>14</v>
      </c>
      <c r="Q16" s="36">
        <v>1</v>
      </c>
      <c r="R16" s="167">
        <v>16</v>
      </c>
      <c r="S16" s="36"/>
      <c r="T16" s="34">
        <f t="shared" si="7"/>
        <v>138600</v>
      </c>
      <c r="U16" s="31">
        <f t="shared" si="8"/>
        <v>0</v>
      </c>
      <c r="V16" s="34">
        <f t="shared" si="9"/>
        <v>138600</v>
      </c>
      <c r="W16" s="43">
        <v>9900</v>
      </c>
      <c r="X16" s="34">
        <f t="shared" si="10"/>
        <v>3462.1440000000002</v>
      </c>
      <c r="Y16" s="34">
        <f t="shared" si="11"/>
        <v>48470.016000000003</v>
      </c>
      <c r="Z16" s="34">
        <f t="shared" si="12"/>
        <v>77001.100000000006</v>
      </c>
      <c r="AA16" s="48">
        <v>70001</v>
      </c>
      <c r="AB16" s="287"/>
      <c r="AC16" s="204">
        <f t="shared" si="20"/>
        <v>2310</v>
      </c>
      <c r="AD16" s="152">
        <v>0.1</v>
      </c>
      <c r="AE16" s="31">
        <f>3275*(P16+S16)</f>
        <v>45850</v>
      </c>
      <c r="AF16" s="28">
        <f t="shared" si="14"/>
        <v>0.43080808080808086</v>
      </c>
      <c r="AG16" s="34">
        <f t="shared" si="15"/>
        <v>59710.030000000006</v>
      </c>
      <c r="AH16" s="34">
        <f t="shared" si="16"/>
        <v>3041.9953999999998</v>
      </c>
      <c r="AI16" s="34">
        <f t="shared" si="17"/>
        <v>27377.958599999998</v>
      </c>
      <c r="AJ16" s="46">
        <f t="shared" si="18"/>
        <v>-49623.141400000008</v>
      </c>
      <c r="AK16" s="40">
        <v>14</v>
      </c>
      <c r="AL16" s="41">
        <f t="shared" si="19"/>
        <v>18.032</v>
      </c>
      <c r="AM16" s="202">
        <v>49088</v>
      </c>
      <c r="AN16" s="205">
        <v>139</v>
      </c>
      <c r="AO16" s="26"/>
      <c r="AP16" s="26"/>
      <c r="AQ16" s="27"/>
      <c r="AR16" s="27"/>
      <c r="AS16" s="27"/>
      <c r="AT16" s="27"/>
      <c r="AU16" s="27"/>
      <c r="AV16" s="27"/>
      <c r="AW16" s="26"/>
      <c r="AX16" s="26"/>
      <c r="AY16" s="26"/>
      <c r="AZ16" s="26"/>
      <c r="BA16" s="26"/>
      <c r="BB16" s="26"/>
      <c r="BC16" s="26"/>
      <c r="BD16" s="26"/>
      <c r="BE16" s="26"/>
      <c r="BF16" s="26"/>
      <c r="BG16" s="26"/>
      <c r="BH16" s="26"/>
      <c r="BI16" s="26"/>
    </row>
    <row r="17" spans="1:61" ht="28.5" customHeight="1">
      <c r="A17" s="26"/>
      <c r="B17" s="212"/>
      <c r="C17" s="42" t="s">
        <v>152</v>
      </c>
      <c r="D17" s="28">
        <f t="shared" si="0"/>
        <v>-6.7012786596119922E-2</v>
      </c>
      <c r="E17" s="201">
        <v>0.34200000000000003</v>
      </c>
      <c r="F17" s="30">
        <f t="shared" si="1"/>
        <v>0.40901278659611995</v>
      </c>
      <c r="G17" s="30">
        <f t="shared" si="2"/>
        <v>9.45945945945946E-2</v>
      </c>
      <c r="H17" s="48"/>
      <c r="I17" s="48">
        <f t="shared" si="3"/>
        <v>0</v>
      </c>
      <c r="J17" s="48">
        <f t="shared" si="23"/>
        <v>0</v>
      </c>
      <c r="K17" s="210"/>
      <c r="L17" s="310"/>
      <c r="M17" s="210"/>
      <c r="N17" s="36"/>
      <c r="O17" s="36">
        <v>12</v>
      </c>
      <c r="P17" s="31">
        <f t="shared" si="6"/>
        <v>12</v>
      </c>
      <c r="Q17" s="36">
        <v>2</v>
      </c>
      <c r="R17" s="167">
        <v>14</v>
      </c>
      <c r="S17" s="36"/>
      <c r="T17" s="34">
        <f t="shared" si="7"/>
        <v>226800</v>
      </c>
      <c r="U17" s="31">
        <f t="shared" si="8"/>
        <v>0</v>
      </c>
      <c r="V17" s="34">
        <f t="shared" si="9"/>
        <v>226800</v>
      </c>
      <c r="W17" s="43">
        <v>18900</v>
      </c>
      <c r="X17" s="34">
        <f t="shared" si="10"/>
        <v>6924.2880000000005</v>
      </c>
      <c r="Y17" s="34">
        <f t="shared" si="11"/>
        <v>83091.456000000006</v>
      </c>
      <c r="Z17" s="34">
        <f t="shared" si="12"/>
        <v>88144.1</v>
      </c>
      <c r="AA17" s="48">
        <v>80131</v>
      </c>
      <c r="AB17" s="36"/>
      <c r="AC17" s="204">
        <f t="shared" si="20"/>
        <v>4620</v>
      </c>
      <c r="AD17" s="152">
        <v>0.1</v>
      </c>
      <c r="AE17" s="31">
        <f>3425*(P17+S17)</f>
        <v>41100</v>
      </c>
      <c r="AF17" s="28">
        <f t="shared" si="14"/>
        <v>0.28121693121693125</v>
      </c>
      <c r="AG17" s="34">
        <f t="shared" si="15"/>
        <v>63780.030000000006</v>
      </c>
      <c r="AH17" s="34">
        <f t="shared" si="16"/>
        <v>7992.8513999999996</v>
      </c>
      <c r="AI17" s="34">
        <f t="shared" si="17"/>
        <v>71935.662599999981</v>
      </c>
      <c r="AJ17" s="46">
        <f t="shared" si="18"/>
        <v>-16208.437400000024</v>
      </c>
      <c r="AK17" s="40">
        <v>28</v>
      </c>
      <c r="AL17" s="41">
        <f t="shared" si="19"/>
        <v>36.064</v>
      </c>
      <c r="AM17" s="202">
        <v>34788</v>
      </c>
      <c r="AN17" s="205">
        <v>148</v>
      </c>
      <c r="AO17" s="26"/>
      <c r="AP17" s="26"/>
      <c r="AQ17" s="27"/>
      <c r="AR17" s="27"/>
      <c r="AS17" s="27"/>
      <c r="AT17" s="27"/>
      <c r="AU17" s="27"/>
      <c r="AV17" s="27"/>
      <c r="AW17" s="26"/>
      <c r="AX17" s="26"/>
      <c r="AY17" s="26"/>
      <c r="AZ17" s="26"/>
      <c r="BA17" s="26"/>
      <c r="BB17" s="26"/>
      <c r="BC17" s="26"/>
      <c r="BD17" s="26"/>
      <c r="BE17" s="26"/>
      <c r="BF17" s="26"/>
      <c r="BG17" s="26"/>
      <c r="BH17" s="26"/>
      <c r="BI17" s="26"/>
    </row>
    <row r="18" spans="1:61" ht="28.5" customHeight="1">
      <c r="A18" s="295"/>
      <c r="B18" s="296"/>
      <c r="C18" s="42" t="s">
        <v>153</v>
      </c>
      <c r="D18" s="28">
        <f t="shared" si="0"/>
        <v>0.35</v>
      </c>
      <c r="E18" s="201">
        <v>0.35</v>
      </c>
      <c r="F18" s="30">
        <f t="shared" si="1"/>
        <v>0</v>
      </c>
      <c r="G18" s="30" t="e">
        <f t="shared" si="2"/>
        <v>#DIV/0!</v>
      </c>
      <c r="H18" s="48"/>
      <c r="I18" s="48">
        <f t="shared" si="3"/>
        <v>0</v>
      </c>
      <c r="J18" s="48">
        <f t="shared" si="23"/>
        <v>0</v>
      </c>
      <c r="K18" s="26"/>
      <c r="L18" s="26"/>
      <c r="M18" s="210"/>
      <c r="N18" s="36"/>
      <c r="O18" s="36">
        <v>1</v>
      </c>
      <c r="P18" s="31">
        <f t="shared" si="6"/>
        <v>1</v>
      </c>
      <c r="Q18" s="36">
        <v>0</v>
      </c>
      <c r="R18" s="167">
        <v>0</v>
      </c>
      <c r="S18" s="36"/>
      <c r="T18" s="34">
        <f t="shared" si="7"/>
        <v>26010</v>
      </c>
      <c r="U18" s="31">
        <f t="shared" si="8"/>
        <v>0</v>
      </c>
      <c r="V18" s="34">
        <f t="shared" si="9"/>
        <v>26010</v>
      </c>
      <c r="W18" s="43">
        <v>26010</v>
      </c>
      <c r="X18" s="34">
        <f t="shared" si="10"/>
        <v>10386.432000000001</v>
      </c>
      <c r="Y18" s="34">
        <f t="shared" si="11"/>
        <v>10386.432000000001</v>
      </c>
      <c r="Z18" s="34">
        <f t="shared" si="12"/>
        <v>0</v>
      </c>
      <c r="AA18" s="48">
        <v>0</v>
      </c>
      <c r="AB18" s="36"/>
      <c r="AC18" s="204">
        <f t="shared" si="20"/>
        <v>0</v>
      </c>
      <c r="AD18" s="152">
        <v>0.1</v>
      </c>
      <c r="AE18" s="31">
        <f>5925*(P18+S18)</f>
        <v>5925</v>
      </c>
      <c r="AF18" s="28">
        <f t="shared" si="14"/>
        <v>0.32779700115340255</v>
      </c>
      <c r="AG18" s="34">
        <f t="shared" si="15"/>
        <v>8526.0300000000007</v>
      </c>
      <c r="AH18" s="34">
        <f t="shared" si="16"/>
        <v>709.75379999999996</v>
      </c>
      <c r="AI18" s="34">
        <f t="shared" si="17"/>
        <v>6387.7842000000019</v>
      </c>
      <c r="AJ18" s="46">
        <f t="shared" si="18"/>
        <v>6387.7842000000019</v>
      </c>
      <c r="AK18" s="40">
        <v>42</v>
      </c>
      <c r="AL18" s="41">
        <f t="shared" si="19"/>
        <v>54.096000000000004</v>
      </c>
      <c r="AM18" s="36">
        <v>0</v>
      </c>
      <c r="AN18" s="284">
        <v>0</v>
      </c>
      <c r="AO18" s="26"/>
      <c r="AP18" s="26"/>
      <c r="AQ18" s="27"/>
      <c r="AR18" s="27"/>
      <c r="AS18" s="27"/>
      <c r="AT18" s="27"/>
      <c r="AU18" s="27"/>
      <c r="AV18" s="27"/>
      <c r="AW18" s="26"/>
      <c r="AX18" s="26"/>
      <c r="AY18" s="26"/>
      <c r="AZ18" s="26"/>
      <c r="BA18" s="26"/>
      <c r="BB18" s="26"/>
      <c r="BC18" s="26"/>
      <c r="BD18" s="26"/>
      <c r="BE18" s="26"/>
      <c r="BF18" s="26"/>
      <c r="BG18" s="26"/>
      <c r="BH18" s="26"/>
      <c r="BI18" s="26"/>
    </row>
    <row r="19" spans="1:61" ht="28.5" customHeight="1">
      <c r="A19" s="26"/>
      <c r="B19" s="323"/>
      <c r="C19" s="42" t="s">
        <v>112</v>
      </c>
      <c r="D19" s="28">
        <f t="shared" si="0"/>
        <v>0.13711686965535111</v>
      </c>
      <c r="E19" s="201">
        <v>0.38600000000000001</v>
      </c>
      <c r="F19" s="30">
        <f t="shared" si="1"/>
        <v>0.2488831303446489</v>
      </c>
      <c r="G19" s="30">
        <f t="shared" si="2"/>
        <v>4.7619047619047616E-2</v>
      </c>
      <c r="H19" s="334"/>
      <c r="I19" s="48">
        <f t="shared" si="3"/>
        <v>0</v>
      </c>
      <c r="J19" s="48">
        <f t="shared" si="23"/>
        <v>0</v>
      </c>
      <c r="K19" s="210"/>
      <c r="L19" s="335"/>
      <c r="M19" s="210"/>
      <c r="N19" s="36"/>
      <c r="O19" s="36">
        <v>15</v>
      </c>
      <c r="P19" s="31">
        <f t="shared" si="6"/>
        <v>11</v>
      </c>
      <c r="Q19" s="36">
        <v>1</v>
      </c>
      <c r="R19" s="167">
        <v>7</v>
      </c>
      <c r="S19" s="36">
        <v>4</v>
      </c>
      <c r="T19" s="34">
        <f t="shared" si="7"/>
        <v>578850</v>
      </c>
      <c r="U19" s="31">
        <f t="shared" si="8"/>
        <v>154360</v>
      </c>
      <c r="V19" s="34">
        <f t="shared" si="9"/>
        <v>424490</v>
      </c>
      <c r="W19" s="43">
        <v>38590</v>
      </c>
      <c r="X19" s="34">
        <f t="shared" si="10"/>
        <v>15085.056</v>
      </c>
      <c r="Y19" s="34">
        <f t="shared" si="11"/>
        <v>165935.61600000001</v>
      </c>
      <c r="Z19" s="34">
        <f t="shared" si="12"/>
        <v>103338.40000000001</v>
      </c>
      <c r="AA19" s="48">
        <v>93944</v>
      </c>
      <c r="AB19" s="286">
        <f>((38590*0.18)+(38590*0.015)+2100+2200)*4</f>
        <v>47300.2</v>
      </c>
      <c r="AC19" s="204">
        <f t="shared" si="20"/>
        <v>2310</v>
      </c>
      <c r="AD19" s="152">
        <v>0.08</v>
      </c>
      <c r="AE19" s="31">
        <f t="shared" ref="AE19:AE20" si="25">4150*(P19+S19)</f>
        <v>62250</v>
      </c>
      <c r="AF19" s="28">
        <f t="shared" si="14"/>
        <v>0.22664656411222878</v>
      </c>
      <c r="AG19" s="34">
        <f t="shared" si="15"/>
        <v>96209.23</v>
      </c>
      <c r="AH19" s="34">
        <f t="shared" si="16"/>
        <v>16234.515399999997</v>
      </c>
      <c r="AI19" s="34">
        <f t="shared" si="17"/>
        <v>146110.63860000001</v>
      </c>
      <c r="AJ19" s="46">
        <f t="shared" si="18"/>
        <v>42772.238599999997</v>
      </c>
      <c r="AK19" s="40">
        <v>61</v>
      </c>
      <c r="AL19" s="41">
        <f t="shared" si="19"/>
        <v>78.567999999999998</v>
      </c>
      <c r="AM19" s="36">
        <v>32328</v>
      </c>
      <c r="AN19" s="284">
        <v>147</v>
      </c>
      <c r="AO19" s="26"/>
      <c r="AP19" s="26"/>
      <c r="AQ19" s="27"/>
      <c r="AR19" s="27"/>
      <c r="AS19" s="27"/>
      <c r="AT19" s="27"/>
      <c r="AU19" s="27"/>
      <c r="AV19" s="27"/>
      <c r="AW19" s="26"/>
      <c r="AX19" s="26"/>
      <c r="AY19" s="26"/>
      <c r="AZ19" s="26"/>
      <c r="BA19" s="26"/>
      <c r="BB19" s="26"/>
      <c r="BC19" s="26"/>
      <c r="BD19" s="26"/>
      <c r="BE19" s="26"/>
      <c r="BF19" s="26"/>
      <c r="BG19" s="26"/>
      <c r="BH19" s="26"/>
      <c r="BI19" s="26"/>
    </row>
    <row r="20" spans="1:61" ht="28.5" customHeight="1">
      <c r="A20" s="26"/>
      <c r="B20" s="324"/>
      <c r="C20" s="42" t="s">
        <v>113</v>
      </c>
      <c r="D20" s="28">
        <f t="shared" si="0"/>
        <v>9.1252747252747235E-2</v>
      </c>
      <c r="E20" s="201">
        <v>0.316</v>
      </c>
      <c r="F20" s="30">
        <f t="shared" si="1"/>
        <v>0.22474725274725277</v>
      </c>
      <c r="G20" s="30">
        <f t="shared" si="2"/>
        <v>5.1470588235294115E-2</v>
      </c>
      <c r="H20" s="310"/>
      <c r="I20" s="48">
        <f t="shared" si="3"/>
        <v>0</v>
      </c>
      <c r="J20" s="48">
        <f t="shared" si="23"/>
        <v>0</v>
      </c>
      <c r="K20" s="210"/>
      <c r="L20" s="310"/>
      <c r="M20" s="210"/>
      <c r="N20" s="36"/>
      <c r="O20" s="36">
        <v>7</v>
      </c>
      <c r="P20" s="31">
        <f t="shared" si="6"/>
        <v>7</v>
      </c>
      <c r="Q20" s="36">
        <v>1</v>
      </c>
      <c r="R20" s="167">
        <v>7</v>
      </c>
      <c r="S20" s="36"/>
      <c r="T20" s="34">
        <f t="shared" si="7"/>
        <v>300300</v>
      </c>
      <c r="U20" s="31">
        <f t="shared" si="8"/>
        <v>0</v>
      </c>
      <c r="V20" s="34">
        <f t="shared" si="9"/>
        <v>300300</v>
      </c>
      <c r="W20" s="43">
        <v>42900</v>
      </c>
      <c r="X20" s="34">
        <f t="shared" si="10"/>
        <v>20278.272000000004</v>
      </c>
      <c r="Y20" s="34">
        <f t="shared" si="11"/>
        <v>141947.90400000004</v>
      </c>
      <c r="Z20" s="34">
        <f t="shared" si="12"/>
        <v>65181.600000000006</v>
      </c>
      <c r="AA20" s="48">
        <v>59256</v>
      </c>
      <c r="AB20" s="36"/>
      <c r="AC20" s="204">
        <f t="shared" si="20"/>
        <v>2310</v>
      </c>
      <c r="AD20" s="152">
        <v>7.8E-2</v>
      </c>
      <c r="AE20" s="31">
        <f t="shared" si="25"/>
        <v>29050</v>
      </c>
      <c r="AF20" s="28">
        <f t="shared" si="14"/>
        <v>0.17473659673659675</v>
      </c>
      <c r="AG20" s="34">
        <f t="shared" si="15"/>
        <v>52473.43</v>
      </c>
      <c r="AH20" s="34">
        <f t="shared" si="16"/>
        <v>10587.866599999998</v>
      </c>
      <c r="AI20" s="34">
        <f t="shared" si="17"/>
        <v>95290.79939999996</v>
      </c>
      <c r="AJ20" s="46">
        <f t="shared" si="18"/>
        <v>30109.199399999954</v>
      </c>
      <c r="AK20" s="40">
        <v>82</v>
      </c>
      <c r="AL20" s="41">
        <f t="shared" si="19"/>
        <v>105.61600000000001</v>
      </c>
      <c r="AM20" s="36">
        <v>84903</v>
      </c>
      <c r="AN20" s="284">
        <v>136</v>
      </c>
      <c r="AO20" s="26"/>
      <c r="AP20" s="26"/>
      <c r="AQ20" s="27"/>
      <c r="AR20" s="27"/>
      <c r="AS20" s="27"/>
      <c r="AT20" s="27"/>
      <c r="AU20" s="27"/>
      <c r="AV20" s="27"/>
      <c r="AW20" s="26"/>
      <c r="AX20" s="26"/>
      <c r="AY20" s="26"/>
      <c r="AZ20" s="26"/>
      <c r="BA20" s="26"/>
      <c r="BB20" s="26"/>
      <c r="BC20" s="26"/>
      <c r="BD20" s="26"/>
      <c r="BE20" s="26"/>
      <c r="BF20" s="26"/>
      <c r="BG20" s="26"/>
      <c r="BH20" s="26"/>
      <c r="BI20" s="26"/>
    </row>
    <row r="21" spans="1:61" ht="28.5" customHeight="1">
      <c r="A21" s="26"/>
      <c r="B21" s="200"/>
      <c r="C21" s="42" t="s">
        <v>154</v>
      </c>
      <c r="D21" s="28">
        <f t="shared" si="0"/>
        <v>0.25142014947683111</v>
      </c>
      <c r="E21" s="201">
        <v>0.34300000000000003</v>
      </c>
      <c r="F21" s="30">
        <f t="shared" si="1"/>
        <v>9.1579850523168901E-2</v>
      </c>
      <c r="G21" s="30">
        <f t="shared" si="2"/>
        <v>7.582938388625593E-2</v>
      </c>
      <c r="H21" s="48"/>
      <c r="I21" s="48">
        <f t="shared" si="3"/>
        <v>0</v>
      </c>
      <c r="J21" s="48">
        <f t="shared" si="23"/>
        <v>0</v>
      </c>
      <c r="K21" s="210"/>
      <c r="L21" s="210"/>
      <c r="M21" s="210"/>
      <c r="N21" s="36"/>
      <c r="O21" s="36">
        <v>128</v>
      </c>
      <c r="P21" s="31">
        <f t="shared" si="6"/>
        <v>125</v>
      </c>
      <c r="Q21" s="36">
        <v>16</v>
      </c>
      <c r="R21" s="167">
        <v>16</v>
      </c>
      <c r="S21" s="36">
        <v>3</v>
      </c>
      <c r="T21" s="34">
        <f t="shared" si="7"/>
        <v>1712640</v>
      </c>
      <c r="U21" s="31">
        <f t="shared" si="8"/>
        <v>40140</v>
      </c>
      <c r="V21" s="34">
        <f t="shared" si="9"/>
        <v>1672500</v>
      </c>
      <c r="W21" s="43">
        <v>13380</v>
      </c>
      <c r="X21" s="34">
        <f t="shared" si="10"/>
        <v>4006.1952000000001</v>
      </c>
      <c r="Y21" s="34">
        <f t="shared" si="11"/>
        <v>500774.40000000002</v>
      </c>
      <c r="Z21" s="34">
        <f t="shared" si="12"/>
        <v>116207.3</v>
      </c>
      <c r="AA21" s="48">
        <v>105643</v>
      </c>
      <c r="AB21" s="287">
        <f>((9800*0.015)+(9800*0.39)+2100+4950)*3</f>
        <v>33057</v>
      </c>
      <c r="AC21" s="204">
        <f t="shared" si="20"/>
        <v>36960</v>
      </c>
      <c r="AD21" s="152">
        <v>0.108</v>
      </c>
      <c r="AE21" s="31">
        <f>2800*(P21+S21)</f>
        <v>358400</v>
      </c>
      <c r="AF21" s="28">
        <f t="shared" si="14"/>
        <v>0.32228998505231687</v>
      </c>
      <c r="AG21" s="34">
        <f t="shared" si="15"/>
        <v>539030.03</v>
      </c>
      <c r="AH21" s="34">
        <f t="shared" si="16"/>
        <v>63269.556999999986</v>
      </c>
      <c r="AI21" s="34">
        <f t="shared" si="17"/>
        <v>569426.01300000004</v>
      </c>
      <c r="AJ21" s="46">
        <f t="shared" si="18"/>
        <v>453218.71300000005</v>
      </c>
      <c r="AK21" s="40">
        <v>16.2</v>
      </c>
      <c r="AL21" s="41">
        <f t="shared" si="19"/>
        <v>20.865600000000001</v>
      </c>
      <c r="AM21" s="36">
        <v>94711</v>
      </c>
      <c r="AN21" s="284">
        <v>211</v>
      </c>
      <c r="AO21" s="26"/>
      <c r="AP21" s="26"/>
      <c r="AQ21" s="27"/>
      <c r="AR21" s="27"/>
      <c r="AS21" s="27"/>
      <c r="AT21" s="27"/>
      <c r="AU21" s="27"/>
      <c r="AV21" s="27"/>
      <c r="AW21" s="26"/>
      <c r="AX21" s="26"/>
      <c r="AY21" s="26"/>
      <c r="AZ21" s="26"/>
      <c r="BA21" s="26"/>
      <c r="BB21" s="26"/>
      <c r="BC21" s="26"/>
      <c r="BD21" s="26"/>
      <c r="BE21" s="26"/>
      <c r="BF21" s="26"/>
      <c r="BG21" s="26"/>
      <c r="BH21" s="26"/>
      <c r="BI21" s="26"/>
    </row>
    <row r="22" spans="1:61" ht="28.5" customHeight="1">
      <c r="A22" s="26"/>
      <c r="B22" s="200"/>
      <c r="C22" s="42" t="s">
        <v>114</v>
      </c>
      <c r="D22" s="28">
        <f t="shared" si="0"/>
        <v>0.1675442105263158</v>
      </c>
      <c r="E22" s="201">
        <v>0.33</v>
      </c>
      <c r="F22" s="30">
        <f t="shared" si="1"/>
        <v>0.16245578947368422</v>
      </c>
      <c r="G22" s="30">
        <f t="shared" si="2"/>
        <v>0.15789473684210525</v>
      </c>
      <c r="H22" s="48"/>
      <c r="I22" s="48">
        <f t="shared" si="3"/>
        <v>0</v>
      </c>
      <c r="J22" s="48">
        <f t="shared" si="23"/>
        <v>0</v>
      </c>
      <c r="K22" s="210"/>
      <c r="L22" s="210"/>
      <c r="M22" s="210"/>
      <c r="N22" s="36"/>
      <c r="O22" s="36">
        <v>55</v>
      </c>
      <c r="P22" s="31">
        <f t="shared" si="6"/>
        <v>55</v>
      </c>
      <c r="Q22" s="36">
        <v>8</v>
      </c>
      <c r="R22" s="167">
        <v>33</v>
      </c>
      <c r="S22" s="36"/>
      <c r="T22" s="34">
        <f t="shared" si="7"/>
        <v>1045000</v>
      </c>
      <c r="U22" s="31">
        <f t="shared" si="8"/>
        <v>0</v>
      </c>
      <c r="V22" s="34">
        <f t="shared" si="9"/>
        <v>1045000</v>
      </c>
      <c r="W22" s="43">
        <v>19000</v>
      </c>
      <c r="X22" s="34">
        <f t="shared" si="10"/>
        <v>7122.1247999999996</v>
      </c>
      <c r="Y22" s="34">
        <f t="shared" si="11"/>
        <v>391716.864</v>
      </c>
      <c r="Z22" s="34">
        <f t="shared" si="12"/>
        <v>151286.30000000002</v>
      </c>
      <c r="AA22" s="48">
        <v>137533</v>
      </c>
      <c r="AB22" s="36"/>
      <c r="AC22" s="204">
        <f t="shared" si="20"/>
        <v>18480</v>
      </c>
      <c r="AD22" s="152">
        <v>0.08</v>
      </c>
      <c r="AE22" s="31">
        <f>3350*(P22+S22)</f>
        <v>184250</v>
      </c>
      <c r="AF22" s="28">
        <f t="shared" si="14"/>
        <v>0.25631578947368422</v>
      </c>
      <c r="AG22" s="34">
        <f t="shared" si="15"/>
        <v>267850.03000000003</v>
      </c>
      <c r="AH22" s="34">
        <f t="shared" si="16"/>
        <v>38543.310599999983</v>
      </c>
      <c r="AI22" s="34">
        <f t="shared" si="17"/>
        <v>346889.79539999994</v>
      </c>
      <c r="AJ22" s="46">
        <f t="shared" si="18"/>
        <v>195603.49539999993</v>
      </c>
      <c r="AK22" s="40">
        <v>28.8</v>
      </c>
      <c r="AL22" s="41">
        <f t="shared" si="19"/>
        <v>37.0944</v>
      </c>
      <c r="AM22" s="36">
        <v>74293</v>
      </c>
      <c r="AN22" s="284">
        <v>209</v>
      </c>
      <c r="AO22" s="26"/>
      <c r="AP22" s="26"/>
      <c r="AQ22" s="27"/>
      <c r="AR22" s="27"/>
      <c r="AS22" s="27"/>
      <c r="AT22" s="27"/>
      <c r="AU22" s="27"/>
      <c r="AV22" s="27"/>
      <c r="AW22" s="26"/>
      <c r="AX22" s="26"/>
      <c r="AY22" s="26"/>
      <c r="AZ22" s="26"/>
      <c r="BA22" s="26"/>
      <c r="BB22" s="26"/>
      <c r="BC22" s="26"/>
      <c r="BD22" s="26"/>
      <c r="BE22" s="26"/>
      <c r="BF22" s="26"/>
      <c r="BG22" s="26"/>
      <c r="BH22" s="26"/>
      <c r="BI22" s="26"/>
    </row>
    <row r="23" spans="1:61" ht="28.5" customHeight="1">
      <c r="A23" s="26"/>
      <c r="B23" s="326"/>
      <c r="C23" s="42" t="s">
        <v>115</v>
      </c>
      <c r="D23" s="28">
        <f t="shared" si="0"/>
        <v>0.12924087591240874</v>
      </c>
      <c r="E23" s="201">
        <v>0.437</v>
      </c>
      <c r="F23" s="30">
        <f t="shared" si="1"/>
        <v>0.30775912408759126</v>
      </c>
      <c r="G23" s="30">
        <f t="shared" si="2"/>
        <v>4.5454545454545456E-2</v>
      </c>
      <c r="H23" s="48"/>
      <c r="I23" s="48">
        <f t="shared" si="3"/>
        <v>0</v>
      </c>
      <c r="J23" s="48">
        <f t="shared" si="23"/>
        <v>0</v>
      </c>
      <c r="K23" s="210"/>
      <c r="L23" s="210"/>
      <c r="M23" s="210"/>
      <c r="N23" s="36"/>
      <c r="O23" s="36">
        <v>3</v>
      </c>
      <c r="P23" s="31">
        <f t="shared" si="6"/>
        <v>3</v>
      </c>
      <c r="Q23" s="36">
        <v>2</v>
      </c>
      <c r="R23" s="167">
        <v>3</v>
      </c>
      <c r="S23" s="36"/>
      <c r="T23" s="34">
        <f t="shared" si="7"/>
        <v>164400</v>
      </c>
      <c r="U23" s="31">
        <f t="shared" si="8"/>
        <v>0</v>
      </c>
      <c r="V23" s="34">
        <f t="shared" si="9"/>
        <v>164400</v>
      </c>
      <c r="W23" s="43">
        <v>54800</v>
      </c>
      <c r="X23" s="34">
        <f t="shared" si="10"/>
        <v>20030.976000000002</v>
      </c>
      <c r="Y23" s="34">
        <f t="shared" si="11"/>
        <v>60092.928000000007</v>
      </c>
      <c r="Z23" s="34">
        <f t="shared" si="12"/>
        <v>45975.600000000006</v>
      </c>
      <c r="AA23" s="48">
        <v>41796</v>
      </c>
      <c r="AB23" s="36"/>
      <c r="AC23" s="204">
        <f t="shared" si="20"/>
        <v>4620</v>
      </c>
      <c r="AD23" s="152">
        <v>7.8E-2</v>
      </c>
      <c r="AE23" s="31">
        <f t="shared" ref="AE23:AE24" si="26">4825*(P23+S23)</f>
        <v>14475</v>
      </c>
      <c r="AF23" s="28">
        <f t="shared" si="14"/>
        <v>0.16604744525547444</v>
      </c>
      <c r="AG23" s="34">
        <f t="shared" si="15"/>
        <v>27298.229999999996</v>
      </c>
      <c r="AH23" s="34">
        <f t="shared" si="16"/>
        <v>7700.8842000000004</v>
      </c>
      <c r="AI23" s="34">
        <f t="shared" si="17"/>
        <v>69307.957800000004</v>
      </c>
      <c r="AJ23" s="46">
        <f t="shared" si="18"/>
        <v>23332.357799999998</v>
      </c>
      <c r="AK23" s="40">
        <v>81</v>
      </c>
      <c r="AL23" s="41">
        <f t="shared" si="19"/>
        <v>104.328</v>
      </c>
      <c r="AM23" s="36">
        <v>11470</v>
      </c>
      <c r="AN23" s="284">
        <v>66</v>
      </c>
      <c r="AO23" s="26"/>
      <c r="AP23" s="26"/>
      <c r="AQ23" s="27"/>
      <c r="AR23" s="27"/>
      <c r="AS23" s="27"/>
      <c r="AT23" s="27"/>
      <c r="AU23" s="27"/>
      <c r="AV23" s="27"/>
      <c r="AW23" s="26"/>
      <c r="AX23" s="26"/>
      <c r="AY23" s="26"/>
      <c r="AZ23" s="26"/>
      <c r="BA23" s="26"/>
      <c r="BB23" s="26"/>
      <c r="BC23" s="26"/>
      <c r="BD23" s="26"/>
      <c r="BE23" s="26"/>
      <c r="BF23" s="26"/>
      <c r="BG23" s="26"/>
      <c r="BH23" s="26"/>
      <c r="BI23" s="26"/>
    </row>
    <row r="24" spans="1:61" ht="28.5" customHeight="1">
      <c r="A24" s="26"/>
      <c r="B24" s="324"/>
      <c r="C24" s="42" t="s">
        <v>116</v>
      </c>
      <c r="D24" s="28">
        <f t="shared" si="0"/>
        <v>0.28361265432098764</v>
      </c>
      <c r="E24" s="201">
        <v>0.42499999999999999</v>
      </c>
      <c r="F24" s="30">
        <f t="shared" si="1"/>
        <v>0.14138734567901234</v>
      </c>
      <c r="G24" s="30">
        <f t="shared" si="2"/>
        <v>3.8461538461538464E-2</v>
      </c>
      <c r="H24" s="48"/>
      <c r="I24" s="48">
        <f t="shared" si="3"/>
        <v>0</v>
      </c>
      <c r="J24" s="48">
        <f t="shared" si="23"/>
        <v>0</v>
      </c>
      <c r="K24" s="210"/>
      <c r="L24" s="210"/>
      <c r="M24" s="210"/>
      <c r="N24" s="36"/>
      <c r="O24" s="36">
        <v>3</v>
      </c>
      <c r="P24" s="31">
        <f t="shared" si="6"/>
        <v>3</v>
      </c>
      <c r="Q24" s="36">
        <v>0</v>
      </c>
      <c r="R24" s="167">
        <v>3</v>
      </c>
      <c r="S24" s="36"/>
      <c r="T24" s="34">
        <f t="shared" si="7"/>
        <v>194400</v>
      </c>
      <c r="U24" s="31">
        <f t="shared" si="8"/>
        <v>0</v>
      </c>
      <c r="V24" s="34">
        <f t="shared" si="9"/>
        <v>194400</v>
      </c>
      <c r="W24" s="43">
        <v>64800</v>
      </c>
      <c r="X24" s="34">
        <f t="shared" si="10"/>
        <v>25224.192000000003</v>
      </c>
      <c r="Y24" s="34">
        <f t="shared" si="11"/>
        <v>75672.576000000001</v>
      </c>
      <c r="Z24" s="34">
        <f t="shared" si="12"/>
        <v>27485.7</v>
      </c>
      <c r="AA24" s="48">
        <v>24987</v>
      </c>
      <c r="AB24" s="36"/>
      <c r="AC24" s="204">
        <f t="shared" si="20"/>
        <v>0</v>
      </c>
      <c r="AD24" s="152">
        <v>7.8E-2</v>
      </c>
      <c r="AE24" s="31">
        <f t="shared" si="26"/>
        <v>14475</v>
      </c>
      <c r="AF24" s="28">
        <f t="shared" si="14"/>
        <v>0.15245987654320986</v>
      </c>
      <c r="AG24" s="34">
        <f t="shared" si="15"/>
        <v>29638.229999999996</v>
      </c>
      <c r="AH24" s="34">
        <f t="shared" si="16"/>
        <v>8908.9193999999989</v>
      </c>
      <c r="AI24" s="34">
        <f t="shared" si="17"/>
        <v>80180.274600000004</v>
      </c>
      <c r="AJ24" s="46">
        <f t="shared" si="18"/>
        <v>52694.574600000007</v>
      </c>
      <c r="AK24" s="40">
        <v>102</v>
      </c>
      <c r="AL24" s="41">
        <f t="shared" si="19"/>
        <v>131.376</v>
      </c>
      <c r="AM24" s="36">
        <v>20373</v>
      </c>
      <c r="AN24" s="284">
        <v>78</v>
      </c>
      <c r="AO24" s="26"/>
      <c r="AP24" s="26"/>
      <c r="AQ24" s="27"/>
      <c r="AR24" s="27"/>
      <c r="AS24" s="27"/>
      <c r="AT24" s="27"/>
      <c r="AU24" s="27"/>
      <c r="AV24" s="27"/>
      <c r="AW24" s="26"/>
      <c r="AX24" s="26"/>
      <c r="AY24" s="26"/>
      <c r="AZ24" s="26"/>
      <c r="BA24" s="26"/>
      <c r="BB24" s="26"/>
      <c r="BC24" s="26"/>
      <c r="BD24" s="26"/>
      <c r="BE24" s="26"/>
      <c r="BF24" s="26"/>
      <c r="BG24" s="26"/>
      <c r="BH24" s="26"/>
      <c r="BI24" s="26"/>
    </row>
    <row r="25" spans="1:61" ht="28.5" customHeight="1">
      <c r="A25" s="26"/>
      <c r="B25" s="200"/>
      <c r="C25" s="42" t="s">
        <v>117</v>
      </c>
      <c r="D25" s="28">
        <f t="shared" si="0"/>
        <v>0.34049054373522458</v>
      </c>
      <c r="E25" s="297">
        <v>0.53900000000000003</v>
      </c>
      <c r="F25" s="30">
        <f t="shared" si="1"/>
        <v>0.19850945626477545</v>
      </c>
      <c r="G25" s="30">
        <f t="shared" si="2"/>
        <v>2.1682567215958369E-2</v>
      </c>
      <c r="H25" s="48"/>
      <c r="I25" s="48">
        <f t="shared" si="3"/>
        <v>0</v>
      </c>
      <c r="J25" s="48">
        <f t="shared" si="23"/>
        <v>0</v>
      </c>
      <c r="K25" s="210"/>
      <c r="L25" s="210"/>
      <c r="M25" s="210"/>
      <c r="N25" s="36"/>
      <c r="O25" s="36">
        <v>47</v>
      </c>
      <c r="P25" s="31">
        <f t="shared" si="6"/>
        <v>47</v>
      </c>
      <c r="Q25" s="36">
        <v>12</v>
      </c>
      <c r="R25" s="167">
        <v>25</v>
      </c>
      <c r="S25" s="36"/>
      <c r="T25" s="34">
        <f t="shared" si="7"/>
        <v>930600</v>
      </c>
      <c r="U25" s="31">
        <f t="shared" si="8"/>
        <v>0</v>
      </c>
      <c r="V25" s="34">
        <f t="shared" si="9"/>
        <v>930600</v>
      </c>
      <c r="W25" s="43">
        <v>19800</v>
      </c>
      <c r="X25" s="34">
        <f t="shared" si="10"/>
        <v>4451.3280000000004</v>
      </c>
      <c r="Y25" s="34">
        <f t="shared" si="11"/>
        <v>209212.41600000003</v>
      </c>
      <c r="Z25" s="34">
        <f t="shared" si="12"/>
        <v>157012.90000000002</v>
      </c>
      <c r="AA25" s="48">
        <v>142739</v>
      </c>
      <c r="AB25" s="36"/>
      <c r="AC25" s="204">
        <f t="shared" si="20"/>
        <v>27720</v>
      </c>
      <c r="AD25" s="152">
        <v>7.8E-2</v>
      </c>
      <c r="AE25" s="31">
        <f t="shared" ref="AE25:AE29" si="27">1900*(P25+S25)</f>
        <v>89300</v>
      </c>
      <c r="AF25" s="28">
        <f t="shared" si="14"/>
        <v>0.17395959595959595</v>
      </c>
      <c r="AG25" s="34">
        <f t="shared" si="15"/>
        <v>161886.82999999999</v>
      </c>
      <c r="AH25" s="34">
        <f t="shared" si="16"/>
        <v>55950.075399999994</v>
      </c>
      <c r="AI25" s="34">
        <f t="shared" si="17"/>
        <v>503550.67859999998</v>
      </c>
      <c r="AJ25" s="46">
        <f t="shared" si="18"/>
        <v>346537.77859999996</v>
      </c>
      <c r="AK25" s="40">
        <v>18</v>
      </c>
      <c r="AL25" s="41">
        <f t="shared" si="19"/>
        <v>23.184000000000001</v>
      </c>
      <c r="AM25" s="36">
        <v>258804</v>
      </c>
      <c r="AN25" s="284">
        <v>1153</v>
      </c>
      <c r="AO25" s="26"/>
      <c r="AP25" s="26"/>
      <c r="AQ25" s="27"/>
      <c r="AR25" s="27"/>
      <c r="AS25" s="27"/>
      <c r="AT25" s="27"/>
      <c r="AU25" s="27"/>
      <c r="AV25" s="27"/>
      <c r="AW25" s="26"/>
      <c r="AX25" s="26"/>
      <c r="AY25" s="26"/>
      <c r="AZ25" s="26"/>
      <c r="BA25" s="26"/>
      <c r="BB25" s="26"/>
      <c r="BC25" s="26"/>
      <c r="BD25" s="26"/>
      <c r="BE25" s="26"/>
      <c r="BF25" s="26"/>
      <c r="BG25" s="26"/>
      <c r="BH25" s="26"/>
      <c r="BI25" s="26"/>
    </row>
    <row r="26" spans="1:61" ht="28.5" customHeight="1">
      <c r="A26" s="26"/>
      <c r="B26" s="200"/>
      <c r="C26" s="42" t="s">
        <v>31</v>
      </c>
      <c r="D26" s="28" t="e">
        <f t="shared" si="0"/>
        <v>#DIV/0!</v>
      </c>
      <c r="E26" s="297">
        <v>0.40699999999999997</v>
      </c>
      <c r="F26" s="30" t="e">
        <f t="shared" si="1"/>
        <v>#DIV/0!</v>
      </c>
      <c r="G26" s="30">
        <f t="shared" si="2"/>
        <v>0</v>
      </c>
      <c r="H26" s="48"/>
      <c r="I26" s="48">
        <f t="shared" si="3"/>
        <v>0</v>
      </c>
      <c r="J26" s="48">
        <f t="shared" si="23"/>
        <v>0</v>
      </c>
      <c r="K26" s="210"/>
      <c r="L26" s="210"/>
      <c r="M26" s="210"/>
      <c r="N26" s="36"/>
      <c r="O26" s="36">
        <v>3</v>
      </c>
      <c r="P26" s="31">
        <f t="shared" si="6"/>
        <v>0</v>
      </c>
      <c r="Q26" s="36">
        <v>1</v>
      </c>
      <c r="R26" s="167">
        <v>0</v>
      </c>
      <c r="S26" s="36">
        <v>3</v>
      </c>
      <c r="T26" s="34">
        <f t="shared" si="7"/>
        <v>59400</v>
      </c>
      <c r="U26" s="31">
        <f t="shared" si="8"/>
        <v>59400</v>
      </c>
      <c r="V26" s="34">
        <f t="shared" si="9"/>
        <v>0</v>
      </c>
      <c r="W26" s="43">
        <v>19800</v>
      </c>
      <c r="X26" s="34">
        <f t="shared" si="10"/>
        <v>7418.88</v>
      </c>
      <c r="Y26" s="34">
        <f t="shared" si="11"/>
        <v>0</v>
      </c>
      <c r="Z26" s="34">
        <f t="shared" si="12"/>
        <v>6363.5000000000009</v>
      </c>
      <c r="AA26" s="48">
        <v>5785</v>
      </c>
      <c r="AB26" s="286">
        <f>((19800*0.1)+(19800*0.015)+2100+2200)*3</f>
        <v>19731</v>
      </c>
      <c r="AC26" s="204">
        <f t="shared" si="20"/>
        <v>2310</v>
      </c>
      <c r="AD26" s="152">
        <v>0.08</v>
      </c>
      <c r="AE26" s="31">
        <f t="shared" si="27"/>
        <v>5700</v>
      </c>
      <c r="AF26" s="28" t="e">
        <f t="shared" si="14"/>
        <v>#DIV/0!</v>
      </c>
      <c r="AG26" s="34" t="e">
        <f t="shared" si="15"/>
        <v>#DIV/0!</v>
      </c>
      <c r="AH26" s="34" t="e">
        <f t="shared" si="16"/>
        <v>#DIV/0!</v>
      </c>
      <c r="AI26" s="34" t="e">
        <f t="shared" si="17"/>
        <v>#DIV/0!</v>
      </c>
      <c r="AJ26" s="46" t="e">
        <f t="shared" si="18"/>
        <v>#DIV/0!</v>
      </c>
      <c r="AK26" s="40">
        <v>30</v>
      </c>
      <c r="AL26" s="41">
        <f t="shared" si="19"/>
        <v>38.64</v>
      </c>
      <c r="AM26" s="36">
        <v>17991</v>
      </c>
      <c r="AN26" s="284">
        <v>19</v>
      </c>
      <c r="AO26" s="26"/>
      <c r="AP26" s="26"/>
      <c r="AQ26" s="27"/>
      <c r="AR26" s="27"/>
      <c r="AS26" s="27"/>
      <c r="AT26" s="27"/>
      <c r="AU26" s="27"/>
      <c r="AV26" s="27"/>
      <c r="AW26" s="26"/>
      <c r="AX26" s="26"/>
      <c r="AY26" s="26"/>
      <c r="AZ26" s="26"/>
      <c r="BA26" s="26"/>
      <c r="BB26" s="26"/>
      <c r="BC26" s="26"/>
      <c r="BD26" s="26"/>
      <c r="BE26" s="26"/>
      <c r="BF26" s="26"/>
      <c r="BG26" s="26"/>
      <c r="BH26" s="26"/>
      <c r="BI26" s="26"/>
    </row>
    <row r="27" spans="1:61" ht="28.5" customHeight="1">
      <c r="A27" s="26"/>
      <c r="B27" s="200"/>
      <c r="C27" s="42" t="s">
        <v>118</v>
      </c>
      <c r="D27" s="28">
        <f t="shared" si="0"/>
        <v>0.46114516129032257</v>
      </c>
      <c r="E27" s="297">
        <v>0.36799999999999999</v>
      </c>
      <c r="F27" s="30">
        <f t="shared" si="1"/>
        <v>-9.3145161290322576E-2</v>
      </c>
      <c r="G27" s="30" t="e">
        <f t="shared" si="2"/>
        <v>#DIV/0!</v>
      </c>
      <c r="H27" s="48"/>
      <c r="I27" s="48">
        <f t="shared" si="3"/>
        <v>0</v>
      </c>
      <c r="J27" s="48">
        <f t="shared" si="23"/>
        <v>0</v>
      </c>
      <c r="K27" s="210"/>
      <c r="L27" s="210"/>
      <c r="M27" s="210"/>
      <c r="N27" s="36"/>
      <c r="O27" s="36">
        <v>-5</v>
      </c>
      <c r="P27" s="31">
        <f t="shared" si="6"/>
        <v>-5</v>
      </c>
      <c r="Q27" s="36">
        <v>5</v>
      </c>
      <c r="R27" s="167">
        <v>0</v>
      </c>
      <c r="S27" s="36"/>
      <c r="T27" s="34">
        <f t="shared" si="7"/>
        <v>-124000</v>
      </c>
      <c r="U27" s="31">
        <f t="shared" si="8"/>
        <v>0</v>
      </c>
      <c r="V27" s="34">
        <f t="shared" si="9"/>
        <v>-124000</v>
      </c>
      <c r="W27" s="43">
        <v>24800</v>
      </c>
      <c r="X27" s="34">
        <f t="shared" si="10"/>
        <v>10386.432000000001</v>
      </c>
      <c r="Y27" s="34">
        <f t="shared" si="11"/>
        <v>-51932.160000000003</v>
      </c>
      <c r="Z27" s="34">
        <f t="shared" si="12"/>
        <v>0</v>
      </c>
      <c r="AA27" s="48">
        <v>0</v>
      </c>
      <c r="AB27" s="36"/>
      <c r="AC27" s="204">
        <f t="shared" si="20"/>
        <v>11550</v>
      </c>
      <c r="AD27" s="152">
        <v>0.1</v>
      </c>
      <c r="AE27" s="31">
        <f t="shared" si="27"/>
        <v>-9500</v>
      </c>
      <c r="AF27" s="28">
        <f t="shared" si="14"/>
        <v>0.17661290322580647</v>
      </c>
      <c r="AG27" s="34">
        <f t="shared" si="15"/>
        <v>-21899.970000000005</v>
      </c>
      <c r="AH27" s="34">
        <f t="shared" si="16"/>
        <v>-5016.7869999999994</v>
      </c>
      <c r="AI27" s="34">
        <f t="shared" si="17"/>
        <v>-45151.082999999999</v>
      </c>
      <c r="AJ27" s="46">
        <f t="shared" si="18"/>
        <v>-45151.082999999999</v>
      </c>
      <c r="AK27" s="40">
        <v>42</v>
      </c>
      <c r="AL27" s="41">
        <f t="shared" si="19"/>
        <v>54.096000000000004</v>
      </c>
      <c r="AM27" s="36">
        <v>9</v>
      </c>
      <c r="AN27" s="284">
        <v>0</v>
      </c>
      <c r="AO27" s="26"/>
      <c r="AP27" s="26"/>
      <c r="AQ27" s="27"/>
      <c r="AR27" s="27"/>
      <c r="AS27" s="27"/>
      <c r="AT27" s="27"/>
      <c r="AU27" s="27"/>
      <c r="AV27" s="27"/>
      <c r="AW27" s="26"/>
      <c r="AX27" s="26"/>
      <c r="AY27" s="26"/>
      <c r="AZ27" s="26"/>
      <c r="BA27" s="26"/>
      <c r="BB27" s="26"/>
      <c r="BC27" s="26"/>
      <c r="BD27" s="26"/>
      <c r="BE27" s="26"/>
      <c r="BF27" s="26"/>
      <c r="BG27" s="26"/>
      <c r="BH27" s="26"/>
      <c r="BI27" s="26"/>
    </row>
    <row r="28" spans="1:61" ht="28.5" customHeight="1">
      <c r="A28" s="26"/>
      <c r="B28" s="200"/>
      <c r="C28" s="42" t="s">
        <v>119</v>
      </c>
      <c r="D28" s="28">
        <f t="shared" si="0"/>
        <v>0.31209389400921661</v>
      </c>
      <c r="E28" s="297">
        <v>0.45600000000000002</v>
      </c>
      <c r="F28" s="30">
        <f t="shared" si="1"/>
        <v>0.14390610599078343</v>
      </c>
      <c r="G28" s="30">
        <f t="shared" si="2"/>
        <v>0.20454545454545456</v>
      </c>
      <c r="H28" s="48"/>
      <c r="I28" s="48">
        <f t="shared" si="3"/>
        <v>0</v>
      </c>
      <c r="J28" s="48">
        <f t="shared" si="23"/>
        <v>0</v>
      </c>
      <c r="K28" s="210"/>
      <c r="L28" s="210"/>
      <c r="M28" s="210"/>
      <c r="N28" s="36"/>
      <c r="O28" s="36">
        <v>17</v>
      </c>
      <c r="P28" s="31">
        <f t="shared" si="6"/>
        <v>14</v>
      </c>
      <c r="Q28" s="36">
        <v>2</v>
      </c>
      <c r="R28" s="167">
        <v>9</v>
      </c>
      <c r="S28" s="36">
        <v>3</v>
      </c>
      <c r="T28" s="34">
        <f t="shared" si="7"/>
        <v>421600</v>
      </c>
      <c r="U28" s="31">
        <f t="shared" si="8"/>
        <v>74400</v>
      </c>
      <c r="V28" s="34">
        <f t="shared" si="9"/>
        <v>347200</v>
      </c>
      <c r="W28" s="43">
        <v>24800</v>
      </c>
      <c r="X28" s="34">
        <f t="shared" si="10"/>
        <v>7666.1760000000013</v>
      </c>
      <c r="Y28" s="34">
        <f t="shared" si="11"/>
        <v>107326.46400000002</v>
      </c>
      <c r="Z28" s="34">
        <f t="shared" si="12"/>
        <v>45344.200000000004</v>
      </c>
      <c r="AA28" s="48">
        <v>41222</v>
      </c>
      <c r="AB28" s="286">
        <f>((24800*0.1)+(24800*0.015)+2100+2750)*3</f>
        <v>23106</v>
      </c>
      <c r="AC28" s="204">
        <f t="shared" si="20"/>
        <v>4620</v>
      </c>
      <c r="AD28" s="152">
        <v>0.108</v>
      </c>
      <c r="AE28" s="31">
        <f t="shared" si="27"/>
        <v>32300</v>
      </c>
      <c r="AF28" s="28">
        <f t="shared" si="14"/>
        <v>0.2010299539170507</v>
      </c>
      <c r="AG28" s="34">
        <f t="shared" si="15"/>
        <v>69797.63</v>
      </c>
      <c r="AH28" s="34">
        <f t="shared" si="16"/>
        <v>17007.590599999996</v>
      </c>
      <c r="AI28" s="34">
        <f t="shared" si="17"/>
        <v>153068.31539999996</v>
      </c>
      <c r="AJ28" s="46">
        <f t="shared" si="18"/>
        <v>107724.11539999995</v>
      </c>
      <c r="AK28" s="40">
        <v>31</v>
      </c>
      <c r="AL28" s="41">
        <f t="shared" si="19"/>
        <v>39.928000000000004</v>
      </c>
      <c r="AM28" s="36">
        <v>7590</v>
      </c>
      <c r="AN28" s="284">
        <v>44</v>
      </c>
      <c r="AO28" s="26"/>
      <c r="AP28" s="26"/>
      <c r="AQ28" s="27"/>
      <c r="AR28" s="27"/>
      <c r="AS28" s="27"/>
      <c r="AT28" s="27"/>
      <c r="AU28" s="27"/>
      <c r="AV28" s="27"/>
      <c r="AW28" s="26"/>
      <c r="AX28" s="26"/>
      <c r="AY28" s="26"/>
      <c r="AZ28" s="26"/>
      <c r="BA28" s="26"/>
      <c r="BB28" s="26"/>
      <c r="BC28" s="26"/>
      <c r="BD28" s="26"/>
      <c r="BE28" s="26"/>
      <c r="BF28" s="26"/>
      <c r="BG28" s="26"/>
      <c r="BH28" s="26"/>
      <c r="BI28" s="26"/>
    </row>
    <row r="29" spans="1:61" ht="28.5" customHeight="1">
      <c r="A29" s="26"/>
      <c r="B29" s="200"/>
      <c r="C29" s="239" t="s">
        <v>120</v>
      </c>
      <c r="D29" s="28">
        <f t="shared" si="0"/>
        <v>0.16953517587939693</v>
      </c>
      <c r="E29" s="297">
        <v>0.41299999999999998</v>
      </c>
      <c r="F29" s="30">
        <f t="shared" si="1"/>
        <v>0.24346482412060305</v>
      </c>
      <c r="G29" s="30">
        <f t="shared" si="2"/>
        <v>0</v>
      </c>
      <c r="H29" s="48"/>
      <c r="I29" s="48">
        <f t="shared" si="3"/>
        <v>0</v>
      </c>
      <c r="J29" s="48">
        <f t="shared" si="23"/>
        <v>0</v>
      </c>
      <c r="K29" s="210"/>
      <c r="L29" s="210"/>
      <c r="M29" s="210"/>
      <c r="N29" s="36"/>
      <c r="O29" s="36">
        <v>1</v>
      </c>
      <c r="P29" s="31">
        <f t="shared" si="6"/>
        <v>1</v>
      </c>
      <c r="Q29" s="36">
        <v>0</v>
      </c>
      <c r="R29" s="167"/>
      <c r="S29" s="36"/>
      <c r="T29" s="34">
        <f t="shared" si="7"/>
        <v>39800</v>
      </c>
      <c r="U29" s="31">
        <f t="shared" si="8"/>
        <v>0</v>
      </c>
      <c r="V29" s="34">
        <f t="shared" si="9"/>
        <v>39800</v>
      </c>
      <c r="W29" s="43">
        <v>39800</v>
      </c>
      <c r="X29" s="34">
        <f t="shared" si="10"/>
        <v>7666.1760000000013</v>
      </c>
      <c r="Y29" s="34">
        <f t="shared" si="11"/>
        <v>7666.1760000000013</v>
      </c>
      <c r="Z29" s="34">
        <f t="shared" si="12"/>
        <v>9689.9000000000015</v>
      </c>
      <c r="AA29" s="48">
        <v>8809</v>
      </c>
      <c r="AB29" s="286"/>
      <c r="AC29" s="204">
        <f t="shared" si="20"/>
        <v>0</v>
      </c>
      <c r="AD29" s="152">
        <v>0.108</v>
      </c>
      <c r="AE29" s="31">
        <f t="shared" si="27"/>
        <v>1900</v>
      </c>
      <c r="AF29" s="28">
        <f t="shared" si="14"/>
        <v>0.15573869346733668</v>
      </c>
      <c r="AG29" s="34">
        <f t="shared" si="15"/>
        <v>6198.4299999999994</v>
      </c>
      <c r="AH29" s="34">
        <f t="shared" si="16"/>
        <v>2593.5393999999997</v>
      </c>
      <c r="AI29" s="34">
        <f t="shared" si="17"/>
        <v>23341.854599999999</v>
      </c>
      <c r="AJ29" s="46">
        <f t="shared" si="18"/>
        <v>13651.954599999997</v>
      </c>
      <c r="AK29" s="40">
        <v>31</v>
      </c>
      <c r="AL29" s="41">
        <f t="shared" si="19"/>
        <v>39.928000000000004</v>
      </c>
      <c r="AM29" s="36">
        <v>7590</v>
      </c>
      <c r="AN29" s="284">
        <v>44</v>
      </c>
      <c r="AO29" s="26"/>
      <c r="AP29" s="26"/>
      <c r="AQ29" s="27"/>
      <c r="AR29" s="27"/>
      <c r="AS29" s="27"/>
      <c r="AT29" s="27"/>
      <c r="AU29" s="27"/>
      <c r="AV29" s="27"/>
      <c r="AW29" s="26"/>
      <c r="AX29" s="26"/>
      <c r="AY29" s="26"/>
      <c r="AZ29" s="26"/>
      <c r="BA29" s="26"/>
      <c r="BB29" s="26"/>
      <c r="BC29" s="26"/>
      <c r="BD29" s="26"/>
      <c r="BE29" s="26"/>
      <c r="BF29" s="26"/>
      <c r="BG29" s="26"/>
      <c r="BH29" s="26"/>
      <c r="BI29" s="26"/>
    </row>
    <row r="30" spans="1:61" ht="28.5" customHeight="1">
      <c r="A30" s="26"/>
      <c r="B30" s="216"/>
      <c r="C30" s="217"/>
      <c r="D30" s="298">
        <f>AJ30/V30</f>
        <v>0.17001249373705118</v>
      </c>
      <c r="E30" s="298">
        <f>AI30/V30</f>
        <v>0.38092152708668242</v>
      </c>
      <c r="F30" s="52">
        <f>(Z30)/V30</f>
        <v>0.1915855936346913</v>
      </c>
      <c r="G30" s="219"/>
      <c r="H30" s="55"/>
      <c r="I30" s="55"/>
      <c r="J30" s="55"/>
      <c r="K30" s="55"/>
      <c r="L30" s="55"/>
      <c r="M30" s="55"/>
      <c r="N30" s="130"/>
      <c r="O30" s="130">
        <f t="shared" ref="O30:V30" si="28">SUM(O7:O29)</f>
        <v>495</v>
      </c>
      <c r="P30" s="130">
        <f t="shared" si="28"/>
        <v>477</v>
      </c>
      <c r="Q30" s="130">
        <f t="shared" si="28"/>
        <v>70</v>
      </c>
      <c r="R30" s="130">
        <f t="shared" si="28"/>
        <v>278</v>
      </c>
      <c r="S30" s="130">
        <f t="shared" si="28"/>
        <v>18</v>
      </c>
      <c r="T30" s="130">
        <f t="shared" si="28"/>
        <v>11998940</v>
      </c>
      <c r="U30" s="130">
        <f t="shared" si="28"/>
        <v>627300</v>
      </c>
      <c r="V30" s="130">
        <f t="shared" si="28"/>
        <v>11371640</v>
      </c>
      <c r="W30" s="55"/>
      <c r="X30" s="130">
        <f t="shared" ref="X30:AC30" si="29">SUM(X7:X29)</f>
        <v>338894.43839999987</v>
      </c>
      <c r="Y30" s="130">
        <f t="shared" si="29"/>
        <v>4013564.6207999992</v>
      </c>
      <c r="Z30" s="130">
        <f t="shared" si="29"/>
        <v>2178642.4000000008</v>
      </c>
      <c r="AA30" s="130">
        <f t="shared" si="29"/>
        <v>1980584</v>
      </c>
      <c r="AB30" s="130">
        <f t="shared" si="29"/>
        <v>219739.2</v>
      </c>
      <c r="AC30" s="130">
        <f t="shared" si="29"/>
        <v>160182</v>
      </c>
      <c r="AD30" s="154">
        <v>0.09</v>
      </c>
      <c r="AE30" s="130">
        <f>SUM(AE7:AE29)</f>
        <v>1521625</v>
      </c>
      <c r="AF30" s="53">
        <f t="shared" si="14"/>
        <v>0.22380875581710288</v>
      </c>
      <c r="AG30" s="56">
        <f t="shared" si="15"/>
        <v>2545072.6299999994</v>
      </c>
      <c r="AH30" s="56">
        <f t="shared" si="16"/>
        <v>481300.27492000011</v>
      </c>
      <c r="AI30" s="56">
        <f t="shared" si="17"/>
        <v>4331702.4742800016</v>
      </c>
      <c r="AJ30" s="46">
        <f>AI30-Z30-AB30</f>
        <v>1933320.8742800008</v>
      </c>
      <c r="AK30" s="54"/>
      <c r="AL30" s="222"/>
      <c r="AM30" s="131">
        <f t="shared" ref="AM30:AN30" si="30">SUM(AM7:AM8)</f>
        <v>305281</v>
      </c>
      <c r="AN30" s="132">
        <f t="shared" si="30"/>
        <v>1261</v>
      </c>
      <c r="AO30" s="26"/>
      <c r="AP30" s="26"/>
      <c r="AQ30" s="27"/>
      <c r="AR30" s="27"/>
      <c r="AS30" s="27"/>
      <c r="AT30" s="27"/>
      <c r="AU30" s="27"/>
      <c r="AV30" s="27"/>
      <c r="AW30" s="26"/>
      <c r="AX30" s="26"/>
      <c r="AY30" s="26"/>
      <c r="AZ30" s="26"/>
      <c r="BA30" s="26"/>
      <c r="BB30" s="26"/>
      <c r="BC30" s="26"/>
      <c r="BD30" s="26"/>
      <c r="BE30" s="26"/>
      <c r="BF30" s="26"/>
      <c r="BG30" s="26"/>
      <c r="BH30" s="26"/>
      <c r="BI30" s="26"/>
    </row>
    <row r="31" spans="1:61" ht="28.5" customHeight="1">
      <c r="A31" s="1"/>
      <c r="B31" s="290"/>
      <c r="C31" s="291"/>
      <c r="D31" s="2"/>
      <c r="E31" s="2"/>
      <c r="F31" s="2"/>
      <c r="G31" s="2"/>
      <c r="H31" s="2"/>
      <c r="I31" s="2"/>
      <c r="J31" s="2"/>
      <c r="K31" s="2"/>
      <c r="L31" s="2"/>
      <c r="M31" s="2"/>
      <c r="N31" s="292"/>
      <c r="O31" s="292"/>
      <c r="P31" s="2"/>
      <c r="Q31" s="2"/>
      <c r="R31" s="2"/>
      <c r="S31" s="293"/>
      <c r="T31" s="2"/>
      <c r="U31" s="2"/>
      <c r="V31" s="2"/>
      <c r="W31" s="2"/>
      <c r="X31" s="2"/>
      <c r="Y31" s="2"/>
      <c r="Z31" s="2"/>
      <c r="AA31" s="2"/>
      <c r="AB31" s="2"/>
      <c r="AC31" s="2"/>
      <c r="AD31" s="2"/>
      <c r="AE31" s="2"/>
      <c r="AF31" s="1"/>
      <c r="AG31" s="1"/>
      <c r="AH31" s="1"/>
      <c r="AI31" s="1"/>
      <c r="AJ31" s="1"/>
      <c r="AK31" s="1"/>
      <c r="AL31" s="1"/>
      <c r="AM31" s="1"/>
      <c r="AN31" s="1"/>
      <c r="AO31" s="1"/>
      <c r="AP31" s="1"/>
      <c r="AQ31" s="1"/>
      <c r="AR31" s="1"/>
      <c r="AS31" s="1"/>
      <c r="AT31" s="7"/>
      <c r="AU31" s="7"/>
      <c r="AV31" s="7"/>
      <c r="AW31" s="47"/>
      <c r="AX31" s="47"/>
      <c r="AY31" s="47"/>
      <c r="AZ31" s="47"/>
      <c r="BA31" s="47"/>
      <c r="BB31" s="47"/>
      <c r="BC31" s="47"/>
      <c r="BD31" s="47"/>
      <c r="BE31" s="47"/>
      <c r="BF31" s="47"/>
      <c r="BG31" s="47"/>
      <c r="BH31" s="47"/>
      <c r="BI31" s="47"/>
    </row>
    <row r="32" spans="1:61" ht="28.5" customHeight="1">
      <c r="A32" s="26"/>
      <c r="B32" s="189"/>
      <c r="C32" s="134">
        <v>45871</v>
      </c>
      <c r="D32" s="190" t="s">
        <v>0</v>
      </c>
      <c r="E32" s="190" t="s">
        <v>1</v>
      </c>
      <c r="F32" s="190" t="s">
        <v>2</v>
      </c>
      <c r="G32" s="190" t="s">
        <v>3</v>
      </c>
      <c r="H32" s="191" t="s">
        <v>4</v>
      </c>
      <c r="I32" s="192" t="s">
        <v>5</v>
      </c>
      <c r="J32" s="192" t="s">
        <v>90</v>
      </c>
      <c r="K32" s="193"/>
      <c r="L32" s="193" t="s">
        <v>6</v>
      </c>
      <c r="M32" s="194" t="s">
        <v>7</v>
      </c>
      <c r="N32" s="123"/>
      <c r="O32" s="123" t="s">
        <v>8</v>
      </c>
      <c r="P32" s="123" t="s">
        <v>9</v>
      </c>
      <c r="Q32" s="15" t="s">
        <v>10</v>
      </c>
      <c r="R32" s="123" t="s">
        <v>92</v>
      </c>
      <c r="S32" s="196" t="s">
        <v>11</v>
      </c>
      <c r="T32" s="17" t="s">
        <v>12</v>
      </c>
      <c r="U32" s="17" t="s">
        <v>13</v>
      </c>
      <c r="V32" s="17" t="s">
        <v>14</v>
      </c>
      <c r="W32" s="17" t="s">
        <v>15</v>
      </c>
      <c r="X32" s="17" t="s">
        <v>16</v>
      </c>
      <c r="Y32" s="17" t="s">
        <v>17</v>
      </c>
      <c r="Z32" s="19" t="s">
        <v>18</v>
      </c>
      <c r="AA32" s="19" t="s">
        <v>19</v>
      </c>
      <c r="AB32" s="20" t="s">
        <v>20</v>
      </c>
      <c r="AC32" s="22" t="s">
        <v>93</v>
      </c>
      <c r="AD32" s="197" t="s">
        <v>21</v>
      </c>
      <c r="AE32" s="21" t="s">
        <v>22</v>
      </c>
      <c r="AF32" s="23" t="s">
        <v>23</v>
      </c>
      <c r="AG32" s="23" t="s">
        <v>21</v>
      </c>
      <c r="AH32" s="23" t="s">
        <v>24</v>
      </c>
      <c r="AI32" s="24" t="s">
        <v>26</v>
      </c>
      <c r="AJ32" s="23" t="s">
        <v>27</v>
      </c>
      <c r="AK32" s="21" t="s">
        <v>147</v>
      </c>
      <c r="AL32" s="282" t="s">
        <v>148</v>
      </c>
      <c r="AM32" s="124" t="s">
        <v>94</v>
      </c>
      <c r="AN32" s="125" t="s">
        <v>95</v>
      </c>
      <c r="AO32" s="26"/>
      <c r="AP32" s="26"/>
      <c r="AQ32" s="27"/>
      <c r="AR32" s="27"/>
      <c r="AS32" s="27"/>
      <c r="AT32" s="27"/>
      <c r="AU32" s="27"/>
      <c r="AV32" s="27"/>
      <c r="AW32" s="26"/>
      <c r="AX32" s="26"/>
      <c r="AY32" s="26"/>
      <c r="AZ32" s="26"/>
      <c r="BA32" s="26"/>
      <c r="BB32" s="26"/>
      <c r="BC32" s="26"/>
      <c r="BD32" s="26"/>
      <c r="BE32" s="26"/>
      <c r="BF32" s="26"/>
      <c r="BG32" s="26"/>
      <c r="BH32" s="26"/>
      <c r="BI32" s="26"/>
    </row>
    <row r="33" spans="1:61" ht="28.5" customHeight="1">
      <c r="A33" s="26"/>
      <c r="B33" s="200"/>
      <c r="C33" s="42" t="s">
        <v>107</v>
      </c>
      <c r="D33" s="28">
        <f t="shared" ref="D33:D55" si="31">E33-F33</f>
        <v>0.13149793354722933</v>
      </c>
      <c r="E33" s="201">
        <v>0.39700000000000002</v>
      </c>
      <c r="F33" s="30">
        <f t="shared" ref="F33:F55" si="32">(Z33+AC33)/V33</f>
        <v>0.26550206645277069</v>
      </c>
      <c r="G33" s="30">
        <f t="shared" ref="G33:G55" si="33">R33/AN33</f>
        <v>6.9797782126549246E-2</v>
      </c>
      <c r="H33" s="48"/>
      <c r="I33" s="48"/>
      <c r="J33" s="48"/>
      <c r="K33" s="48"/>
      <c r="L33" s="48"/>
      <c r="M33" s="48"/>
      <c r="N33" s="36"/>
      <c r="O33" s="36">
        <v>140</v>
      </c>
      <c r="P33" s="31">
        <f t="shared" ref="P33:P55" si="34">O33-S33</f>
        <v>140</v>
      </c>
      <c r="Q33" s="36">
        <v>13</v>
      </c>
      <c r="R33" s="167">
        <v>107</v>
      </c>
      <c r="S33" s="36"/>
      <c r="T33" s="34">
        <f t="shared" ref="T33:T55" si="35">W33*O33</f>
        <v>3677800</v>
      </c>
      <c r="U33" s="31">
        <f t="shared" ref="U33:U55" si="36">W33*S33</f>
        <v>0</v>
      </c>
      <c r="V33" s="34">
        <f t="shared" ref="V33:V55" si="37">T33-U33</f>
        <v>3677800</v>
      </c>
      <c r="W33" s="43">
        <v>26270</v>
      </c>
      <c r="X33" s="34">
        <f t="shared" ref="X33:X55" si="38">AL33*$A$2</f>
        <v>9891.84</v>
      </c>
      <c r="Y33" s="34">
        <f t="shared" ref="Y33:Y55" si="39">X33*P33</f>
        <v>1384857.6000000001</v>
      </c>
      <c r="Z33" s="34">
        <f t="shared" ref="Z33:Z55" si="40">AA33*1.1</f>
        <v>948227.50000000012</v>
      </c>
      <c r="AA33" s="48">
        <v>862025</v>
      </c>
      <c r="AB33" s="36"/>
      <c r="AC33" s="204">
        <f t="shared" ref="AC33:AC34" si="41">(1072+1100)*Q33</f>
        <v>28236</v>
      </c>
      <c r="AD33" s="152">
        <v>0.1</v>
      </c>
      <c r="AE33" s="31">
        <f>3050*(P33+S33)</f>
        <v>427000</v>
      </c>
      <c r="AF33" s="28">
        <f t="shared" ref="AF33:AF56" si="42">AD33+(AE33/V33)</f>
        <v>0.2161020175104682</v>
      </c>
      <c r="AG33" s="34">
        <f t="shared" ref="AG33:AG56" si="43">V33*AF33+3%</f>
        <v>794780.03</v>
      </c>
      <c r="AH33" s="34">
        <f t="shared" ref="AH33:AH56" si="44">(V33)*10%-(Y33+AG33)*10%</f>
        <v>149816.23699999999</v>
      </c>
      <c r="AI33" s="34">
        <f t="shared" ref="AI33:AI56" si="45">V33-(Y33+AG33+AH33)</f>
        <v>1348346.1329999999</v>
      </c>
      <c r="AJ33" s="46">
        <f t="shared" ref="AJ33:AJ55" si="46">AI33-Z33</f>
        <v>400118.6329999998</v>
      </c>
      <c r="AK33" s="40">
        <v>40</v>
      </c>
      <c r="AL33" s="41">
        <f t="shared" ref="AL33:AL55" si="47">(AK33*1.15)*1.12</f>
        <v>51.52</v>
      </c>
      <c r="AM33" s="36">
        <v>403732</v>
      </c>
      <c r="AN33" s="284">
        <v>1533</v>
      </c>
      <c r="AO33" s="26"/>
      <c r="AP33" s="26"/>
      <c r="AQ33" s="27"/>
      <c r="AR33" s="27"/>
      <c r="AS33" s="27"/>
      <c r="AT33" s="27"/>
      <c r="AU33" s="27"/>
      <c r="AV33" s="27"/>
      <c r="AW33" s="26"/>
      <c r="AX33" s="26"/>
      <c r="AY33" s="26"/>
      <c r="AZ33" s="26"/>
      <c r="BA33" s="26"/>
      <c r="BB33" s="26"/>
      <c r="BC33" s="26"/>
      <c r="BD33" s="26"/>
      <c r="BE33" s="26"/>
      <c r="BF33" s="26"/>
      <c r="BG33" s="26"/>
      <c r="BH33" s="26"/>
      <c r="BI33" s="26"/>
    </row>
    <row r="34" spans="1:61" ht="28.5" customHeight="1">
      <c r="A34" s="26"/>
      <c r="B34" s="200"/>
      <c r="C34" s="42" t="s">
        <v>108</v>
      </c>
      <c r="D34" s="28" t="e">
        <f t="shared" si="31"/>
        <v>#DIV/0!</v>
      </c>
      <c r="E34" s="201">
        <v>0.379</v>
      </c>
      <c r="F34" s="30" t="e">
        <f t="shared" si="32"/>
        <v>#DIV/0!</v>
      </c>
      <c r="G34" s="30">
        <f t="shared" si="33"/>
        <v>0</v>
      </c>
      <c r="H34" s="48"/>
      <c r="I34" s="48"/>
      <c r="J34" s="48"/>
      <c r="K34" s="210"/>
      <c r="L34" s="210"/>
      <c r="M34" s="210"/>
      <c r="N34" s="36"/>
      <c r="O34" s="36">
        <v>0</v>
      </c>
      <c r="P34" s="31">
        <f t="shared" si="34"/>
        <v>0</v>
      </c>
      <c r="Q34" s="36">
        <v>0</v>
      </c>
      <c r="R34" s="167">
        <v>0</v>
      </c>
      <c r="S34" s="36"/>
      <c r="T34" s="34">
        <f t="shared" si="35"/>
        <v>0</v>
      </c>
      <c r="U34" s="31">
        <f t="shared" si="36"/>
        <v>0</v>
      </c>
      <c r="V34" s="34">
        <f t="shared" si="37"/>
        <v>0</v>
      </c>
      <c r="W34" s="43">
        <v>22900</v>
      </c>
      <c r="X34" s="34">
        <f t="shared" si="38"/>
        <v>7913.4719999999998</v>
      </c>
      <c r="Y34" s="34">
        <f t="shared" si="39"/>
        <v>0</v>
      </c>
      <c r="Z34" s="34">
        <f t="shared" si="40"/>
        <v>2622.4</v>
      </c>
      <c r="AA34" s="48">
        <v>2384</v>
      </c>
      <c r="AB34" s="36"/>
      <c r="AC34" s="204">
        <f t="shared" si="41"/>
        <v>0</v>
      </c>
      <c r="AD34" s="152">
        <v>0.1</v>
      </c>
      <c r="AE34" s="31">
        <f>2950*(P34+S34)</f>
        <v>0</v>
      </c>
      <c r="AF34" s="28" t="e">
        <f t="shared" si="42"/>
        <v>#DIV/0!</v>
      </c>
      <c r="AG34" s="34" t="e">
        <f t="shared" si="43"/>
        <v>#DIV/0!</v>
      </c>
      <c r="AH34" s="34" t="e">
        <f t="shared" si="44"/>
        <v>#DIV/0!</v>
      </c>
      <c r="AI34" s="34" t="e">
        <f t="shared" si="45"/>
        <v>#DIV/0!</v>
      </c>
      <c r="AJ34" s="46" t="e">
        <f t="shared" si="46"/>
        <v>#DIV/0!</v>
      </c>
      <c r="AK34" s="40">
        <v>32</v>
      </c>
      <c r="AL34" s="41">
        <f t="shared" si="47"/>
        <v>41.216000000000001</v>
      </c>
      <c r="AM34" s="36">
        <v>28149</v>
      </c>
      <c r="AN34" s="284">
        <v>26</v>
      </c>
      <c r="AO34" s="26"/>
      <c r="AP34" s="26"/>
      <c r="AQ34" s="27"/>
      <c r="AR34" s="27"/>
      <c r="AS34" s="27"/>
      <c r="AT34" s="27"/>
      <c r="AU34" s="27"/>
      <c r="AV34" s="27"/>
      <c r="AW34" s="26"/>
      <c r="AX34" s="26"/>
      <c r="AY34" s="26"/>
      <c r="AZ34" s="26"/>
      <c r="BA34" s="26"/>
      <c r="BB34" s="26"/>
      <c r="BC34" s="26"/>
      <c r="BD34" s="26"/>
      <c r="BE34" s="26"/>
      <c r="BF34" s="26"/>
      <c r="BG34" s="26"/>
      <c r="BH34" s="26"/>
      <c r="BI34" s="26"/>
    </row>
    <row r="35" spans="1:61" ht="28.5" customHeight="1">
      <c r="A35" s="336"/>
      <c r="B35" s="323"/>
      <c r="C35" s="42" t="s">
        <v>109</v>
      </c>
      <c r="D35" s="28">
        <f t="shared" si="31"/>
        <v>0.28813813813813816</v>
      </c>
      <c r="E35" s="201">
        <v>0.373</v>
      </c>
      <c r="F35" s="30">
        <f t="shared" si="32"/>
        <v>8.486186186186187E-2</v>
      </c>
      <c r="G35" s="30">
        <f t="shared" si="33"/>
        <v>8.1632653061224483E-2</v>
      </c>
      <c r="H35" s="48"/>
      <c r="I35" s="48"/>
      <c r="J35" s="48"/>
      <c r="K35" s="48"/>
      <c r="L35" s="334"/>
      <c r="M35" s="48"/>
      <c r="N35" s="36"/>
      <c r="O35" s="36">
        <v>6</v>
      </c>
      <c r="P35" s="31">
        <f t="shared" si="34"/>
        <v>6</v>
      </c>
      <c r="Q35" s="36">
        <v>0</v>
      </c>
      <c r="R35" s="167">
        <v>4</v>
      </c>
      <c r="S35" s="36"/>
      <c r="T35" s="34">
        <f t="shared" si="35"/>
        <v>266400</v>
      </c>
      <c r="U35" s="31">
        <f t="shared" si="36"/>
        <v>0</v>
      </c>
      <c r="V35" s="34">
        <f t="shared" si="37"/>
        <v>266400</v>
      </c>
      <c r="W35" s="43">
        <v>44400</v>
      </c>
      <c r="X35" s="34">
        <f t="shared" si="38"/>
        <v>16989.235200000003</v>
      </c>
      <c r="Y35" s="34">
        <f t="shared" si="39"/>
        <v>101935.41120000002</v>
      </c>
      <c r="Z35" s="34">
        <f t="shared" si="40"/>
        <v>22607.200000000001</v>
      </c>
      <c r="AA35" s="48">
        <v>20552</v>
      </c>
      <c r="AB35" s="36"/>
      <c r="AC35" s="204">
        <f t="shared" ref="AC35:AC55" si="48">(1210+1100)*Q35</f>
        <v>0</v>
      </c>
      <c r="AD35" s="152">
        <v>0.11</v>
      </c>
      <c r="AE35" s="31">
        <f t="shared" ref="AE35:AE36" si="49">4150*(P35+S35)</f>
        <v>24900</v>
      </c>
      <c r="AF35" s="28">
        <f t="shared" si="42"/>
        <v>0.20346846846846847</v>
      </c>
      <c r="AG35" s="34">
        <f t="shared" si="43"/>
        <v>54204.03</v>
      </c>
      <c r="AH35" s="34">
        <f t="shared" si="44"/>
        <v>11026.05588</v>
      </c>
      <c r="AI35" s="34">
        <f t="shared" si="45"/>
        <v>99234.502919999999</v>
      </c>
      <c r="AJ35" s="46">
        <f t="shared" si="46"/>
        <v>76627.302920000002</v>
      </c>
      <c r="AK35" s="40">
        <v>68.7</v>
      </c>
      <c r="AL35" s="41">
        <f t="shared" si="47"/>
        <v>88.485600000000005</v>
      </c>
      <c r="AM35" s="36">
        <v>34916</v>
      </c>
      <c r="AN35" s="284">
        <v>49</v>
      </c>
      <c r="AO35" s="26"/>
      <c r="AP35" s="26"/>
      <c r="AQ35" s="27"/>
      <c r="AR35" s="27"/>
      <c r="AS35" s="27"/>
      <c r="AT35" s="27"/>
      <c r="AU35" s="27"/>
      <c r="AV35" s="27"/>
      <c r="AW35" s="26"/>
      <c r="AX35" s="26"/>
      <c r="AY35" s="26"/>
      <c r="AZ35" s="26"/>
      <c r="BA35" s="26"/>
      <c r="BB35" s="26"/>
      <c r="BC35" s="26"/>
      <c r="BD35" s="26"/>
      <c r="BE35" s="26"/>
      <c r="BF35" s="26"/>
      <c r="BG35" s="26"/>
      <c r="BH35" s="26"/>
      <c r="BI35" s="26"/>
    </row>
    <row r="36" spans="1:61" ht="28.5" customHeight="1">
      <c r="A36" s="311"/>
      <c r="B36" s="324"/>
      <c r="C36" s="42" t="s">
        <v>110</v>
      </c>
      <c r="D36" s="28" t="e">
        <f t="shared" si="31"/>
        <v>#DIV/0!</v>
      </c>
      <c r="E36" s="201">
        <v>0.29499999999999998</v>
      </c>
      <c r="F36" s="30" t="e">
        <f t="shared" si="32"/>
        <v>#DIV/0!</v>
      </c>
      <c r="G36" s="30">
        <f t="shared" si="33"/>
        <v>1.4084507042253521E-2</v>
      </c>
      <c r="H36" s="48"/>
      <c r="I36" s="48"/>
      <c r="J36" s="48"/>
      <c r="K36" s="48"/>
      <c r="L36" s="310"/>
      <c r="M36" s="48"/>
      <c r="N36" s="36"/>
      <c r="O36" s="36">
        <v>0</v>
      </c>
      <c r="P36" s="31">
        <f t="shared" si="34"/>
        <v>0</v>
      </c>
      <c r="Q36" s="36">
        <v>3</v>
      </c>
      <c r="R36" s="167">
        <v>1</v>
      </c>
      <c r="S36" s="36"/>
      <c r="T36" s="34">
        <f t="shared" si="35"/>
        <v>0</v>
      </c>
      <c r="U36" s="31">
        <f t="shared" si="36"/>
        <v>0</v>
      </c>
      <c r="V36" s="34">
        <f t="shared" si="37"/>
        <v>0</v>
      </c>
      <c r="W36" s="43">
        <v>46800</v>
      </c>
      <c r="X36" s="34">
        <f t="shared" si="38"/>
        <v>22182.451200000003</v>
      </c>
      <c r="Y36" s="34">
        <f t="shared" si="39"/>
        <v>0</v>
      </c>
      <c r="Z36" s="34">
        <f t="shared" si="40"/>
        <v>34970.100000000006</v>
      </c>
      <c r="AA36" s="48">
        <v>31791</v>
      </c>
      <c r="AB36" s="36"/>
      <c r="AC36" s="204">
        <f t="shared" si="48"/>
        <v>6930</v>
      </c>
      <c r="AD36" s="152">
        <v>0.11</v>
      </c>
      <c r="AE36" s="31">
        <f t="shared" si="49"/>
        <v>0</v>
      </c>
      <c r="AF36" s="28" t="e">
        <f t="shared" si="42"/>
        <v>#DIV/0!</v>
      </c>
      <c r="AG36" s="34" t="e">
        <f t="shared" si="43"/>
        <v>#DIV/0!</v>
      </c>
      <c r="AH36" s="34" t="e">
        <f t="shared" si="44"/>
        <v>#DIV/0!</v>
      </c>
      <c r="AI36" s="34" t="e">
        <f t="shared" si="45"/>
        <v>#DIV/0!</v>
      </c>
      <c r="AJ36" s="46" t="e">
        <f t="shared" si="46"/>
        <v>#DIV/0!</v>
      </c>
      <c r="AK36" s="40">
        <v>89.7</v>
      </c>
      <c r="AL36" s="41">
        <f t="shared" si="47"/>
        <v>115.53360000000001</v>
      </c>
      <c r="AM36" s="36">
        <v>40135</v>
      </c>
      <c r="AN36" s="284">
        <v>71</v>
      </c>
      <c r="AO36" s="26"/>
      <c r="AP36" s="26"/>
      <c r="AQ36" s="27"/>
      <c r="AR36" s="27"/>
      <c r="AS36" s="27"/>
      <c r="AT36" s="27"/>
      <c r="AU36" s="27"/>
      <c r="AV36" s="27"/>
      <c r="AW36" s="26"/>
      <c r="AX36" s="26"/>
      <c r="AY36" s="26"/>
      <c r="AZ36" s="26"/>
      <c r="BA36" s="26"/>
      <c r="BB36" s="26"/>
      <c r="BC36" s="26"/>
      <c r="BD36" s="26"/>
      <c r="BE36" s="26"/>
      <c r="BF36" s="26"/>
      <c r="BG36" s="26"/>
      <c r="BH36" s="26"/>
      <c r="BI36" s="26"/>
    </row>
    <row r="37" spans="1:61" ht="28.5" customHeight="1">
      <c r="A37" s="26"/>
      <c r="B37" s="323"/>
      <c r="C37" s="42" t="s">
        <v>32</v>
      </c>
      <c r="D37" s="28">
        <f t="shared" si="31"/>
        <v>-1.5624214046822744</v>
      </c>
      <c r="E37" s="201">
        <v>0.41</v>
      </c>
      <c r="F37" s="30">
        <f t="shared" si="32"/>
        <v>1.9724214046822743</v>
      </c>
      <c r="G37" s="30">
        <f t="shared" si="33"/>
        <v>1.6304347826086956E-2</v>
      </c>
      <c r="H37" s="33"/>
      <c r="I37" s="48"/>
      <c r="J37" s="48"/>
      <c r="K37" s="48"/>
      <c r="L37" s="334"/>
      <c r="M37" s="48"/>
      <c r="N37" s="36"/>
      <c r="O37" s="36">
        <v>6</v>
      </c>
      <c r="P37" s="31">
        <f t="shared" si="34"/>
        <v>1</v>
      </c>
      <c r="Q37" s="36">
        <v>3</v>
      </c>
      <c r="R37" s="167">
        <v>3</v>
      </c>
      <c r="S37" s="36">
        <v>5</v>
      </c>
      <c r="T37" s="34">
        <f t="shared" si="35"/>
        <v>358800</v>
      </c>
      <c r="U37" s="31">
        <f t="shared" si="36"/>
        <v>299000</v>
      </c>
      <c r="V37" s="34">
        <f t="shared" si="37"/>
        <v>59800</v>
      </c>
      <c r="W37" s="43">
        <v>59800</v>
      </c>
      <c r="X37" s="34">
        <f t="shared" si="38"/>
        <v>21143.807999999997</v>
      </c>
      <c r="Y37" s="34">
        <f t="shared" si="39"/>
        <v>21143.807999999997</v>
      </c>
      <c r="Z37" s="34">
        <f t="shared" si="40"/>
        <v>111020.8</v>
      </c>
      <c r="AA37" s="48">
        <v>100928</v>
      </c>
      <c r="AB37" s="287">
        <f>((59800*0.015)+(59800*0.19)+2100+4950)*5</f>
        <v>96545</v>
      </c>
      <c r="AC37" s="204">
        <f t="shared" si="48"/>
        <v>6930</v>
      </c>
      <c r="AD37" s="152">
        <v>0.108</v>
      </c>
      <c r="AE37" s="31">
        <f t="shared" ref="AE37:AE38" si="50">4825*(P37+S37)</f>
        <v>28950</v>
      </c>
      <c r="AF37" s="28">
        <f t="shared" si="42"/>
        <v>0.59211371237458199</v>
      </c>
      <c r="AG37" s="34">
        <f t="shared" si="43"/>
        <v>35408.43</v>
      </c>
      <c r="AH37" s="34">
        <f t="shared" si="44"/>
        <v>324.77620000000024</v>
      </c>
      <c r="AI37" s="34">
        <f t="shared" si="45"/>
        <v>2922.9858000000022</v>
      </c>
      <c r="AJ37" s="46">
        <f t="shared" si="46"/>
        <v>-108097.81419999999</v>
      </c>
      <c r="AK37" s="40">
        <v>85.5</v>
      </c>
      <c r="AL37" s="41">
        <f t="shared" si="47"/>
        <v>110.124</v>
      </c>
      <c r="AM37" s="36">
        <v>25898</v>
      </c>
      <c r="AN37" s="284">
        <v>184</v>
      </c>
      <c r="AO37" s="26"/>
      <c r="AP37" s="26"/>
      <c r="AQ37" s="27"/>
      <c r="AR37" s="27"/>
      <c r="AS37" s="27"/>
      <c r="AT37" s="27"/>
      <c r="AU37" s="27"/>
      <c r="AV37" s="27"/>
      <c r="AW37" s="26"/>
      <c r="AX37" s="26"/>
      <c r="AY37" s="26"/>
      <c r="AZ37" s="26"/>
      <c r="BA37" s="26"/>
      <c r="BB37" s="26"/>
      <c r="BC37" s="26"/>
      <c r="BD37" s="26"/>
      <c r="BE37" s="26"/>
      <c r="BF37" s="26"/>
      <c r="BG37" s="26"/>
      <c r="BH37" s="26"/>
      <c r="BI37" s="26"/>
    </row>
    <row r="38" spans="1:61" ht="28.5" customHeight="1">
      <c r="A38" s="26"/>
      <c r="B38" s="333"/>
      <c r="C38" s="42" t="s">
        <v>33</v>
      </c>
      <c r="D38" s="28">
        <f t="shared" si="31"/>
        <v>7.7651382719587381E-2</v>
      </c>
      <c r="E38" s="201">
        <v>0.40100000000000002</v>
      </c>
      <c r="F38" s="30">
        <f t="shared" si="32"/>
        <v>0.32334861728041264</v>
      </c>
      <c r="G38" s="30">
        <f t="shared" si="33"/>
        <v>3.3333333333333333E-2</v>
      </c>
      <c r="H38" s="48"/>
      <c r="I38" s="48"/>
      <c r="J38" s="48"/>
      <c r="K38" s="48"/>
      <c r="L38" s="310"/>
      <c r="M38" s="48"/>
      <c r="N38" s="36"/>
      <c r="O38" s="36">
        <v>8</v>
      </c>
      <c r="P38" s="31">
        <f t="shared" si="34"/>
        <v>8</v>
      </c>
      <c r="Q38" s="36">
        <v>2</v>
      </c>
      <c r="R38" s="167">
        <v>8</v>
      </c>
      <c r="S38" s="36"/>
      <c r="T38" s="34">
        <f t="shared" si="35"/>
        <v>558320</v>
      </c>
      <c r="U38" s="31">
        <f t="shared" si="36"/>
        <v>0</v>
      </c>
      <c r="V38" s="34">
        <f t="shared" si="37"/>
        <v>558320</v>
      </c>
      <c r="W38" s="43">
        <v>69790</v>
      </c>
      <c r="X38" s="34">
        <f t="shared" si="38"/>
        <v>26337.023999999998</v>
      </c>
      <c r="Y38" s="34">
        <f t="shared" si="39"/>
        <v>210696.19199999998</v>
      </c>
      <c r="Z38" s="34">
        <f t="shared" si="40"/>
        <v>175912</v>
      </c>
      <c r="AA38" s="48">
        <v>159920</v>
      </c>
      <c r="AB38" s="36"/>
      <c r="AC38" s="204">
        <f t="shared" si="48"/>
        <v>4620</v>
      </c>
      <c r="AD38" s="152">
        <v>0.108</v>
      </c>
      <c r="AE38" s="31">
        <f t="shared" si="50"/>
        <v>38600</v>
      </c>
      <c r="AF38" s="28">
        <f t="shared" si="42"/>
        <v>0.17713597936667144</v>
      </c>
      <c r="AG38" s="34">
        <f t="shared" si="43"/>
        <v>98898.59</v>
      </c>
      <c r="AH38" s="34">
        <f t="shared" si="44"/>
        <v>24872.521799999999</v>
      </c>
      <c r="AI38" s="34">
        <f t="shared" si="45"/>
        <v>223852.69620000001</v>
      </c>
      <c r="AJ38" s="46">
        <f t="shared" si="46"/>
        <v>47940.696200000006</v>
      </c>
      <c r="AK38" s="40">
        <v>106.5</v>
      </c>
      <c r="AL38" s="41">
        <f t="shared" si="47"/>
        <v>137.172</v>
      </c>
      <c r="AM38" s="36">
        <v>54094</v>
      </c>
      <c r="AN38" s="284">
        <v>240</v>
      </c>
      <c r="AO38" s="26"/>
      <c r="AP38" s="26"/>
      <c r="AQ38" s="27"/>
      <c r="AR38" s="27"/>
      <c r="AS38" s="27"/>
      <c r="AT38" s="27"/>
      <c r="AU38" s="27"/>
      <c r="AV38" s="27"/>
      <c r="AW38" s="26"/>
      <c r="AX38" s="26"/>
      <c r="AY38" s="26"/>
      <c r="AZ38" s="26"/>
      <c r="BA38" s="26"/>
      <c r="BB38" s="26"/>
      <c r="BC38" s="26"/>
      <c r="BD38" s="26"/>
      <c r="BE38" s="26"/>
      <c r="BF38" s="26"/>
      <c r="BG38" s="26"/>
      <c r="BH38" s="26"/>
      <c r="BI38" s="26"/>
    </row>
    <row r="39" spans="1:61" ht="28.5" customHeight="1">
      <c r="A39" s="26"/>
      <c r="B39" s="333"/>
      <c r="C39" s="42" t="s">
        <v>149</v>
      </c>
      <c r="D39" s="28">
        <f t="shared" si="31"/>
        <v>-0.28345961319681467</v>
      </c>
      <c r="E39" s="201">
        <v>0.40100000000000002</v>
      </c>
      <c r="F39" s="30">
        <f t="shared" si="32"/>
        <v>0.6844596131968147</v>
      </c>
      <c r="G39" s="30">
        <f t="shared" si="33"/>
        <v>6.25E-2</v>
      </c>
      <c r="H39" s="48"/>
      <c r="I39" s="48"/>
      <c r="J39" s="48"/>
      <c r="K39" s="48"/>
      <c r="L39" s="334"/>
      <c r="M39" s="48"/>
      <c r="N39" s="36"/>
      <c r="O39" s="36">
        <v>1</v>
      </c>
      <c r="P39" s="31">
        <f t="shared" si="34"/>
        <v>1</v>
      </c>
      <c r="Q39" s="36">
        <v>1</v>
      </c>
      <c r="R39" s="167">
        <v>3</v>
      </c>
      <c r="S39" s="36"/>
      <c r="T39" s="34">
        <f t="shared" si="35"/>
        <v>96690</v>
      </c>
      <c r="U39" s="31">
        <f t="shared" si="36"/>
        <v>0</v>
      </c>
      <c r="V39" s="34">
        <f t="shared" si="37"/>
        <v>96690</v>
      </c>
      <c r="W39" s="43">
        <v>96690</v>
      </c>
      <c r="X39" s="34">
        <f t="shared" si="38"/>
        <v>36723.455999999998</v>
      </c>
      <c r="Y39" s="34">
        <f t="shared" si="39"/>
        <v>36723.455999999998</v>
      </c>
      <c r="Z39" s="34">
        <f t="shared" si="40"/>
        <v>63870.400000000009</v>
      </c>
      <c r="AA39" s="48">
        <v>58064</v>
      </c>
      <c r="AB39" s="36"/>
      <c r="AC39" s="204">
        <f t="shared" si="48"/>
        <v>2310</v>
      </c>
      <c r="AD39" s="152">
        <v>0.108</v>
      </c>
      <c r="AE39" s="31">
        <f t="shared" ref="AE39:AE40" si="51">6200*(P39+S39)</f>
        <v>6200</v>
      </c>
      <c r="AF39" s="28">
        <f t="shared" si="42"/>
        <v>0.17212245320095149</v>
      </c>
      <c r="AG39" s="34">
        <f t="shared" si="43"/>
        <v>16642.55</v>
      </c>
      <c r="AH39" s="34">
        <f t="shared" si="44"/>
        <v>4332.3994000000002</v>
      </c>
      <c r="AI39" s="34">
        <f t="shared" si="45"/>
        <v>38991.594600000004</v>
      </c>
      <c r="AJ39" s="46">
        <f t="shared" si="46"/>
        <v>-24878.805400000005</v>
      </c>
      <c r="AK39" s="40">
        <v>148.5</v>
      </c>
      <c r="AL39" s="41">
        <f t="shared" si="47"/>
        <v>191.268</v>
      </c>
      <c r="AM39" s="36">
        <v>6666</v>
      </c>
      <c r="AN39" s="284">
        <v>48</v>
      </c>
      <c r="AO39" s="26"/>
      <c r="AP39" s="26"/>
      <c r="AQ39" s="27"/>
      <c r="AR39" s="27"/>
      <c r="AS39" s="27"/>
      <c r="AT39" s="27"/>
      <c r="AU39" s="27"/>
      <c r="AV39" s="27"/>
      <c r="AW39" s="26"/>
      <c r="AX39" s="26"/>
      <c r="AY39" s="26"/>
      <c r="AZ39" s="26"/>
      <c r="BA39" s="26"/>
      <c r="BB39" s="26"/>
      <c r="BC39" s="26"/>
      <c r="BD39" s="26"/>
      <c r="BE39" s="26"/>
      <c r="BF39" s="26"/>
      <c r="BG39" s="26"/>
      <c r="BH39" s="26"/>
      <c r="BI39" s="26"/>
    </row>
    <row r="40" spans="1:61" ht="28.5" customHeight="1">
      <c r="A40" s="26"/>
      <c r="B40" s="324"/>
      <c r="C40" s="42" t="s">
        <v>150</v>
      </c>
      <c r="D40" s="28">
        <f t="shared" si="31"/>
        <v>0.15979326473339567</v>
      </c>
      <c r="E40" s="201">
        <v>0.39600000000000002</v>
      </c>
      <c r="F40" s="30">
        <f t="shared" si="32"/>
        <v>0.23620673526660435</v>
      </c>
      <c r="G40" s="30">
        <f t="shared" si="33"/>
        <v>4.6511627906976744E-2</v>
      </c>
      <c r="H40" s="48"/>
      <c r="I40" s="283"/>
      <c r="J40" s="48"/>
      <c r="K40" s="48"/>
      <c r="L40" s="310"/>
      <c r="M40" s="48"/>
      <c r="N40" s="36"/>
      <c r="O40" s="36">
        <v>4</v>
      </c>
      <c r="P40" s="31">
        <f t="shared" si="34"/>
        <v>4</v>
      </c>
      <c r="Q40" s="36">
        <v>1</v>
      </c>
      <c r="R40" s="167">
        <v>4</v>
      </c>
      <c r="S40" s="36"/>
      <c r="T40" s="34">
        <f t="shared" si="35"/>
        <v>427600</v>
      </c>
      <c r="U40" s="31">
        <f t="shared" si="36"/>
        <v>0</v>
      </c>
      <c r="V40" s="34">
        <f t="shared" si="37"/>
        <v>427600</v>
      </c>
      <c r="W40" s="43">
        <v>106900</v>
      </c>
      <c r="X40" s="34">
        <f t="shared" si="38"/>
        <v>41916.671999999999</v>
      </c>
      <c r="Y40" s="34">
        <f t="shared" si="39"/>
        <v>167666.68799999999</v>
      </c>
      <c r="Z40" s="34">
        <f t="shared" si="40"/>
        <v>98692.000000000015</v>
      </c>
      <c r="AA40" s="48">
        <v>89720</v>
      </c>
      <c r="AB40" s="36"/>
      <c r="AC40" s="204">
        <f t="shared" si="48"/>
        <v>2310</v>
      </c>
      <c r="AD40" s="152">
        <v>0.108</v>
      </c>
      <c r="AE40" s="31">
        <f t="shared" si="51"/>
        <v>24800</v>
      </c>
      <c r="AF40" s="28">
        <f t="shared" si="42"/>
        <v>0.16599812909260991</v>
      </c>
      <c r="AG40" s="34">
        <f t="shared" si="43"/>
        <v>70980.83</v>
      </c>
      <c r="AH40" s="34">
        <f t="shared" si="44"/>
        <v>18895.248200000002</v>
      </c>
      <c r="AI40" s="34">
        <f t="shared" si="45"/>
        <v>170057.23380000002</v>
      </c>
      <c r="AJ40" s="46">
        <f t="shared" si="46"/>
        <v>71365.233800000002</v>
      </c>
      <c r="AK40" s="40">
        <v>169.5</v>
      </c>
      <c r="AL40" s="41">
        <f t="shared" si="47"/>
        <v>218.316</v>
      </c>
      <c r="AM40" s="36">
        <v>13903</v>
      </c>
      <c r="AN40" s="284">
        <v>86</v>
      </c>
      <c r="AO40" s="26"/>
      <c r="AP40" s="26"/>
      <c r="AQ40" s="27"/>
      <c r="AR40" s="27"/>
      <c r="AS40" s="27"/>
      <c r="AT40" s="27"/>
      <c r="AU40" s="27"/>
      <c r="AV40" s="27"/>
      <c r="AW40" s="26"/>
      <c r="AX40" s="26"/>
      <c r="AY40" s="26"/>
      <c r="AZ40" s="26"/>
      <c r="BA40" s="26"/>
      <c r="BB40" s="26"/>
      <c r="BC40" s="26"/>
      <c r="BD40" s="26"/>
      <c r="BE40" s="26"/>
      <c r="BF40" s="26"/>
      <c r="BG40" s="26"/>
      <c r="BH40" s="26"/>
      <c r="BI40" s="26"/>
    </row>
    <row r="41" spans="1:61" ht="28.5" customHeight="1">
      <c r="A41" s="26"/>
      <c r="B41" s="200"/>
      <c r="C41" s="42" t="s">
        <v>111</v>
      </c>
      <c r="D41" s="28">
        <f t="shared" si="31"/>
        <v>6.3779914529914494E-2</v>
      </c>
      <c r="E41" s="201">
        <v>0.378</v>
      </c>
      <c r="F41" s="30">
        <f t="shared" si="32"/>
        <v>0.31422008547008551</v>
      </c>
      <c r="G41" s="30">
        <f t="shared" si="33"/>
        <v>3.9473684210526314E-2</v>
      </c>
      <c r="H41" s="48"/>
      <c r="I41" s="48"/>
      <c r="J41" s="48"/>
      <c r="K41" s="210"/>
      <c r="L41" s="210"/>
      <c r="M41" s="210"/>
      <c r="N41" s="36"/>
      <c r="O41" s="36">
        <v>6</v>
      </c>
      <c r="P41" s="31">
        <f t="shared" si="34"/>
        <v>6</v>
      </c>
      <c r="Q41" s="36">
        <v>0</v>
      </c>
      <c r="R41" s="167">
        <v>3</v>
      </c>
      <c r="S41" s="36"/>
      <c r="T41" s="34">
        <f t="shared" si="35"/>
        <v>102960</v>
      </c>
      <c r="U41" s="31">
        <f t="shared" si="36"/>
        <v>0</v>
      </c>
      <c r="V41" s="34">
        <f t="shared" si="37"/>
        <v>102960</v>
      </c>
      <c r="W41" s="43">
        <v>17160</v>
      </c>
      <c r="X41" s="34">
        <f t="shared" si="38"/>
        <v>5687.8080000000009</v>
      </c>
      <c r="Y41" s="34">
        <f t="shared" si="39"/>
        <v>34126.848000000005</v>
      </c>
      <c r="Z41" s="34">
        <f t="shared" si="40"/>
        <v>32352.100000000002</v>
      </c>
      <c r="AA41" s="48">
        <v>29411</v>
      </c>
      <c r="AB41" s="287"/>
      <c r="AC41" s="204">
        <f t="shared" si="48"/>
        <v>0</v>
      </c>
      <c r="AD41" s="152">
        <v>7.8E-2</v>
      </c>
      <c r="AE41" s="31">
        <f>2900*(P41+S41)</f>
        <v>17400</v>
      </c>
      <c r="AF41" s="28">
        <f t="shared" si="42"/>
        <v>0.24699766899766901</v>
      </c>
      <c r="AG41" s="34">
        <f t="shared" si="43"/>
        <v>25430.91</v>
      </c>
      <c r="AH41" s="34">
        <f t="shared" si="44"/>
        <v>4340.2241999999997</v>
      </c>
      <c r="AI41" s="34">
        <f t="shared" si="45"/>
        <v>39062.017800000001</v>
      </c>
      <c r="AJ41" s="46">
        <f t="shared" si="46"/>
        <v>6709.9177999999993</v>
      </c>
      <c r="AK41" s="40">
        <v>23</v>
      </c>
      <c r="AL41" s="41">
        <f t="shared" si="47"/>
        <v>29.624000000000002</v>
      </c>
      <c r="AM41" s="36">
        <v>34558</v>
      </c>
      <c r="AN41" s="284">
        <v>76</v>
      </c>
      <c r="AO41" s="26"/>
      <c r="AP41" s="26"/>
      <c r="AQ41" s="27"/>
      <c r="AR41" s="27"/>
      <c r="AS41" s="27"/>
      <c r="AT41" s="27"/>
      <c r="AU41" s="27"/>
      <c r="AV41" s="27"/>
      <c r="AW41" s="26"/>
      <c r="AX41" s="26"/>
      <c r="AY41" s="26"/>
      <c r="AZ41" s="26"/>
      <c r="BA41" s="26"/>
      <c r="BB41" s="26"/>
      <c r="BC41" s="26"/>
      <c r="BD41" s="26"/>
      <c r="BE41" s="26"/>
      <c r="BF41" s="26"/>
      <c r="BG41" s="26"/>
      <c r="BH41" s="26"/>
      <c r="BI41" s="26"/>
    </row>
    <row r="42" spans="1:61" ht="28.5" customHeight="1">
      <c r="A42" s="26"/>
      <c r="B42" s="207"/>
      <c r="C42" s="42" t="s">
        <v>151</v>
      </c>
      <c r="D42" s="28">
        <f t="shared" si="31"/>
        <v>-0.16611764705882359</v>
      </c>
      <c r="E42" s="201">
        <v>0.27700000000000002</v>
      </c>
      <c r="F42" s="30">
        <f t="shared" si="32"/>
        <v>0.44311764705882362</v>
      </c>
      <c r="G42" s="30">
        <f t="shared" si="33"/>
        <v>0.1111111111111111</v>
      </c>
      <c r="H42" s="48"/>
      <c r="I42" s="48"/>
      <c r="J42" s="48"/>
      <c r="K42" s="210"/>
      <c r="L42" s="335"/>
      <c r="M42" s="210"/>
      <c r="N42" s="36"/>
      <c r="O42" s="36">
        <v>17</v>
      </c>
      <c r="P42" s="31">
        <f t="shared" si="34"/>
        <v>17</v>
      </c>
      <c r="Q42" s="36">
        <v>2</v>
      </c>
      <c r="R42" s="167">
        <v>14</v>
      </c>
      <c r="S42" s="36"/>
      <c r="T42" s="34">
        <f t="shared" si="35"/>
        <v>168300</v>
      </c>
      <c r="U42" s="31">
        <f t="shared" si="36"/>
        <v>0</v>
      </c>
      <c r="V42" s="34">
        <f t="shared" si="37"/>
        <v>168300</v>
      </c>
      <c r="W42" s="43">
        <v>9900</v>
      </c>
      <c r="X42" s="34">
        <f t="shared" si="38"/>
        <v>3462.1440000000002</v>
      </c>
      <c r="Y42" s="34">
        <f t="shared" si="39"/>
        <v>58856.448000000004</v>
      </c>
      <c r="Z42" s="34">
        <f t="shared" si="40"/>
        <v>69956.700000000012</v>
      </c>
      <c r="AA42" s="48">
        <v>63597</v>
      </c>
      <c r="AB42" s="287"/>
      <c r="AC42" s="204">
        <f t="shared" si="48"/>
        <v>4620</v>
      </c>
      <c r="AD42" s="152">
        <v>0.1</v>
      </c>
      <c r="AE42" s="31">
        <f>3275*(P42+S42)</f>
        <v>55675</v>
      </c>
      <c r="AF42" s="28">
        <f t="shared" si="42"/>
        <v>0.43080808080808086</v>
      </c>
      <c r="AG42" s="34">
        <f t="shared" si="43"/>
        <v>72505.030000000013</v>
      </c>
      <c r="AH42" s="34">
        <f t="shared" si="44"/>
        <v>3693.8521999999994</v>
      </c>
      <c r="AI42" s="34">
        <f t="shared" si="45"/>
        <v>33244.669800000003</v>
      </c>
      <c r="AJ42" s="46">
        <f t="shared" si="46"/>
        <v>-36712.030200000008</v>
      </c>
      <c r="AK42" s="40">
        <v>14</v>
      </c>
      <c r="AL42" s="41">
        <f t="shared" si="47"/>
        <v>18.032</v>
      </c>
      <c r="AM42" s="202">
        <v>40714</v>
      </c>
      <c r="AN42" s="205">
        <v>126</v>
      </c>
      <c r="AO42" s="26"/>
      <c r="AP42" s="26"/>
      <c r="AQ42" s="27"/>
      <c r="AR42" s="27"/>
      <c r="AS42" s="27"/>
      <c r="AT42" s="27"/>
      <c r="AU42" s="27"/>
      <c r="AV42" s="27"/>
      <c r="AW42" s="26"/>
      <c r="AX42" s="26"/>
      <c r="AY42" s="26"/>
      <c r="AZ42" s="26"/>
      <c r="BA42" s="26"/>
      <c r="BB42" s="26"/>
      <c r="BC42" s="26"/>
      <c r="BD42" s="26"/>
      <c r="BE42" s="26"/>
      <c r="BF42" s="26"/>
      <c r="BG42" s="26"/>
      <c r="BH42" s="26"/>
      <c r="BI42" s="26"/>
    </row>
    <row r="43" spans="1:61" ht="28.5" customHeight="1">
      <c r="A43" s="26"/>
      <c r="B43" s="212"/>
      <c r="C43" s="42" t="s">
        <v>152</v>
      </c>
      <c r="D43" s="28">
        <f t="shared" si="31"/>
        <v>2.1253968253968247E-2</v>
      </c>
      <c r="E43" s="201">
        <v>0.34200000000000003</v>
      </c>
      <c r="F43" s="30">
        <f t="shared" si="32"/>
        <v>0.32074603174603178</v>
      </c>
      <c r="G43" s="30">
        <f t="shared" si="33"/>
        <v>5.5900621118012424E-2</v>
      </c>
      <c r="H43" s="48"/>
      <c r="I43" s="48"/>
      <c r="J43" s="48"/>
      <c r="K43" s="210"/>
      <c r="L43" s="310"/>
      <c r="M43" s="210"/>
      <c r="N43" s="36"/>
      <c r="O43" s="36">
        <v>14</v>
      </c>
      <c r="P43" s="31">
        <f t="shared" si="34"/>
        <v>14</v>
      </c>
      <c r="Q43" s="36">
        <v>0</v>
      </c>
      <c r="R43" s="167">
        <v>9</v>
      </c>
      <c r="S43" s="36"/>
      <c r="T43" s="34">
        <f t="shared" si="35"/>
        <v>264600</v>
      </c>
      <c r="U43" s="31">
        <f t="shared" si="36"/>
        <v>0</v>
      </c>
      <c r="V43" s="34">
        <f t="shared" si="37"/>
        <v>264600</v>
      </c>
      <c r="W43" s="43">
        <v>18900</v>
      </c>
      <c r="X43" s="34">
        <f t="shared" si="38"/>
        <v>6924.2880000000005</v>
      </c>
      <c r="Y43" s="34">
        <f t="shared" si="39"/>
        <v>96940.032000000007</v>
      </c>
      <c r="Z43" s="34">
        <f t="shared" si="40"/>
        <v>84869.400000000009</v>
      </c>
      <c r="AA43" s="48">
        <v>77154</v>
      </c>
      <c r="AB43" s="36"/>
      <c r="AC43" s="204">
        <f t="shared" si="48"/>
        <v>0</v>
      </c>
      <c r="AD43" s="152">
        <v>0.1</v>
      </c>
      <c r="AE43" s="31">
        <f>3425*(P43+S43)</f>
        <v>47950</v>
      </c>
      <c r="AF43" s="28">
        <f t="shared" si="42"/>
        <v>0.28121693121693125</v>
      </c>
      <c r="AG43" s="34">
        <f t="shared" si="43"/>
        <v>74410.030000000013</v>
      </c>
      <c r="AH43" s="34">
        <f t="shared" si="44"/>
        <v>9324.9937999999966</v>
      </c>
      <c r="AI43" s="34">
        <f t="shared" si="45"/>
        <v>83924.944199999969</v>
      </c>
      <c r="AJ43" s="46">
        <f t="shared" si="46"/>
        <v>-944.45580000003974</v>
      </c>
      <c r="AK43" s="40">
        <v>28</v>
      </c>
      <c r="AL43" s="41">
        <f t="shared" si="47"/>
        <v>36.064</v>
      </c>
      <c r="AM43" s="202">
        <v>34345</v>
      </c>
      <c r="AN43" s="205">
        <v>161</v>
      </c>
      <c r="AO43" s="26"/>
      <c r="AP43" s="26"/>
      <c r="AQ43" s="27"/>
      <c r="AR43" s="27"/>
      <c r="AS43" s="27"/>
      <c r="AT43" s="27"/>
      <c r="AU43" s="27"/>
      <c r="AV43" s="27"/>
      <c r="AW43" s="26"/>
      <c r="AX43" s="26"/>
      <c r="AY43" s="26"/>
      <c r="AZ43" s="26"/>
      <c r="BA43" s="26"/>
      <c r="BB43" s="26"/>
      <c r="BC43" s="26"/>
      <c r="BD43" s="26"/>
      <c r="BE43" s="26"/>
      <c r="BF43" s="26"/>
      <c r="BG43" s="26"/>
      <c r="BH43" s="26"/>
      <c r="BI43" s="26"/>
    </row>
    <row r="44" spans="1:61" ht="28.5" customHeight="1">
      <c r="A44" s="295"/>
      <c r="B44" s="296"/>
      <c r="C44" s="42" t="s">
        <v>153</v>
      </c>
      <c r="D44" s="28">
        <f t="shared" si="31"/>
        <v>0.35</v>
      </c>
      <c r="E44" s="201">
        <v>0.35</v>
      </c>
      <c r="F44" s="30">
        <f t="shared" si="32"/>
        <v>0</v>
      </c>
      <c r="G44" s="30" t="e">
        <f t="shared" si="33"/>
        <v>#DIV/0!</v>
      </c>
      <c r="H44" s="48"/>
      <c r="I44" s="48"/>
      <c r="J44" s="48"/>
      <c r="K44" s="26"/>
      <c r="L44" s="26"/>
      <c r="M44" s="210"/>
      <c r="N44" s="36"/>
      <c r="O44" s="36">
        <v>4</v>
      </c>
      <c r="P44" s="31">
        <f t="shared" si="34"/>
        <v>4</v>
      </c>
      <c r="Q44" s="36">
        <v>0</v>
      </c>
      <c r="R44" s="167">
        <v>0</v>
      </c>
      <c r="S44" s="36"/>
      <c r="T44" s="34">
        <f t="shared" si="35"/>
        <v>104040</v>
      </c>
      <c r="U44" s="31">
        <f t="shared" si="36"/>
        <v>0</v>
      </c>
      <c r="V44" s="34">
        <f t="shared" si="37"/>
        <v>104040</v>
      </c>
      <c r="W44" s="43">
        <v>26010</v>
      </c>
      <c r="X44" s="34">
        <f t="shared" si="38"/>
        <v>10386.432000000001</v>
      </c>
      <c r="Y44" s="34">
        <f t="shared" si="39"/>
        <v>41545.728000000003</v>
      </c>
      <c r="Z44" s="34">
        <f t="shared" si="40"/>
        <v>0</v>
      </c>
      <c r="AA44" s="48">
        <v>0</v>
      </c>
      <c r="AB44" s="36"/>
      <c r="AC44" s="204">
        <f t="shared" si="48"/>
        <v>0</v>
      </c>
      <c r="AD44" s="152">
        <v>0.1</v>
      </c>
      <c r="AE44" s="31">
        <f>5925*(P44+S44)</f>
        <v>23700</v>
      </c>
      <c r="AF44" s="28">
        <f t="shared" si="42"/>
        <v>0.32779700115340255</v>
      </c>
      <c r="AG44" s="34">
        <f t="shared" si="43"/>
        <v>34104.03</v>
      </c>
      <c r="AH44" s="34">
        <f t="shared" si="44"/>
        <v>2839.0241999999998</v>
      </c>
      <c r="AI44" s="34">
        <f t="shared" si="45"/>
        <v>25551.217799999999</v>
      </c>
      <c r="AJ44" s="46">
        <f t="shared" si="46"/>
        <v>25551.217799999999</v>
      </c>
      <c r="AK44" s="40">
        <v>42</v>
      </c>
      <c r="AL44" s="41">
        <f t="shared" si="47"/>
        <v>54.096000000000004</v>
      </c>
      <c r="AM44" s="36">
        <v>0</v>
      </c>
      <c r="AN44" s="284">
        <v>0</v>
      </c>
      <c r="AO44" s="26"/>
      <c r="AP44" s="26"/>
      <c r="AQ44" s="27"/>
      <c r="AR44" s="27"/>
      <c r="AS44" s="27"/>
      <c r="AT44" s="27"/>
      <c r="AU44" s="27"/>
      <c r="AV44" s="27"/>
      <c r="AW44" s="26"/>
      <c r="AX44" s="26"/>
      <c r="AY44" s="26"/>
      <c r="AZ44" s="26"/>
      <c r="BA44" s="26"/>
      <c r="BB44" s="26"/>
      <c r="BC44" s="26"/>
      <c r="BD44" s="26"/>
      <c r="BE44" s="26"/>
      <c r="BF44" s="26"/>
      <c r="BG44" s="26"/>
      <c r="BH44" s="26"/>
      <c r="BI44" s="26"/>
    </row>
    <row r="45" spans="1:61" ht="28.5" customHeight="1">
      <c r="A45" s="26"/>
      <c r="B45" s="323"/>
      <c r="C45" s="42" t="s">
        <v>112</v>
      </c>
      <c r="D45" s="28">
        <f t="shared" si="31"/>
        <v>0.2071726597869</v>
      </c>
      <c r="E45" s="201">
        <v>0.38600000000000001</v>
      </c>
      <c r="F45" s="30">
        <f t="shared" si="32"/>
        <v>0.17882734021310001</v>
      </c>
      <c r="G45" s="30">
        <f t="shared" si="33"/>
        <v>6.0606060606060608E-2</v>
      </c>
      <c r="H45" s="334"/>
      <c r="I45" s="48"/>
      <c r="J45" s="48"/>
      <c r="K45" s="210"/>
      <c r="L45" s="335"/>
      <c r="M45" s="210"/>
      <c r="N45" s="36"/>
      <c r="O45" s="36">
        <v>21</v>
      </c>
      <c r="P45" s="31">
        <f t="shared" si="34"/>
        <v>17</v>
      </c>
      <c r="Q45" s="36">
        <v>3</v>
      </c>
      <c r="R45" s="167">
        <v>10</v>
      </c>
      <c r="S45" s="36">
        <v>4</v>
      </c>
      <c r="T45" s="34">
        <f t="shared" si="35"/>
        <v>810390</v>
      </c>
      <c r="U45" s="31">
        <f t="shared" si="36"/>
        <v>154360</v>
      </c>
      <c r="V45" s="34">
        <f t="shared" si="37"/>
        <v>656030</v>
      </c>
      <c r="W45" s="43">
        <v>38590</v>
      </c>
      <c r="X45" s="34">
        <f t="shared" si="38"/>
        <v>15085.056</v>
      </c>
      <c r="Y45" s="34">
        <f t="shared" si="39"/>
        <v>256445.95200000002</v>
      </c>
      <c r="Z45" s="34">
        <f t="shared" si="40"/>
        <v>110386.1</v>
      </c>
      <c r="AA45" s="48">
        <v>100351</v>
      </c>
      <c r="AB45" s="286">
        <f>((38590*0.18)+(38590*0.015)+2100+2200)*4</f>
        <v>47300.2</v>
      </c>
      <c r="AC45" s="204">
        <f t="shared" si="48"/>
        <v>6930</v>
      </c>
      <c r="AD45" s="152">
        <v>0.08</v>
      </c>
      <c r="AE45" s="31">
        <f t="shared" ref="AE45:AE46" si="52">4150*(P45+S45)</f>
        <v>87150</v>
      </c>
      <c r="AF45" s="28">
        <f t="shared" si="42"/>
        <v>0.21284453454872493</v>
      </c>
      <c r="AG45" s="34">
        <f t="shared" si="43"/>
        <v>139632.43000000002</v>
      </c>
      <c r="AH45" s="34">
        <f t="shared" si="44"/>
        <v>25995.161799999994</v>
      </c>
      <c r="AI45" s="34">
        <f t="shared" si="45"/>
        <v>233956.45619999996</v>
      </c>
      <c r="AJ45" s="46">
        <f t="shared" si="46"/>
        <v>123570.35619999995</v>
      </c>
      <c r="AK45" s="40">
        <v>61</v>
      </c>
      <c r="AL45" s="41">
        <f t="shared" si="47"/>
        <v>78.567999999999998</v>
      </c>
      <c r="AM45" s="36">
        <v>31980</v>
      </c>
      <c r="AN45" s="284">
        <v>165</v>
      </c>
      <c r="AO45" s="26"/>
      <c r="AP45" s="26"/>
      <c r="AQ45" s="27"/>
      <c r="AR45" s="27"/>
      <c r="AS45" s="27"/>
      <c r="AT45" s="27"/>
      <c r="AU45" s="27"/>
      <c r="AV45" s="27"/>
      <c r="AW45" s="26"/>
      <c r="AX45" s="26"/>
      <c r="AY45" s="26"/>
      <c r="AZ45" s="26"/>
      <c r="BA45" s="26"/>
      <c r="BB45" s="26"/>
      <c r="BC45" s="26"/>
      <c r="BD45" s="26"/>
      <c r="BE45" s="26"/>
      <c r="BF45" s="26"/>
      <c r="BG45" s="26"/>
      <c r="BH45" s="26"/>
      <c r="BI45" s="26"/>
    </row>
    <row r="46" spans="1:61" ht="28.5" customHeight="1">
      <c r="A46" s="26"/>
      <c r="B46" s="324"/>
      <c r="C46" s="42" t="s">
        <v>113</v>
      </c>
      <c r="D46" s="28">
        <f t="shared" si="31"/>
        <v>0.11485641025641025</v>
      </c>
      <c r="E46" s="201">
        <v>0.316</v>
      </c>
      <c r="F46" s="30">
        <f t="shared" si="32"/>
        <v>0.20114358974358976</v>
      </c>
      <c r="G46" s="30">
        <f t="shared" si="33"/>
        <v>6.25E-2</v>
      </c>
      <c r="H46" s="310"/>
      <c r="I46" s="48"/>
      <c r="J46" s="48"/>
      <c r="K46" s="210"/>
      <c r="L46" s="310"/>
      <c r="M46" s="210"/>
      <c r="N46" s="36"/>
      <c r="O46" s="36">
        <v>10</v>
      </c>
      <c r="P46" s="31">
        <f t="shared" si="34"/>
        <v>10</v>
      </c>
      <c r="Q46" s="36">
        <v>0</v>
      </c>
      <c r="R46" s="167">
        <v>10</v>
      </c>
      <c r="S46" s="36"/>
      <c r="T46" s="34">
        <f t="shared" si="35"/>
        <v>429000</v>
      </c>
      <c r="U46" s="31">
        <f t="shared" si="36"/>
        <v>0</v>
      </c>
      <c r="V46" s="34">
        <f t="shared" si="37"/>
        <v>429000</v>
      </c>
      <c r="W46" s="43">
        <v>42900</v>
      </c>
      <c r="X46" s="34">
        <f t="shared" si="38"/>
        <v>20278.272000000004</v>
      </c>
      <c r="Y46" s="34">
        <f t="shared" si="39"/>
        <v>202782.72000000003</v>
      </c>
      <c r="Z46" s="34">
        <f t="shared" si="40"/>
        <v>86290.6</v>
      </c>
      <c r="AA46" s="48">
        <v>78446</v>
      </c>
      <c r="AB46" s="36"/>
      <c r="AC46" s="204">
        <f t="shared" si="48"/>
        <v>0</v>
      </c>
      <c r="AD46" s="152">
        <v>7.8E-2</v>
      </c>
      <c r="AE46" s="31">
        <f t="shared" si="52"/>
        <v>41500</v>
      </c>
      <c r="AF46" s="28">
        <f t="shared" si="42"/>
        <v>0.17473659673659675</v>
      </c>
      <c r="AG46" s="34">
        <f t="shared" si="43"/>
        <v>74962.03</v>
      </c>
      <c r="AH46" s="34">
        <f t="shared" si="44"/>
        <v>15125.524999999998</v>
      </c>
      <c r="AI46" s="34">
        <f t="shared" si="45"/>
        <v>136129.72499999998</v>
      </c>
      <c r="AJ46" s="46">
        <f t="shared" si="46"/>
        <v>49839.124999999971</v>
      </c>
      <c r="AK46" s="40">
        <v>82</v>
      </c>
      <c r="AL46" s="41">
        <f t="shared" si="47"/>
        <v>105.61600000000001</v>
      </c>
      <c r="AM46" s="36">
        <v>96016</v>
      </c>
      <c r="AN46" s="284">
        <v>160</v>
      </c>
      <c r="AO46" s="26"/>
      <c r="AP46" s="26"/>
      <c r="AQ46" s="27"/>
      <c r="AR46" s="27"/>
      <c r="AS46" s="27"/>
      <c r="AT46" s="27"/>
      <c r="AU46" s="27"/>
      <c r="AV46" s="27"/>
      <c r="AW46" s="26"/>
      <c r="AX46" s="26"/>
      <c r="AY46" s="26"/>
      <c r="AZ46" s="26"/>
      <c r="BA46" s="26"/>
      <c r="BB46" s="26"/>
      <c r="BC46" s="26"/>
      <c r="BD46" s="26"/>
      <c r="BE46" s="26"/>
      <c r="BF46" s="26"/>
      <c r="BG46" s="26"/>
      <c r="BH46" s="26"/>
      <c r="BI46" s="26"/>
    </row>
    <row r="47" spans="1:61" ht="28.5" customHeight="1">
      <c r="A47" s="26"/>
      <c r="B47" s="200"/>
      <c r="C47" s="42" t="s">
        <v>154</v>
      </c>
      <c r="D47" s="28">
        <f t="shared" si="31"/>
        <v>-2.9144058295964115E-2</v>
      </c>
      <c r="E47" s="201">
        <v>0.34300000000000003</v>
      </c>
      <c r="F47" s="30">
        <f t="shared" si="32"/>
        <v>0.37214405829596414</v>
      </c>
      <c r="G47" s="30">
        <f t="shared" si="33"/>
        <v>4.2553191489361701E-2</v>
      </c>
      <c r="H47" s="48"/>
      <c r="I47" s="48"/>
      <c r="J47" s="48"/>
      <c r="K47" s="210"/>
      <c r="L47" s="210"/>
      <c r="M47" s="210"/>
      <c r="N47" s="36"/>
      <c r="O47" s="36">
        <v>14</v>
      </c>
      <c r="P47" s="31">
        <f t="shared" si="34"/>
        <v>8</v>
      </c>
      <c r="Q47" s="36">
        <v>3</v>
      </c>
      <c r="R47" s="167">
        <v>6</v>
      </c>
      <c r="S47" s="36">
        <v>6</v>
      </c>
      <c r="T47" s="34">
        <f t="shared" si="35"/>
        <v>187320</v>
      </c>
      <c r="U47" s="31">
        <f t="shared" si="36"/>
        <v>80280</v>
      </c>
      <c r="V47" s="34">
        <f t="shared" si="37"/>
        <v>107040</v>
      </c>
      <c r="W47" s="43">
        <v>13380</v>
      </c>
      <c r="X47" s="34">
        <f t="shared" si="38"/>
        <v>4006.1952000000001</v>
      </c>
      <c r="Y47" s="34">
        <f t="shared" si="39"/>
        <v>32049.561600000001</v>
      </c>
      <c r="Z47" s="34">
        <f t="shared" si="40"/>
        <v>32904.300000000003</v>
      </c>
      <c r="AA47" s="48">
        <v>29913</v>
      </c>
      <c r="AB47" s="287">
        <f>((9800*0.015)+(9800*0.39)+2100+4950)*6</f>
        <v>66114</v>
      </c>
      <c r="AC47" s="204">
        <f t="shared" si="48"/>
        <v>6930</v>
      </c>
      <c r="AD47" s="152">
        <v>0.108</v>
      </c>
      <c r="AE47" s="31">
        <f>2800*(P47+S47)</f>
        <v>39200</v>
      </c>
      <c r="AF47" s="28">
        <f t="shared" si="42"/>
        <v>0.47421823617339309</v>
      </c>
      <c r="AG47" s="34">
        <f t="shared" si="43"/>
        <v>50760.35</v>
      </c>
      <c r="AH47" s="34">
        <f t="shared" si="44"/>
        <v>2423.0088400000004</v>
      </c>
      <c r="AI47" s="34">
        <f t="shared" si="45"/>
        <v>21807.079560000013</v>
      </c>
      <c r="AJ47" s="46">
        <f t="shared" si="46"/>
        <v>-11097.22043999999</v>
      </c>
      <c r="AK47" s="40">
        <v>16.2</v>
      </c>
      <c r="AL47" s="41">
        <f t="shared" si="47"/>
        <v>20.865600000000001</v>
      </c>
      <c r="AM47" s="36">
        <v>89755</v>
      </c>
      <c r="AN47" s="284">
        <v>141</v>
      </c>
      <c r="AO47" s="26"/>
      <c r="AP47" s="26"/>
      <c r="AQ47" s="27"/>
      <c r="AR47" s="27"/>
      <c r="AS47" s="27"/>
      <c r="AT47" s="27"/>
      <c r="AU47" s="27"/>
      <c r="AV47" s="27"/>
      <c r="AW47" s="26"/>
      <c r="AX47" s="26"/>
      <c r="AY47" s="26"/>
      <c r="AZ47" s="26"/>
      <c r="BA47" s="26"/>
      <c r="BB47" s="26"/>
      <c r="BC47" s="26"/>
      <c r="BD47" s="26"/>
      <c r="BE47" s="26"/>
      <c r="BF47" s="26"/>
      <c r="BG47" s="26"/>
      <c r="BH47" s="26"/>
      <c r="BI47" s="26"/>
    </row>
    <row r="48" spans="1:61" ht="28.5" customHeight="1">
      <c r="A48" s="26"/>
      <c r="B48" s="200"/>
      <c r="C48" s="42" t="s">
        <v>114</v>
      </c>
      <c r="D48" s="28">
        <f t="shared" si="31"/>
        <v>9.6819768934531425E-2</v>
      </c>
      <c r="E48" s="201">
        <v>0.33</v>
      </c>
      <c r="F48" s="30">
        <f t="shared" si="32"/>
        <v>0.23318023106546859</v>
      </c>
      <c r="G48" s="30">
        <f t="shared" si="33"/>
        <v>0.1072961373390558</v>
      </c>
      <c r="H48" s="48"/>
      <c r="I48" s="48"/>
      <c r="J48" s="48"/>
      <c r="K48" s="210"/>
      <c r="L48" s="210"/>
      <c r="M48" s="210"/>
      <c r="N48" s="36"/>
      <c r="O48" s="36">
        <v>41</v>
      </c>
      <c r="P48" s="31">
        <f t="shared" si="34"/>
        <v>41</v>
      </c>
      <c r="Q48" s="36">
        <v>7</v>
      </c>
      <c r="R48" s="167">
        <v>25</v>
      </c>
      <c r="S48" s="36"/>
      <c r="T48" s="34">
        <f t="shared" si="35"/>
        <v>779000</v>
      </c>
      <c r="U48" s="31">
        <f t="shared" si="36"/>
        <v>0</v>
      </c>
      <c r="V48" s="34">
        <f t="shared" si="37"/>
        <v>779000</v>
      </c>
      <c r="W48" s="43">
        <v>19000</v>
      </c>
      <c r="X48" s="34">
        <f t="shared" si="38"/>
        <v>7122.1247999999996</v>
      </c>
      <c r="Y48" s="34">
        <f t="shared" si="39"/>
        <v>292007.11679999996</v>
      </c>
      <c r="Z48" s="34">
        <f t="shared" si="40"/>
        <v>165477.40000000002</v>
      </c>
      <c r="AA48" s="48">
        <v>150434</v>
      </c>
      <c r="AB48" s="36"/>
      <c r="AC48" s="204">
        <f t="shared" si="48"/>
        <v>16170</v>
      </c>
      <c r="AD48" s="152">
        <v>0.08</v>
      </c>
      <c r="AE48" s="31">
        <f>3350*(P48+S48)</f>
        <v>137350</v>
      </c>
      <c r="AF48" s="28">
        <f t="shared" si="42"/>
        <v>0.25631578947368422</v>
      </c>
      <c r="AG48" s="34">
        <f t="shared" si="43"/>
        <v>199670.03</v>
      </c>
      <c r="AH48" s="34">
        <f t="shared" si="44"/>
        <v>28732.285319999995</v>
      </c>
      <c r="AI48" s="34">
        <f t="shared" si="45"/>
        <v>258590.56787999999</v>
      </c>
      <c r="AJ48" s="46">
        <f t="shared" si="46"/>
        <v>93113.167879999964</v>
      </c>
      <c r="AK48" s="40">
        <v>28.8</v>
      </c>
      <c r="AL48" s="41">
        <f t="shared" si="47"/>
        <v>37.0944</v>
      </c>
      <c r="AM48" s="36">
        <v>81380</v>
      </c>
      <c r="AN48" s="284">
        <v>233</v>
      </c>
      <c r="AO48" s="26"/>
      <c r="AP48" s="26"/>
      <c r="AQ48" s="27"/>
      <c r="AR48" s="27"/>
      <c r="AS48" s="27"/>
      <c r="AT48" s="27"/>
      <c r="AU48" s="27"/>
      <c r="AV48" s="27"/>
      <c r="AW48" s="26"/>
      <c r="AX48" s="26"/>
      <c r="AY48" s="26"/>
      <c r="AZ48" s="26"/>
      <c r="BA48" s="26"/>
      <c r="BB48" s="26"/>
      <c r="BC48" s="26"/>
      <c r="BD48" s="26"/>
      <c r="BE48" s="26"/>
      <c r="BF48" s="26"/>
      <c r="BG48" s="26"/>
      <c r="BH48" s="26"/>
      <c r="BI48" s="26"/>
    </row>
    <row r="49" spans="1:61" ht="28.5" customHeight="1">
      <c r="A49" s="26"/>
      <c r="B49" s="326"/>
      <c r="C49" s="42" t="s">
        <v>115</v>
      </c>
      <c r="D49" s="28">
        <f t="shared" si="31"/>
        <v>0.25609717153284672</v>
      </c>
      <c r="E49" s="201">
        <v>0.437</v>
      </c>
      <c r="F49" s="30">
        <f t="shared" si="32"/>
        <v>0.1809028284671533</v>
      </c>
      <c r="G49" s="30">
        <f t="shared" si="33"/>
        <v>2.5000000000000001E-2</v>
      </c>
      <c r="H49" s="48"/>
      <c r="I49" s="48"/>
      <c r="J49" s="48"/>
      <c r="K49" s="210"/>
      <c r="L49" s="210"/>
      <c r="M49" s="210"/>
      <c r="N49" s="36"/>
      <c r="O49" s="36">
        <v>4</v>
      </c>
      <c r="P49" s="31">
        <f t="shared" si="34"/>
        <v>4</v>
      </c>
      <c r="Q49" s="36">
        <v>1</v>
      </c>
      <c r="R49" s="167">
        <v>2</v>
      </c>
      <c r="S49" s="36"/>
      <c r="T49" s="34">
        <f t="shared" si="35"/>
        <v>219200</v>
      </c>
      <c r="U49" s="31">
        <f t="shared" si="36"/>
        <v>0</v>
      </c>
      <c r="V49" s="34">
        <f t="shared" si="37"/>
        <v>219200</v>
      </c>
      <c r="W49" s="43">
        <v>54800</v>
      </c>
      <c r="X49" s="34">
        <f t="shared" si="38"/>
        <v>20030.976000000002</v>
      </c>
      <c r="Y49" s="34">
        <f t="shared" si="39"/>
        <v>80123.90400000001</v>
      </c>
      <c r="Z49" s="34">
        <f t="shared" si="40"/>
        <v>37343.9</v>
      </c>
      <c r="AA49" s="48">
        <v>33949</v>
      </c>
      <c r="AB49" s="36"/>
      <c r="AC49" s="204">
        <f t="shared" si="48"/>
        <v>2310</v>
      </c>
      <c r="AD49" s="152">
        <v>7.8E-2</v>
      </c>
      <c r="AE49" s="31">
        <f t="shared" ref="AE49:AE50" si="53">4825*(P49+S49)</f>
        <v>19300</v>
      </c>
      <c r="AF49" s="28">
        <f t="shared" si="42"/>
        <v>0.16604744525547444</v>
      </c>
      <c r="AG49" s="34">
        <f t="shared" si="43"/>
        <v>36397.629999999997</v>
      </c>
      <c r="AH49" s="34">
        <f t="shared" si="44"/>
        <v>10267.846599999997</v>
      </c>
      <c r="AI49" s="34">
        <f t="shared" si="45"/>
        <v>92410.619399999996</v>
      </c>
      <c r="AJ49" s="46">
        <f t="shared" si="46"/>
        <v>55066.719399999994</v>
      </c>
      <c r="AK49" s="40">
        <v>81</v>
      </c>
      <c r="AL49" s="41">
        <f t="shared" si="47"/>
        <v>104.328</v>
      </c>
      <c r="AM49" s="36">
        <v>12301</v>
      </c>
      <c r="AN49" s="284">
        <v>80</v>
      </c>
      <c r="AO49" s="26"/>
      <c r="AP49" s="26"/>
      <c r="AQ49" s="27"/>
      <c r="AR49" s="27"/>
      <c r="AS49" s="27"/>
      <c r="AT49" s="27"/>
      <c r="AU49" s="27"/>
      <c r="AV49" s="27"/>
      <c r="AW49" s="26"/>
      <c r="AX49" s="26"/>
      <c r="AY49" s="26"/>
      <c r="AZ49" s="26"/>
      <c r="BA49" s="26"/>
      <c r="BB49" s="26"/>
      <c r="BC49" s="26"/>
      <c r="BD49" s="26"/>
      <c r="BE49" s="26"/>
      <c r="BF49" s="26"/>
      <c r="BG49" s="26"/>
      <c r="BH49" s="26"/>
      <c r="BI49" s="26"/>
    </row>
    <row r="50" spans="1:61" ht="28.5" customHeight="1">
      <c r="A50" s="26"/>
      <c r="B50" s="324"/>
      <c r="C50" s="42" t="s">
        <v>116</v>
      </c>
      <c r="D50" s="28">
        <f t="shared" si="31"/>
        <v>-0.11266743827160502</v>
      </c>
      <c r="E50" s="201">
        <v>0.42499999999999999</v>
      </c>
      <c r="F50" s="30">
        <f t="shared" si="32"/>
        <v>0.53766743827160501</v>
      </c>
      <c r="G50" s="30">
        <f t="shared" si="33"/>
        <v>2.7027027027027029E-2</v>
      </c>
      <c r="H50" s="48"/>
      <c r="I50" s="48"/>
      <c r="J50" s="48"/>
      <c r="K50" s="210"/>
      <c r="L50" s="210"/>
      <c r="M50" s="210"/>
      <c r="N50" s="36"/>
      <c r="O50" s="36">
        <v>2</v>
      </c>
      <c r="P50" s="31">
        <f t="shared" si="34"/>
        <v>2</v>
      </c>
      <c r="Q50" s="36">
        <v>1</v>
      </c>
      <c r="R50" s="167">
        <v>3</v>
      </c>
      <c r="S50" s="36"/>
      <c r="T50" s="34">
        <f t="shared" si="35"/>
        <v>129600</v>
      </c>
      <c r="U50" s="31">
        <f t="shared" si="36"/>
        <v>0</v>
      </c>
      <c r="V50" s="34">
        <f t="shared" si="37"/>
        <v>129600</v>
      </c>
      <c r="W50" s="43">
        <v>64800</v>
      </c>
      <c r="X50" s="34">
        <f t="shared" si="38"/>
        <v>25224.192000000003</v>
      </c>
      <c r="Y50" s="34">
        <f t="shared" si="39"/>
        <v>50448.384000000005</v>
      </c>
      <c r="Z50" s="34">
        <f t="shared" si="40"/>
        <v>67371.700000000012</v>
      </c>
      <c r="AA50" s="48">
        <v>61247</v>
      </c>
      <c r="AB50" s="36"/>
      <c r="AC50" s="204">
        <f t="shared" si="48"/>
        <v>2310</v>
      </c>
      <c r="AD50" s="152">
        <v>7.8E-2</v>
      </c>
      <c r="AE50" s="31">
        <f t="shared" si="53"/>
        <v>9650</v>
      </c>
      <c r="AF50" s="28">
        <f t="shared" si="42"/>
        <v>0.15245987654320986</v>
      </c>
      <c r="AG50" s="34">
        <f t="shared" si="43"/>
        <v>19758.829999999998</v>
      </c>
      <c r="AH50" s="34">
        <f t="shared" si="44"/>
        <v>5939.2785999999987</v>
      </c>
      <c r="AI50" s="34">
        <f t="shared" si="45"/>
        <v>53453.507399999988</v>
      </c>
      <c r="AJ50" s="46">
        <f t="shared" si="46"/>
        <v>-13918.192600000024</v>
      </c>
      <c r="AK50" s="40">
        <v>102</v>
      </c>
      <c r="AL50" s="41">
        <f t="shared" si="47"/>
        <v>131.376</v>
      </c>
      <c r="AM50" s="36">
        <v>22320</v>
      </c>
      <c r="AN50" s="284">
        <v>111</v>
      </c>
      <c r="AO50" s="26"/>
      <c r="AP50" s="26"/>
      <c r="AQ50" s="27"/>
      <c r="AR50" s="27"/>
      <c r="AS50" s="27"/>
      <c r="AT50" s="27"/>
      <c r="AU50" s="27"/>
      <c r="AV50" s="27"/>
      <c r="AW50" s="26"/>
      <c r="AX50" s="26"/>
      <c r="AY50" s="26"/>
      <c r="AZ50" s="26"/>
      <c r="BA50" s="26"/>
      <c r="BB50" s="26"/>
      <c r="BC50" s="26"/>
      <c r="BD50" s="26"/>
      <c r="BE50" s="26"/>
      <c r="BF50" s="26"/>
      <c r="BG50" s="26"/>
      <c r="BH50" s="26"/>
      <c r="BI50" s="26"/>
    </row>
    <row r="51" spans="1:61" ht="28.5" customHeight="1">
      <c r="A51" s="26"/>
      <c r="B51" s="200"/>
      <c r="C51" s="42" t="s">
        <v>117</v>
      </c>
      <c r="D51" s="28">
        <f t="shared" si="31"/>
        <v>0.31443026004728136</v>
      </c>
      <c r="E51" s="297">
        <v>0.53900000000000003</v>
      </c>
      <c r="F51" s="30">
        <f t="shared" si="32"/>
        <v>0.22456973995271867</v>
      </c>
      <c r="G51" s="30">
        <f t="shared" si="33"/>
        <v>2.8735632183908046E-2</v>
      </c>
      <c r="H51" s="48"/>
      <c r="I51" s="48"/>
      <c r="J51" s="48"/>
      <c r="K51" s="210"/>
      <c r="L51" s="210"/>
      <c r="M51" s="210"/>
      <c r="N51" s="36"/>
      <c r="O51" s="36">
        <v>47</v>
      </c>
      <c r="P51" s="31">
        <f t="shared" si="34"/>
        <v>47</v>
      </c>
      <c r="Q51" s="36">
        <v>12</v>
      </c>
      <c r="R51" s="167">
        <v>35</v>
      </c>
      <c r="S51" s="36"/>
      <c r="T51" s="34">
        <f t="shared" si="35"/>
        <v>930600</v>
      </c>
      <c r="U51" s="31">
        <f t="shared" si="36"/>
        <v>0</v>
      </c>
      <c r="V51" s="34">
        <f t="shared" si="37"/>
        <v>930600</v>
      </c>
      <c r="W51" s="43">
        <v>19800</v>
      </c>
      <c r="X51" s="34">
        <f t="shared" si="38"/>
        <v>4451.3280000000004</v>
      </c>
      <c r="Y51" s="34">
        <f t="shared" si="39"/>
        <v>209212.41600000003</v>
      </c>
      <c r="Z51" s="34">
        <f t="shared" si="40"/>
        <v>181264.6</v>
      </c>
      <c r="AA51" s="48">
        <v>164786</v>
      </c>
      <c r="AB51" s="36"/>
      <c r="AC51" s="204">
        <f t="shared" si="48"/>
        <v>27720</v>
      </c>
      <c r="AD51" s="152">
        <v>7.8E-2</v>
      </c>
      <c r="AE51" s="31">
        <f t="shared" ref="AE51:AE55" si="54">1900*(P51+S51)</f>
        <v>89300</v>
      </c>
      <c r="AF51" s="28">
        <f t="shared" si="42"/>
        <v>0.17395959595959595</v>
      </c>
      <c r="AG51" s="34">
        <f t="shared" si="43"/>
        <v>161886.82999999999</v>
      </c>
      <c r="AH51" s="34">
        <f t="shared" si="44"/>
        <v>55950.075399999994</v>
      </c>
      <c r="AI51" s="34">
        <f t="shared" si="45"/>
        <v>503550.67859999998</v>
      </c>
      <c r="AJ51" s="46">
        <f t="shared" si="46"/>
        <v>322286.07860000001</v>
      </c>
      <c r="AK51" s="40">
        <v>18</v>
      </c>
      <c r="AL51" s="41">
        <f t="shared" si="47"/>
        <v>23.184000000000001</v>
      </c>
      <c r="AM51" s="36">
        <v>258746</v>
      </c>
      <c r="AN51" s="284">
        <v>1218</v>
      </c>
      <c r="AO51" s="26"/>
      <c r="AP51" s="26"/>
      <c r="AQ51" s="27"/>
      <c r="AR51" s="27"/>
      <c r="AS51" s="27"/>
      <c r="AT51" s="27"/>
      <c r="AU51" s="27"/>
      <c r="AV51" s="27"/>
      <c r="AW51" s="26"/>
      <c r="AX51" s="26"/>
      <c r="AY51" s="26"/>
      <c r="AZ51" s="26"/>
      <c r="BA51" s="26"/>
      <c r="BB51" s="26"/>
      <c r="BC51" s="26"/>
      <c r="BD51" s="26"/>
      <c r="BE51" s="26"/>
      <c r="BF51" s="26"/>
      <c r="BG51" s="26"/>
      <c r="BH51" s="26"/>
      <c r="BI51" s="26"/>
    </row>
    <row r="52" spans="1:61" ht="28.5" customHeight="1">
      <c r="A52" s="26"/>
      <c r="B52" s="200"/>
      <c r="C52" s="42" t="s">
        <v>31</v>
      </c>
      <c r="D52" s="28">
        <f t="shared" si="31"/>
        <v>0.19622222222222216</v>
      </c>
      <c r="E52" s="297">
        <v>0.40699999999999997</v>
      </c>
      <c r="F52" s="30">
        <f t="shared" si="32"/>
        <v>0.21077777777777781</v>
      </c>
      <c r="G52" s="30">
        <f t="shared" si="33"/>
        <v>8.3333333333333329E-2</v>
      </c>
      <c r="H52" s="48"/>
      <c r="I52" s="48"/>
      <c r="J52" s="48"/>
      <c r="K52" s="210"/>
      <c r="L52" s="210"/>
      <c r="M52" s="210"/>
      <c r="N52" s="36"/>
      <c r="O52" s="36">
        <v>4</v>
      </c>
      <c r="P52" s="31">
        <f t="shared" si="34"/>
        <v>1</v>
      </c>
      <c r="Q52" s="36">
        <v>0</v>
      </c>
      <c r="R52" s="167">
        <v>1</v>
      </c>
      <c r="S52" s="36">
        <v>3</v>
      </c>
      <c r="T52" s="34">
        <f t="shared" si="35"/>
        <v>79200</v>
      </c>
      <c r="U52" s="31">
        <f t="shared" si="36"/>
        <v>59400</v>
      </c>
      <c r="V52" s="34">
        <f t="shared" si="37"/>
        <v>19800</v>
      </c>
      <c r="W52" s="43">
        <v>19800</v>
      </c>
      <c r="X52" s="34">
        <f t="shared" si="38"/>
        <v>7418.88</v>
      </c>
      <c r="Y52" s="34">
        <f t="shared" si="39"/>
        <v>7418.88</v>
      </c>
      <c r="Z52" s="34">
        <f t="shared" si="40"/>
        <v>4173.4000000000005</v>
      </c>
      <c r="AA52" s="48">
        <v>3794</v>
      </c>
      <c r="AB52" s="286">
        <f>((19800*0.1)+(19800*0.015)+2100+2200)*3</f>
        <v>19731</v>
      </c>
      <c r="AC52" s="204">
        <f t="shared" si="48"/>
        <v>0</v>
      </c>
      <c r="AD52" s="152">
        <v>0.08</v>
      </c>
      <c r="AE52" s="31">
        <f t="shared" si="54"/>
        <v>7600</v>
      </c>
      <c r="AF52" s="28">
        <f t="shared" si="42"/>
        <v>0.46383838383838383</v>
      </c>
      <c r="AG52" s="34">
        <f t="shared" si="43"/>
        <v>9184.0300000000007</v>
      </c>
      <c r="AH52" s="34">
        <f t="shared" si="44"/>
        <v>319.70899999999983</v>
      </c>
      <c r="AI52" s="34">
        <f t="shared" si="45"/>
        <v>2877.3810000000012</v>
      </c>
      <c r="AJ52" s="46">
        <f t="shared" si="46"/>
        <v>-1296.0189999999993</v>
      </c>
      <c r="AK52" s="40">
        <v>30</v>
      </c>
      <c r="AL52" s="41">
        <f t="shared" si="47"/>
        <v>38.64</v>
      </c>
      <c r="AM52" s="36">
        <v>12838</v>
      </c>
      <c r="AN52" s="284">
        <v>12</v>
      </c>
      <c r="AO52" s="26"/>
      <c r="AP52" s="26"/>
      <c r="AQ52" s="27"/>
      <c r="AR52" s="27"/>
      <c r="AS52" s="27"/>
      <c r="AT52" s="27"/>
      <c r="AU52" s="27"/>
      <c r="AV52" s="27"/>
      <c r="AW52" s="26"/>
      <c r="AX52" s="26"/>
      <c r="AY52" s="26"/>
      <c r="AZ52" s="26"/>
      <c r="BA52" s="26"/>
      <c r="BB52" s="26"/>
      <c r="BC52" s="26"/>
      <c r="BD52" s="26"/>
      <c r="BE52" s="26"/>
      <c r="BF52" s="26"/>
      <c r="BG52" s="26"/>
      <c r="BH52" s="26"/>
      <c r="BI52" s="26"/>
    </row>
    <row r="53" spans="1:61" ht="28.5" customHeight="1">
      <c r="A53" s="26"/>
      <c r="B53" s="200"/>
      <c r="C53" s="42" t="s">
        <v>118</v>
      </c>
      <c r="D53" s="28">
        <f t="shared" si="31"/>
        <v>0.46114516129032257</v>
      </c>
      <c r="E53" s="297">
        <v>0.36799999999999999</v>
      </c>
      <c r="F53" s="30">
        <f t="shared" si="32"/>
        <v>-9.3145161290322576E-2</v>
      </c>
      <c r="G53" s="30" t="e">
        <f t="shared" si="33"/>
        <v>#DIV/0!</v>
      </c>
      <c r="H53" s="48"/>
      <c r="I53" s="48"/>
      <c r="J53" s="48"/>
      <c r="K53" s="210"/>
      <c r="L53" s="210"/>
      <c r="M53" s="210"/>
      <c r="N53" s="36"/>
      <c r="O53" s="36">
        <v>-1</v>
      </c>
      <c r="P53" s="31">
        <f t="shared" si="34"/>
        <v>-1</v>
      </c>
      <c r="Q53" s="36">
        <v>1</v>
      </c>
      <c r="R53" s="167">
        <v>0</v>
      </c>
      <c r="S53" s="36"/>
      <c r="T53" s="34">
        <f t="shared" si="35"/>
        <v>-24800</v>
      </c>
      <c r="U53" s="31">
        <f t="shared" si="36"/>
        <v>0</v>
      </c>
      <c r="V53" s="34">
        <f t="shared" si="37"/>
        <v>-24800</v>
      </c>
      <c r="W53" s="43">
        <v>24800</v>
      </c>
      <c r="X53" s="34">
        <f t="shared" si="38"/>
        <v>10386.432000000001</v>
      </c>
      <c r="Y53" s="34">
        <f t="shared" si="39"/>
        <v>-10386.432000000001</v>
      </c>
      <c r="Z53" s="34">
        <f t="shared" si="40"/>
        <v>0</v>
      </c>
      <c r="AA53" s="48">
        <v>0</v>
      </c>
      <c r="AB53" s="36"/>
      <c r="AC53" s="204">
        <f t="shared" si="48"/>
        <v>2310</v>
      </c>
      <c r="AD53" s="152">
        <v>0.1</v>
      </c>
      <c r="AE53" s="31">
        <f t="shared" si="54"/>
        <v>-1900</v>
      </c>
      <c r="AF53" s="28">
        <f t="shared" si="42"/>
        <v>0.17661290322580647</v>
      </c>
      <c r="AG53" s="34">
        <f t="shared" si="43"/>
        <v>-4379.9700000000012</v>
      </c>
      <c r="AH53" s="34">
        <f t="shared" si="44"/>
        <v>-1003.3597999999997</v>
      </c>
      <c r="AI53" s="34">
        <f t="shared" si="45"/>
        <v>-9030.238199999998</v>
      </c>
      <c r="AJ53" s="46">
        <f t="shared" si="46"/>
        <v>-9030.238199999998</v>
      </c>
      <c r="AK53" s="40">
        <v>42</v>
      </c>
      <c r="AL53" s="41">
        <f t="shared" si="47"/>
        <v>54.096000000000004</v>
      </c>
      <c r="AM53" s="36">
        <v>0</v>
      </c>
      <c r="AN53" s="284">
        <v>0</v>
      </c>
      <c r="AO53" s="26"/>
      <c r="AP53" s="26"/>
      <c r="AQ53" s="27"/>
      <c r="AR53" s="27"/>
      <c r="AS53" s="27"/>
      <c r="AT53" s="27"/>
      <c r="AU53" s="27"/>
      <c r="AV53" s="27"/>
      <c r="AW53" s="26"/>
      <c r="AX53" s="26"/>
      <c r="AY53" s="26"/>
      <c r="AZ53" s="26"/>
      <c r="BA53" s="26"/>
      <c r="BB53" s="26"/>
      <c r="BC53" s="26"/>
      <c r="BD53" s="26"/>
      <c r="BE53" s="26"/>
      <c r="BF53" s="26"/>
      <c r="BG53" s="26"/>
      <c r="BH53" s="26"/>
      <c r="BI53" s="26"/>
    </row>
    <row r="54" spans="1:61" ht="28.5" customHeight="1">
      <c r="A54" s="26"/>
      <c r="B54" s="200"/>
      <c r="C54" s="42" t="s">
        <v>119</v>
      </c>
      <c r="D54" s="28">
        <f t="shared" si="31"/>
        <v>5.6307459677419347E-2</v>
      </c>
      <c r="E54" s="297">
        <v>0.45600000000000002</v>
      </c>
      <c r="F54" s="30">
        <f t="shared" si="32"/>
        <v>0.39969254032258067</v>
      </c>
      <c r="G54" s="30">
        <f t="shared" si="33"/>
        <v>4.1095890410958902E-2</v>
      </c>
      <c r="H54" s="48"/>
      <c r="I54" s="48"/>
      <c r="J54" s="48"/>
      <c r="K54" s="210"/>
      <c r="L54" s="210"/>
      <c r="M54" s="210"/>
      <c r="N54" s="36"/>
      <c r="O54" s="36">
        <v>7</v>
      </c>
      <c r="P54" s="31">
        <f t="shared" si="34"/>
        <v>4</v>
      </c>
      <c r="Q54" s="36">
        <v>2</v>
      </c>
      <c r="R54" s="167">
        <v>3</v>
      </c>
      <c r="S54" s="36">
        <v>3</v>
      </c>
      <c r="T54" s="34">
        <f t="shared" si="35"/>
        <v>173600</v>
      </c>
      <c r="U54" s="31">
        <f t="shared" si="36"/>
        <v>74400</v>
      </c>
      <c r="V54" s="34">
        <f t="shared" si="37"/>
        <v>99200</v>
      </c>
      <c r="W54" s="43">
        <v>24800</v>
      </c>
      <c r="X54" s="34">
        <f t="shared" si="38"/>
        <v>7666.1760000000013</v>
      </c>
      <c r="Y54" s="34">
        <f t="shared" si="39"/>
        <v>30664.704000000005</v>
      </c>
      <c r="Z54" s="34">
        <f t="shared" si="40"/>
        <v>35029.5</v>
      </c>
      <c r="AA54" s="48">
        <v>31845</v>
      </c>
      <c r="AB54" s="286">
        <f>((24800*0.1)+(24800*0.015)+2100+2750)*3</f>
        <v>23106</v>
      </c>
      <c r="AC54" s="204">
        <f t="shared" si="48"/>
        <v>4620</v>
      </c>
      <c r="AD54" s="152">
        <v>0.108</v>
      </c>
      <c r="AE54" s="31">
        <f t="shared" si="54"/>
        <v>13300</v>
      </c>
      <c r="AF54" s="28">
        <f t="shared" si="42"/>
        <v>0.24207258064516129</v>
      </c>
      <c r="AG54" s="34">
        <f t="shared" si="43"/>
        <v>24013.63</v>
      </c>
      <c r="AH54" s="34">
        <f t="shared" si="44"/>
        <v>4452.1665999999996</v>
      </c>
      <c r="AI54" s="34">
        <f t="shared" si="45"/>
        <v>40069.499400000001</v>
      </c>
      <c r="AJ54" s="46">
        <f t="shared" si="46"/>
        <v>5039.9994000000006</v>
      </c>
      <c r="AK54" s="40">
        <v>31</v>
      </c>
      <c r="AL54" s="41">
        <f t="shared" si="47"/>
        <v>39.928000000000004</v>
      </c>
      <c r="AM54" s="36">
        <v>17505</v>
      </c>
      <c r="AN54" s="284">
        <v>73</v>
      </c>
      <c r="AO54" s="26"/>
      <c r="AP54" s="26"/>
      <c r="AQ54" s="27"/>
      <c r="AR54" s="27"/>
      <c r="AS54" s="27"/>
      <c r="AT54" s="27"/>
      <c r="AU54" s="27"/>
      <c r="AV54" s="27"/>
      <c r="AW54" s="26"/>
      <c r="AX54" s="26"/>
      <c r="AY54" s="26"/>
      <c r="AZ54" s="26"/>
      <c r="BA54" s="26"/>
      <c r="BB54" s="26"/>
      <c r="BC54" s="26"/>
      <c r="BD54" s="26"/>
      <c r="BE54" s="26"/>
      <c r="BF54" s="26"/>
      <c r="BG54" s="26"/>
      <c r="BH54" s="26"/>
      <c r="BI54" s="26"/>
    </row>
    <row r="55" spans="1:61" ht="28.5" customHeight="1">
      <c r="A55" s="26"/>
      <c r="B55" s="200"/>
      <c r="C55" s="239" t="s">
        <v>120</v>
      </c>
      <c r="D55" s="28">
        <f t="shared" si="31"/>
        <v>-9.183919597989959E-2</v>
      </c>
      <c r="E55" s="297">
        <v>0.41299999999999998</v>
      </c>
      <c r="F55" s="30">
        <f t="shared" si="32"/>
        <v>0.50483919597989957</v>
      </c>
      <c r="G55" s="30">
        <f t="shared" si="33"/>
        <v>0</v>
      </c>
      <c r="H55" s="48"/>
      <c r="I55" s="48"/>
      <c r="J55" s="48"/>
      <c r="K55" s="210"/>
      <c r="L55" s="210"/>
      <c r="M55" s="210"/>
      <c r="N55" s="36"/>
      <c r="O55" s="36">
        <v>1</v>
      </c>
      <c r="P55" s="31">
        <f t="shared" si="34"/>
        <v>1</v>
      </c>
      <c r="Q55" s="36">
        <v>0</v>
      </c>
      <c r="R55" s="167"/>
      <c r="S55" s="36"/>
      <c r="T55" s="34">
        <f t="shared" si="35"/>
        <v>39800</v>
      </c>
      <c r="U55" s="31">
        <f t="shared" si="36"/>
        <v>0</v>
      </c>
      <c r="V55" s="34">
        <f t="shared" si="37"/>
        <v>39800</v>
      </c>
      <c r="W55" s="43">
        <v>39800</v>
      </c>
      <c r="X55" s="34">
        <f t="shared" si="38"/>
        <v>7666.1760000000013</v>
      </c>
      <c r="Y55" s="34">
        <f t="shared" si="39"/>
        <v>7666.1760000000013</v>
      </c>
      <c r="Z55" s="34">
        <f t="shared" si="40"/>
        <v>20092.600000000002</v>
      </c>
      <c r="AA55" s="48">
        <v>18266</v>
      </c>
      <c r="AB55" s="286"/>
      <c r="AC55" s="204">
        <f t="shared" si="48"/>
        <v>0</v>
      </c>
      <c r="AD55" s="152">
        <v>0.108</v>
      </c>
      <c r="AE55" s="31">
        <f t="shared" si="54"/>
        <v>1900</v>
      </c>
      <c r="AF55" s="28">
        <f t="shared" si="42"/>
        <v>0.15573869346733668</v>
      </c>
      <c r="AG55" s="34">
        <f t="shared" si="43"/>
        <v>6198.4299999999994</v>
      </c>
      <c r="AH55" s="34">
        <f t="shared" si="44"/>
        <v>2593.5393999999997</v>
      </c>
      <c r="AI55" s="34">
        <f t="shared" si="45"/>
        <v>23341.854599999999</v>
      </c>
      <c r="AJ55" s="46">
        <f t="shared" si="46"/>
        <v>3249.2545999999966</v>
      </c>
      <c r="AK55" s="40">
        <v>31</v>
      </c>
      <c r="AL55" s="41">
        <f t="shared" si="47"/>
        <v>39.928000000000004</v>
      </c>
      <c r="AM55" s="36">
        <v>7590</v>
      </c>
      <c r="AN55" s="284">
        <v>44</v>
      </c>
      <c r="AO55" s="26"/>
      <c r="AP55" s="26"/>
      <c r="AQ55" s="27"/>
      <c r="AR55" s="27"/>
      <c r="AS55" s="27"/>
      <c r="AT55" s="27"/>
      <c r="AU55" s="27"/>
      <c r="AV55" s="27"/>
      <c r="AW55" s="26"/>
      <c r="AX55" s="26"/>
      <c r="AY55" s="26"/>
      <c r="AZ55" s="26"/>
      <c r="BA55" s="26"/>
      <c r="BB55" s="26"/>
      <c r="BC55" s="26"/>
      <c r="BD55" s="26"/>
      <c r="BE55" s="26"/>
      <c r="BF55" s="26"/>
      <c r="BG55" s="26"/>
      <c r="BH55" s="26"/>
      <c r="BI55" s="26"/>
    </row>
    <row r="56" spans="1:61" ht="28.5" customHeight="1">
      <c r="A56" s="26"/>
      <c r="B56" s="216"/>
      <c r="C56" s="217"/>
      <c r="D56" s="298">
        <f>AJ56/V56</f>
        <v>8.9612331358426792E-2</v>
      </c>
      <c r="E56" s="298">
        <f>AI56/V56</f>
        <v>0.37917842633393989</v>
      </c>
      <c r="F56" s="52">
        <f>(Z56)/V56</f>
        <v>0.26181977130890421</v>
      </c>
      <c r="G56" s="219"/>
      <c r="H56" s="55"/>
      <c r="I56" s="55"/>
      <c r="J56" s="55"/>
      <c r="K56" s="55"/>
      <c r="L56" s="55"/>
      <c r="M56" s="55"/>
      <c r="N56" s="130"/>
      <c r="O56" s="130">
        <f t="shared" ref="O56:V56" si="55">SUM(O33:O55)</f>
        <v>356</v>
      </c>
      <c r="P56" s="130">
        <f t="shared" si="55"/>
        <v>335</v>
      </c>
      <c r="Q56" s="130">
        <f t="shared" si="55"/>
        <v>55</v>
      </c>
      <c r="R56" s="130">
        <f t="shared" si="55"/>
        <v>251</v>
      </c>
      <c r="S56" s="130">
        <f t="shared" si="55"/>
        <v>21</v>
      </c>
      <c r="T56" s="130">
        <f t="shared" si="55"/>
        <v>9778420</v>
      </c>
      <c r="U56" s="130">
        <f t="shared" si="55"/>
        <v>667440</v>
      </c>
      <c r="V56" s="130">
        <f t="shared" si="55"/>
        <v>9110980</v>
      </c>
      <c r="W56" s="55"/>
      <c r="X56" s="130">
        <f t="shared" ref="X56:AC56" si="56">SUM(X33:X55)</f>
        <v>338894.43839999987</v>
      </c>
      <c r="Y56" s="130">
        <f t="shared" si="56"/>
        <v>3312925.5936000007</v>
      </c>
      <c r="Z56" s="130">
        <f t="shared" si="56"/>
        <v>2385434.7000000002</v>
      </c>
      <c r="AA56" s="130">
        <f t="shared" si="56"/>
        <v>2168577</v>
      </c>
      <c r="AB56" s="130">
        <f t="shared" si="56"/>
        <v>252796.2</v>
      </c>
      <c r="AC56" s="130">
        <f t="shared" si="56"/>
        <v>125256</v>
      </c>
      <c r="AD56" s="154">
        <v>0.09</v>
      </c>
      <c r="AE56" s="130">
        <f>SUM(AE33:AE55)</f>
        <v>1139525</v>
      </c>
      <c r="AF56" s="53">
        <f t="shared" si="42"/>
        <v>0.21507161688424298</v>
      </c>
      <c r="AG56" s="56">
        <f t="shared" si="43"/>
        <v>1959513.2300000002</v>
      </c>
      <c r="AH56" s="56">
        <f t="shared" si="44"/>
        <v>383854.11763999995</v>
      </c>
      <c r="AI56" s="56">
        <f t="shared" si="45"/>
        <v>3454687.0587599995</v>
      </c>
      <c r="AJ56" s="46">
        <f>AI56-Z56-AB56</f>
        <v>816456.15875999932</v>
      </c>
      <c r="AK56" s="54"/>
      <c r="AL56" s="222"/>
      <c r="AM56" s="131">
        <f t="shared" ref="AM56:AN56" si="57">SUM(AM33:AM34)</f>
        <v>431881</v>
      </c>
      <c r="AN56" s="132">
        <f t="shared" si="57"/>
        <v>1559</v>
      </c>
      <c r="AO56" s="26"/>
      <c r="AP56" s="26"/>
      <c r="AQ56" s="27"/>
      <c r="AR56" s="27"/>
      <c r="AS56" s="27"/>
      <c r="AT56" s="27"/>
      <c r="AU56" s="27"/>
      <c r="AV56" s="27"/>
      <c r="AW56" s="26"/>
      <c r="AX56" s="26"/>
      <c r="AY56" s="26"/>
      <c r="AZ56" s="26"/>
      <c r="BA56" s="26"/>
      <c r="BB56" s="26"/>
      <c r="BC56" s="26"/>
      <c r="BD56" s="26"/>
      <c r="BE56" s="26"/>
      <c r="BF56" s="26"/>
      <c r="BG56" s="26"/>
      <c r="BH56" s="26"/>
      <c r="BI56" s="26"/>
    </row>
    <row r="57" spans="1:61" ht="28.5" customHeight="1">
      <c r="A57" s="1"/>
      <c r="B57" s="290"/>
      <c r="C57" s="291"/>
      <c r="D57" s="2"/>
      <c r="E57" s="2"/>
      <c r="F57" s="2"/>
      <c r="G57" s="2"/>
      <c r="H57" s="2"/>
      <c r="I57" s="2"/>
      <c r="J57" s="2"/>
      <c r="K57" s="2"/>
      <c r="L57" s="2"/>
      <c r="M57" s="2"/>
      <c r="N57" s="292"/>
      <c r="O57" s="292"/>
      <c r="P57" s="2"/>
      <c r="Q57" s="2"/>
      <c r="R57" s="2"/>
      <c r="S57" s="293"/>
      <c r="T57" s="2"/>
      <c r="U57" s="2"/>
      <c r="V57" s="2"/>
      <c r="W57" s="2"/>
      <c r="X57" s="2"/>
      <c r="Y57" s="2"/>
      <c r="Z57" s="2"/>
      <c r="AA57" s="2"/>
      <c r="AB57" s="2"/>
      <c r="AC57" s="2"/>
      <c r="AD57" s="2"/>
      <c r="AE57" s="2"/>
      <c r="AF57" s="1"/>
      <c r="AG57" s="1"/>
      <c r="AH57" s="1"/>
      <c r="AI57" s="1"/>
      <c r="AJ57" s="1"/>
      <c r="AK57" s="1"/>
      <c r="AL57" s="1"/>
      <c r="AM57" s="1"/>
      <c r="AN57" s="1"/>
      <c r="AO57" s="1"/>
      <c r="AP57" s="1"/>
      <c r="AQ57" s="1"/>
      <c r="AR57" s="1"/>
      <c r="AS57" s="1"/>
      <c r="AT57" s="7"/>
      <c r="AU57" s="7"/>
      <c r="AV57" s="7"/>
      <c r="AW57" s="47"/>
      <c r="AX57" s="47"/>
      <c r="AY57" s="47"/>
      <c r="AZ57" s="47"/>
      <c r="BA57" s="47"/>
      <c r="BB57" s="47"/>
      <c r="BC57" s="47"/>
      <c r="BD57" s="47"/>
      <c r="BE57" s="47"/>
      <c r="BF57" s="47"/>
      <c r="BG57" s="47"/>
      <c r="BH57" s="47"/>
      <c r="BI57" s="47"/>
    </row>
    <row r="58" spans="1:61" ht="28.5" customHeight="1">
      <c r="A58" s="26"/>
      <c r="B58" s="189"/>
      <c r="C58" s="134">
        <v>45872</v>
      </c>
      <c r="D58" s="190" t="s">
        <v>0</v>
      </c>
      <c r="E58" s="190" t="s">
        <v>1</v>
      </c>
      <c r="F58" s="190" t="s">
        <v>2</v>
      </c>
      <c r="G58" s="190" t="s">
        <v>3</v>
      </c>
      <c r="H58" s="191" t="s">
        <v>4</v>
      </c>
      <c r="I58" s="192" t="s">
        <v>5</v>
      </c>
      <c r="J58" s="192" t="s">
        <v>90</v>
      </c>
      <c r="K58" s="193"/>
      <c r="L58" s="193" t="s">
        <v>6</v>
      </c>
      <c r="M58" s="194" t="s">
        <v>7</v>
      </c>
      <c r="N58" s="123"/>
      <c r="O58" s="123" t="s">
        <v>8</v>
      </c>
      <c r="P58" s="123" t="s">
        <v>9</v>
      </c>
      <c r="Q58" s="15" t="s">
        <v>10</v>
      </c>
      <c r="R58" s="123" t="s">
        <v>92</v>
      </c>
      <c r="S58" s="196" t="s">
        <v>11</v>
      </c>
      <c r="T58" s="17" t="s">
        <v>12</v>
      </c>
      <c r="U58" s="17" t="s">
        <v>13</v>
      </c>
      <c r="V58" s="17" t="s">
        <v>14</v>
      </c>
      <c r="W58" s="17" t="s">
        <v>15</v>
      </c>
      <c r="X58" s="17" t="s">
        <v>16</v>
      </c>
      <c r="Y58" s="17" t="s">
        <v>17</v>
      </c>
      <c r="Z58" s="19" t="s">
        <v>18</v>
      </c>
      <c r="AA58" s="19" t="s">
        <v>19</v>
      </c>
      <c r="AB58" s="20" t="s">
        <v>20</v>
      </c>
      <c r="AC58" s="22" t="s">
        <v>93</v>
      </c>
      <c r="AD58" s="197" t="s">
        <v>21</v>
      </c>
      <c r="AE58" s="21" t="s">
        <v>22</v>
      </c>
      <c r="AF58" s="23" t="s">
        <v>23</v>
      </c>
      <c r="AG58" s="23" t="s">
        <v>21</v>
      </c>
      <c r="AH58" s="23" t="s">
        <v>24</v>
      </c>
      <c r="AI58" s="24" t="s">
        <v>26</v>
      </c>
      <c r="AJ58" s="23" t="s">
        <v>27</v>
      </c>
      <c r="AK58" s="21" t="s">
        <v>147</v>
      </c>
      <c r="AL58" s="282" t="s">
        <v>148</v>
      </c>
      <c r="AM58" s="124" t="s">
        <v>94</v>
      </c>
      <c r="AN58" s="125" t="s">
        <v>95</v>
      </c>
      <c r="AO58" s="26"/>
      <c r="AP58" s="26"/>
      <c r="AQ58" s="27"/>
      <c r="AR58" s="27"/>
      <c r="AS58" s="27"/>
      <c r="AT58" s="27"/>
      <c r="AU58" s="27"/>
      <c r="AV58" s="27"/>
      <c r="AW58" s="26"/>
      <c r="AX58" s="26"/>
      <c r="AY58" s="26"/>
      <c r="AZ58" s="26"/>
      <c r="BA58" s="26"/>
      <c r="BB58" s="26"/>
      <c r="BC58" s="26"/>
      <c r="BD58" s="26"/>
      <c r="BE58" s="26"/>
      <c r="BF58" s="26"/>
      <c r="BG58" s="26"/>
      <c r="BH58" s="26"/>
      <c r="BI58" s="26"/>
    </row>
    <row r="59" spans="1:61" ht="28.5" customHeight="1">
      <c r="A59" s="113"/>
      <c r="B59" s="299"/>
      <c r="C59" s="42" t="s">
        <v>107</v>
      </c>
      <c r="D59" s="28">
        <f t="shared" ref="D59:D81" si="58">E59-F59</f>
        <v>0.11610959391922593</v>
      </c>
      <c r="E59" s="201">
        <v>0.39700000000000002</v>
      </c>
      <c r="F59" s="30">
        <f t="shared" ref="F59:F81" si="59">(Z59+AC59)/V59</f>
        <v>0.28089040608077409</v>
      </c>
      <c r="G59" s="30">
        <f t="shared" ref="G59:G81" si="60">R59/AN59</f>
        <v>6.9592476489028207E-2</v>
      </c>
      <c r="H59" s="48"/>
      <c r="I59" s="48"/>
      <c r="J59" s="48"/>
      <c r="K59" s="48"/>
      <c r="L59" s="48"/>
      <c r="M59" s="48"/>
      <c r="N59" s="36"/>
      <c r="O59" s="36">
        <v>155</v>
      </c>
      <c r="P59" s="31">
        <f t="shared" ref="P59:P81" si="61">O59-S59</f>
        <v>155</v>
      </c>
      <c r="Q59" s="36">
        <v>9</v>
      </c>
      <c r="R59" s="167">
        <v>111</v>
      </c>
      <c r="S59" s="36"/>
      <c r="T59" s="34">
        <f t="shared" ref="T59:T81" si="62">W59*O59</f>
        <v>4071850</v>
      </c>
      <c r="U59" s="31">
        <f t="shared" ref="U59:U81" si="63">W59*S59</f>
        <v>0</v>
      </c>
      <c r="V59" s="34">
        <f t="shared" ref="V59:V81" si="64">T59-U59</f>
        <v>4071850</v>
      </c>
      <c r="W59" s="43">
        <v>26270</v>
      </c>
      <c r="X59" s="34">
        <f t="shared" ref="X59:X81" si="65">AL59*$A$2</f>
        <v>9891.84</v>
      </c>
      <c r="Y59" s="34">
        <f t="shared" ref="Y59:Y81" si="66">X59*P59</f>
        <v>1533235.2</v>
      </c>
      <c r="Z59" s="34">
        <f t="shared" ref="Z59:Z81" si="67">AA59*1.1</f>
        <v>1124195.6000000001</v>
      </c>
      <c r="AA59" s="48">
        <v>1021996</v>
      </c>
      <c r="AB59" s="36"/>
      <c r="AC59" s="204">
        <f t="shared" ref="AC59:AC60" si="68">(1072+1100)*Q59</f>
        <v>19548</v>
      </c>
      <c r="AD59" s="152">
        <v>0.1</v>
      </c>
      <c r="AE59" s="31">
        <f>3050*(P59+S59)</f>
        <v>472750</v>
      </c>
      <c r="AF59" s="28">
        <f t="shared" ref="AF59:AF82" si="69">AD59+(AE59/V59)</f>
        <v>0.2161020175104682</v>
      </c>
      <c r="AG59" s="34">
        <f t="shared" ref="AG59:AG82" si="70">V59*AF59+3%</f>
        <v>879935.03</v>
      </c>
      <c r="AH59" s="34">
        <f t="shared" ref="AH59:AH82" si="71">(V59)*10%-(Y59+AG59)*10%</f>
        <v>165867.97699999998</v>
      </c>
      <c r="AI59" s="34">
        <f t="shared" ref="AI59:AI82" si="72">V59-(Y59+AG59+AH59)</f>
        <v>1492811.7930000001</v>
      </c>
      <c r="AJ59" s="46">
        <f t="shared" ref="AJ59:AJ81" si="73">AI59-Z59</f>
        <v>368616.19299999997</v>
      </c>
      <c r="AK59" s="40">
        <v>40</v>
      </c>
      <c r="AL59" s="41">
        <f t="shared" ref="AL59:AL81" si="74">(AK59*1.15)*1.12</f>
        <v>51.52</v>
      </c>
      <c r="AM59" s="36">
        <v>421490</v>
      </c>
      <c r="AN59" s="284">
        <v>1595</v>
      </c>
      <c r="AO59" s="26"/>
      <c r="AP59" s="26"/>
      <c r="AQ59" s="27"/>
      <c r="AR59" s="27"/>
      <c r="AS59" s="27"/>
      <c r="AT59" s="27"/>
      <c r="AU59" s="27"/>
      <c r="AV59" s="27"/>
      <c r="AW59" s="26"/>
      <c r="AX59" s="26"/>
      <c r="AY59" s="26"/>
      <c r="AZ59" s="26"/>
      <c r="BA59" s="26"/>
      <c r="BB59" s="26"/>
      <c r="BC59" s="26"/>
      <c r="BD59" s="26"/>
      <c r="BE59" s="26"/>
      <c r="BF59" s="26"/>
      <c r="BG59" s="26"/>
      <c r="BH59" s="26"/>
      <c r="BI59" s="26"/>
    </row>
    <row r="60" spans="1:61" ht="28.5" customHeight="1">
      <c r="A60" s="113"/>
      <c r="B60" s="299"/>
      <c r="C60" s="42" t="s">
        <v>108</v>
      </c>
      <c r="D60" s="28">
        <f t="shared" si="58"/>
        <v>0.27377947598253272</v>
      </c>
      <c r="E60" s="201">
        <v>0.379</v>
      </c>
      <c r="F60" s="30">
        <f t="shared" si="59"/>
        <v>0.10522052401746726</v>
      </c>
      <c r="G60" s="30">
        <f t="shared" si="60"/>
        <v>0</v>
      </c>
      <c r="H60" s="48"/>
      <c r="I60" s="48"/>
      <c r="J60" s="48"/>
      <c r="K60" s="210"/>
      <c r="L60" s="210"/>
      <c r="M60" s="210"/>
      <c r="N60" s="36"/>
      <c r="O60" s="36">
        <v>2</v>
      </c>
      <c r="P60" s="31">
        <f t="shared" si="61"/>
        <v>2</v>
      </c>
      <c r="Q60" s="36">
        <v>0</v>
      </c>
      <c r="R60" s="167">
        <v>0</v>
      </c>
      <c r="S60" s="36"/>
      <c r="T60" s="34">
        <f t="shared" si="62"/>
        <v>45800</v>
      </c>
      <c r="U60" s="31">
        <f t="shared" si="63"/>
        <v>0</v>
      </c>
      <c r="V60" s="34">
        <f t="shared" si="64"/>
        <v>45800</v>
      </c>
      <c r="W60" s="43">
        <v>22900</v>
      </c>
      <c r="X60" s="34">
        <f t="shared" si="65"/>
        <v>7913.4719999999998</v>
      </c>
      <c r="Y60" s="34">
        <f t="shared" si="66"/>
        <v>15826.944</v>
      </c>
      <c r="Z60" s="34">
        <f t="shared" si="67"/>
        <v>4819.1000000000004</v>
      </c>
      <c r="AA60" s="48">
        <v>4381</v>
      </c>
      <c r="AB60" s="36"/>
      <c r="AC60" s="204">
        <f t="shared" si="68"/>
        <v>0</v>
      </c>
      <c r="AD60" s="152">
        <v>0.1</v>
      </c>
      <c r="AE60" s="31">
        <f>2950*(P60+S60)</f>
        <v>5900</v>
      </c>
      <c r="AF60" s="28">
        <f t="shared" si="69"/>
        <v>0.22882096069868996</v>
      </c>
      <c r="AG60" s="34">
        <f t="shared" si="70"/>
        <v>10480.030000000001</v>
      </c>
      <c r="AH60" s="34">
        <f t="shared" si="71"/>
        <v>1949.3025999999995</v>
      </c>
      <c r="AI60" s="34">
        <f t="shared" si="72"/>
        <v>17543.723399999999</v>
      </c>
      <c r="AJ60" s="46">
        <f t="shared" si="73"/>
        <v>12724.623399999999</v>
      </c>
      <c r="AK60" s="40">
        <v>32</v>
      </c>
      <c r="AL60" s="41">
        <f t="shared" si="74"/>
        <v>41.216000000000001</v>
      </c>
      <c r="AM60" s="36">
        <v>27500</v>
      </c>
      <c r="AN60" s="284">
        <v>19</v>
      </c>
      <c r="AO60" s="26"/>
      <c r="AP60" s="26"/>
      <c r="AQ60" s="27"/>
      <c r="AR60" s="27"/>
      <c r="AS60" s="27"/>
      <c r="AT60" s="27"/>
      <c r="AU60" s="27"/>
      <c r="AV60" s="27"/>
      <c r="AW60" s="26"/>
      <c r="AX60" s="26"/>
      <c r="AY60" s="26"/>
      <c r="AZ60" s="26"/>
      <c r="BA60" s="26"/>
      <c r="BB60" s="26"/>
      <c r="BC60" s="26"/>
      <c r="BD60" s="26"/>
      <c r="BE60" s="26"/>
      <c r="BF60" s="26"/>
      <c r="BG60" s="26"/>
      <c r="BH60" s="26"/>
      <c r="BI60" s="26"/>
    </row>
    <row r="61" spans="1:61" ht="28.5" customHeight="1">
      <c r="A61" s="113"/>
      <c r="B61" s="288"/>
      <c r="C61" s="42" t="s">
        <v>109</v>
      </c>
      <c r="D61" s="28">
        <f t="shared" si="58"/>
        <v>-5.1144144144144144E-2</v>
      </c>
      <c r="E61" s="201">
        <v>0.373</v>
      </c>
      <c r="F61" s="30">
        <f t="shared" si="59"/>
        <v>0.42414414414414414</v>
      </c>
      <c r="G61" s="30">
        <f t="shared" si="60"/>
        <v>1.4084507042253521E-2</v>
      </c>
      <c r="H61" s="48"/>
      <c r="I61" s="48"/>
      <c r="J61" s="48"/>
      <c r="K61" s="48"/>
      <c r="L61" s="334"/>
      <c r="M61" s="48"/>
      <c r="N61" s="36"/>
      <c r="O61" s="36">
        <v>2</v>
      </c>
      <c r="P61" s="31">
        <f t="shared" si="61"/>
        <v>2</v>
      </c>
      <c r="Q61" s="36">
        <v>0</v>
      </c>
      <c r="R61" s="167">
        <v>1</v>
      </c>
      <c r="S61" s="36"/>
      <c r="T61" s="34">
        <f t="shared" si="62"/>
        <v>88800</v>
      </c>
      <c r="U61" s="31">
        <f t="shared" si="63"/>
        <v>0</v>
      </c>
      <c r="V61" s="34">
        <f t="shared" si="64"/>
        <v>88800</v>
      </c>
      <c r="W61" s="43">
        <v>44400</v>
      </c>
      <c r="X61" s="34">
        <f t="shared" si="65"/>
        <v>16989.235200000003</v>
      </c>
      <c r="Y61" s="34">
        <f t="shared" si="66"/>
        <v>33978.470400000006</v>
      </c>
      <c r="Z61" s="34">
        <f t="shared" si="67"/>
        <v>37664</v>
      </c>
      <c r="AA61" s="48">
        <v>34240</v>
      </c>
      <c r="AB61" s="36"/>
      <c r="AC61" s="204">
        <f t="shared" ref="AC61:AC81" si="75">(1210+1100)*Q61</f>
        <v>0</v>
      </c>
      <c r="AD61" s="152">
        <v>0.11</v>
      </c>
      <c r="AE61" s="31">
        <f t="shared" ref="AE61:AE62" si="76">4150*(P61+S61)</f>
        <v>8300</v>
      </c>
      <c r="AF61" s="28">
        <f t="shared" si="69"/>
        <v>0.20346846846846847</v>
      </c>
      <c r="AG61" s="34">
        <f t="shared" si="70"/>
        <v>18068.03</v>
      </c>
      <c r="AH61" s="34">
        <f t="shared" si="71"/>
        <v>3675.3499599999996</v>
      </c>
      <c r="AI61" s="34">
        <f t="shared" si="72"/>
        <v>33078.149639999996</v>
      </c>
      <c r="AJ61" s="46">
        <f t="shared" si="73"/>
        <v>-4585.850360000004</v>
      </c>
      <c r="AK61" s="40">
        <v>68.7</v>
      </c>
      <c r="AL61" s="41">
        <f t="shared" si="74"/>
        <v>88.485600000000005</v>
      </c>
      <c r="AM61" s="36">
        <v>48036</v>
      </c>
      <c r="AN61" s="284">
        <v>71</v>
      </c>
      <c r="AO61" s="26"/>
      <c r="AP61" s="26"/>
      <c r="AQ61" s="27"/>
      <c r="AR61" s="27"/>
      <c r="AS61" s="27"/>
      <c r="AT61" s="27"/>
      <c r="AU61" s="27"/>
      <c r="AV61" s="27"/>
      <c r="AW61" s="26"/>
      <c r="AX61" s="26"/>
      <c r="AY61" s="26"/>
      <c r="AZ61" s="26"/>
      <c r="BA61" s="26"/>
      <c r="BB61" s="26"/>
      <c r="BC61" s="26"/>
      <c r="BD61" s="26"/>
      <c r="BE61" s="26"/>
      <c r="BF61" s="26"/>
      <c r="BG61" s="26"/>
      <c r="BH61" s="26"/>
      <c r="BI61" s="26"/>
    </row>
    <row r="62" spans="1:61" ht="28.5" customHeight="1">
      <c r="A62" s="113"/>
      <c r="B62" s="285"/>
      <c r="C62" s="42" t="s">
        <v>110</v>
      </c>
      <c r="D62" s="28">
        <f t="shared" si="58"/>
        <v>5.8515669515669499E-2</v>
      </c>
      <c r="E62" s="201">
        <v>0.29499999999999998</v>
      </c>
      <c r="F62" s="30">
        <f t="shared" si="59"/>
        <v>0.23648433048433048</v>
      </c>
      <c r="G62" s="30">
        <f t="shared" si="60"/>
        <v>3.5714285714285712E-2</v>
      </c>
      <c r="H62" s="48"/>
      <c r="I62" s="48"/>
      <c r="J62" s="48"/>
      <c r="K62" s="48"/>
      <c r="L62" s="310"/>
      <c r="M62" s="48"/>
      <c r="N62" s="36"/>
      <c r="O62" s="36">
        <v>3</v>
      </c>
      <c r="P62" s="31">
        <f t="shared" si="61"/>
        <v>3</v>
      </c>
      <c r="Q62" s="36">
        <v>0</v>
      </c>
      <c r="R62" s="167">
        <v>2</v>
      </c>
      <c r="S62" s="36"/>
      <c r="T62" s="34">
        <f t="shared" si="62"/>
        <v>140400</v>
      </c>
      <c r="U62" s="31">
        <f t="shared" si="63"/>
        <v>0</v>
      </c>
      <c r="V62" s="34">
        <f t="shared" si="64"/>
        <v>140400</v>
      </c>
      <c r="W62" s="43">
        <v>46800</v>
      </c>
      <c r="X62" s="34">
        <f t="shared" si="65"/>
        <v>22182.451200000003</v>
      </c>
      <c r="Y62" s="34">
        <f t="shared" si="66"/>
        <v>66547.353600000002</v>
      </c>
      <c r="Z62" s="34">
        <f t="shared" si="67"/>
        <v>33202.400000000001</v>
      </c>
      <c r="AA62" s="48">
        <v>30184</v>
      </c>
      <c r="AB62" s="36"/>
      <c r="AC62" s="204">
        <f t="shared" si="75"/>
        <v>0</v>
      </c>
      <c r="AD62" s="152">
        <v>0.11</v>
      </c>
      <c r="AE62" s="31">
        <f t="shared" si="76"/>
        <v>12450</v>
      </c>
      <c r="AF62" s="28">
        <f t="shared" si="69"/>
        <v>0.19867521367521368</v>
      </c>
      <c r="AG62" s="34">
        <f t="shared" si="70"/>
        <v>27894.03</v>
      </c>
      <c r="AH62" s="34">
        <f t="shared" si="71"/>
        <v>4595.8616399999992</v>
      </c>
      <c r="AI62" s="34">
        <f t="shared" si="72"/>
        <v>41362.754759999996</v>
      </c>
      <c r="AJ62" s="46">
        <f t="shared" si="73"/>
        <v>8160.3547599999947</v>
      </c>
      <c r="AK62" s="40">
        <v>89.7</v>
      </c>
      <c r="AL62" s="41">
        <f t="shared" si="74"/>
        <v>115.53360000000001</v>
      </c>
      <c r="AM62" s="36">
        <v>32971</v>
      </c>
      <c r="AN62" s="284">
        <v>56</v>
      </c>
      <c r="AO62" s="26"/>
      <c r="AP62" s="26"/>
      <c r="AQ62" s="27"/>
      <c r="AR62" s="27"/>
      <c r="AS62" s="27"/>
      <c r="AT62" s="27"/>
      <c r="AU62" s="27"/>
      <c r="AV62" s="27"/>
      <c r="AW62" s="26"/>
      <c r="AX62" s="26"/>
      <c r="AY62" s="26"/>
      <c r="AZ62" s="26"/>
      <c r="BA62" s="26"/>
      <c r="BB62" s="26"/>
      <c r="BC62" s="26"/>
      <c r="BD62" s="26"/>
      <c r="BE62" s="26"/>
      <c r="BF62" s="26"/>
      <c r="BG62" s="26"/>
      <c r="BH62" s="26"/>
      <c r="BI62" s="26"/>
    </row>
    <row r="63" spans="1:61" ht="28.5" customHeight="1">
      <c r="A63" s="113"/>
      <c r="B63" s="288"/>
      <c r="C63" s="42" t="s">
        <v>32</v>
      </c>
      <c r="D63" s="28">
        <f t="shared" si="58"/>
        <v>0.15371655518394645</v>
      </c>
      <c r="E63" s="201">
        <v>0.41</v>
      </c>
      <c r="F63" s="30">
        <f t="shared" si="59"/>
        <v>0.25628344481605353</v>
      </c>
      <c r="G63" s="30">
        <f t="shared" si="60"/>
        <v>4.6357615894039736E-2</v>
      </c>
      <c r="H63" s="33"/>
      <c r="I63" s="48"/>
      <c r="J63" s="48"/>
      <c r="K63" s="48"/>
      <c r="L63" s="334"/>
      <c r="M63" s="48"/>
      <c r="N63" s="36"/>
      <c r="O63" s="36">
        <v>13</v>
      </c>
      <c r="P63" s="31">
        <f t="shared" si="61"/>
        <v>8</v>
      </c>
      <c r="Q63" s="36">
        <v>1</v>
      </c>
      <c r="R63" s="167">
        <v>7</v>
      </c>
      <c r="S63" s="36">
        <v>5</v>
      </c>
      <c r="T63" s="34">
        <f t="shared" si="62"/>
        <v>777400</v>
      </c>
      <c r="U63" s="31">
        <f t="shared" si="63"/>
        <v>299000</v>
      </c>
      <c r="V63" s="34">
        <f t="shared" si="64"/>
        <v>478400</v>
      </c>
      <c r="W63" s="43">
        <v>59800</v>
      </c>
      <c r="X63" s="34">
        <f t="shared" si="65"/>
        <v>21143.807999999997</v>
      </c>
      <c r="Y63" s="34">
        <f t="shared" si="66"/>
        <v>169150.46399999998</v>
      </c>
      <c r="Z63" s="34">
        <f t="shared" si="67"/>
        <v>120296.00000000001</v>
      </c>
      <c r="AA63" s="48">
        <v>109360</v>
      </c>
      <c r="AB63" s="287">
        <f>((59800*0.015)+(59800*0.19)+2100+4950)*5</f>
        <v>96545</v>
      </c>
      <c r="AC63" s="204">
        <f t="shared" si="75"/>
        <v>2310</v>
      </c>
      <c r="AD63" s="152">
        <v>0.108</v>
      </c>
      <c r="AE63" s="31">
        <f t="shared" ref="AE63:AE64" si="77">4825*(P63+S63)</f>
        <v>62725</v>
      </c>
      <c r="AF63" s="28">
        <f t="shared" si="69"/>
        <v>0.23911413043478263</v>
      </c>
      <c r="AG63" s="34">
        <f t="shared" si="70"/>
        <v>114392.23000000001</v>
      </c>
      <c r="AH63" s="34">
        <f t="shared" si="71"/>
        <v>19485.730599999995</v>
      </c>
      <c r="AI63" s="34">
        <f t="shared" si="72"/>
        <v>175371.57539999997</v>
      </c>
      <c r="AJ63" s="46">
        <f t="shared" si="73"/>
        <v>55075.575399999958</v>
      </c>
      <c r="AK63" s="40">
        <v>85.5</v>
      </c>
      <c r="AL63" s="41">
        <f t="shared" si="74"/>
        <v>110.124</v>
      </c>
      <c r="AM63" s="36">
        <v>1857</v>
      </c>
      <c r="AN63" s="284">
        <v>151</v>
      </c>
      <c r="AO63" s="26"/>
      <c r="AP63" s="26"/>
      <c r="AQ63" s="27"/>
      <c r="AR63" s="27"/>
      <c r="AS63" s="27"/>
      <c r="AT63" s="27"/>
      <c r="AU63" s="27"/>
      <c r="AV63" s="27"/>
      <c r="AW63" s="26"/>
      <c r="AX63" s="26"/>
      <c r="AY63" s="26"/>
      <c r="AZ63" s="26"/>
      <c r="BA63" s="26"/>
      <c r="BB63" s="26"/>
      <c r="BC63" s="26"/>
      <c r="BD63" s="26"/>
      <c r="BE63" s="26"/>
      <c r="BF63" s="26"/>
      <c r="BG63" s="26"/>
      <c r="BH63" s="26"/>
      <c r="BI63" s="26"/>
    </row>
    <row r="64" spans="1:61" ht="28.5" customHeight="1">
      <c r="A64" s="113"/>
      <c r="B64" s="300"/>
      <c r="C64" s="42" t="s">
        <v>33</v>
      </c>
      <c r="D64" s="28">
        <f t="shared" si="58"/>
        <v>-1.0022526149878208</v>
      </c>
      <c r="E64" s="201">
        <v>0.40100000000000002</v>
      </c>
      <c r="F64" s="30">
        <f t="shared" si="59"/>
        <v>1.4032526149878208</v>
      </c>
      <c r="G64" s="30">
        <f t="shared" si="60"/>
        <v>2.5862068965517241E-2</v>
      </c>
      <c r="H64" s="48"/>
      <c r="I64" s="48"/>
      <c r="J64" s="48"/>
      <c r="K64" s="48"/>
      <c r="L64" s="310"/>
      <c r="M64" s="48"/>
      <c r="N64" s="36"/>
      <c r="O64" s="36">
        <v>2</v>
      </c>
      <c r="P64" s="31">
        <f t="shared" si="61"/>
        <v>2</v>
      </c>
      <c r="Q64" s="36">
        <v>3</v>
      </c>
      <c r="R64" s="167">
        <v>6</v>
      </c>
      <c r="S64" s="36"/>
      <c r="T64" s="34">
        <f t="shared" si="62"/>
        <v>139580</v>
      </c>
      <c r="U64" s="31">
        <f t="shared" si="63"/>
        <v>0</v>
      </c>
      <c r="V64" s="34">
        <f t="shared" si="64"/>
        <v>139580</v>
      </c>
      <c r="W64" s="43">
        <v>69790</v>
      </c>
      <c r="X64" s="34">
        <f t="shared" si="65"/>
        <v>26337.023999999998</v>
      </c>
      <c r="Y64" s="34">
        <f t="shared" si="66"/>
        <v>52674.047999999995</v>
      </c>
      <c r="Z64" s="34">
        <f t="shared" si="67"/>
        <v>188936.00000000003</v>
      </c>
      <c r="AA64" s="48">
        <v>171760</v>
      </c>
      <c r="AB64" s="36"/>
      <c r="AC64" s="204">
        <f t="shared" si="75"/>
        <v>6930</v>
      </c>
      <c r="AD64" s="152">
        <v>0.108</v>
      </c>
      <c r="AE64" s="31">
        <f t="shared" si="77"/>
        <v>9650</v>
      </c>
      <c r="AF64" s="28">
        <f t="shared" si="69"/>
        <v>0.17713597936667144</v>
      </c>
      <c r="AG64" s="34">
        <f t="shared" si="70"/>
        <v>24724.67</v>
      </c>
      <c r="AH64" s="34">
        <f t="shared" si="71"/>
        <v>6218.1282000000001</v>
      </c>
      <c r="AI64" s="34">
        <f t="shared" si="72"/>
        <v>55963.1538</v>
      </c>
      <c r="AJ64" s="46">
        <f t="shared" si="73"/>
        <v>-132972.84620000003</v>
      </c>
      <c r="AK64" s="40">
        <v>106.5</v>
      </c>
      <c r="AL64" s="41">
        <f t="shared" si="74"/>
        <v>137.172</v>
      </c>
      <c r="AM64" s="36">
        <v>43474</v>
      </c>
      <c r="AN64" s="284">
        <v>232</v>
      </c>
      <c r="AO64" s="26"/>
      <c r="AP64" s="26"/>
      <c r="AQ64" s="27"/>
      <c r="AR64" s="27"/>
      <c r="AS64" s="27"/>
      <c r="AT64" s="27"/>
      <c r="AU64" s="27"/>
      <c r="AV64" s="27"/>
      <c r="AW64" s="26"/>
      <c r="AX64" s="26"/>
      <c r="AY64" s="26"/>
      <c r="AZ64" s="26"/>
      <c r="BA64" s="26"/>
      <c r="BB64" s="26"/>
      <c r="BC64" s="26"/>
      <c r="BD64" s="26"/>
      <c r="BE64" s="26"/>
      <c r="BF64" s="26"/>
      <c r="BG64" s="26"/>
      <c r="BH64" s="26"/>
      <c r="BI64" s="26"/>
    </row>
    <row r="65" spans="1:61" ht="28.5" customHeight="1">
      <c r="A65" s="113"/>
      <c r="B65" s="300"/>
      <c r="C65" s="42" t="s">
        <v>149</v>
      </c>
      <c r="D65" s="28">
        <f t="shared" si="58"/>
        <v>5.1802047781569938E-2</v>
      </c>
      <c r="E65" s="201">
        <v>0.40100000000000002</v>
      </c>
      <c r="F65" s="30">
        <f t="shared" si="59"/>
        <v>0.34919795221843009</v>
      </c>
      <c r="G65" s="30">
        <f t="shared" si="60"/>
        <v>4.6875E-2</v>
      </c>
      <c r="H65" s="48"/>
      <c r="I65" s="48"/>
      <c r="J65" s="48"/>
      <c r="K65" s="48"/>
      <c r="L65" s="334"/>
      <c r="M65" s="48"/>
      <c r="N65" s="36"/>
      <c r="O65" s="36">
        <v>2</v>
      </c>
      <c r="P65" s="31">
        <f t="shared" si="61"/>
        <v>2</v>
      </c>
      <c r="Q65" s="36">
        <v>0</v>
      </c>
      <c r="R65" s="167">
        <v>3</v>
      </c>
      <c r="S65" s="36"/>
      <c r="T65" s="34">
        <f t="shared" si="62"/>
        <v>193380</v>
      </c>
      <c r="U65" s="31">
        <f t="shared" si="63"/>
        <v>0</v>
      </c>
      <c r="V65" s="34">
        <f t="shared" si="64"/>
        <v>193380</v>
      </c>
      <c r="W65" s="43">
        <v>96690</v>
      </c>
      <c r="X65" s="34">
        <f t="shared" si="65"/>
        <v>36723.455999999998</v>
      </c>
      <c r="Y65" s="34">
        <f t="shared" si="66"/>
        <v>73446.911999999997</v>
      </c>
      <c r="Z65" s="34">
        <f t="shared" si="67"/>
        <v>67527.900000000009</v>
      </c>
      <c r="AA65" s="48">
        <v>61389</v>
      </c>
      <c r="AB65" s="36"/>
      <c r="AC65" s="204">
        <f t="shared" si="75"/>
        <v>0</v>
      </c>
      <c r="AD65" s="152">
        <v>0.108</v>
      </c>
      <c r="AE65" s="31">
        <f t="shared" ref="AE65:AE66" si="78">6200*(P65+S65)</f>
        <v>12400</v>
      </c>
      <c r="AF65" s="28">
        <f t="shared" si="69"/>
        <v>0.17212245320095149</v>
      </c>
      <c r="AG65" s="34">
        <f t="shared" si="70"/>
        <v>33285.07</v>
      </c>
      <c r="AH65" s="34">
        <f t="shared" si="71"/>
        <v>8664.8018000000011</v>
      </c>
      <c r="AI65" s="34">
        <f t="shared" si="72"/>
        <v>77983.21620000001</v>
      </c>
      <c r="AJ65" s="46">
        <f t="shared" si="73"/>
        <v>10455.316200000001</v>
      </c>
      <c r="AK65" s="40">
        <v>148.5</v>
      </c>
      <c r="AL65" s="41">
        <f t="shared" si="74"/>
        <v>191.268</v>
      </c>
      <c r="AM65" s="36">
        <v>5203</v>
      </c>
      <c r="AN65" s="284">
        <v>64</v>
      </c>
      <c r="AO65" s="26"/>
      <c r="AP65" s="26"/>
      <c r="AQ65" s="27"/>
      <c r="AR65" s="27"/>
      <c r="AS65" s="27"/>
      <c r="AT65" s="27"/>
      <c r="AU65" s="27"/>
      <c r="AV65" s="27"/>
      <c r="AW65" s="26"/>
      <c r="AX65" s="26"/>
      <c r="AY65" s="26"/>
      <c r="AZ65" s="26"/>
      <c r="BA65" s="26"/>
      <c r="BB65" s="26"/>
      <c r="BC65" s="26"/>
      <c r="BD65" s="26"/>
      <c r="BE65" s="26"/>
      <c r="BF65" s="26"/>
      <c r="BG65" s="26"/>
      <c r="BH65" s="26"/>
      <c r="BI65" s="26"/>
    </row>
    <row r="66" spans="1:61" ht="28.5" customHeight="1">
      <c r="A66" s="113"/>
      <c r="B66" s="285"/>
      <c r="C66" s="42" t="s">
        <v>150</v>
      </c>
      <c r="D66" s="28">
        <f t="shared" si="58"/>
        <v>0.21644583723105706</v>
      </c>
      <c r="E66" s="201">
        <v>0.39600000000000002</v>
      </c>
      <c r="F66" s="30">
        <f t="shared" si="59"/>
        <v>0.17955416276894295</v>
      </c>
      <c r="G66" s="30">
        <f t="shared" si="60"/>
        <v>2.0833333333333332E-2</v>
      </c>
      <c r="H66" s="48"/>
      <c r="I66" s="283"/>
      <c r="J66" s="48"/>
      <c r="K66" s="48"/>
      <c r="L66" s="310"/>
      <c r="M66" s="48"/>
      <c r="N66" s="36"/>
      <c r="O66" s="36">
        <v>5</v>
      </c>
      <c r="P66" s="31">
        <f t="shared" si="61"/>
        <v>5</v>
      </c>
      <c r="Q66" s="36">
        <v>0</v>
      </c>
      <c r="R66" s="167">
        <v>2</v>
      </c>
      <c r="S66" s="36"/>
      <c r="T66" s="34">
        <f t="shared" si="62"/>
        <v>534500</v>
      </c>
      <c r="U66" s="31">
        <f t="shared" si="63"/>
        <v>0</v>
      </c>
      <c r="V66" s="34">
        <f t="shared" si="64"/>
        <v>534500</v>
      </c>
      <c r="W66" s="43">
        <v>106900</v>
      </c>
      <c r="X66" s="34">
        <f t="shared" si="65"/>
        <v>41916.671999999999</v>
      </c>
      <c r="Y66" s="34">
        <f t="shared" si="66"/>
        <v>209583.35999999999</v>
      </c>
      <c r="Z66" s="34">
        <f t="shared" si="67"/>
        <v>95971.700000000012</v>
      </c>
      <c r="AA66" s="48">
        <v>87247</v>
      </c>
      <c r="AB66" s="36"/>
      <c r="AC66" s="204">
        <f t="shared" si="75"/>
        <v>0</v>
      </c>
      <c r="AD66" s="152">
        <v>0.108</v>
      </c>
      <c r="AE66" s="31">
        <f t="shared" si="78"/>
        <v>31000</v>
      </c>
      <c r="AF66" s="28">
        <f t="shared" si="69"/>
        <v>0.16599812909260991</v>
      </c>
      <c r="AG66" s="34">
        <f t="shared" si="70"/>
        <v>88726.03</v>
      </c>
      <c r="AH66" s="34">
        <f t="shared" si="71"/>
        <v>23619.060999999998</v>
      </c>
      <c r="AI66" s="34">
        <f t="shared" si="72"/>
        <v>212571.549</v>
      </c>
      <c r="AJ66" s="46">
        <f t="shared" si="73"/>
        <v>116599.84899999999</v>
      </c>
      <c r="AK66" s="40">
        <v>169.5</v>
      </c>
      <c r="AL66" s="41">
        <f t="shared" si="74"/>
        <v>218.316</v>
      </c>
      <c r="AM66" s="36">
        <v>11137</v>
      </c>
      <c r="AN66" s="284">
        <v>96</v>
      </c>
      <c r="AO66" s="26"/>
      <c r="AP66" s="26"/>
      <c r="AQ66" s="27"/>
      <c r="AR66" s="27"/>
      <c r="AS66" s="27"/>
      <c r="AT66" s="27"/>
      <c r="AU66" s="27"/>
      <c r="AV66" s="27"/>
      <c r="AW66" s="26"/>
      <c r="AX66" s="26"/>
      <c r="AY66" s="26"/>
      <c r="AZ66" s="26"/>
      <c r="BA66" s="26"/>
      <c r="BB66" s="26"/>
      <c r="BC66" s="26"/>
      <c r="BD66" s="26"/>
      <c r="BE66" s="26"/>
      <c r="BF66" s="26"/>
      <c r="BG66" s="26"/>
      <c r="BH66" s="26"/>
      <c r="BI66" s="26"/>
    </row>
    <row r="67" spans="1:61" ht="28.5" customHeight="1">
      <c r="A67" s="113"/>
      <c r="B67" s="299"/>
      <c r="C67" s="42" t="s">
        <v>111</v>
      </c>
      <c r="D67" s="28">
        <f t="shared" si="58"/>
        <v>-0.69607051282051302</v>
      </c>
      <c r="E67" s="201">
        <v>0.378</v>
      </c>
      <c r="F67" s="30">
        <f t="shared" si="59"/>
        <v>1.074070512820513</v>
      </c>
      <c r="G67" s="30">
        <f t="shared" si="60"/>
        <v>2.0202020202020204E-2</v>
      </c>
      <c r="H67" s="48"/>
      <c r="I67" s="48"/>
      <c r="J67" s="48"/>
      <c r="K67" s="210"/>
      <c r="L67" s="210"/>
      <c r="M67" s="210"/>
      <c r="N67" s="36"/>
      <c r="O67" s="36">
        <v>2</v>
      </c>
      <c r="P67" s="31">
        <f t="shared" si="61"/>
        <v>2</v>
      </c>
      <c r="Q67" s="36">
        <v>0</v>
      </c>
      <c r="R67" s="167">
        <v>2</v>
      </c>
      <c r="S67" s="36"/>
      <c r="T67" s="34">
        <f t="shared" si="62"/>
        <v>34320</v>
      </c>
      <c r="U67" s="31">
        <f t="shared" si="63"/>
        <v>0</v>
      </c>
      <c r="V67" s="34">
        <f t="shared" si="64"/>
        <v>34320</v>
      </c>
      <c r="W67" s="43">
        <v>17160</v>
      </c>
      <c r="X67" s="34">
        <f t="shared" si="65"/>
        <v>5687.8080000000009</v>
      </c>
      <c r="Y67" s="34">
        <f t="shared" si="66"/>
        <v>11375.616000000002</v>
      </c>
      <c r="Z67" s="34">
        <f t="shared" si="67"/>
        <v>36862.100000000006</v>
      </c>
      <c r="AA67" s="48">
        <v>33511</v>
      </c>
      <c r="AB67" s="287"/>
      <c r="AC67" s="204">
        <f t="shared" si="75"/>
        <v>0</v>
      </c>
      <c r="AD67" s="152">
        <v>7.8E-2</v>
      </c>
      <c r="AE67" s="31">
        <f>2900*(P67+S67)</f>
        <v>5800</v>
      </c>
      <c r="AF67" s="28">
        <f t="shared" si="69"/>
        <v>0.24699766899766901</v>
      </c>
      <c r="AG67" s="34">
        <f t="shared" si="70"/>
        <v>8476.9900000000016</v>
      </c>
      <c r="AH67" s="34">
        <f t="shared" si="71"/>
        <v>1446.7393999999995</v>
      </c>
      <c r="AI67" s="34">
        <f t="shared" si="72"/>
        <v>13020.654599999998</v>
      </c>
      <c r="AJ67" s="46">
        <f t="shared" si="73"/>
        <v>-23841.445400000008</v>
      </c>
      <c r="AK67" s="40">
        <v>23</v>
      </c>
      <c r="AL67" s="41">
        <f t="shared" si="74"/>
        <v>29.624000000000002</v>
      </c>
      <c r="AM67" s="36">
        <v>27608</v>
      </c>
      <c r="AN67" s="284">
        <v>99</v>
      </c>
      <c r="AO67" s="26"/>
      <c r="AP67" s="26"/>
      <c r="AQ67" s="27"/>
      <c r="AR67" s="27"/>
      <c r="AS67" s="27"/>
      <c r="AT67" s="27"/>
      <c r="AU67" s="27"/>
      <c r="AV67" s="27"/>
      <c r="AW67" s="26"/>
      <c r="AX67" s="26"/>
      <c r="AY67" s="26"/>
      <c r="AZ67" s="26"/>
      <c r="BA67" s="26"/>
      <c r="BB67" s="26"/>
      <c r="BC67" s="26"/>
      <c r="BD67" s="26"/>
      <c r="BE67" s="26"/>
      <c r="BF67" s="26"/>
      <c r="BG67" s="26"/>
      <c r="BH67" s="26"/>
      <c r="BI67" s="26"/>
    </row>
    <row r="68" spans="1:61" ht="28.5" customHeight="1">
      <c r="A68" s="113"/>
      <c r="B68" s="288"/>
      <c r="C68" s="42" t="s">
        <v>151</v>
      </c>
      <c r="D68" s="28">
        <f t="shared" si="58"/>
        <v>-3.5087301587301611E-2</v>
      </c>
      <c r="E68" s="201">
        <v>0.27700000000000002</v>
      </c>
      <c r="F68" s="30">
        <f t="shared" si="59"/>
        <v>0.31208730158730164</v>
      </c>
      <c r="G68" s="30">
        <f t="shared" si="60"/>
        <v>0.13750000000000001</v>
      </c>
      <c r="H68" s="48"/>
      <c r="I68" s="48"/>
      <c r="J68" s="48"/>
      <c r="K68" s="210"/>
      <c r="L68" s="335"/>
      <c r="M68" s="210"/>
      <c r="N68" s="36"/>
      <c r="O68" s="36">
        <v>28</v>
      </c>
      <c r="P68" s="31">
        <f t="shared" si="61"/>
        <v>28</v>
      </c>
      <c r="Q68" s="36">
        <v>1</v>
      </c>
      <c r="R68" s="167">
        <v>22</v>
      </c>
      <c r="S68" s="36"/>
      <c r="T68" s="34">
        <f t="shared" si="62"/>
        <v>277200</v>
      </c>
      <c r="U68" s="31">
        <f t="shared" si="63"/>
        <v>0</v>
      </c>
      <c r="V68" s="34">
        <f t="shared" si="64"/>
        <v>277200</v>
      </c>
      <c r="W68" s="43">
        <v>9900</v>
      </c>
      <c r="X68" s="34">
        <f t="shared" si="65"/>
        <v>3462.1440000000002</v>
      </c>
      <c r="Y68" s="34">
        <f t="shared" si="66"/>
        <v>96940.032000000007</v>
      </c>
      <c r="Z68" s="34">
        <f t="shared" si="67"/>
        <v>84200.6</v>
      </c>
      <c r="AA68" s="48">
        <v>76546</v>
      </c>
      <c r="AB68" s="287"/>
      <c r="AC68" s="204">
        <f t="shared" si="75"/>
        <v>2310</v>
      </c>
      <c r="AD68" s="152">
        <v>0.1</v>
      </c>
      <c r="AE68" s="31">
        <f>3275*(P68+S68)</f>
        <v>91700</v>
      </c>
      <c r="AF68" s="28">
        <f t="shared" si="69"/>
        <v>0.43080808080808086</v>
      </c>
      <c r="AG68" s="34">
        <f t="shared" si="70"/>
        <v>119420.03000000001</v>
      </c>
      <c r="AH68" s="34">
        <f t="shared" si="71"/>
        <v>6083.9937999999966</v>
      </c>
      <c r="AI68" s="34">
        <f t="shared" si="72"/>
        <v>54755.944199999969</v>
      </c>
      <c r="AJ68" s="46">
        <f t="shared" si="73"/>
        <v>-29444.655800000037</v>
      </c>
      <c r="AK68" s="40">
        <v>14</v>
      </c>
      <c r="AL68" s="41">
        <f t="shared" si="74"/>
        <v>18.032</v>
      </c>
      <c r="AM68" s="202">
        <v>50613</v>
      </c>
      <c r="AN68" s="205">
        <v>160</v>
      </c>
      <c r="AO68" s="26"/>
      <c r="AP68" s="26"/>
      <c r="AQ68" s="27"/>
      <c r="AR68" s="27"/>
      <c r="AS68" s="27"/>
      <c r="AT68" s="27"/>
      <c r="AU68" s="27"/>
      <c r="AV68" s="27"/>
      <c r="AW68" s="26"/>
      <c r="AX68" s="26"/>
      <c r="AY68" s="26"/>
      <c r="AZ68" s="26"/>
      <c r="BA68" s="26"/>
      <c r="BB68" s="26"/>
      <c r="BC68" s="26"/>
      <c r="BD68" s="26"/>
      <c r="BE68" s="26"/>
      <c r="BF68" s="26"/>
      <c r="BG68" s="26"/>
      <c r="BH68" s="26"/>
      <c r="BI68" s="26"/>
    </row>
    <row r="69" spans="1:61" ht="28.5" customHeight="1">
      <c r="A69" s="113"/>
      <c r="B69" s="300"/>
      <c r="C69" s="42" t="s">
        <v>152</v>
      </c>
      <c r="D69" s="28">
        <f t="shared" si="58"/>
        <v>2.4947795414462071E-2</v>
      </c>
      <c r="E69" s="201">
        <v>0.34200000000000003</v>
      </c>
      <c r="F69" s="30">
        <f t="shared" si="59"/>
        <v>0.31705220458553796</v>
      </c>
      <c r="G69" s="30">
        <f t="shared" si="60"/>
        <v>8.7248322147651006E-2</v>
      </c>
      <c r="H69" s="48"/>
      <c r="I69" s="48"/>
      <c r="J69" s="48"/>
      <c r="K69" s="210"/>
      <c r="L69" s="310"/>
      <c r="M69" s="210"/>
      <c r="N69" s="36"/>
      <c r="O69" s="36">
        <v>15</v>
      </c>
      <c r="P69" s="31">
        <f t="shared" si="61"/>
        <v>15</v>
      </c>
      <c r="Q69" s="36">
        <v>2</v>
      </c>
      <c r="R69" s="167">
        <v>13</v>
      </c>
      <c r="S69" s="36"/>
      <c r="T69" s="34">
        <f t="shared" si="62"/>
        <v>283500</v>
      </c>
      <c r="U69" s="31">
        <f t="shared" si="63"/>
        <v>0</v>
      </c>
      <c r="V69" s="34">
        <f t="shared" si="64"/>
        <v>283500</v>
      </c>
      <c r="W69" s="43">
        <v>18900</v>
      </c>
      <c r="X69" s="34">
        <f t="shared" si="65"/>
        <v>6924.2880000000005</v>
      </c>
      <c r="Y69" s="34">
        <f t="shared" si="66"/>
        <v>103864.32000000001</v>
      </c>
      <c r="Z69" s="34">
        <f t="shared" si="67"/>
        <v>85264.3</v>
      </c>
      <c r="AA69" s="48">
        <v>77513</v>
      </c>
      <c r="AB69" s="36"/>
      <c r="AC69" s="204">
        <f t="shared" si="75"/>
        <v>4620</v>
      </c>
      <c r="AD69" s="152">
        <v>0.1</v>
      </c>
      <c r="AE69" s="31">
        <f>3425*(P69+S69)</f>
        <v>51375</v>
      </c>
      <c r="AF69" s="28">
        <f t="shared" si="69"/>
        <v>0.28121693121693125</v>
      </c>
      <c r="AG69" s="34">
        <f t="shared" si="70"/>
        <v>79725.030000000013</v>
      </c>
      <c r="AH69" s="34">
        <f t="shared" si="71"/>
        <v>9991.0649999999951</v>
      </c>
      <c r="AI69" s="34">
        <f t="shared" si="72"/>
        <v>89919.584999999963</v>
      </c>
      <c r="AJ69" s="46">
        <f t="shared" si="73"/>
        <v>4655.2849999999598</v>
      </c>
      <c r="AK69" s="40">
        <v>28</v>
      </c>
      <c r="AL69" s="41">
        <f t="shared" si="74"/>
        <v>36.064</v>
      </c>
      <c r="AM69" s="202">
        <v>27642</v>
      </c>
      <c r="AN69" s="205">
        <v>149</v>
      </c>
      <c r="AO69" s="26"/>
      <c r="AP69" s="26"/>
      <c r="AQ69" s="27"/>
      <c r="AR69" s="27"/>
      <c r="AS69" s="27"/>
      <c r="AT69" s="27"/>
      <c r="AU69" s="27"/>
      <c r="AV69" s="27"/>
      <c r="AW69" s="26"/>
      <c r="AX69" s="26"/>
      <c r="AY69" s="26"/>
      <c r="AZ69" s="26"/>
      <c r="BA69" s="26"/>
      <c r="BB69" s="26"/>
      <c r="BC69" s="26"/>
      <c r="BD69" s="26"/>
      <c r="BE69" s="26"/>
      <c r="BF69" s="26"/>
      <c r="BG69" s="26"/>
      <c r="BH69" s="26"/>
      <c r="BI69" s="26"/>
    </row>
    <row r="70" spans="1:61" ht="28.5" customHeight="1">
      <c r="A70" s="301"/>
      <c r="B70" s="302"/>
      <c r="C70" s="42" t="s">
        <v>153</v>
      </c>
      <c r="D70" s="28">
        <f t="shared" si="58"/>
        <v>0.35</v>
      </c>
      <c r="E70" s="201">
        <v>0.35</v>
      </c>
      <c r="F70" s="30">
        <f t="shared" si="59"/>
        <v>0</v>
      </c>
      <c r="G70" s="30" t="e">
        <f t="shared" si="60"/>
        <v>#DIV/0!</v>
      </c>
      <c r="H70" s="48"/>
      <c r="I70" s="48"/>
      <c r="J70" s="48"/>
      <c r="K70" s="26"/>
      <c r="L70" s="26"/>
      <c r="M70" s="210"/>
      <c r="N70" s="36"/>
      <c r="O70" s="36">
        <v>2</v>
      </c>
      <c r="P70" s="31">
        <f t="shared" si="61"/>
        <v>2</v>
      </c>
      <c r="Q70" s="36">
        <v>0</v>
      </c>
      <c r="R70" s="167">
        <v>0</v>
      </c>
      <c r="S70" s="36"/>
      <c r="T70" s="34">
        <f t="shared" si="62"/>
        <v>52020</v>
      </c>
      <c r="U70" s="31">
        <f t="shared" si="63"/>
        <v>0</v>
      </c>
      <c r="V70" s="34">
        <f t="shared" si="64"/>
        <v>52020</v>
      </c>
      <c r="W70" s="43">
        <v>26010</v>
      </c>
      <c r="X70" s="34">
        <f t="shared" si="65"/>
        <v>10386.432000000001</v>
      </c>
      <c r="Y70" s="34">
        <f t="shared" si="66"/>
        <v>20772.864000000001</v>
      </c>
      <c r="Z70" s="34">
        <f t="shared" si="67"/>
        <v>0</v>
      </c>
      <c r="AA70" s="48">
        <v>0</v>
      </c>
      <c r="AB70" s="36"/>
      <c r="AC70" s="204">
        <f t="shared" si="75"/>
        <v>0</v>
      </c>
      <c r="AD70" s="152">
        <v>0.1</v>
      </c>
      <c r="AE70" s="31">
        <f>5925*(P70+S70)</f>
        <v>11850</v>
      </c>
      <c r="AF70" s="28">
        <f t="shared" si="69"/>
        <v>0.32779700115340255</v>
      </c>
      <c r="AG70" s="34">
        <f t="shared" si="70"/>
        <v>17052.03</v>
      </c>
      <c r="AH70" s="34">
        <f t="shared" si="71"/>
        <v>1419.5105999999996</v>
      </c>
      <c r="AI70" s="34">
        <f t="shared" si="72"/>
        <v>12775.595399999998</v>
      </c>
      <c r="AJ70" s="46">
        <f t="shared" si="73"/>
        <v>12775.595399999998</v>
      </c>
      <c r="AK70" s="40">
        <v>42</v>
      </c>
      <c r="AL70" s="41">
        <f t="shared" si="74"/>
        <v>54.096000000000004</v>
      </c>
      <c r="AM70" s="36">
        <v>0</v>
      </c>
      <c r="AN70" s="284">
        <v>0</v>
      </c>
      <c r="AO70" s="26"/>
      <c r="AP70" s="26"/>
      <c r="AQ70" s="27"/>
      <c r="AR70" s="27"/>
      <c r="AS70" s="27"/>
      <c r="AT70" s="27"/>
      <c r="AU70" s="27"/>
      <c r="AV70" s="27"/>
      <c r="AW70" s="26"/>
      <c r="AX70" s="26"/>
      <c r="AY70" s="26"/>
      <c r="AZ70" s="26"/>
      <c r="BA70" s="26"/>
      <c r="BB70" s="26"/>
      <c r="BC70" s="26"/>
      <c r="BD70" s="26"/>
      <c r="BE70" s="26"/>
      <c r="BF70" s="26"/>
      <c r="BG70" s="26"/>
      <c r="BH70" s="26"/>
      <c r="BI70" s="26"/>
    </row>
    <row r="71" spans="1:61" ht="28.5" customHeight="1">
      <c r="A71" s="113"/>
      <c r="B71" s="288"/>
      <c r="C71" s="42" t="s">
        <v>112</v>
      </c>
      <c r="D71" s="28">
        <f t="shared" si="58"/>
        <v>0.13671607497624599</v>
      </c>
      <c r="E71" s="201">
        <v>0.38600000000000001</v>
      </c>
      <c r="F71" s="30">
        <f t="shared" si="59"/>
        <v>0.24928392502375402</v>
      </c>
      <c r="G71" s="30">
        <f t="shared" si="60"/>
        <v>3.9215686274509803E-2</v>
      </c>
      <c r="H71" s="334"/>
      <c r="I71" s="48"/>
      <c r="J71" s="48"/>
      <c r="K71" s="210"/>
      <c r="L71" s="335"/>
      <c r="M71" s="210"/>
      <c r="N71" s="36"/>
      <c r="O71" s="36">
        <v>16</v>
      </c>
      <c r="P71" s="31">
        <f t="shared" si="61"/>
        <v>12</v>
      </c>
      <c r="Q71" s="36">
        <v>0</v>
      </c>
      <c r="R71" s="167">
        <v>6</v>
      </c>
      <c r="S71" s="36">
        <v>4</v>
      </c>
      <c r="T71" s="34">
        <f t="shared" si="62"/>
        <v>617440</v>
      </c>
      <c r="U71" s="31">
        <f t="shared" si="63"/>
        <v>154360</v>
      </c>
      <c r="V71" s="34">
        <f t="shared" si="64"/>
        <v>463080</v>
      </c>
      <c r="W71" s="43">
        <v>38590</v>
      </c>
      <c r="X71" s="34">
        <f t="shared" si="65"/>
        <v>15085.056</v>
      </c>
      <c r="Y71" s="34">
        <f t="shared" si="66"/>
        <v>181020.67200000002</v>
      </c>
      <c r="Z71" s="34">
        <f t="shared" si="67"/>
        <v>115438.40000000001</v>
      </c>
      <c r="AA71" s="48">
        <v>104944</v>
      </c>
      <c r="AB71" s="286">
        <f>((38590*0.18)+(38590*0.015)+2100+2200)*4</f>
        <v>47300.2</v>
      </c>
      <c r="AC71" s="204">
        <f t="shared" si="75"/>
        <v>0</v>
      </c>
      <c r="AD71" s="152">
        <v>0.08</v>
      </c>
      <c r="AE71" s="31">
        <f t="shared" ref="AE71:AE72" si="79">4150*(P71+S71)</f>
        <v>66400</v>
      </c>
      <c r="AF71" s="28">
        <f t="shared" si="69"/>
        <v>0.22338775157640151</v>
      </c>
      <c r="AG71" s="34">
        <f t="shared" si="70"/>
        <v>103446.43000000001</v>
      </c>
      <c r="AH71" s="34">
        <f t="shared" si="71"/>
        <v>17861.289799999999</v>
      </c>
      <c r="AI71" s="34">
        <f t="shared" si="72"/>
        <v>160751.60820000002</v>
      </c>
      <c r="AJ71" s="46">
        <f t="shared" si="73"/>
        <v>45313.208200000008</v>
      </c>
      <c r="AK71" s="40">
        <v>61</v>
      </c>
      <c r="AL71" s="41">
        <f t="shared" si="74"/>
        <v>78.567999999999998</v>
      </c>
      <c r="AM71" s="36">
        <v>33665</v>
      </c>
      <c r="AN71" s="284">
        <v>153</v>
      </c>
      <c r="AO71" s="26"/>
      <c r="AP71" s="26"/>
      <c r="AQ71" s="27"/>
      <c r="AR71" s="27"/>
      <c r="AS71" s="27"/>
      <c r="AT71" s="27"/>
      <c r="AU71" s="27"/>
      <c r="AV71" s="27"/>
      <c r="AW71" s="26"/>
      <c r="AX71" s="26"/>
      <c r="AY71" s="26"/>
      <c r="AZ71" s="26"/>
      <c r="BA71" s="26"/>
      <c r="BB71" s="26"/>
      <c r="BC71" s="26"/>
      <c r="BD71" s="26"/>
      <c r="BE71" s="26"/>
      <c r="BF71" s="26"/>
      <c r="BG71" s="26"/>
      <c r="BH71" s="26"/>
      <c r="BI71" s="26"/>
    </row>
    <row r="72" spans="1:61" ht="28.5" customHeight="1">
      <c r="A72" s="113"/>
      <c r="B72" s="285"/>
      <c r="C72" s="42" t="s">
        <v>113</v>
      </c>
      <c r="D72" s="28">
        <f t="shared" si="58"/>
        <v>-6.6128205128205109E-2</v>
      </c>
      <c r="E72" s="201">
        <v>0.316</v>
      </c>
      <c r="F72" s="30">
        <f t="shared" si="59"/>
        <v>0.38212820512820511</v>
      </c>
      <c r="G72" s="30">
        <f t="shared" si="60"/>
        <v>5.8823529411764705E-2</v>
      </c>
      <c r="H72" s="310"/>
      <c r="I72" s="48"/>
      <c r="J72" s="48"/>
      <c r="K72" s="210"/>
      <c r="L72" s="310"/>
      <c r="M72" s="210"/>
      <c r="N72" s="36"/>
      <c r="O72" s="36">
        <v>5</v>
      </c>
      <c r="P72" s="31">
        <f t="shared" si="61"/>
        <v>5</v>
      </c>
      <c r="Q72" s="36">
        <v>2</v>
      </c>
      <c r="R72" s="167">
        <v>10</v>
      </c>
      <c r="S72" s="36"/>
      <c r="T72" s="34">
        <f t="shared" si="62"/>
        <v>214500</v>
      </c>
      <c r="U72" s="31">
        <f t="shared" si="63"/>
        <v>0</v>
      </c>
      <c r="V72" s="34">
        <f t="shared" si="64"/>
        <v>214500</v>
      </c>
      <c r="W72" s="43">
        <v>42900</v>
      </c>
      <c r="X72" s="34">
        <f t="shared" si="65"/>
        <v>20278.272000000004</v>
      </c>
      <c r="Y72" s="34">
        <f t="shared" si="66"/>
        <v>101391.36000000002</v>
      </c>
      <c r="Z72" s="34">
        <f t="shared" si="67"/>
        <v>77346.5</v>
      </c>
      <c r="AA72" s="48">
        <v>70315</v>
      </c>
      <c r="AB72" s="36"/>
      <c r="AC72" s="204">
        <f t="shared" si="75"/>
        <v>4620</v>
      </c>
      <c r="AD72" s="152">
        <v>7.8E-2</v>
      </c>
      <c r="AE72" s="31">
        <f t="shared" si="79"/>
        <v>20750</v>
      </c>
      <c r="AF72" s="28">
        <f t="shared" si="69"/>
        <v>0.17473659673659675</v>
      </c>
      <c r="AG72" s="34">
        <f t="shared" si="70"/>
        <v>37481.03</v>
      </c>
      <c r="AH72" s="34">
        <f t="shared" si="71"/>
        <v>7562.7609999999986</v>
      </c>
      <c r="AI72" s="34">
        <f t="shared" si="72"/>
        <v>68064.848999999987</v>
      </c>
      <c r="AJ72" s="46">
        <f t="shared" si="73"/>
        <v>-9281.6510000000126</v>
      </c>
      <c r="AK72" s="40">
        <v>82</v>
      </c>
      <c r="AL72" s="41">
        <f t="shared" si="74"/>
        <v>105.61600000000001</v>
      </c>
      <c r="AM72" s="36">
        <v>90026</v>
      </c>
      <c r="AN72" s="284">
        <v>170</v>
      </c>
      <c r="AO72" s="26"/>
      <c r="AP72" s="26"/>
      <c r="AQ72" s="27"/>
      <c r="AR72" s="27"/>
      <c r="AS72" s="27"/>
      <c r="AT72" s="27"/>
      <c r="AU72" s="27"/>
      <c r="AV72" s="27"/>
      <c r="AW72" s="26"/>
      <c r="AX72" s="26"/>
      <c r="AY72" s="26"/>
      <c r="AZ72" s="26"/>
      <c r="BA72" s="26"/>
      <c r="BB72" s="26"/>
      <c r="BC72" s="26"/>
      <c r="BD72" s="26"/>
      <c r="BE72" s="26"/>
      <c r="BF72" s="26"/>
      <c r="BG72" s="26"/>
      <c r="BH72" s="26"/>
      <c r="BI72" s="26"/>
    </row>
    <row r="73" spans="1:61" ht="28.5" customHeight="1">
      <c r="A73" s="113"/>
      <c r="B73" s="299"/>
      <c r="C73" s="42" t="s">
        <v>154</v>
      </c>
      <c r="D73" s="28">
        <f t="shared" si="58"/>
        <v>-2.8763826606875986E-2</v>
      </c>
      <c r="E73" s="201">
        <v>0.34300000000000003</v>
      </c>
      <c r="F73" s="30">
        <f t="shared" si="59"/>
        <v>0.37176382660687601</v>
      </c>
      <c r="G73" s="30">
        <f t="shared" si="60"/>
        <v>4.405286343612335E-2</v>
      </c>
      <c r="H73" s="48"/>
      <c r="I73" s="48"/>
      <c r="J73" s="48"/>
      <c r="K73" s="210"/>
      <c r="L73" s="210"/>
      <c r="M73" s="210"/>
      <c r="N73" s="36"/>
      <c r="O73" s="36">
        <v>18</v>
      </c>
      <c r="P73" s="31">
        <f t="shared" si="61"/>
        <v>16</v>
      </c>
      <c r="Q73" s="36">
        <v>5</v>
      </c>
      <c r="R73" s="167">
        <v>10</v>
      </c>
      <c r="S73" s="36">
        <v>2</v>
      </c>
      <c r="T73" s="34">
        <f t="shared" si="62"/>
        <v>240840</v>
      </c>
      <c r="U73" s="31">
        <f t="shared" si="63"/>
        <v>26760</v>
      </c>
      <c r="V73" s="34">
        <f t="shared" si="64"/>
        <v>214080</v>
      </c>
      <c r="W73" s="43">
        <v>13380</v>
      </c>
      <c r="X73" s="34">
        <f t="shared" si="65"/>
        <v>4006.1952000000001</v>
      </c>
      <c r="Y73" s="34">
        <f t="shared" si="66"/>
        <v>64099.123200000002</v>
      </c>
      <c r="Z73" s="34">
        <f t="shared" si="67"/>
        <v>68037.200000000012</v>
      </c>
      <c r="AA73" s="48">
        <v>61852</v>
      </c>
      <c r="AB73" s="287">
        <f>((9800*0.015)+(9800*0.39)+2100+4950)*2</f>
        <v>22038</v>
      </c>
      <c r="AC73" s="204">
        <f t="shared" si="75"/>
        <v>11550</v>
      </c>
      <c r="AD73" s="152">
        <v>0.108</v>
      </c>
      <c r="AE73" s="31">
        <f>2800*(P73+S73)</f>
        <v>50400</v>
      </c>
      <c r="AF73" s="28">
        <f t="shared" si="69"/>
        <v>0.34342600896860986</v>
      </c>
      <c r="AG73" s="34">
        <f t="shared" si="70"/>
        <v>73520.67</v>
      </c>
      <c r="AH73" s="34">
        <f t="shared" si="71"/>
        <v>7646.0206799999978</v>
      </c>
      <c r="AI73" s="34">
        <f t="shared" si="72"/>
        <v>68814.186119999998</v>
      </c>
      <c r="AJ73" s="46">
        <f t="shared" si="73"/>
        <v>776.98611999998684</v>
      </c>
      <c r="AK73" s="40">
        <v>16.2</v>
      </c>
      <c r="AL73" s="41">
        <f t="shared" si="74"/>
        <v>20.865600000000001</v>
      </c>
      <c r="AM73" s="36">
        <v>111308</v>
      </c>
      <c r="AN73" s="284">
        <v>227</v>
      </c>
      <c r="AO73" s="26"/>
      <c r="AP73" s="26"/>
      <c r="AQ73" s="27"/>
      <c r="AR73" s="27"/>
      <c r="AS73" s="27"/>
      <c r="AT73" s="27"/>
      <c r="AU73" s="27"/>
      <c r="AV73" s="27"/>
      <c r="AW73" s="26"/>
      <c r="AX73" s="26"/>
      <c r="AY73" s="26"/>
      <c r="AZ73" s="26"/>
      <c r="BA73" s="26"/>
      <c r="BB73" s="26"/>
      <c r="BC73" s="26"/>
      <c r="BD73" s="26"/>
      <c r="BE73" s="26"/>
      <c r="BF73" s="26"/>
      <c r="BG73" s="26"/>
      <c r="BH73" s="26"/>
      <c r="BI73" s="26"/>
    </row>
    <row r="74" spans="1:61" ht="28.5" customHeight="1">
      <c r="A74" s="113"/>
      <c r="B74" s="299"/>
      <c r="C74" s="42" t="s">
        <v>114</v>
      </c>
      <c r="D74" s="28">
        <f t="shared" si="58"/>
        <v>7.5540443213296393E-2</v>
      </c>
      <c r="E74" s="201">
        <v>0.33</v>
      </c>
      <c r="F74" s="30">
        <f t="shared" si="59"/>
        <v>0.25445955678670362</v>
      </c>
      <c r="G74" s="30">
        <f t="shared" si="60"/>
        <v>0.11428571428571428</v>
      </c>
      <c r="H74" s="48"/>
      <c r="I74" s="48"/>
      <c r="J74" s="48"/>
      <c r="K74" s="210"/>
      <c r="L74" s="210"/>
      <c r="M74" s="210"/>
      <c r="N74" s="36"/>
      <c r="O74" s="36">
        <v>38</v>
      </c>
      <c r="P74" s="31">
        <f t="shared" si="61"/>
        <v>38</v>
      </c>
      <c r="Q74" s="36">
        <v>4</v>
      </c>
      <c r="R74" s="167">
        <v>24</v>
      </c>
      <c r="S74" s="36"/>
      <c r="T74" s="34">
        <f t="shared" si="62"/>
        <v>722000</v>
      </c>
      <c r="U74" s="31">
        <f t="shared" si="63"/>
        <v>0</v>
      </c>
      <c r="V74" s="34">
        <f t="shared" si="64"/>
        <v>722000</v>
      </c>
      <c r="W74" s="43">
        <v>19000</v>
      </c>
      <c r="X74" s="34">
        <f t="shared" si="65"/>
        <v>7122.1247999999996</v>
      </c>
      <c r="Y74" s="34">
        <f t="shared" si="66"/>
        <v>270640.74239999999</v>
      </c>
      <c r="Z74" s="34">
        <f t="shared" si="67"/>
        <v>174479.80000000002</v>
      </c>
      <c r="AA74" s="48">
        <v>158618</v>
      </c>
      <c r="AB74" s="36"/>
      <c r="AC74" s="204">
        <f t="shared" si="75"/>
        <v>9240</v>
      </c>
      <c r="AD74" s="152">
        <v>0.08</v>
      </c>
      <c r="AE74" s="31">
        <f>3350*(P74+S74)</f>
        <v>127300</v>
      </c>
      <c r="AF74" s="28">
        <f t="shared" si="69"/>
        <v>0.25631578947368422</v>
      </c>
      <c r="AG74" s="34">
        <f t="shared" si="70"/>
        <v>185060.03</v>
      </c>
      <c r="AH74" s="34">
        <f t="shared" si="71"/>
        <v>26629.922759999994</v>
      </c>
      <c r="AI74" s="34">
        <f t="shared" si="72"/>
        <v>239669.30484</v>
      </c>
      <c r="AJ74" s="46">
        <f t="shared" si="73"/>
        <v>65189.50483999998</v>
      </c>
      <c r="AK74" s="40">
        <v>28.8</v>
      </c>
      <c r="AL74" s="41">
        <f t="shared" si="74"/>
        <v>37.0944</v>
      </c>
      <c r="AM74" s="36">
        <v>73935</v>
      </c>
      <c r="AN74" s="284">
        <v>210</v>
      </c>
      <c r="AO74" s="26"/>
      <c r="AP74" s="26"/>
      <c r="AQ74" s="27"/>
      <c r="AR74" s="27"/>
      <c r="AS74" s="27"/>
      <c r="AT74" s="27"/>
      <c r="AU74" s="27"/>
      <c r="AV74" s="27"/>
      <c r="AW74" s="26"/>
      <c r="AX74" s="26"/>
      <c r="AY74" s="26"/>
      <c r="AZ74" s="26"/>
      <c r="BA74" s="26"/>
      <c r="BB74" s="26"/>
      <c r="BC74" s="26"/>
      <c r="BD74" s="26"/>
      <c r="BE74" s="26"/>
      <c r="BF74" s="26"/>
      <c r="BG74" s="26"/>
      <c r="BH74" s="26"/>
      <c r="BI74" s="26"/>
    </row>
    <row r="75" spans="1:61" ht="28.5" customHeight="1">
      <c r="A75" s="113"/>
      <c r="B75" s="300"/>
      <c r="C75" s="42" t="s">
        <v>115</v>
      </c>
      <c r="D75" s="28">
        <f t="shared" si="58"/>
        <v>0.25643339416058392</v>
      </c>
      <c r="E75" s="201">
        <v>0.437</v>
      </c>
      <c r="F75" s="30">
        <f t="shared" si="59"/>
        <v>0.18056660583941608</v>
      </c>
      <c r="G75" s="30">
        <f t="shared" si="60"/>
        <v>7.3529411764705885E-2</v>
      </c>
      <c r="H75" s="48"/>
      <c r="I75" s="48"/>
      <c r="J75" s="48"/>
      <c r="K75" s="210"/>
      <c r="L75" s="210"/>
      <c r="M75" s="210"/>
      <c r="N75" s="36"/>
      <c r="O75" s="36">
        <v>4</v>
      </c>
      <c r="P75" s="31">
        <f t="shared" si="61"/>
        <v>4</v>
      </c>
      <c r="Q75" s="36">
        <v>0</v>
      </c>
      <c r="R75" s="167">
        <v>5</v>
      </c>
      <c r="S75" s="36"/>
      <c r="T75" s="34">
        <f t="shared" si="62"/>
        <v>219200</v>
      </c>
      <c r="U75" s="31">
        <f t="shared" si="63"/>
        <v>0</v>
      </c>
      <c r="V75" s="34">
        <f t="shared" si="64"/>
        <v>219200</v>
      </c>
      <c r="W75" s="43">
        <v>54800</v>
      </c>
      <c r="X75" s="34">
        <f t="shared" si="65"/>
        <v>20030.976000000002</v>
      </c>
      <c r="Y75" s="34">
        <f t="shared" si="66"/>
        <v>80123.90400000001</v>
      </c>
      <c r="Z75" s="34">
        <f t="shared" si="67"/>
        <v>39580.200000000004</v>
      </c>
      <c r="AA75" s="48">
        <v>35982</v>
      </c>
      <c r="AB75" s="36"/>
      <c r="AC75" s="204">
        <f t="shared" si="75"/>
        <v>0</v>
      </c>
      <c r="AD75" s="152">
        <v>7.8E-2</v>
      </c>
      <c r="AE75" s="31">
        <f t="shared" ref="AE75:AE76" si="80">4825*(P75+S75)</f>
        <v>19300</v>
      </c>
      <c r="AF75" s="28">
        <f t="shared" si="69"/>
        <v>0.16604744525547444</v>
      </c>
      <c r="AG75" s="34">
        <f t="shared" si="70"/>
        <v>36397.629999999997</v>
      </c>
      <c r="AH75" s="34">
        <f t="shared" si="71"/>
        <v>10267.846599999997</v>
      </c>
      <c r="AI75" s="34">
        <f t="shared" si="72"/>
        <v>92410.619399999996</v>
      </c>
      <c r="AJ75" s="46">
        <f t="shared" si="73"/>
        <v>52830.419399999992</v>
      </c>
      <c r="AK75" s="40">
        <v>81</v>
      </c>
      <c r="AL75" s="41">
        <f t="shared" si="74"/>
        <v>104.328</v>
      </c>
      <c r="AM75" s="36">
        <v>13544</v>
      </c>
      <c r="AN75" s="284">
        <v>68</v>
      </c>
      <c r="AO75" s="26"/>
      <c r="AP75" s="26"/>
      <c r="AQ75" s="27"/>
      <c r="AR75" s="27"/>
      <c r="AS75" s="27"/>
      <c r="AT75" s="27"/>
      <c r="AU75" s="27"/>
      <c r="AV75" s="27"/>
      <c r="AW75" s="26"/>
      <c r="AX75" s="26"/>
      <c r="AY75" s="26"/>
      <c r="AZ75" s="26"/>
      <c r="BA75" s="26"/>
      <c r="BB75" s="26"/>
      <c r="BC75" s="26"/>
      <c r="BD75" s="26"/>
      <c r="BE75" s="26"/>
      <c r="BF75" s="26"/>
      <c r="BG75" s="26"/>
      <c r="BH75" s="26"/>
      <c r="BI75" s="26"/>
    </row>
    <row r="76" spans="1:61" ht="28.5" customHeight="1">
      <c r="A76" s="113"/>
      <c r="B76" s="285"/>
      <c r="C76" s="42" t="s">
        <v>116</v>
      </c>
      <c r="D76" s="28">
        <f t="shared" si="58"/>
        <v>-0.37192283950617294</v>
      </c>
      <c r="E76" s="201">
        <v>0.42499999999999999</v>
      </c>
      <c r="F76" s="30">
        <f t="shared" si="59"/>
        <v>0.79692283950617293</v>
      </c>
      <c r="G76" s="30">
        <f t="shared" si="60"/>
        <v>9.433962264150943E-3</v>
      </c>
      <c r="H76" s="48"/>
      <c r="I76" s="48"/>
      <c r="J76" s="48"/>
      <c r="K76" s="210"/>
      <c r="L76" s="210"/>
      <c r="M76" s="210"/>
      <c r="N76" s="36"/>
      <c r="O76" s="36">
        <v>1</v>
      </c>
      <c r="P76" s="31">
        <f t="shared" si="61"/>
        <v>1</v>
      </c>
      <c r="Q76" s="36">
        <v>1</v>
      </c>
      <c r="R76" s="167">
        <v>1</v>
      </c>
      <c r="S76" s="36"/>
      <c r="T76" s="34">
        <f t="shared" si="62"/>
        <v>64800</v>
      </c>
      <c r="U76" s="31">
        <f t="shared" si="63"/>
        <v>0</v>
      </c>
      <c r="V76" s="34">
        <f t="shared" si="64"/>
        <v>64800</v>
      </c>
      <c r="W76" s="43">
        <v>64800</v>
      </c>
      <c r="X76" s="34">
        <f t="shared" si="65"/>
        <v>25224.192000000003</v>
      </c>
      <c r="Y76" s="34">
        <f t="shared" si="66"/>
        <v>25224.192000000003</v>
      </c>
      <c r="Z76" s="34">
        <f t="shared" si="67"/>
        <v>49330.600000000006</v>
      </c>
      <c r="AA76" s="48">
        <v>44846</v>
      </c>
      <c r="AB76" s="36"/>
      <c r="AC76" s="204">
        <f t="shared" si="75"/>
        <v>2310</v>
      </c>
      <c r="AD76" s="152">
        <v>7.8E-2</v>
      </c>
      <c r="AE76" s="31">
        <f t="shared" si="80"/>
        <v>4825</v>
      </c>
      <c r="AF76" s="28">
        <f t="shared" si="69"/>
        <v>0.15245987654320986</v>
      </c>
      <c r="AG76" s="34">
        <f t="shared" si="70"/>
        <v>9879.43</v>
      </c>
      <c r="AH76" s="34">
        <f t="shared" si="71"/>
        <v>2969.6377999999995</v>
      </c>
      <c r="AI76" s="34">
        <f t="shared" si="72"/>
        <v>26726.7402</v>
      </c>
      <c r="AJ76" s="46">
        <f t="shared" si="73"/>
        <v>-22603.859800000006</v>
      </c>
      <c r="AK76" s="40">
        <v>102</v>
      </c>
      <c r="AL76" s="41">
        <f t="shared" si="74"/>
        <v>131.376</v>
      </c>
      <c r="AM76" s="36">
        <v>37361</v>
      </c>
      <c r="AN76" s="284">
        <v>106</v>
      </c>
      <c r="AO76" s="26"/>
      <c r="AP76" s="26"/>
      <c r="AQ76" s="27"/>
      <c r="AR76" s="27"/>
      <c r="AS76" s="27"/>
      <c r="AT76" s="27"/>
      <c r="AU76" s="27"/>
      <c r="AV76" s="27"/>
      <c r="AW76" s="26"/>
      <c r="AX76" s="26"/>
      <c r="AY76" s="26"/>
      <c r="AZ76" s="26"/>
      <c r="BA76" s="26"/>
      <c r="BB76" s="26"/>
      <c r="BC76" s="26"/>
      <c r="BD76" s="26"/>
      <c r="BE76" s="26"/>
      <c r="BF76" s="26"/>
      <c r="BG76" s="26"/>
      <c r="BH76" s="26"/>
      <c r="BI76" s="26"/>
    </row>
    <row r="77" spans="1:61" ht="28.5" customHeight="1">
      <c r="A77" s="113"/>
      <c r="B77" s="299"/>
      <c r="C77" s="42" t="s">
        <v>117</v>
      </c>
      <c r="D77" s="28">
        <f t="shared" si="58"/>
        <v>0.37247519841269844</v>
      </c>
      <c r="E77" s="297">
        <v>0.53900000000000003</v>
      </c>
      <c r="F77" s="30">
        <f t="shared" si="59"/>
        <v>0.1665248015873016</v>
      </c>
      <c r="G77" s="30">
        <f t="shared" si="60"/>
        <v>2.0905923344947737E-2</v>
      </c>
      <c r="H77" s="48"/>
      <c r="I77" s="48"/>
      <c r="J77" s="48"/>
      <c r="K77" s="210"/>
      <c r="L77" s="210"/>
      <c r="M77" s="210"/>
      <c r="N77" s="36"/>
      <c r="O77" s="36">
        <v>56</v>
      </c>
      <c r="P77" s="31">
        <f t="shared" si="61"/>
        <v>56</v>
      </c>
      <c r="Q77" s="36">
        <v>5</v>
      </c>
      <c r="R77" s="167">
        <v>24</v>
      </c>
      <c r="S77" s="36"/>
      <c r="T77" s="34">
        <f t="shared" si="62"/>
        <v>1108800</v>
      </c>
      <c r="U77" s="31">
        <f t="shared" si="63"/>
        <v>0</v>
      </c>
      <c r="V77" s="34">
        <f t="shared" si="64"/>
        <v>1108800</v>
      </c>
      <c r="W77" s="43">
        <v>19800</v>
      </c>
      <c r="X77" s="34">
        <f t="shared" si="65"/>
        <v>4451.3280000000004</v>
      </c>
      <c r="Y77" s="34">
        <f t="shared" si="66"/>
        <v>249274.36800000002</v>
      </c>
      <c r="Z77" s="34">
        <f t="shared" si="67"/>
        <v>173092.7</v>
      </c>
      <c r="AA77" s="48">
        <v>157357</v>
      </c>
      <c r="AB77" s="36"/>
      <c r="AC77" s="204">
        <f t="shared" si="75"/>
        <v>11550</v>
      </c>
      <c r="AD77" s="152">
        <v>7.8E-2</v>
      </c>
      <c r="AE77" s="31">
        <f t="shared" ref="AE77:AE79" si="81">1900*(P77+S77)</f>
        <v>106400</v>
      </c>
      <c r="AF77" s="28">
        <f t="shared" si="69"/>
        <v>0.17395959595959595</v>
      </c>
      <c r="AG77" s="34">
        <f t="shared" si="70"/>
        <v>192886.43</v>
      </c>
      <c r="AH77" s="34">
        <f t="shared" si="71"/>
        <v>66663.920199999993</v>
      </c>
      <c r="AI77" s="34">
        <f t="shared" si="72"/>
        <v>599975.2818</v>
      </c>
      <c r="AJ77" s="46">
        <f t="shared" si="73"/>
        <v>426882.58179999999</v>
      </c>
      <c r="AK77" s="40">
        <v>18</v>
      </c>
      <c r="AL77" s="41">
        <f t="shared" si="74"/>
        <v>23.184000000000001</v>
      </c>
      <c r="AM77" s="36">
        <v>289538</v>
      </c>
      <c r="AN77" s="284">
        <v>1148</v>
      </c>
      <c r="AO77" s="26"/>
      <c r="AP77" s="26"/>
      <c r="AQ77" s="27"/>
      <c r="AR77" s="27"/>
      <c r="AS77" s="27"/>
      <c r="AT77" s="27"/>
      <c r="AU77" s="27"/>
      <c r="AV77" s="27"/>
      <c r="AW77" s="26"/>
      <c r="AX77" s="26"/>
      <c r="AY77" s="26"/>
      <c r="AZ77" s="26"/>
      <c r="BA77" s="26"/>
      <c r="BB77" s="26"/>
      <c r="BC77" s="26"/>
      <c r="BD77" s="26"/>
      <c r="BE77" s="26"/>
      <c r="BF77" s="26"/>
      <c r="BG77" s="26"/>
      <c r="BH77" s="26"/>
      <c r="BI77" s="26"/>
    </row>
    <row r="78" spans="1:61" ht="28.5" customHeight="1">
      <c r="A78" s="113"/>
      <c r="B78" s="299"/>
      <c r="C78" s="42" t="s">
        <v>31</v>
      </c>
      <c r="D78" s="28" t="e">
        <f t="shared" si="58"/>
        <v>#DIV/0!</v>
      </c>
      <c r="E78" s="297">
        <v>0.40699999999999997</v>
      </c>
      <c r="F78" s="30" t="e">
        <f t="shared" si="59"/>
        <v>#DIV/0!</v>
      </c>
      <c r="G78" s="30">
        <f t="shared" si="60"/>
        <v>0</v>
      </c>
      <c r="H78" s="48"/>
      <c r="I78" s="48"/>
      <c r="J78" s="48"/>
      <c r="K78" s="210"/>
      <c r="L78" s="210"/>
      <c r="M78" s="210"/>
      <c r="N78" s="36"/>
      <c r="O78" s="36">
        <v>3</v>
      </c>
      <c r="P78" s="31">
        <f t="shared" si="61"/>
        <v>0</v>
      </c>
      <c r="Q78" s="36">
        <v>1</v>
      </c>
      <c r="R78" s="167">
        <v>0</v>
      </c>
      <c r="S78" s="36">
        <v>3</v>
      </c>
      <c r="T78" s="34">
        <f t="shared" si="62"/>
        <v>59400</v>
      </c>
      <c r="U78" s="31">
        <f t="shared" si="63"/>
        <v>59400</v>
      </c>
      <c r="V78" s="34">
        <f t="shared" si="64"/>
        <v>0</v>
      </c>
      <c r="W78" s="43">
        <v>19800</v>
      </c>
      <c r="X78" s="34">
        <f t="shared" si="65"/>
        <v>7418.88</v>
      </c>
      <c r="Y78" s="34">
        <f t="shared" si="66"/>
        <v>0</v>
      </c>
      <c r="Z78" s="34">
        <f t="shared" si="67"/>
        <v>942.7</v>
      </c>
      <c r="AA78" s="48">
        <v>857</v>
      </c>
      <c r="AB78" s="286">
        <f>((19800*0.1)+(19800*0.015)+2100+2200)*3</f>
        <v>19731</v>
      </c>
      <c r="AC78" s="204">
        <f t="shared" si="75"/>
        <v>2310</v>
      </c>
      <c r="AD78" s="152">
        <v>0.08</v>
      </c>
      <c r="AE78" s="31">
        <f t="shared" si="81"/>
        <v>5700</v>
      </c>
      <c r="AF78" s="28" t="e">
        <f t="shared" si="69"/>
        <v>#DIV/0!</v>
      </c>
      <c r="AG78" s="34" t="e">
        <f t="shared" si="70"/>
        <v>#DIV/0!</v>
      </c>
      <c r="AH78" s="34" t="e">
        <f t="shared" si="71"/>
        <v>#DIV/0!</v>
      </c>
      <c r="AI78" s="34" t="e">
        <f t="shared" si="72"/>
        <v>#DIV/0!</v>
      </c>
      <c r="AJ78" s="46" t="e">
        <f t="shared" si="73"/>
        <v>#DIV/0!</v>
      </c>
      <c r="AK78" s="40">
        <v>30</v>
      </c>
      <c r="AL78" s="41">
        <f t="shared" si="74"/>
        <v>38.64</v>
      </c>
      <c r="AM78" s="36">
        <v>10682</v>
      </c>
      <c r="AN78" s="284">
        <v>8</v>
      </c>
      <c r="AO78" s="26"/>
      <c r="AP78" s="26"/>
      <c r="AQ78" s="27"/>
      <c r="AR78" s="27"/>
      <c r="AS78" s="27"/>
      <c r="AT78" s="27"/>
      <c r="AU78" s="27"/>
      <c r="AV78" s="27"/>
      <c r="AW78" s="26"/>
      <c r="AX78" s="26"/>
      <c r="AY78" s="26"/>
      <c r="AZ78" s="26"/>
      <c r="BA78" s="26"/>
      <c r="BB78" s="26"/>
      <c r="BC78" s="26"/>
      <c r="BD78" s="26"/>
      <c r="BE78" s="26"/>
      <c r="BF78" s="26"/>
      <c r="BG78" s="26"/>
      <c r="BH78" s="26"/>
      <c r="BI78" s="26"/>
    </row>
    <row r="79" spans="1:61" ht="28.5" customHeight="1">
      <c r="A79" s="113"/>
      <c r="B79" s="299"/>
      <c r="C79" s="42" t="s">
        <v>118</v>
      </c>
      <c r="D79" s="28" t="e">
        <f t="shared" si="58"/>
        <v>#DIV/0!</v>
      </c>
      <c r="E79" s="297">
        <v>0.36799999999999999</v>
      </c>
      <c r="F79" s="30" t="e">
        <f t="shared" si="59"/>
        <v>#DIV/0!</v>
      </c>
      <c r="G79" s="30" t="e">
        <f t="shared" si="60"/>
        <v>#DIV/0!</v>
      </c>
      <c r="H79" s="48"/>
      <c r="I79" s="48"/>
      <c r="J79" s="48"/>
      <c r="K79" s="210"/>
      <c r="L79" s="210"/>
      <c r="M79" s="210"/>
      <c r="N79" s="36"/>
      <c r="O79" s="36">
        <v>0</v>
      </c>
      <c r="P79" s="31">
        <f t="shared" si="61"/>
        <v>0</v>
      </c>
      <c r="Q79" s="36">
        <v>0</v>
      </c>
      <c r="R79" s="167">
        <v>0</v>
      </c>
      <c r="S79" s="36"/>
      <c r="T79" s="34">
        <f t="shared" si="62"/>
        <v>0</v>
      </c>
      <c r="U79" s="31">
        <f t="shared" si="63"/>
        <v>0</v>
      </c>
      <c r="V79" s="34">
        <f t="shared" si="64"/>
        <v>0</v>
      </c>
      <c r="W79" s="43">
        <v>24800</v>
      </c>
      <c r="X79" s="34">
        <f t="shared" si="65"/>
        <v>10386.432000000001</v>
      </c>
      <c r="Y79" s="34">
        <f t="shared" si="66"/>
        <v>0</v>
      </c>
      <c r="Z79" s="34">
        <f t="shared" si="67"/>
        <v>0</v>
      </c>
      <c r="AA79" s="48">
        <v>0</v>
      </c>
      <c r="AB79" s="36"/>
      <c r="AC79" s="204">
        <f t="shared" si="75"/>
        <v>0</v>
      </c>
      <c r="AD79" s="152">
        <v>0.1</v>
      </c>
      <c r="AE79" s="31">
        <f t="shared" si="81"/>
        <v>0</v>
      </c>
      <c r="AF79" s="28" t="e">
        <f t="shared" si="69"/>
        <v>#DIV/0!</v>
      </c>
      <c r="AG79" s="34" t="e">
        <f t="shared" si="70"/>
        <v>#DIV/0!</v>
      </c>
      <c r="AH79" s="34" t="e">
        <f t="shared" si="71"/>
        <v>#DIV/0!</v>
      </c>
      <c r="AI79" s="34" t="e">
        <f t="shared" si="72"/>
        <v>#DIV/0!</v>
      </c>
      <c r="AJ79" s="46" t="e">
        <f t="shared" si="73"/>
        <v>#DIV/0!</v>
      </c>
      <c r="AK79" s="40">
        <v>42</v>
      </c>
      <c r="AL79" s="41">
        <f t="shared" si="74"/>
        <v>54.096000000000004</v>
      </c>
      <c r="AM79" s="36">
        <v>0</v>
      </c>
      <c r="AN79" s="284">
        <v>0</v>
      </c>
      <c r="AO79" s="26"/>
      <c r="AP79" s="26"/>
      <c r="AQ79" s="27"/>
      <c r="AR79" s="27"/>
      <c r="AS79" s="27"/>
      <c r="AT79" s="27"/>
      <c r="AU79" s="27"/>
      <c r="AV79" s="27"/>
      <c r="AW79" s="26"/>
      <c r="AX79" s="26"/>
      <c r="AY79" s="26"/>
      <c r="AZ79" s="26"/>
      <c r="BA79" s="26"/>
      <c r="BB79" s="26"/>
      <c r="BC79" s="26"/>
      <c r="BD79" s="26"/>
      <c r="BE79" s="26"/>
      <c r="BF79" s="26"/>
      <c r="BG79" s="26"/>
      <c r="BH79" s="26"/>
      <c r="BI79" s="26"/>
    </row>
    <row r="80" spans="1:61" ht="28.5" customHeight="1">
      <c r="A80" s="113"/>
      <c r="B80" s="299"/>
      <c r="C80" s="42" t="s">
        <v>119</v>
      </c>
      <c r="D80" s="28">
        <f t="shared" si="58"/>
        <v>0.35357547300140241</v>
      </c>
      <c r="E80" s="201">
        <f>AI80/V80</f>
        <v>0.42984265392706861</v>
      </c>
      <c r="F80" s="30">
        <f t="shared" si="59"/>
        <v>7.62671809256662E-2</v>
      </c>
      <c r="G80" s="30">
        <f t="shared" si="60"/>
        <v>7.0000000000000007E-2</v>
      </c>
      <c r="H80" s="48"/>
      <c r="I80" s="48"/>
      <c r="J80" s="48"/>
      <c r="K80" s="210"/>
      <c r="L80" s="210"/>
      <c r="M80" s="210"/>
      <c r="N80" s="36"/>
      <c r="O80" s="36">
        <v>26</v>
      </c>
      <c r="P80" s="31">
        <f t="shared" si="61"/>
        <v>23</v>
      </c>
      <c r="Q80" s="36">
        <v>1</v>
      </c>
      <c r="R80" s="167">
        <v>7</v>
      </c>
      <c r="S80" s="36">
        <v>3</v>
      </c>
      <c r="T80" s="34">
        <f t="shared" si="62"/>
        <v>644800</v>
      </c>
      <c r="U80" s="31">
        <f t="shared" si="63"/>
        <v>74400</v>
      </c>
      <c r="V80" s="34">
        <f t="shared" si="64"/>
        <v>570400</v>
      </c>
      <c r="W80" s="43">
        <v>24800</v>
      </c>
      <c r="X80" s="34">
        <f t="shared" si="65"/>
        <v>7666.1760000000013</v>
      </c>
      <c r="Y80" s="34">
        <f t="shared" si="66"/>
        <v>176322.04800000004</v>
      </c>
      <c r="Z80" s="34">
        <f t="shared" si="67"/>
        <v>41192.800000000003</v>
      </c>
      <c r="AA80" s="48">
        <f>35853+1595</f>
        <v>37448</v>
      </c>
      <c r="AB80" s="286">
        <f>((24800*0.1)+(24800*0.015)+2100+2750)*3</f>
        <v>23106</v>
      </c>
      <c r="AC80" s="204">
        <f t="shared" si="75"/>
        <v>2310</v>
      </c>
      <c r="AD80" s="152">
        <v>0.108</v>
      </c>
      <c r="AE80" s="31">
        <f>(1900*20)+(3150*7)</f>
        <v>60050</v>
      </c>
      <c r="AF80" s="28">
        <f t="shared" si="69"/>
        <v>0.21327699859747545</v>
      </c>
      <c r="AG80" s="34">
        <f t="shared" si="70"/>
        <v>121653.23</v>
      </c>
      <c r="AH80" s="34">
        <f t="shared" si="71"/>
        <v>27242.472199999993</v>
      </c>
      <c r="AI80" s="34">
        <f t="shared" si="72"/>
        <v>245182.24979999993</v>
      </c>
      <c r="AJ80" s="46">
        <f t="shared" si="73"/>
        <v>203989.44979999994</v>
      </c>
      <c r="AK80" s="40">
        <v>31</v>
      </c>
      <c r="AL80" s="41">
        <f t="shared" si="74"/>
        <v>39.928000000000004</v>
      </c>
      <c r="AM80" s="36">
        <v>23024</v>
      </c>
      <c r="AN80" s="284">
        <v>100</v>
      </c>
      <c r="AO80" s="26"/>
      <c r="AP80" s="26"/>
      <c r="AQ80" s="27"/>
      <c r="AR80" s="27"/>
      <c r="AS80" s="27"/>
      <c r="AT80" s="27"/>
      <c r="AU80" s="27"/>
      <c r="AV80" s="27"/>
      <c r="AW80" s="26"/>
      <c r="AX80" s="26"/>
      <c r="AY80" s="26"/>
      <c r="AZ80" s="26"/>
      <c r="BA80" s="26"/>
      <c r="BB80" s="26"/>
      <c r="BC80" s="26"/>
      <c r="BD80" s="26"/>
      <c r="BE80" s="26"/>
      <c r="BF80" s="26"/>
      <c r="BG80" s="26"/>
      <c r="BH80" s="26"/>
      <c r="BI80" s="26"/>
    </row>
    <row r="81" spans="1:61" ht="28.5" customHeight="1">
      <c r="A81" s="26"/>
      <c r="B81" s="200"/>
      <c r="C81" s="239" t="s">
        <v>120</v>
      </c>
      <c r="D81" s="28">
        <f t="shared" si="58"/>
        <v>-3.1304020100502539E-2</v>
      </c>
      <c r="E81" s="201">
        <v>0.376</v>
      </c>
      <c r="F81" s="30">
        <f t="shared" si="59"/>
        <v>0.40730402010050254</v>
      </c>
      <c r="G81" s="30">
        <f t="shared" si="60"/>
        <v>0</v>
      </c>
      <c r="H81" s="48"/>
      <c r="I81" s="48"/>
      <c r="J81" s="48"/>
      <c r="K81" s="210"/>
      <c r="L81" s="210"/>
      <c r="M81" s="210"/>
      <c r="N81" s="36"/>
      <c r="O81" s="36">
        <v>1</v>
      </c>
      <c r="P81" s="31">
        <f t="shared" si="61"/>
        <v>1</v>
      </c>
      <c r="Q81" s="36">
        <v>0</v>
      </c>
      <c r="R81" s="167"/>
      <c r="S81" s="36"/>
      <c r="T81" s="34">
        <f t="shared" si="62"/>
        <v>39800</v>
      </c>
      <c r="U81" s="31">
        <f t="shared" si="63"/>
        <v>0</v>
      </c>
      <c r="V81" s="34">
        <f t="shared" si="64"/>
        <v>39800</v>
      </c>
      <c r="W81" s="43">
        <v>39800</v>
      </c>
      <c r="X81" s="34">
        <f t="shared" si="65"/>
        <v>7666.1760000000013</v>
      </c>
      <c r="Y81" s="34">
        <f t="shared" si="66"/>
        <v>7666.1760000000013</v>
      </c>
      <c r="Z81" s="34">
        <f t="shared" si="67"/>
        <v>16210.7</v>
      </c>
      <c r="AA81" s="48">
        <f>6652+8085</f>
        <v>14737</v>
      </c>
      <c r="AB81" s="286"/>
      <c r="AC81" s="204">
        <f t="shared" si="75"/>
        <v>0</v>
      </c>
      <c r="AD81" s="152">
        <v>0.108</v>
      </c>
      <c r="AE81" s="31">
        <f>3550*(P81+S81)</f>
        <v>3550</v>
      </c>
      <c r="AF81" s="28">
        <f t="shared" si="69"/>
        <v>0.1971959798994975</v>
      </c>
      <c r="AG81" s="34">
        <f t="shared" si="70"/>
        <v>7848.43</v>
      </c>
      <c r="AH81" s="34">
        <f t="shared" si="71"/>
        <v>2428.5393999999997</v>
      </c>
      <c r="AI81" s="34">
        <f t="shared" si="72"/>
        <v>21856.854599999999</v>
      </c>
      <c r="AJ81" s="46">
        <f t="shared" si="73"/>
        <v>5646.154599999998</v>
      </c>
      <c r="AK81" s="40">
        <v>31</v>
      </c>
      <c r="AL81" s="41">
        <f t="shared" si="74"/>
        <v>39.928000000000004</v>
      </c>
      <c r="AM81" s="36">
        <v>7590</v>
      </c>
      <c r="AN81" s="284">
        <v>44</v>
      </c>
      <c r="AO81" s="26"/>
      <c r="AP81" s="26"/>
      <c r="AQ81" s="27"/>
      <c r="AR81" s="27"/>
      <c r="AS81" s="27"/>
      <c r="AT81" s="27"/>
      <c r="AU81" s="27"/>
      <c r="AV81" s="27"/>
      <c r="AW81" s="26"/>
      <c r="AX81" s="26"/>
      <c r="AY81" s="26"/>
      <c r="AZ81" s="26"/>
      <c r="BA81" s="26"/>
      <c r="BB81" s="26"/>
      <c r="BC81" s="26"/>
      <c r="BD81" s="26"/>
      <c r="BE81" s="26"/>
      <c r="BF81" s="26"/>
      <c r="BG81" s="26"/>
      <c r="BH81" s="26"/>
      <c r="BI81" s="26"/>
    </row>
    <row r="82" spans="1:61" ht="28.5" customHeight="1">
      <c r="A82" s="26"/>
      <c r="B82" s="216"/>
      <c r="C82" s="217"/>
      <c r="D82" s="298">
        <f>AJ82/V82</f>
        <v>0.10100311360821826</v>
      </c>
      <c r="E82" s="298">
        <f>AI82/V82</f>
        <v>0.38657908928619866</v>
      </c>
      <c r="F82" s="52">
        <f>(Z82)/V82</f>
        <v>0.26461257621974194</v>
      </c>
      <c r="G82" s="219"/>
      <c r="H82" s="55"/>
      <c r="I82" s="55"/>
      <c r="J82" s="55"/>
      <c r="K82" s="55"/>
      <c r="L82" s="55"/>
      <c r="M82" s="55"/>
      <c r="N82" s="130"/>
      <c r="O82" s="130">
        <f t="shared" ref="O82:V82" si="82">SUM(O59:O81)</f>
        <v>399</v>
      </c>
      <c r="P82" s="130">
        <f t="shared" si="82"/>
        <v>382</v>
      </c>
      <c r="Q82" s="130">
        <f t="shared" si="82"/>
        <v>35</v>
      </c>
      <c r="R82" s="130">
        <f t="shared" si="82"/>
        <v>256</v>
      </c>
      <c r="S82" s="130">
        <f t="shared" si="82"/>
        <v>17</v>
      </c>
      <c r="T82" s="130">
        <f t="shared" si="82"/>
        <v>10570330</v>
      </c>
      <c r="U82" s="130">
        <f t="shared" si="82"/>
        <v>613920</v>
      </c>
      <c r="V82" s="130">
        <f t="shared" si="82"/>
        <v>9956410</v>
      </c>
      <c r="W82" s="55"/>
      <c r="X82" s="130">
        <f t="shared" ref="X82:AC82" si="83">SUM(X59:X81)</f>
        <v>338894.43839999987</v>
      </c>
      <c r="Y82" s="130">
        <f t="shared" si="83"/>
        <v>3543158.1695999992</v>
      </c>
      <c r="Z82" s="130">
        <f t="shared" si="83"/>
        <v>2634591.3000000007</v>
      </c>
      <c r="AA82" s="130">
        <f t="shared" si="83"/>
        <v>2395083</v>
      </c>
      <c r="AB82" s="130">
        <f t="shared" si="83"/>
        <v>208720.2</v>
      </c>
      <c r="AC82" s="130">
        <f t="shared" si="83"/>
        <v>79608</v>
      </c>
      <c r="AD82" s="154">
        <v>0.09</v>
      </c>
      <c r="AE82" s="130">
        <f>SUM(AE59:AE81)</f>
        <v>1240575</v>
      </c>
      <c r="AF82" s="53">
        <f t="shared" si="69"/>
        <v>0.21460063416432229</v>
      </c>
      <c r="AG82" s="56">
        <f t="shared" si="70"/>
        <v>2136651.9299999997</v>
      </c>
      <c r="AH82" s="56">
        <f t="shared" si="71"/>
        <v>427659.99004000018</v>
      </c>
      <c r="AI82" s="56">
        <f t="shared" si="72"/>
        <v>3848939.910360001</v>
      </c>
      <c r="AJ82" s="46">
        <f>AI82-Z82-AB82</f>
        <v>1005628.4103600003</v>
      </c>
      <c r="AK82" s="54"/>
      <c r="AL82" s="222"/>
      <c r="AM82" s="131">
        <f t="shared" ref="AM82:AN82" si="84">SUM(AM59:AM60)</f>
        <v>448990</v>
      </c>
      <c r="AN82" s="132">
        <f t="shared" si="84"/>
        <v>1614</v>
      </c>
      <c r="AO82" s="26"/>
      <c r="AP82" s="26"/>
      <c r="AQ82" s="27"/>
      <c r="AR82" s="27"/>
      <c r="AS82" s="27"/>
      <c r="AT82" s="27"/>
      <c r="AU82" s="27"/>
      <c r="AV82" s="27"/>
      <c r="AW82" s="26"/>
      <c r="AX82" s="26"/>
      <c r="AY82" s="26"/>
      <c r="AZ82" s="26"/>
      <c r="BA82" s="26"/>
      <c r="BB82" s="26"/>
      <c r="BC82" s="26"/>
      <c r="BD82" s="26"/>
      <c r="BE82" s="26"/>
      <c r="BF82" s="26"/>
      <c r="BG82" s="26"/>
      <c r="BH82" s="26"/>
      <c r="BI82" s="26"/>
    </row>
    <row r="83" spans="1:61" ht="28.5" customHeight="1">
      <c r="A83" s="1"/>
      <c r="B83" s="290"/>
      <c r="C83" s="291"/>
      <c r="D83" s="2"/>
      <c r="E83" s="2"/>
      <c r="F83" s="2"/>
      <c r="G83" s="2"/>
      <c r="H83" s="2"/>
      <c r="I83" s="2"/>
      <c r="J83" s="2"/>
      <c r="K83" s="2"/>
      <c r="L83" s="2"/>
      <c r="M83" s="2"/>
      <c r="N83" s="292"/>
      <c r="O83" s="292"/>
      <c r="P83" s="2"/>
      <c r="Q83" s="2"/>
      <c r="R83" s="2"/>
      <c r="S83" s="293"/>
      <c r="T83" s="2"/>
      <c r="U83" s="2"/>
      <c r="V83" s="2"/>
      <c r="W83" s="2"/>
      <c r="X83" s="2"/>
      <c r="Y83" s="2"/>
      <c r="Z83" s="2"/>
      <c r="AA83" s="2"/>
      <c r="AB83" s="2"/>
      <c r="AC83" s="2"/>
      <c r="AD83" s="2"/>
      <c r="AE83" s="2"/>
      <c r="AF83" s="1"/>
      <c r="AG83" s="1"/>
      <c r="AH83" s="1"/>
      <c r="AI83" s="1"/>
      <c r="AJ83" s="1"/>
      <c r="AK83" s="1"/>
      <c r="AL83" s="1"/>
      <c r="AM83" s="1"/>
      <c r="AN83" s="1"/>
      <c r="AO83" s="1"/>
      <c r="AP83" s="1"/>
      <c r="AQ83" s="1"/>
      <c r="AR83" s="1"/>
      <c r="AS83" s="1"/>
      <c r="AT83" s="7"/>
      <c r="AU83" s="7"/>
      <c r="AV83" s="7"/>
      <c r="AW83" s="47"/>
      <c r="AX83" s="47"/>
      <c r="AY83" s="47"/>
      <c r="AZ83" s="47"/>
      <c r="BA83" s="47"/>
      <c r="BB83" s="47"/>
      <c r="BC83" s="47"/>
      <c r="BD83" s="47"/>
      <c r="BE83" s="47"/>
      <c r="BF83" s="47"/>
      <c r="BG83" s="47"/>
      <c r="BH83" s="47"/>
      <c r="BI83" s="47"/>
    </row>
    <row r="84" spans="1:61" ht="28.5" customHeight="1">
      <c r="A84" s="26"/>
      <c r="B84" s="189"/>
      <c r="C84" s="134">
        <v>45873</v>
      </c>
      <c r="D84" s="190" t="s">
        <v>0</v>
      </c>
      <c r="E84" s="190" t="s">
        <v>1</v>
      </c>
      <c r="F84" s="190" t="s">
        <v>2</v>
      </c>
      <c r="G84" s="190" t="s">
        <v>3</v>
      </c>
      <c r="H84" s="191" t="s">
        <v>4</v>
      </c>
      <c r="I84" s="192" t="s">
        <v>5</v>
      </c>
      <c r="J84" s="192" t="s">
        <v>90</v>
      </c>
      <c r="K84" s="193"/>
      <c r="L84" s="193" t="s">
        <v>6</v>
      </c>
      <c r="M84" s="194" t="s">
        <v>7</v>
      </c>
      <c r="N84" s="123"/>
      <c r="O84" s="123" t="s">
        <v>8</v>
      </c>
      <c r="P84" s="123" t="s">
        <v>9</v>
      </c>
      <c r="Q84" s="15" t="s">
        <v>10</v>
      </c>
      <c r="R84" s="123" t="s">
        <v>92</v>
      </c>
      <c r="S84" s="196" t="s">
        <v>11</v>
      </c>
      <c r="T84" s="17" t="s">
        <v>12</v>
      </c>
      <c r="U84" s="17" t="s">
        <v>13</v>
      </c>
      <c r="V84" s="17" t="s">
        <v>14</v>
      </c>
      <c r="W84" s="17" t="s">
        <v>15</v>
      </c>
      <c r="X84" s="17" t="s">
        <v>16</v>
      </c>
      <c r="Y84" s="17" t="s">
        <v>17</v>
      </c>
      <c r="Z84" s="19" t="s">
        <v>18</v>
      </c>
      <c r="AA84" s="19" t="s">
        <v>19</v>
      </c>
      <c r="AB84" s="20" t="s">
        <v>20</v>
      </c>
      <c r="AC84" s="22" t="s">
        <v>93</v>
      </c>
      <c r="AD84" s="197" t="s">
        <v>21</v>
      </c>
      <c r="AE84" s="21" t="s">
        <v>22</v>
      </c>
      <c r="AF84" s="23" t="s">
        <v>23</v>
      </c>
      <c r="AG84" s="23" t="s">
        <v>21</v>
      </c>
      <c r="AH84" s="23" t="s">
        <v>24</v>
      </c>
      <c r="AI84" s="24" t="s">
        <v>26</v>
      </c>
      <c r="AJ84" s="23" t="s">
        <v>27</v>
      </c>
      <c r="AK84" s="21" t="s">
        <v>147</v>
      </c>
      <c r="AL84" s="282" t="s">
        <v>148</v>
      </c>
      <c r="AM84" s="124" t="s">
        <v>94</v>
      </c>
      <c r="AN84" s="125" t="s">
        <v>95</v>
      </c>
      <c r="AO84" s="26"/>
      <c r="AP84" s="26"/>
      <c r="AQ84" s="27"/>
      <c r="AR84" s="27"/>
      <c r="AS84" s="27"/>
      <c r="AT84" s="27"/>
      <c r="AU84" s="27"/>
      <c r="AV84" s="27"/>
      <c r="AW84" s="26"/>
      <c r="AX84" s="26"/>
      <c r="AY84" s="26"/>
      <c r="AZ84" s="26"/>
      <c r="BA84" s="26"/>
      <c r="BB84" s="26"/>
      <c r="BC84" s="26"/>
      <c r="BD84" s="26"/>
      <c r="BE84" s="26"/>
      <c r="BF84" s="26"/>
      <c r="BG84" s="26"/>
      <c r="BH84" s="26"/>
      <c r="BI84" s="26"/>
    </row>
    <row r="85" spans="1:61" ht="28.5" customHeight="1">
      <c r="A85" s="26"/>
      <c r="B85" s="200" t="s">
        <v>155</v>
      </c>
      <c r="C85" s="42" t="s">
        <v>107</v>
      </c>
      <c r="D85" s="28">
        <f t="shared" ref="D85:D107" si="85">E85-F85</f>
        <v>0.12559191183134844</v>
      </c>
      <c r="E85" s="201">
        <v>0.39700000000000002</v>
      </c>
      <c r="F85" s="30">
        <f t="shared" ref="F85:F107" si="86">(Z85+AC85)/V85</f>
        <v>0.27140808816865158</v>
      </c>
      <c r="G85" s="30">
        <f t="shared" ref="G85:G107" si="87">R85/AN85</f>
        <v>7.7770130763936685E-2</v>
      </c>
      <c r="H85" s="48"/>
      <c r="I85" s="48"/>
      <c r="J85" s="48"/>
      <c r="K85" s="48"/>
      <c r="L85" s="48"/>
      <c r="M85" s="48"/>
      <c r="N85" s="36"/>
      <c r="O85" s="36">
        <v>147</v>
      </c>
      <c r="P85" s="31">
        <f t="shared" ref="P85:P107" si="88">O85-S85</f>
        <v>147</v>
      </c>
      <c r="Q85" s="36">
        <v>14</v>
      </c>
      <c r="R85" s="167">
        <v>113</v>
      </c>
      <c r="S85" s="36"/>
      <c r="T85" s="34">
        <f t="shared" ref="T85:T107" si="89">W85*O85</f>
        <v>3861690</v>
      </c>
      <c r="U85" s="31">
        <f t="shared" ref="U85:U107" si="90">W85*S85</f>
        <v>0</v>
      </c>
      <c r="V85" s="34">
        <f t="shared" ref="V85:V107" si="91">T85-U85</f>
        <v>3861690</v>
      </c>
      <c r="W85" s="43">
        <v>26270</v>
      </c>
      <c r="X85" s="34">
        <f t="shared" ref="X85:X107" si="92">AL85*$A$2</f>
        <v>9891.84</v>
      </c>
      <c r="Y85" s="34">
        <f t="shared" ref="Y85:Y107" si="93">X85*P85</f>
        <v>1454100.48</v>
      </c>
      <c r="Z85" s="34">
        <f t="shared" ref="Z85:Z107" si="94">AA85*1.1</f>
        <v>1017685.9000000001</v>
      </c>
      <c r="AA85" s="48">
        <v>925169</v>
      </c>
      <c r="AB85" s="36"/>
      <c r="AC85" s="204">
        <f t="shared" ref="AC85:AC86" si="95">(1072+1100)*Q85</f>
        <v>30408</v>
      </c>
      <c r="AD85" s="152">
        <v>0.1</v>
      </c>
      <c r="AE85" s="31">
        <f>3050*(P85+S85)</f>
        <v>448350</v>
      </c>
      <c r="AF85" s="28">
        <f t="shared" ref="AF85:AF108" si="96">AD85+(AE85/V85)</f>
        <v>0.2161020175104682</v>
      </c>
      <c r="AG85" s="34">
        <f t="shared" ref="AG85:AG108" si="97">V85*AF85+3%</f>
        <v>834519.03</v>
      </c>
      <c r="AH85" s="34">
        <f t="shared" ref="AH85:AH108" si="98">(V85)*10%-(Y85+AG85)*10%</f>
        <v>157307.049</v>
      </c>
      <c r="AI85" s="34">
        <f t="shared" ref="AI85:AI108" si="99">V85-(Y85+AG85+AH85)</f>
        <v>1415763.4410000001</v>
      </c>
      <c r="AJ85" s="46">
        <f t="shared" ref="AJ85:AJ107" si="100">AI85-Z85</f>
        <v>398077.54099999997</v>
      </c>
      <c r="AK85" s="40">
        <v>40</v>
      </c>
      <c r="AL85" s="41">
        <f t="shared" ref="AL85:AL107" si="101">(AK85*1.15)*1.12</f>
        <v>51.52</v>
      </c>
      <c r="AM85" s="36">
        <v>344009</v>
      </c>
      <c r="AN85" s="284">
        <v>1453</v>
      </c>
      <c r="AO85" s="26"/>
      <c r="AP85" s="26"/>
      <c r="AQ85" s="27"/>
      <c r="AR85" s="27"/>
      <c r="AS85" s="27"/>
      <c r="AT85" s="27"/>
      <c r="AU85" s="27"/>
      <c r="AV85" s="27"/>
      <c r="AW85" s="26"/>
      <c r="AX85" s="26"/>
      <c r="AY85" s="26"/>
      <c r="AZ85" s="26"/>
      <c r="BA85" s="26"/>
      <c r="BB85" s="26"/>
      <c r="BC85" s="26"/>
      <c r="BD85" s="26"/>
      <c r="BE85" s="26"/>
      <c r="BF85" s="26"/>
      <c r="BG85" s="26"/>
      <c r="BH85" s="26"/>
      <c r="BI85" s="26"/>
    </row>
    <row r="86" spans="1:61" ht="28.5" customHeight="1">
      <c r="A86" s="26"/>
      <c r="B86" s="200"/>
      <c r="C86" s="42" t="s">
        <v>108</v>
      </c>
      <c r="D86" s="28" t="e">
        <f t="shared" si="85"/>
        <v>#DIV/0!</v>
      </c>
      <c r="E86" s="201">
        <v>0.379</v>
      </c>
      <c r="F86" s="30" t="e">
        <f t="shared" si="86"/>
        <v>#DIV/0!</v>
      </c>
      <c r="G86" s="30">
        <f t="shared" si="87"/>
        <v>0</v>
      </c>
      <c r="H86" s="48"/>
      <c r="I86" s="48"/>
      <c r="J86" s="48"/>
      <c r="K86" s="210"/>
      <c r="L86" s="210"/>
      <c r="M86" s="210"/>
      <c r="N86" s="36"/>
      <c r="O86" s="36">
        <v>0</v>
      </c>
      <c r="P86" s="31">
        <f t="shared" si="88"/>
        <v>0</v>
      </c>
      <c r="Q86" s="36">
        <v>0</v>
      </c>
      <c r="R86" s="167">
        <v>0</v>
      </c>
      <c r="S86" s="36"/>
      <c r="T86" s="34">
        <f t="shared" si="89"/>
        <v>0</v>
      </c>
      <c r="U86" s="31">
        <f t="shared" si="90"/>
        <v>0</v>
      </c>
      <c r="V86" s="34">
        <f t="shared" si="91"/>
        <v>0</v>
      </c>
      <c r="W86" s="43">
        <v>22900</v>
      </c>
      <c r="X86" s="34">
        <f t="shared" si="92"/>
        <v>7913.4719999999998</v>
      </c>
      <c r="Y86" s="34">
        <f t="shared" si="93"/>
        <v>0</v>
      </c>
      <c r="Z86" s="34">
        <f t="shared" si="94"/>
        <v>4780.6000000000004</v>
      </c>
      <c r="AA86" s="48">
        <v>4346</v>
      </c>
      <c r="AB86" s="36"/>
      <c r="AC86" s="204">
        <f t="shared" si="95"/>
        <v>0</v>
      </c>
      <c r="AD86" s="152">
        <v>0.1</v>
      </c>
      <c r="AE86" s="31">
        <f>2950*(P86+S86)</f>
        <v>0</v>
      </c>
      <c r="AF86" s="28" t="e">
        <f t="shared" si="96"/>
        <v>#DIV/0!</v>
      </c>
      <c r="AG86" s="34" t="e">
        <f t="shared" si="97"/>
        <v>#DIV/0!</v>
      </c>
      <c r="AH86" s="34" t="e">
        <f t="shared" si="98"/>
        <v>#DIV/0!</v>
      </c>
      <c r="AI86" s="34" t="e">
        <f t="shared" si="99"/>
        <v>#DIV/0!</v>
      </c>
      <c r="AJ86" s="46" t="e">
        <f t="shared" si="100"/>
        <v>#DIV/0!</v>
      </c>
      <c r="AK86" s="40">
        <v>32</v>
      </c>
      <c r="AL86" s="41">
        <f t="shared" si="101"/>
        <v>41.216000000000001</v>
      </c>
      <c r="AM86" s="36">
        <v>20339</v>
      </c>
      <c r="AN86" s="284">
        <v>18</v>
      </c>
      <c r="AO86" s="26"/>
      <c r="AP86" s="26"/>
      <c r="AQ86" s="27"/>
      <c r="AR86" s="27"/>
      <c r="AS86" s="27"/>
      <c r="AT86" s="27"/>
      <c r="AU86" s="27"/>
      <c r="AV86" s="27"/>
      <c r="AW86" s="26"/>
      <c r="AX86" s="26"/>
      <c r="AY86" s="26"/>
      <c r="AZ86" s="26"/>
      <c r="BA86" s="26"/>
      <c r="BB86" s="26"/>
      <c r="BC86" s="26"/>
      <c r="BD86" s="26"/>
      <c r="BE86" s="26"/>
      <c r="BF86" s="26"/>
      <c r="BG86" s="26"/>
      <c r="BH86" s="26"/>
      <c r="BI86" s="26"/>
    </row>
    <row r="87" spans="1:61" ht="28.5" customHeight="1">
      <c r="A87" s="336"/>
      <c r="B87" s="323"/>
      <c r="C87" s="42" t="s">
        <v>109</v>
      </c>
      <c r="D87" s="28">
        <f t="shared" si="85"/>
        <v>6.0924549549549512E-2</v>
      </c>
      <c r="E87" s="201">
        <v>0.373</v>
      </c>
      <c r="F87" s="30">
        <f t="shared" si="86"/>
        <v>0.31207545045045049</v>
      </c>
      <c r="G87" s="30">
        <f t="shared" si="87"/>
        <v>1.6666666666666666E-2</v>
      </c>
      <c r="H87" s="48"/>
      <c r="I87" s="48"/>
      <c r="J87" s="48"/>
      <c r="K87" s="48"/>
      <c r="L87" s="334"/>
      <c r="M87" s="48"/>
      <c r="N87" s="36"/>
      <c r="O87" s="36">
        <v>2</v>
      </c>
      <c r="P87" s="31">
        <f t="shared" si="88"/>
        <v>2</v>
      </c>
      <c r="Q87" s="36">
        <v>0</v>
      </c>
      <c r="R87" s="167">
        <v>1</v>
      </c>
      <c r="S87" s="36"/>
      <c r="T87" s="34">
        <f t="shared" si="89"/>
        <v>88800</v>
      </c>
      <c r="U87" s="31">
        <f t="shared" si="90"/>
        <v>0</v>
      </c>
      <c r="V87" s="34">
        <f t="shared" si="91"/>
        <v>88800</v>
      </c>
      <c r="W87" s="43">
        <v>44400</v>
      </c>
      <c r="X87" s="34">
        <f t="shared" si="92"/>
        <v>16989.235200000003</v>
      </c>
      <c r="Y87" s="34">
        <f t="shared" si="93"/>
        <v>33978.470400000006</v>
      </c>
      <c r="Z87" s="34">
        <f t="shared" si="94"/>
        <v>27712.300000000003</v>
      </c>
      <c r="AA87" s="48">
        <v>25193</v>
      </c>
      <c r="AB87" s="36"/>
      <c r="AC87" s="204">
        <f t="shared" ref="AC87:AC107" si="102">(1210+1100)*Q87</f>
        <v>0</v>
      </c>
      <c r="AD87" s="152">
        <v>0.11</v>
      </c>
      <c r="AE87" s="31">
        <f t="shared" ref="AE87:AE88" si="103">4150*(P87+S87)</f>
        <v>8300</v>
      </c>
      <c r="AF87" s="28">
        <f t="shared" si="96"/>
        <v>0.20346846846846847</v>
      </c>
      <c r="AG87" s="34">
        <f t="shared" si="97"/>
        <v>18068.03</v>
      </c>
      <c r="AH87" s="34">
        <f t="shared" si="98"/>
        <v>3675.3499599999996</v>
      </c>
      <c r="AI87" s="34">
        <f t="shared" si="99"/>
        <v>33078.149639999996</v>
      </c>
      <c r="AJ87" s="46">
        <f t="shared" si="100"/>
        <v>5365.8496399999931</v>
      </c>
      <c r="AK87" s="40">
        <v>68.7</v>
      </c>
      <c r="AL87" s="41">
        <f t="shared" si="101"/>
        <v>88.485600000000005</v>
      </c>
      <c r="AM87" s="36">
        <v>50007</v>
      </c>
      <c r="AN87" s="284">
        <v>60</v>
      </c>
      <c r="AO87" s="26"/>
      <c r="AP87" s="26"/>
      <c r="AQ87" s="27"/>
      <c r="AR87" s="27"/>
      <c r="AS87" s="27"/>
      <c r="AT87" s="27"/>
      <c r="AU87" s="27"/>
      <c r="AV87" s="27"/>
      <c r="AW87" s="26"/>
      <c r="AX87" s="26"/>
      <c r="AY87" s="26"/>
      <c r="AZ87" s="26"/>
      <c r="BA87" s="26"/>
      <c r="BB87" s="26"/>
      <c r="BC87" s="26"/>
      <c r="BD87" s="26"/>
      <c r="BE87" s="26"/>
      <c r="BF87" s="26"/>
      <c r="BG87" s="26"/>
      <c r="BH87" s="26"/>
      <c r="BI87" s="26"/>
    </row>
    <row r="88" spans="1:61" ht="28.5" customHeight="1">
      <c r="A88" s="311"/>
      <c r="B88" s="324"/>
      <c r="C88" s="42" t="s">
        <v>110</v>
      </c>
      <c r="D88" s="28">
        <f t="shared" si="85"/>
        <v>-0.30541666666666673</v>
      </c>
      <c r="E88" s="201">
        <v>0.29499999999999998</v>
      </c>
      <c r="F88" s="30">
        <f t="shared" si="86"/>
        <v>0.60041666666666671</v>
      </c>
      <c r="G88" s="30">
        <f t="shared" si="87"/>
        <v>0</v>
      </c>
      <c r="H88" s="48"/>
      <c r="I88" s="48"/>
      <c r="J88" s="48"/>
      <c r="K88" s="48"/>
      <c r="L88" s="310"/>
      <c r="M88" s="48"/>
      <c r="N88" s="36"/>
      <c r="O88" s="36">
        <v>1</v>
      </c>
      <c r="P88" s="31">
        <f t="shared" si="88"/>
        <v>1</v>
      </c>
      <c r="Q88" s="36">
        <v>0</v>
      </c>
      <c r="R88" s="167">
        <v>0</v>
      </c>
      <c r="S88" s="36"/>
      <c r="T88" s="34">
        <f t="shared" si="89"/>
        <v>46800</v>
      </c>
      <c r="U88" s="31">
        <f t="shared" si="90"/>
        <v>0</v>
      </c>
      <c r="V88" s="34">
        <f t="shared" si="91"/>
        <v>46800</v>
      </c>
      <c r="W88" s="43">
        <v>46800</v>
      </c>
      <c r="X88" s="34">
        <f t="shared" si="92"/>
        <v>22182.451200000003</v>
      </c>
      <c r="Y88" s="34">
        <f t="shared" si="93"/>
        <v>22182.451200000003</v>
      </c>
      <c r="Z88" s="34">
        <f t="shared" si="94"/>
        <v>28099.500000000004</v>
      </c>
      <c r="AA88" s="48">
        <v>25545</v>
      </c>
      <c r="AB88" s="36"/>
      <c r="AC88" s="204">
        <f t="shared" si="102"/>
        <v>0</v>
      </c>
      <c r="AD88" s="152">
        <v>0.11</v>
      </c>
      <c r="AE88" s="31">
        <f t="shared" si="103"/>
        <v>4150</v>
      </c>
      <c r="AF88" s="28">
        <f t="shared" si="96"/>
        <v>0.19867521367521368</v>
      </c>
      <c r="AG88" s="34">
        <f t="shared" si="97"/>
        <v>9298.0300000000007</v>
      </c>
      <c r="AH88" s="34">
        <f t="shared" si="98"/>
        <v>1531.9518799999996</v>
      </c>
      <c r="AI88" s="34">
        <f t="shared" si="99"/>
        <v>13787.566919999997</v>
      </c>
      <c r="AJ88" s="46">
        <f t="shared" si="100"/>
        <v>-14311.933080000006</v>
      </c>
      <c r="AK88" s="40">
        <v>89.7</v>
      </c>
      <c r="AL88" s="41">
        <f t="shared" si="101"/>
        <v>115.53360000000001</v>
      </c>
      <c r="AM88" s="36">
        <v>36176</v>
      </c>
      <c r="AN88" s="284">
        <v>63</v>
      </c>
      <c r="AO88" s="26"/>
      <c r="AP88" s="26"/>
      <c r="AQ88" s="27"/>
      <c r="AR88" s="27"/>
      <c r="AS88" s="27"/>
      <c r="AT88" s="27"/>
      <c r="AU88" s="27"/>
      <c r="AV88" s="27"/>
      <c r="AW88" s="26"/>
      <c r="AX88" s="26"/>
      <c r="AY88" s="26"/>
      <c r="AZ88" s="26"/>
      <c r="BA88" s="26"/>
      <c r="BB88" s="26"/>
      <c r="BC88" s="26"/>
      <c r="BD88" s="26"/>
      <c r="BE88" s="26"/>
      <c r="BF88" s="26"/>
      <c r="BG88" s="26"/>
      <c r="BH88" s="26"/>
      <c r="BI88" s="26"/>
    </row>
    <row r="89" spans="1:61" ht="28.5" customHeight="1">
      <c r="A89" s="26"/>
      <c r="B89" s="323"/>
      <c r="C89" s="42" t="s">
        <v>32</v>
      </c>
      <c r="D89" s="28">
        <f t="shared" si="85"/>
        <v>4.5799749163879522E-2</v>
      </c>
      <c r="E89" s="201">
        <v>0.41</v>
      </c>
      <c r="F89" s="30">
        <f t="shared" si="86"/>
        <v>0.36420025083612045</v>
      </c>
      <c r="G89" s="30">
        <f t="shared" si="87"/>
        <v>2.2222222222222223E-2</v>
      </c>
      <c r="H89" s="33"/>
      <c r="I89" s="48"/>
      <c r="J89" s="48"/>
      <c r="K89" s="48"/>
      <c r="L89" s="334"/>
      <c r="M89" s="48"/>
      <c r="N89" s="36"/>
      <c r="O89" s="36">
        <v>4</v>
      </c>
      <c r="P89" s="31">
        <f t="shared" si="88"/>
        <v>4</v>
      </c>
      <c r="Q89" s="36">
        <v>0</v>
      </c>
      <c r="R89" s="167">
        <v>3</v>
      </c>
      <c r="S89" s="36"/>
      <c r="T89" s="34">
        <f t="shared" si="89"/>
        <v>239200</v>
      </c>
      <c r="U89" s="31">
        <f t="shared" si="90"/>
        <v>0</v>
      </c>
      <c r="V89" s="34">
        <f t="shared" si="91"/>
        <v>239200</v>
      </c>
      <c r="W89" s="43">
        <v>59800</v>
      </c>
      <c r="X89" s="34">
        <f t="shared" si="92"/>
        <v>21143.807999999997</v>
      </c>
      <c r="Y89" s="34">
        <f t="shared" si="93"/>
        <v>84575.231999999989</v>
      </c>
      <c r="Z89" s="34">
        <f t="shared" si="94"/>
        <v>87116.700000000012</v>
      </c>
      <c r="AA89" s="48">
        <v>79197</v>
      </c>
      <c r="AB89" s="36"/>
      <c r="AC89" s="204">
        <f t="shared" si="102"/>
        <v>0</v>
      </c>
      <c r="AD89" s="152">
        <v>0.108</v>
      </c>
      <c r="AE89" s="31">
        <f t="shared" ref="AE89:AE90" si="104">4825*(P89+S89)</f>
        <v>19300</v>
      </c>
      <c r="AF89" s="28">
        <f t="shared" si="96"/>
        <v>0.188685618729097</v>
      </c>
      <c r="AG89" s="34">
        <f t="shared" si="97"/>
        <v>45133.630000000005</v>
      </c>
      <c r="AH89" s="34">
        <f t="shared" si="98"/>
        <v>10949.113799999999</v>
      </c>
      <c r="AI89" s="34">
        <f t="shared" si="99"/>
        <v>98542.024200000014</v>
      </c>
      <c r="AJ89" s="46">
        <f t="shared" si="100"/>
        <v>11425.324200000003</v>
      </c>
      <c r="AK89" s="40">
        <v>85.5</v>
      </c>
      <c r="AL89" s="41">
        <f t="shared" si="101"/>
        <v>110.124</v>
      </c>
      <c r="AM89" s="36">
        <v>20796</v>
      </c>
      <c r="AN89" s="284">
        <v>135</v>
      </c>
      <c r="AO89" s="26"/>
      <c r="AP89" s="26"/>
      <c r="AQ89" s="27"/>
      <c r="AR89" s="27"/>
      <c r="AS89" s="27"/>
      <c r="AT89" s="27"/>
      <c r="AU89" s="27"/>
      <c r="AV89" s="27"/>
      <c r="AW89" s="26"/>
      <c r="AX89" s="26"/>
      <c r="AY89" s="26"/>
      <c r="AZ89" s="26"/>
      <c r="BA89" s="26"/>
      <c r="BB89" s="26"/>
      <c r="BC89" s="26"/>
      <c r="BD89" s="26"/>
      <c r="BE89" s="26"/>
      <c r="BF89" s="26"/>
      <c r="BG89" s="26"/>
      <c r="BH89" s="26"/>
      <c r="BI89" s="26"/>
    </row>
    <row r="90" spans="1:61" ht="28.5" customHeight="1">
      <c r="A90" s="26"/>
      <c r="B90" s="333"/>
      <c r="C90" s="42" t="s">
        <v>33</v>
      </c>
      <c r="D90" s="28">
        <f t="shared" si="85"/>
        <v>0.15722582031809718</v>
      </c>
      <c r="E90" s="201">
        <v>0.40100000000000002</v>
      </c>
      <c r="F90" s="30">
        <f t="shared" si="86"/>
        <v>0.24377417968190285</v>
      </c>
      <c r="G90" s="30">
        <f t="shared" si="87"/>
        <v>4.4715447154471545E-2</v>
      </c>
      <c r="H90" s="48"/>
      <c r="I90" s="48"/>
      <c r="J90" s="48"/>
      <c r="K90" s="48"/>
      <c r="L90" s="310"/>
      <c r="M90" s="48"/>
      <c r="N90" s="36"/>
      <c r="O90" s="36">
        <v>11</v>
      </c>
      <c r="P90" s="31">
        <f t="shared" si="88"/>
        <v>11</v>
      </c>
      <c r="Q90" s="36">
        <v>5</v>
      </c>
      <c r="R90" s="167">
        <v>11</v>
      </c>
      <c r="S90" s="36"/>
      <c r="T90" s="34">
        <f t="shared" si="89"/>
        <v>767690</v>
      </c>
      <c r="U90" s="31">
        <f t="shared" si="90"/>
        <v>0</v>
      </c>
      <c r="V90" s="34">
        <f t="shared" si="91"/>
        <v>767690</v>
      </c>
      <c r="W90" s="43">
        <v>69790</v>
      </c>
      <c r="X90" s="34">
        <f t="shared" si="92"/>
        <v>26337.023999999998</v>
      </c>
      <c r="Y90" s="34">
        <f t="shared" si="93"/>
        <v>289707.26399999997</v>
      </c>
      <c r="Z90" s="34">
        <f t="shared" si="94"/>
        <v>175593</v>
      </c>
      <c r="AA90" s="48">
        <v>159630</v>
      </c>
      <c r="AB90" s="36"/>
      <c r="AC90" s="204">
        <f t="shared" si="102"/>
        <v>11550</v>
      </c>
      <c r="AD90" s="152">
        <v>0.108</v>
      </c>
      <c r="AE90" s="31">
        <f t="shared" si="104"/>
        <v>53075</v>
      </c>
      <c r="AF90" s="28">
        <f t="shared" si="96"/>
        <v>0.17713597936667144</v>
      </c>
      <c r="AG90" s="34">
        <f t="shared" si="97"/>
        <v>135985.54999999999</v>
      </c>
      <c r="AH90" s="34">
        <f t="shared" si="98"/>
        <v>34199.7186</v>
      </c>
      <c r="AI90" s="34">
        <f t="shared" si="99"/>
        <v>307797.46740000002</v>
      </c>
      <c r="AJ90" s="46">
        <f t="shared" si="100"/>
        <v>132204.46740000002</v>
      </c>
      <c r="AK90" s="40">
        <v>106.5</v>
      </c>
      <c r="AL90" s="41">
        <f t="shared" si="101"/>
        <v>137.172</v>
      </c>
      <c r="AM90" s="36">
        <v>41097</v>
      </c>
      <c r="AN90" s="284">
        <v>246</v>
      </c>
      <c r="AO90" s="26"/>
      <c r="AP90" s="26"/>
      <c r="AQ90" s="27"/>
      <c r="AR90" s="27"/>
      <c r="AS90" s="27"/>
      <c r="AT90" s="27"/>
      <c r="AU90" s="27"/>
      <c r="AV90" s="27"/>
      <c r="AW90" s="26"/>
      <c r="AX90" s="26"/>
      <c r="AY90" s="26"/>
      <c r="AZ90" s="26"/>
      <c r="BA90" s="26"/>
      <c r="BB90" s="26"/>
      <c r="BC90" s="26"/>
      <c r="BD90" s="26"/>
      <c r="BE90" s="26"/>
      <c r="BF90" s="26"/>
      <c r="BG90" s="26"/>
      <c r="BH90" s="26"/>
      <c r="BI90" s="26"/>
    </row>
    <row r="91" spans="1:61" ht="28.5" customHeight="1">
      <c r="A91" s="26"/>
      <c r="B91" s="333"/>
      <c r="C91" s="42" t="s">
        <v>149</v>
      </c>
      <c r="D91" s="28">
        <f t="shared" si="85"/>
        <v>0.16216799393249909</v>
      </c>
      <c r="E91" s="201">
        <v>0.40100000000000002</v>
      </c>
      <c r="F91" s="30">
        <f t="shared" si="86"/>
        <v>0.23883200606750093</v>
      </c>
      <c r="G91" s="30">
        <f t="shared" si="87"/>
        <v>8.5106382978723402E-2</v>
      </c>
      <c r="H91" s="48"/>
      <c r="I91" s="48"/>
      <c r="J91" s="48"/>
      <c r="K91" s="48"/>
      <c r="L91" s="334"/>
      <c r="M91" s="48"/>
      <c r="N91" s="36"/>
      <c r="O91" s="36">
        <v>3</v>
      </c>
      <c r="P91" s="31">
        <f t="shared" si="88"/>
        <v>3</v>
      </c>
      <c r="Q91" s="36">
        <v>1</v>
      </c>
      <c r="R91" s="167">
        <v>4</v>
      </c>
      <c r="S91" s="36"/>
      <c r="T91" s="34">
        <f t="shared" si="89"/>
        <v>290070</v>
      </c>
      <c r="U91" s="31">
        <f t="shared" si="90"/>
        <v>0</v>
      </c>
      <c r="V91" s="34">
        <f t="shared" si="91"/>
        <v>290070</v>
      </c>
      <c r="W91" s="43">
        <v>96690</v>
      </c>
      <c r="X91" s="34">
        <f t="shared" si="92"/>
        <v>36723.455999999998</v>
      </c>
      <c r="Y91" s="34">
        <f t="shared" si="93"/>
        <v>110170.36799999999</v>
      </c>
      <c r="Z91" s="34">
        <f t="shared" si="94"/>
        <v>66968</v>
      </c>
      <c r="AA91" s="48">
        <v>60880</v>
      </c>
      <c r="AB91" s="36"/>
      <c r="AC91" s="204">
        <f t="shared" si="102"/>
        <v>2310</v>
      </c>
      <c r="AD91" s="152">
        <v>0.108</v>
      </c>
      <c r="AE91" s="31">
        <f t="shared" ref="AE91:AE92" si="105">6200*(P91+S91)</f>
        <v>18600</v>
      </c>
      <c r="AF91" s="28">
        <f t="shared" si="96"/>
        <v>0.17212245320095149</v>
      </c>
      <c r="AG91" s="34">
        <f t="shared" si="97"/>
        <v>49927.59</v>
      </c>
      <c r="AH91" s="34">
        <f t="shared" si="98"/>
        <v>12997.2042</v>
      </c>
      <c r="AI91" s="34">
        <f t="shared" si="99"/>
        <v>116974.83780000001</v>
      </c>
      <c r="AJ91" s="46">
        <f t="shared" si="100"/>
        <v>50006.837800000008</v>
      </c>
      <c r="AK91" s="40">
        <v>148.5</v>
      </c>
      <c r="AL91" s="41">
        <f t="shared" si="101"/>
        <v>191.268</v>
      </c>
      <c r="AM91" s="36">
        <v>6208</v>
      </c>
      <c r="AN91" s="284">
        <v>47</v>
      </c>
      <c r="AO91" s="26"/>
      <c r="AP91" s="26"/>
      <c r="AQ91" s="27"/>
      <c r="AR91" s="27"/>
      <c r="AS91" s="27"/>
      <c r="AT91" s="27"/>
      <c r="AU91" s="27"/>
      <c r="AV91" s="27"/>
      <c r="AW91" s="26"/>
      <c r="AX91" s="26"/>
      <c r="AY91" s="26"/>
      <c r="AZ91" s="26"/>
      <c r="BA91" s="26"/>
      <c r="BB91" s="26"/>
      <c r="BC91" s="26"/>
      <c r="BD91" s="26"/>
      <c r="BE91" s="26"/>
      <c r="BF91" s="26"/>
      <c r="BG91" s="26"/>
      <c r="BH91" s="26"/>
      <c r="BI91" s="26"/>
    </row>
    <row r="92" spans="1:61" ht="28.5" customHeight="1">
      <c r="A92" s="26"/>
      <c r="B92" s="324"/>
      <c r="C92" s="42" t="s">
        <v>150</v>
      </c>
      <c r="D92" s="28">
        <f t="shared" si="85"/>
        <v>6.3623012160898051E-2</v>
      </c>
      <c r="E92" s="201">
        <v>0.39600000000000002</v>
      </c>
      <c r="F92" s="30">
        <f t="shared" si="86"/>
        <v>0.33237698783910197</v>
      </c>
      <c r="G92" s="30">
        <f t="shared" si="87"/>
        <v>5.0632911392405063E-2</v>
      </c>
      <c r="H92" s="48"/>
      <c r="I92" s="283"/>
      <c r="J92" s="48"/>
      <c r="K92" s="48"/>
      <c r="L92" s="310"/>
      <c r="M92" s="48"/>
      <c r="N92" s="36"/>
      <c r="O92" s="36">
        <v>3</v>
      </c>
      <c r="P92" s="31">
        <f t="shared" si="88"/>
        <v>3</v>
      </c>
      <c r="Q92" s="36">
        <v>2</v>
      </c>
      <c r="R92" s="167">
        <v>4</v>
      </c>
      <c r="S92" s="36"/>
      <c r="T92" s="34">
        <f t="shared" si="89"/>
        <v>320700</v>
      </c>
      <c r="U92" s="31">
        <f t="shared" si="90"/>
        <v>0</v>
      </c>
      <c r="V92" s="34">
        <f t="shared" si="91"/>
        <v>320700</v>
      </c>
      <c r="W92" s="43">
        <v>106900</v>
      </c>
      <c r="X92" s="34">
        <f t="shared" si="92"/>
        <v>41916.671999999999</v>
      </c>
      <c r="Y92" s="34">
        <f t="shared" si="93"/>
        <v>125750.016</v>
      </c>
      <c r="Z92" s="34">
        <f t="shared" si="94"/>
        <v>101973.3</v>
      </c>
      <c r="AA92" s="48">
        <v>92703</v>
      </c>
      <c r="AB92" s="36"/>
      <c r="AC92" s="204">
        <f t="shared" si="102"/>
        <v>4620</v>
      </c>
      <c r="AD92" s="152">
        <v>0.108</v>
      </c>
      <c r="AE92" s="31">
        <f t="shared" si="105"/>
        <v>18600</v>
      </c>
      <c r="AF92" s="28">
        <f t="shared" si="96"/>
        <v>0.16599812909260991</v>
      </c>
      <c r="AG92" s="34">
        <f t="shared" si="97"/>
        <v>53235.63</v>
      </c>
      <c r="AH92" s="34">
        <f t="shared" si="98"/>
        <v>14171.435399999998</v>
      </c>
      <c r="AI92" s="34">
        <f t="shared" si="99"/>
        <v>127542.9186</v>
      </c>
      <c r="AJ92" s="46">
        <f t="shared" si="100"/>
        <v>25569.618600000002</v>
      </c>
      <c r="AK92" s="40">
        <v>169.5</v>
      </c>
      <c r="AL92" s="41">
        <f t="shared" si="101"/>
        <v>218.316</v>
      </c>
      <c r="AM92" s="36">
        <v>11227</v>
      </c>
      <c r="AN92" s="284">
        <v>79</v>
      </c>
      <c r="AO92" s="26"/>
      <c r="AP92" s="26"/>
      <c r="AQ92" s="27"/>
      <c r="AR92" s="27"/>
      <c r="AS92" s="27"/>
      <c r="AT92" s="27"/>
      <c r="AU92" s="27"/>
      <c r="AV92" s="27"/>
      <c r="AW92" s="26"/>
      <c r="AX92" s="26"/>
      <c r="AY92" s="26"/>
      <c r="AZ92" s="26"/>
      <c r="BA92" s="26"/>
      <c r="BB92" s="26"/>
      <c r="BC92" s="26"/>
      <c r="BD92" s="26"/>
      <c r="BE92" s="26"/>
      <c r="BF92" s="26"/>
      <c r="BG92" s="26"/>
      <c r="BH92" s="26"/>
      <c r="BI92" s="26"/>
    </row>
    <row r="93" spans="1:61" ht="28.5" customHeight="1">
      <c r="A93" s="26"/>
      <c r="B93" s="200" t="s">
        <v>156</v>
      </c>
      <c r="C93" s="42" t="s">
        <v>111</v>
      </c>
      <c r="D93" s="28">
        <f t="shared" si="85"/>
        <v>-0.45892307692307699</v>
      </c>
      <c r="E93" s="201">
        <v>0.378</v>
      </c>
      <c r="F93" s="30">
        <f t="shared" si="86"/>
        <v>0.83692307692307699</v>
      </c>
      <c r="G93" s="30">
        <f t="shared" si="87"/>
        <v>1.4084507042253521E-2</v>
      </c>
      <c r="H93" s="48"/>
      <c r="I93" s="48"/>
      <c r="J93" s="48"/>
      <c r="K93" s="210"/>
      <c r="L93" s="210"/>
      <c r="M93" s="210"/>
      <c r="N93" s="36"/>
      <c r="O93" s="36">
        <v>2</v>
      </c>
      <c r="P93" s="31">
        <f t="shared" si="88"/>
        <v>2</v>
      </c>
      <c r="Q93" s="36">
        <v>0</v>
      </c>
      <c r="R93" s="167">
        <v>1</v>
      </c>
      <c r="S93" s="36"/>
      <c r="T93" s="34">
        <f t="shared" si="89"/>
        <v>34320</v>
      </c>
      <c r="U93" s="31">
        <f t="shared" si="90"/>
        <v>0</v>
      </c>
      <c r="V93" s="34">
        <f t="shared" si="91"/>
        <v>34320</v>
      </c>
      <c r="W93" s="43">
        <v>17160</v>
      </c>
      <c r="X93" s="34">
        <f t="shared" si="92"/>
        <v>5687.8080000000009</v>
      </c>
      <c r="Y93" s="34">
        <f t="shared" si="93"/>
        <v>11375.616000000002</v>
      </c>
      <c r="Z93" s="34">
        <f t="shared" si="94"/>
        <v>28723.200000000001</v>
      </c>
      <c r="AA93" s="48">
        <v>26112</v>
      </c>
      <c r="AB93" s="36"/>
      <c r="AC93" s="204">
        <f t="shared" si="102"/>
        <v>0</v>
      </c>
      <c r="AD93" s="152">
        <v>7.8E-2</v>
      </c>
      <c r="AE93" s="31">
        <f>2900*(P93+S93)</f>
        <v>5800</v>
      </c>
      <c r="AF93" s="28">
        <f t="shared" si="96"/>
        <v>0.24699766899766901</v>
      </c>
      <c r="AG93" s="34">
        <f t="shared" si="97"/>
        <v>8476.9900000000016</v>
      </c>
      <c r="AH93" s="34">
        <f t="shared" si="98"/>
        <v>1446.7393999999995</v>
      </c>
      <c r="AI93" s="34">
        <f t="shared" si="99"/>
        <v>13020.654599999998</v>
      </c>
      <c r="AJ93" s="46">
        <f t="shared" si="100"/>
        <v>-15702.545400000003</v>
      </c>
      <c r="AK93" s="40">
        <v>23</v>
      </c>
      <c r="AL93" s="41">
        <f t="shared" si="101"/>
        <v>29.624000000000002</v>
      </c>
      <c r="AM93" s="36">
        <v>25567</v>
      </c>
      <c r="AN93" s="284">
        <v>71</v>
      </c>
      <c r="AO93" s="26"/>
      <c r="AP93" s="26"/>
      <c r="AQ93" s="27"/>
      <c r="AR93" s="27"/>
      <c r="AS93" s="27"/>
      <c r="AT93" s="27"/>
      <c r="AU93" s="27"/>
      <c r="AV93" s="27"/>
      <c r="AW93" s="26"/>
      <c r="AX93" s="26"/>
      <c r="AY93" s="26"/>
      <c r="AZ93" s="26"/>
      <c r="BA93" s="26"/>
      <c r="BB93" s="26"/>
      <c r="BC93" s="26"/>
      <c r="BD93" s="26"/>
      <c r="BE93" s="26"/>
      <c r="BF93" s="26"/>
      <c r="BG93" s="26"/>
      <c r="BH93" s="26"/>
      <c r="BI93" s="26"/>
    </row>
    <row r="94" spans="1:61" ht="28.5" customHeight="1">
      <c r="A94" s="26"/>
      <c r="B94" s="207" t="s">
        <v>157</v>
      </c>
      <c r="C94" s="42" t="s">
        <v>151</v>
      </c>
      <c r="D94" s="28">
        <f t="shared" si="85"/>
        <v>-7.7867724867724863E-2</v>
      </c>
      <c r="E94" s="201">
        <v>0.27700000000000002</v>
      </c>
      <c r="F94" s="30">
        <f t="shared" si="86"/>
        <v>0.35486772486772489</v>
      </c>
      <c r="G94" s="30">
        <f t="shared" si="87"/>
        <v>0.10852713178294573</v>
      </c>
      <c r="H94" s="48"/>
      <c r="I94" s="48"/>
      <c r="J94" s="48"/>
      <c r="K94" s="210"/>
      <c r="L94" s="335"/>
      <c r="M94" s="210"/>
      <c r="N94" s="36"/>
      <c r="O94" s="36">
        <v>21</v>
      </c>
      <c r="P94" s="31">
        <f t="shared" si="88"/>
        <v>21</v>
      </c>
      <c r="Q94" s="36">
        <v>2</v>
      </c>
      <c r="R94" s="167">
        <v>14</v>
      </c>
      <c r="S94" s="36"/>
      <c r="T94" s="34">
        <f t="shared" si="89"/>
        <v>207900</v>
      </c>
      <c r="U94" s="31">
        <f t="shared" si="90"/>
        <v>0</v>
      </c>
      <c r="V94" s="34">
        <f t="shared" si="91"/>
        <v>207900</v>
      </c>
      <c r="W94" s="43">
        <v>9900</v>
      </c>
      <c r="X94" s="34">
        <f t="shared" si="92"/>
        <v>3462.1440000000002</v>
      </c>
      <c r="Y94" s="34">
        <f t="shared" si="93"/>
        <v>72705.024000000005</v>
      </c>
      <c r="Z94" s="34">
        <f t="shared" si="94"/>
        <v>69157</v>
      </c>
      <c r="AA94" s="48">
        <v>62870</v>
      </c>
      <c r="AB94" s="36"/>
      <c r="AC94" s="204">
        <f t="shared" si="102"/>
        <v>4620</v>
      </c>
      <c r="AD94" s="152">
        <v>0.1</v>
      </c>
      <c r="AE94" s="31">
        <f>3275*(P94+S94)</f>
        <v>68775</v>
      </c>
      <c r="AF94" s="28">
        <f t="shared" si="96"/>
        <v>0.43080808080808086</v>
      </c>
      <c r="AG94" s="34">
        <f t="shared" si="97"/>
        <v>89565.030000000013</v>
      </c>
      <c r="AH94" s="34">
        <f t="shared" si="98"/>
        <v>4562.9945999999982</v>
      </c>
      <c r="AI94" s="34">
        <f t="shared" si="99"/>
        <v>41066.951399999991</v>
      </c>
      <c r="AJ94" s="46">
        <f t="shared" si="100"/>
        <v>-28090.048600000009</v>
      </c>
      <c r="AK94" s="40">
        <v>14</v>
      </c>
      <c r="AL94" s="41">
        <f t="shared" si="101"/>
        <v>18.032</v>
      </c>
      <c r="AM94" s="202">
        <v>50655</v>
      </c>
      <c r="AN94" s="205">
        <v>129</v>
      </c>
      <c r="AO94" s="26"/>
      <c r="AP94" s="26"/>
      <c r="AQ94" s="27"/>
      <c r="AR94" s="27"/>
      <c r="AS94" s="27"/>
      <c r="AT94" s="27"/>
      <c r="AU94" s="27"/>
      <c r="AV94" s="27"/>
      <c r="AW94" s="26"/>
      <c r="AX94" s="26"/>
      <c r="AY94" s="26"/>
      <c r="AZ94" s="26"/>
      <c r="BA94" s="26"/>
      <c r="BB94" s="26"/>
      <c r="BC94" s="26"/>
      <c r="BD94" s="26"/>
      <c r="BE94" s="26"/>
      <c r="BF94" s="26"/>
      <c r="BG94" s="26"/>
      <c r="BH94" s="26"/>
      <c r="BI94" s="26"/>
    </row>
    <row r="95" spans="1:61" ht="28.5" customHeight="1">
      <c r="A95" s="26"/>
      <c r="B95" s="212"/>
      <c r="C95" s="42" t="s">
        <v>152</v>
      </c>
      <c r="D95" s="28">
        <f t="shared" si="85"/>
        <v>-7.456084656084655E-2</v>
      </c>
      <c r="E95" s="201">
        <v>0.34200000000000003</v>
      </c>
      <c r="F95" s="30">
        <f t="shared" si="86"/>
        <v>0.41656084656084658</v>
      </c>
      <c r="G95" s="30">
        <f t="shared" si="87"/>
        <v>6.9148936170212769E-2</v>
      </c>
      <c r="H95" s="48"/>
      <c r="I95" s="48"/>
      <c r="J95" s="48"/>
      <c r="K95" s="210"/>
      <c r="L95" s="310"/>
      <c r="M95" s="210"/>
      <c r="N95" s="36"/>
      <c r="O95" s="36">
        <v>11</v>
      </c>
      <c r="P95" s="31">
        <f t="shared" si="88"/>
        <v>11</v>
      </c>
      <c r="Q95" s="36">
        <v>2</v>
      </c>
      <c r="R95" s="167">
        <v>13</v>
      </c>
      <c r="S95" s="36"/>
      <c r="T95" s="34">
        <f t="shared" si="89"/>
        <v>207900</v>
      </c>
      <c r="U95" s="31">
        <f t="shared" si="90"/>
        <v>0</v>
      </c>
      <c r="V95" s="34">
        <f t="shared" si="91"/>
        <v>207900</v>
      </c>
      <c r="W95" s="43">
        <v>18900</v>
      </c>
      <c r="X95" s="34">
        <f t="shared" si="92"/>
        <v>6924.2880000000005</v>
      </c>
      <c r="Y95" s="34">
        <f t="shared" si="93"/>
        <v>76167.168000000005</v>
      </c>
      <c r="Z95" s="34">
        <f t="shared" si="94"/>
        <v>81983</v>
      </c>
      <c r="AA95" s="48">
        <v>74530</v>
      </c>
      <c r="AB95" s="36"/>
      <c r="AC95" s="204">
        <f t="shared" si="102"/>
        <v>4620</v>
      </c>
      <c r="AD95" s="152">
        <v>0.1</v>
      </c>
      <c r="AE95" s="31">
        <f>3425*(P95+S95)</f>
        <v>37675</v>
      </c>
      <c r="AF95" s="28">
        <f t="shared" si="96"/>
        <v>0.28121693121693125</v>
      </c>
      <c r="AG95" s="34">
        <f t="shared" si="97"/>
        <v>58465.030000000006</v>
      </c>
      <c r="AH95" s="34">
        <f t="shared" si="98"/>
        <v>7326.7801999999992</v>
      </c>
      <c r="AI95" s="34">
        <f t="shared" si="99"/>
        <v>65941.021799999988</v>
      </c>
      <c r="AJ95" s="46">
        <f t="shared" si="100"/>
        <v>-16041.978200000012</v>
      </c>
      <c r="AK95" s="40">
        <v>28</v>
      </c>
      <c r="AL95" s="41">
        <f t="shared" si="101"/>
        <v>36.064</v>
      </c>
      <c r="AM95" s="202">
        <v>54484</v>
      </c>
      <c r="AN95" s="205">
        <v>188</v>
      </c>
      <c r="AO95" s="26"/>
      <c r="AP95" s="26"/>
      <c r="AQ95" s="27"/>
      <c r="AR95" s="27"/>
      <c r="AS95" s="27"/>
      <c r="AT95" s="27"/>
      <c r="AU95" s="27"/>
      <c r="AV95" s="27"/>
      <c r="AW95" s="26"/>
      <c r="AX95" s="26"/>
      <c r="AY95" s="26"/>
      <c r="AZ95" s="26"/>
      <c r="BA95" s="26"/>
      <c r="BB95" s="26"/>
      <c r="BC95" s="26"/>
      <c r="BD95" s="26"/>
      <c r="BE95" s="26"/>
      <c r="BF95" s="26"/>
      <c r="BG95" s="26"/>
      <c r="BH95" s="26"/>
      <c r="BI95" s="26"/>
    </row>
    <row r="96" spans="1:61" ht="28.5" customHeight="1">
      <c r="A96" s="295"/>
      <c r="B96" s="296"/>
      <c r="C96" s="42" t="s">
        <v>153</v>
      </c>
      <c r="D96" s="28">
        <f t="shared" si="85"/>
        <v>0.35</v>
      </c>
      <c r="E96" s="201">
        <v>0.35</v>
      </c>
      <c r="F96" s="30">
        <f t="shared" si="86"/>
        <v>0</v>
      </c>
      <c r="G96" s="30" t="e">
        <f t="shared" si="87"/>
        <v>#DIV/0!</v>
      </c>
      <c r="H96" s="48"/>
      <c r="I96" s="48"/>
      <c r="J96" s="48"/>
      <c r="K96" s="26"/>
      <c r="L96" s="26"/>
      <c r="M96" s="210"/>
      <c r="N96" s="36"/>
      <c r="O96" s="36">
        <v>2</v>
      </c>
      <c r="P96" s="31">
        <f t="shared" si="88"/>
        <v>2</v>
      </c>
      <c r="Q96" s="36">
        <v>0</v>
      </c>
      <c r="R96" s="167">
        <v>0</v>
      </c>
      <c r="S96" s="36"/>
      <c r="T96" s="34">
        <f t="shared" si="89"/>
        <v>52020</v>
      </c>
      <c r="U96" s="31">
        <f t="shared" si="90"/>
        <v>0</v>
      </c>
      <c r="V96" s="34">
        <f t="shared" si="91"/>
        <v>52020</v>
      </c>
      <c r="W96" s="43">
        <v>26010</v>
      </c>
      <c r="X96" s="34">
        <f t="shared" si="92"/>
        <v>10386.432000000001</v>
      </c>
      <c r="Y96" s="34">
        <f t="shared" si="93"/>
        <v>20772.864000000001</v>
      </c>
      <c r="Z96" s="34">
        <f t="shared" si="94"/>
        <v>0</v>
      </c>
      <c r="AA96" s="48">
        <v>0</v>
      </c>
      <c r="AB96" s="36"/>
      <c r="AC96" s="204">
        <f t="shared" si="102"/>
        <v>0</v>
      </c>
      <c r="AD96" s="152">
        <v>0.1</v>
      </c>
      <c r="AE96" s="31">
        <f>5925*(P96+S96)</f>
        <v>11850</v>
      </c>
      <c r="AF96" s="28">
        <f t="shared" si="96"/>
        <v>0.32779700115340255</v>
      </c>
      <c r="AG96" s="34">
        <f t="shared" si="97"/>
        <v>17052.03</v>
      </c>
      <c r="AH96" s="34">
        <f t="shared" si="98"/>
        <v>1419.5105999999996</v>
      </c>
      <c r="AI96" s="34">
        <f t="shared" si="99"/>
        <v>12775.595399999998</v>
      </c>
      <c r="AJ96" s="46">
        <f t="shared" si="100"/>
        <v>12775.595399999998</v>
      </c>
      <c r="AK96" s="40">
        <v>42</v>
      </c>
      <c r="AL96" s="41">
        <f t="shared" si="101"/>
        <v>54.096000000000004</v>
      </c>
      <c r="AM96" s="36">
        <v>0</v>
      </c>
      <c r="AN96" s="284">
        <v>0</v>
      </c>
      <c r="AO96" s="26"/>
      <c r="AP96" s="26"/>
      <c r="AQ96" s="27"/>
      <c r="AR96" s="27"/>
      <c r="AS96" s="27"/>
      <c r="AT96" s="27"/>
      <c r="AU96" s="27"/>
      <c r="AV96" s="27"/>
      <c r="AW96" s="26"/>
      <c r="AX96" s="26"/>
      <c r="AY96" s="26"/>
      <c r="AZ96" s="26"/>
      <c r="BA96" s="26"/>
      <c r="BB96" s="26"/>
      <c r="BC96" s="26"/>
      <c r="BD96" s="26"/>
      <c r="BE96" s="26"/>
      <c r="BF96" s="26"/>
      <c r="BG96" s="26"/>
      <c r="BH96" s="26"/>
      <c r="BI96" s="26"/>
    </row>
    <row r="97" spans="1:61" ht="28.5" customHeight="1">
      <c r="A97" s="26"/>
      <c r="B97" s="323" t="s">
        <v>158</v>
      </c>
      <c r="C97" s="42" t="s">
        <v>112</v>
      </c>
      <c r="D97" s="28">
        <f t="shared" si="85"/>
        <v>-5.8230925850516424E-2</v>
      </c>
      <c r="E97" s="201">
        <v>0.38600000000000001</v>
      </c>
      <c r="F97" s="30">
        <f t="shared" si="86"/>
        <v>0.44423092585051643</v>
      </c>
      <c r="G97" s="30">
        <f t="shared" si="87"/>
        <v>3.7037037037037035E-2</v>
      </c>
      <c r="H97" s="334"/>
      <c r="I97" s="48"/>
      <c r="J97" s="48"/>
      <c r="K97" s="210"/>
      <c r="L97" s="335"/>
      <c r="M97" s="210"/>
      <c r="N97" s="36"/>
      <c r="O97" s="36">
        <v>7</v>
      </c>
      <c r="P97" s="31">
        <f t="shared" si="88"/>
        <v>7</v>
      </c>
      <c r="Q97" s="36">
        <v>4</v>
      </c>
      <c r="R97" s="167">
        <v>6</v>
      </c>
      <c r="S97" s="36"/>
      <c r="T97" s="34">
        <f t="shared" si="89"/>
        <v>270130</v>
      </c>
      <c r="U97" s="31">
        <f t="shared" si="90"/>
        <v>0</v>
      </c>
      <c r="V97" s="34">
        <f t="shared" si="91"/>
        <v>270130</v>
      </c>
      <c r="W97" s="43">
        <v>38590</v>
      </c>
      <c r="X97" s="34">
        <f t="shared" si="92"/>
        <v>15085.056</v>
      </c>
      <c r="Y97" s="34">
        <f t="shared" si="93"/>
        <v>105595.39200000001</v>
      </c>
      <c r="Z97" s="34">
        <f t="shared" si="94"/>
        <v>110760.1</v>
      </c>
      <c r="AA97" s="48">
        <v>100691</v>
      </c>
      <c r="AB97" s="36"/>
      <c r="AC97" s="204">
        <f t="shared" si="102"/>
        <v>9240</v>
      </c>
      <c r="AD97" s="152">
        <v>0.08</v>
      </c>
      <c r="AE97" s="31">
        <f t="shared" ref="AE97:AE98" si="106">4150*(P97+S97)</f>
        <v>29050</v>
      </c>
      <c r="AF97" s="28">
        <f t="shared" si="96"/>
        <v>0.18754081368230113</v>
      </c>
      <c r="AG97" s="34">
        <f t="shared" si="97"/>
        <v>50660.43</v>
      </c>
      <c r="AH97" s="34">
        <f t="shared" si="98"/>
        <v>11387.417799999997</v>
      </c>
      <c r="AI97" s="34">
        <f t="shared" si="99"/>
        <v>102486.76019999999</v>
      </c>
      <c r="AJ97" s="46">
        <f t="shared" si="100"/>
        <v>-8273.3398000000161</v>
      </c>
      <c r="AK97" s="40">
        <v>61</v>
      </c>
      <c r="AL97" s="41">
        <f t="shared" si="101"/>
        <v>78.567999999999998</v>
      </c>
      <c r="AM97" s="36">
        <v>35090</v>
      </c>
      <c r="AN97" s="284">
        <v>162</v>
      </c>
      <c r="AO97" s="26"/>
      <c r="AP97" s="26"/>
      <c r="AQ97" s="27"/>
      <c r="AR97" s="27"/>
      <c r="AS97" s="27"/>
      <c r="AT97" s="27"/>
      <c r="AU97" s="27"/>
      <c r="AV97" s="27"/>
      <c r="AW97" s="26"/>
      <c r="AX97" s="26"/>
      <c r="AY97" s="26"/>
      <c r="AZ97" s="26"/>
      <c r="BA97" s="26"/>
      <c r="BB97" s="26"/>
      <c r="BC97" s="26"/>
      <c r="BD97" s="26"/>
      <c r="BE97" s="26"/>
      <c r="BF97" s="26"/>
      <c r="BG97" s="26"/>
      <c r="BH97" s="26"/>
      <c r="BI97" s="26"/>
    </row>
    <row r="98" spans="1:61" ht="28.5" customHeight="1">
      <c r="A98" s="26"/>
      <c r="B98" s="324"/>
      <c r="C98" s="42" t="s">
        <v>113</v>
      </c>
      <c r="D98" s="28">
        <f t="shared" si="85"/>
        <v>0.10379487179487176</v>
      </c>
      <c r="E98" s="201">
        <v>0.316</v>
      </c>
      <c r="F98" s="30">
        <f t="shared" si="86"/>
        <v>0.21220512820512824</v>
      </c>
      <c r="G98" s="30">
        <f t="shared" si="87"/>
        <v>3.5502958579881658E-2</v>
      </c>
      <c r="H98" s="310"/>
      <c r="I98" s="48"/>
      <c r="J98" s="48"/>
      <c r="K98" s="210"/>
      <c r="L98" s="310"/>
      <c r="M98" s="210"/>
      <c r="N98" s="36"/>
      <c r="O98" s="36">
        <v>10</v>
      </c>
      <c r="P98" s="31">
        <f t="shared" si="88"/>
        <v>10</v>
      </c>
      <c r="Q98" s="36">
        <v>0</v>
      </c>
      <c r="R98" s="167">
        <v>6</v>
      </c>
      <c r="S98" s="36"/>
      <c r="T98" s="34">
        <f t="shared" si="89"/>
        <v>429000</v>
      </c>
      <c r="U98" s="31">
        <f t="shared" si="90"/>
        <v>0</v>
      </c>
      <c r="V98" s="34">
        <f t="shared" si="91"/>
        <v>429000</v>
      </c>
      <c r="W98" s="43">
        <v>42900</v>
      </c>
      <c r="X98" s="34">
        <f t="shared" si="92"/>
        <v>20278.272000000004</v>
      </c>
      <c r="Y98" s="34">
        <f t="shared" si="93"/>
        <v>202782.72000000003</v>
      </c>
      <c r="Z98" s="34">
        <f t="shared" si="94"/>
        <v>91036.000000000015</v>
      </c>
      <c r="AA98" s="48">
        <v>82760</v>
      </c>
      <c r="AB98" s="36"/>
      <c r="AC98" s="204">
        <f t="shared" si="102"/>
        <v>0</v>
      </c>
      <c r="AD98" s="152">
        <v>7.8E-2</v>
      </c>
      <c r="AE98" s="31">
        <f t="shared" si="106"/>
        <v>41500</v>
      </c>
      <c r="AF98" s="28">
        <f t="shared" si="96"/>
        <v>0.17473659673659675</v>
      </c>
      <c r="AG98" s="34">
        <f t="shared" si="97"/>
        <v>74962.03</v>
      </c>
      <c r="AH98" s="34">
        <f t="shared" si="98"/>
        <v>15125.524999999998</v>
      </c>
      <c r="AI98" s="34">
        <f t="shared" si="99"/>
        <v>136129.72499999998</v>
      </c>
      <c r="AJ98" s="46">
        <f t="shared" si="100"/>
        <v>45093.724999999962</v>
      </c>
      <c r="AK98" s="40">
        <v>82</v>
      </c>
      <c r="AL98" s="41">
        <f t="shared" si="101"/>
        <v>105.61600000000001</v>
      </c>
      <c r="AM98" s="36">
        <v>105129</v>
      </c>
      <c r="AN98" s="284">
        <v>169</v>
      </c>
      <c r="AO98" s="26"/>
      <c r="AP98" s="26"/>
      <c r="AQ98" s="27"/>
      <c r="AR98" s="27"/>
      <c r="AS98" s="27"/>
      <c r="AT98" s="27"/>
      <c r="AU98" s="27"/>
      <c r="AV98" s="27"/>
      <c r="AW98" s="26"/>
      <c r="AX98" s="26"/>
      <c r="AY98" s="26"/>
      <c r="AZ98" s="26"/>
      <c r="BA98" s="26"/>
      <c r="BB98" s="26"/>
      <c r="BC98" s="26"/>
      <c r="BD98" s="26"/>
      <c r="BE98" s="26"/>
      <c r="BF98" s="26"/>
      <c r="BG98" s="26"/>
      <c r="BH98" s="26"/>
      <c r="BI98" s="26"/>
    </row>
    <row r="99" spans="1:61" ht="28.5" customHeight="1">
      <c r="A99" s="26"/>
      <c r="B99" s="200"/>
      <c r="C99" s="42" t="s">
        <v>154</v>
      </c>
      <c r="D99" s="28">
        <f t="shared" si="85"/>
        <v>-0.14466555601832576</v>
      </c>
      <c r="E99" s="201">
        <v>0.185</v>
      </c>
      <c r="F99" s="30">
        <f t="shared" si="86"/>
        <v>0.32966555601832576</v>
      </c>
      <c r="G99" s="30">
        <f t="shared" si="87"/>
        <v>0.11</v>
      </c>
      <c r="H99" s="48"/>
      <c r="I99" s="48"/>
      <c r="J99" s="48"/>
      <c r="K99" s="210"/>
      <c r="L99" s="210"/>
      <c r="M99" s="210"/>
      <c r="N99" s="36"/>
      <c r="O99" s="36">
        <v>49</v>
      </c>
      <c r="P99" s="31">
        <f t="shared" si="88"/>
        <v>49</v>
      </c>
      <c r="Q99" s="36">
        <v>7</v>
      </c>
      <c r="R99" s="167">
        <v>22</v>
      </c>
      <c r="S99" s="36"/>
      <c r="T99" s="34">
        <f t="shared" si="89"/>
        <v>480200</v>
      </c>
      <c r="U99" s="31">
        <f t="shared" si="90"/>
        <v>0</v>
      </c>
      <c r="V99" s="34">
        <f t="shared" si="91"/>
        <v>480200</v>
      </c>
      <c r="W99" s="43">
        <v>9800</v>
      </c>
      <c r="X99" s="34">
        <f t="shared" si="92"/>
        <v>4006.1952000000001</v>
      </c>
      <c r="Y99" s="34">
        <f t="shared" si="93"/>
        <v>196303.56479999999</v>
      </c>
      <c r="Z99" s="34">
        <f t="shared" si="94"/>
        <v>142135.40000000002</v>
      </c>
      <c r="AA99" s="48">
        <v>129214</v>
      </c>
      <c r="AB99" s="36"/>
      <c r="AC99" s="204">
        <f t="shared" si="102"/>
        <v>16170</v>
      </c>
      <c r="AD99" s="152">
        <v>0.108</v>
      </c>
      <c r="AE99" s="31">
        <f>2800*(P99+S99)</f>
        <v>137200</v>
      </c>
      <c r="AF99" s="28">
        <f t="shared" si="96"/>
        <v>0.39371428571428568</v>
      </c>
      <c r="AG99" s="34">
        <f t="shared" si="97"/>
        <v>189061.62999999998</v>
      </c>
      <c r="AH99" s="34">
        <f t="shared" si="98"/>
        <v>9483.4805200000046</v>
      </c>
      <c r="AI99" s="34">
        <f t="shared" si="99"/>
        <v>85351.324680000078</v>
      </c>
      <c r="AJ99" s="46">
        <f t="shared" si="100"/>
        <v>-56784.075319999945</v>
      </c>
      <c r="AK99" s="40">
        <v>16.2</v>
      </c>
      <c r="AL99" s="41">
        <f t="shared" si="101"/>
        <v>20.865600000000001</v>
      </c>
      <c r="AM99" s="36">
        <v>94822</v>
      </c>
      <c r="AN99" s="284">
        <v>200</v>
      </c>
      <c r="AO99" s="26"/>
      <c r="AP99" s="26"/>
      <c r="AQ99" s="27"/>
      <c r="AR99" s="27"/>
      <c r="AS99" s="27"/>
      <c r="AT99" s="27"/>
      <c r="AU99" s="27"/>
      <c r="AV99" s="27"/>
      <c r="AW99" s="26"/>
      <c r="AX99" s="26"/>
      <c r="AY99" s="26"/>
      <c r="AZ99" s="26"/>
      <c r="BA99" s="26"/>
      <c r="BB99" s="26"/>
      <c r="BC99" s="26"/>
      <c r="BD99" s="26"/>
      <c r="BE99" s="26"/>
      <c r="BF99" s="26"/>
      <c r="BG99" s="26"/>
      <c r="BH99" s="26"/>
      <c r="BI99" s="26"/>
    </row>
    <row r="100" spans="1:61" ht="28.5" customHeight="1">
      <c r="A100" s="26"/>
      <c r="B100" s="200"/>
      <c r="C100" s="42" t="s">
        <v>114</v>
      </c>
      <c r="D100" s="28">
        <f t="shared" si="85"/>
        <v>2.350831024930744E-2</v>
      </c>
      <c r="E100" s="201">
        <v>0.33</v>
      </c>
      <c r="F100" s="30">
        <f t="shared" si="86"/>
        <v>0.30649168975069258</v>
      </c>
      <c r="G100" s="30">
        <f t="shared" si="87"/>
        <v>8.943089430894309E-2</v>
      </c>
      <c r="H100" s="48"/>
      <c r="I100" s="48"/>
      <c r="J100" s="48"/>
      <c r="K100" s="210"/>
      <c r="L100" s="210"/>
      <c r="M100" s="210"/>
      <c r="N100" s="36"/>
      <c r="O100" s="36">
        <v>19</v>
      </c>
      <c r="P100" s="31">
        <f t="shared" si="88"/>
        <v>19</v>
      </c>
      <c r="Q100" s="36">
        <v>7</v>
      </c>
      <c r="R100" s="167">
        <v>11</v>
      </c>
      <c r="S100" s="36"/>
      <c r="T100" s="34">
        <f t="shared" si="89"/>
        <v>361000</v>
      </c>
      <c r="U100" s="31">
        <f t="shared" si="90"/>
        <v>0</v>
      </c>
      <c r="V100" s="34">
        <f t="shared" si="91"/>
        <v>361000</v>
      </c>
      <c r="W100" s="43">
        <v>19000</v>
      </c>
      <c r="X100" s="34">
        <f t="shared" si="92"/>
        <v>7122.1247999999996</v>
      </c>
      <c r="Y100" s="34">
        <f t="shared" si="93"/>
        <v>135320.37119999999</v>
      </c>
      <c r="Z100" s="34">
        <f t="shared" si="94"/>
        <v>94473.500000000015</v>
      </c>
      <c r="AA100" s="48">
        <v>85885</v>
      </c>
      <c r="AB100" s="36"/>
      <c r="AC100" s="204">
        <f t="shared" si="102"/>
        <v>16170</v>
      </c>
      <c r="AD100" s="152">
        <v>0.08</v>
      </c>
      <c r="AE100" s="31">
        <f>3350*(P100+S100)</f>
        <v>63650</v>
      </c>
      <c r="AF100" s="28">
        <f t="shared" si="96"/>
        <v>0.25631578947368422</v>
      </c>
      <c r="AG100" s="34">
        <f t="shared" si="97"/>
        <v>92530.03</v>
      </c>
      <c r="AH100" s="34">
        <f t="shared" si="98"/>
        <v>13314.959879999999</v>
      </c>
      <c r="AI100" s="34">
        <f t="shared" si="99"/>
        <v>119834.63892</v>
      </c>
      <c r="AJ100" s="46">
        <f t="shared" si="100"/>
        <v>25361.138919999983</v>
      </c>
      <c r="AK100" s="40">
        <v>28.8</v>
      </c>
      <c r="AL100" s="41">
        <f t="shared" si="101"/>
        <v>37.0944</v>
      </c>
      <c r="AM100" s="36">
        <v>61480</v>
      </c>
      <c r="AN100" s="284">
        <v>123</v>
      </c>
      <c r="AO100" s="26"/>
      <c r="AP100" s="26"/>
      <c r="AQ100" s="27"/>
      <c r="AR100" s="27"/>
      <c r="AS100" s="27"/>
      <c r="AT100" s="27"/>
      <c r="AU100" s="27"/>
      <c r="AV100" s="27"/>
      <c r="AW100" s="26"/>
      <c r="AX100" s="26"/>
      <c r="AY100" s="26"/>
      <c r="AZ100" s="26"/>
      <c r="BA100" s="26"/>
      <c r="BB100" s="26"/>
      <c r="BC100" s="26"/>
      <c r="BD100" s="26"/>
      <c r="BE100" s="26"/>
      <c r="BF100" s="26"/>
      <c r="BG100" s="26"/>
      <c r="BH100" s="26"/>
      <c r="BI100" s="26"/>
    </row>
    <row r="101" spans="1:61" ht="28.5" customHeight="1">
      <c r="A101" s="26"/>
      <c r="B101" s="326"/>
      <c r="C101" s="42" t="s">
        <v>115</v>
      </c>
      <c r="D101" s="28">
        <f t="shared" si="85"/>
        <v>0.23538284671532844</v>
      </c>
      <c r="E101" s="201">
        <v>0.437</v>
      </c>
      <c r="F101" s="30">
        <f t="shared" si="86"/>
        <v>0.20161715328467156</v>
      </c>
      <c r="G101" s="30">
        <f t="shared" si="87"/>
        <v>6.8965517241379309E-2</v>
      </c>
      <c r="H101" s="48"/>
      <c r="I101" s="48"/>
      <c r="J101" s="48"/>
      <c r="K101" s="210"/>
      <c r="L101" s="210"/>
      <c r="M101" s="210"/>
      <c r="N101" s="36"/>
      <c r="O101" s="36">
        <v>5</v>
      </c>
      <c r="P101" s="31">
        <f t="shared" si="88"/>
        <v>5</v>
      </c>
      <c r="Q101" s="36">
        <v>1</v>
      </c>
      <c r="R101" s="167">
        <v>4</v>
      </c>
      <c r="S101" s="36"/>
      <c r="T101" s="34">
        <f t="shared" si="89"/>
        <v>274000</v>
      </c>
      <c r="U101" s="31">
        <f t="shared" si="90"/>
        <v>0</v>
      </c>
      <c r="V101" s="34">
        <f t="shared" si="91"/>
        <v>274000</v>
      </c>
      <c r="W101" s="43">
        <v>54800</v>
      </c>
      <c r="X101" s="34">
        <f t="shared" si="92"/>
        <v>20030.976000000002</v>
      </c>
      <c r="Y101" s="34">
        <f t="shared" si="93"/>
        <v>100154.88</v>
      </c>
      <c r="Z101" s="34">
        <f t="shared" si="94"/>
        <v>52933.100000000006</v>
      </c>
      <c r="AA101" s="48">
        <v>48121</v>
      </c>
      <c r="AB101" s="36"/>
      <c r="AC101" s="204">
        <f t="shared" si="102"/>
        <v>2310</v>
      </c>
      <c r="AD101" s="152">
        <v>7.8E-2</v>
      </c>
      <c r="AE101" s="31">
        <f t="shared" ref="AE101:AE102" si="107">4825*(P101+S101)</f>
        <v>24125</v>
      </c>
      <c r="AF101" s="28">
        <f t="shared" si="96"/>
        <v>0.16604744525547444</v>
      </c>
      <c r="AG101" s="34">
        <f t="shared" si="97"/>
        <v>45497.029999999992</v>
      </c>
      <c r="AH101" s="34">
        <f t="shared" si="98"/>
        <v>12834.808999999999</v>
      </c>
      <c r="AI101" s="34">
        <f t="shared" si="99"/>
        <v>115513.28099999999</v>
      </c>
      <c r="AJ101" s="46">
        <f t="shared" si="100"/>
        <v>62580.180999999982</v>
      </c>
      <c r="AK101" s="40">
        <v>81</v>
      </c>
      <c r="AL101" s="41">
        <f t="shared" si="101"/>
        <v>104.328</v>
      </c>
      <c r="AM101" s="36">
        <v>13873</v>
      </c>
      <c r="AN101" s="284">
        <v>58</v>
      </c>
      <c r="AO101" s="26"/>
      <c r="AP101" s="26"/>
      <c r="AQ101" s="27"/>
      <c r="AR101" s="27"/>
      <c r="AS101" s="27"/>
      <c r="AT101" s="27"/>
      <c r="AU101" s="27"/>
      <c r="AV101" s="27"/>
      <c r="AW101" s="26"/>
      <c r="AX101" s="26"/>
      <c r="AY101" s="26"/>
      <c r="AZ101" s="26"/>
      <c r="BA101" s="26"/>
      <c r="BB101" s="26"/>
      <c r="BC101" s="26"/>
      <c r="BD101" s="26"/>
      <c r="BE101" s="26"/>
      <c r="BF101" s="26"/>
      <c r="BG101" s="26"/>
      <c r="BH101" s="26"/>
      <c r="BI101" s="26"/>
    </row>
    <row r="102" spans="1:61" ht="28.5" customHeight="1">
      <c r="A102" s="26"/>
      <c r="B102" s="324"/>
      <c r="C102" s="42" t="s">
        <v>116</v>
      </c>
      <c r="D102" s="28">
        <f t="shared" si="85"/>
        <v>-0.10548688271604939</v>
      </c>
      <c r="E102" s="201">
        <v>0.42499999999999999</v>
      </c>
      <c r="F102" s="30">
        <f t="shared" si="86"/>
        <v>0.53048688271604938</v>
      </c>
      <c r="G102" s="30">
        <f t="shared" si="87"/>
        <v>4.2105263157894736E-2</v>
      </c>
      <c r="H102" s="48"/>
      <c r="I102" s="48"/>
      <c r="J102" s="48"/>
      <c r="K102" s="210"/>
      <c r="L102" s="210"/>
      <c r="M102" s="210"/>
      <c r="N102" s="36"/>
      <c r="O102" s="36">
        <v>2</v>
      </c>
      <c r="P102" s="31">
        <f t="shared" si="88"/>
        <v>2</v>
      </c>
      <c r="Q102" s="36">
        <v>1</v>
      </c>
      <c r="R102" s="167">
        <v>4</v>
      </c>
      <c r="S102" s="36"/>
      <c r="T102" s="34">
        <f t="shared" si="89"/>
        <v>129600</v>
      </c>
      <c r="U102" s="31">
        <f t="shared" si="90"/>
        <v>0</v>
      </c>
      <c r="V102" s="34">
        <f t="shared" si="91"/>
        <v>129600</v>
      </c>
      <c r="W102" s="43">
        <v>64800</v>
      </c>
      <c r="X102" s="34">
        <f t="shared" si="92"/>
        <v>25224.192000000003</v>
      </c>
      <c r="Y102" s="34">
        <f t="shared" si="93"/>
        <v>50448.384000000005</v>
      </c>
      <c r="Z102" s="34">
        <f t="shared" si="94"/>
        <v>66441.100000000006</v>
      </c>
      <c r="AA102" s="48">
        <v>60401</v>
      </c>
      <c r="AB102" s="36"/>
      <c r="AC102" s="204">
        <f t="shared" si="102"/>
        <v>2310</v>
      </c>
      <c r="AD102" s="152">
        <v>7.8E-2</v>
      </c>
      <c r="AE102" s="31">
        <f t="shared" si="107"/>
        <v>9650</v>
      </c>
      <c r="AF102" s="28">
        <f t="shared" si="96"/>
        <v>0.15245987654320986</v>
      </c>
      <c r="AG102" s="34">
        <f t="shared" si="97"/>
        <v>19758.829999999998</v>
      </c>
      <c r="AH102" s="34">
        <f t="shared" si="98"/>
        <v>5939.2785999999987</v>
      </c>
      <c r="AI102" s="34">
        <f t="shared" si="99"/>
        <v>53453.507399999988</v>
      </c>
      <c r="AJ102" s="46">
        <f t="shared" si="100"/>
        <v>-12987.592600000018</v>
      </c>
      <c r="AK102" s="40">
        <v>102</v>
      </c>
      <c r="AL102" s="41">
        <f t="shared" si="101"/>
        <v>131.376</v>
      </c>
      <c r="AM102" s="36">
        <v>42649</v>
      </c>
      <c r="AN102" s="284">
        <v>95</v>
      </c>
      <c r="AO102" s="26"/>
      <c r="AP102" s="26"/>
      <c r="AQ102" s="27"/>
      <c r="AR102" s="27"/>
      <c r="AS102" s="27"/>
      <c r="AT102" s="27"/>
      <c r="AU102" s="27"/>
      <c r="AV102" s="27"/>
      <c r="AW102" s="26"/>
      <c r="AX102" s="26"/>
      <c r="AY102" s="26"/>
      <c r="AZ102" s="26"/>
      <c r="BA102" s="26"/>
      <c r="BB102" s="26"/>
      <c r="BC102" s="26"/>
      <c r="BD102" s="26"/>
      <c r="BE102" s="26"/>
      <c r="BF102" s="26"/>
      <c r="BG102" s="26"/>
      <c r="BH102" s="26"/>
      <c r="BI102" s="26"/>
    </row>
    <row r="103" spans="1:61" ht="28.5" customHeight="1">
      <c r="A103" s="26"/>
      <c r="B103" s="200"/>
      <c r="C103" s="42" t="s">
        <v>117</v>
      </c>
      <c r="D103" s="28">
        <f t="shared" si="85"/>
        <v>0.36443199233716478</v>
      </c>
      <c r="E103" s="297">
        <v>0.53900000000000003</v>
      </c>
      <c r="F103" s="30">
        <f t="shared" si="86"/>
        <v>0.17456800766283526</v>
      </c>
      <c r="G103" s="30">
        <f t="shared" si="87"/>
        <v>3.5416666666666666E-2</v>
      </c>
      <c r="H103" s="48"/>
      <c r="I103" s="48"/>
      <c r="J103" s="48"/>
      <c r="K103" s="210"/>
      <c r="L103" s="210"/>
      <c r="M103" s="210"/>
      <c r="N103" s="36"/>
      <c r="O103" s="36">
        <v>58</v>
      </c>
      <c r="P103" s="31">
        <f t="shared" si="88"/>
        <v>58</v>
      </c>
      <c r="Q103" s="36">
        <v>14</v>
      </c>
      <c r="R103" s="167">
        <v>34</v>
      </c>
      <c r="S103" s="36"/>
      <c r="T103" s="34">
        <f t="shared" si="89"/>
        <v>1148400</v>
      </c>
      <c r="U103" s="31">
        <f t="shared" si="90"/>
        <v>0</v>
      </c>
      <c r="V103" s="34">
        <f t="shared" si="91"/>
        <v>1148400</v>
      </c>
      <c r="W103" s="43">
        <v>19800</v>
      </c>
      <c r="X103" s="34">
        <f t="shared" si="92"/>
        <v>4451.3280000000004</v>
      </c>
      <c r="Y103" s="34">
        <f t="shared" si="93"/>
        <v>258177.02400000003</v>
      </c>
      <c r="Z103" s="34">
        <f t="shared" si="94"/>
        <v>168133.90000000002</v>
      </c>
      <c r="AA103" s="48">
        <v>152849</v>
      </c>
      <c r="AB103" s="36"/>
      <c r="AC103" s="204">
        <f t="shared" si="102"/>
        <v>32340</v>
      </c>
      <c r="AD103" s="152">
        <v>7.8E-2</v>
      </c>
      <c r="AE103" s="31">
        <f t="shared" ref="AE103:AE105" si="108">1900*(P103+S103)</f>
        <v>110200</v>
      </c>
      <c r="AF103" s="28">
        <f t="shared" si="96"/>
        <v>0.17395959595959595</v>
      </c>
      <c r="AG103" s="34">
        <f t="shared" si="97"/>
        <v>199775.22999999998</v>
      </c>
      <c r="AH103" s="34">
        <f t="shared" si="98"/>
        <v>69044.774600000004</v>
      </c>
      <c r="AI103" s="34">
        <f t="shared" si="99"/>
        <v>621402.97139999992</v>
      </c>
      <c r="AJ103" s="46">
        <f t="shared" si="100"/>
        <v>453269.0713999999</v>
      </c>
      <c r="AK103" s="40">
        <v>18</v>
      </c>
      <c r="AL103" s="41">
        <f t="shared" si="101"/>
        <v>23.184000000000001</v>
      </c>
      <c r="AM103" s="36">
        <v>258454</v>
      </c>
      <c r="AN103" s="284">
        <v>960</v>
      </c>
      <c r="AO103" s="26"/>
      <c r="AP103" s="26"/>
      <c r="AQ103" s="27"/>
      <c r="AR103" s="27"/>
      <c r="AS103" s="27"/>
      <c r="AT103" s="27"/>
      <c r="AU103" s="27"/>
      <c r="AV103" s="27"/>
      <c r="AW103" s="26"/>
      <c r="AX103" s="26"/>
      <c r="AY103" s="26"/>
      <c r="AZ103" s="26"/>
      <c r="BA103" s="26"/>
      <c r="BB103" s="26"/>
      <c r="BC103" s="26"/>
      <c r="BD103" s="26"/>
      <c r="BE103" s="26"/>
      <c r="BF103" s="26"/>
      <c r="BG103" s="26"/>
      <c r="BH103" s="26"/>
      <c r="BI103" s="26"/>
    </row>
    <row r="104" spans="1:61" ht="28.5" customHeight="1">
      <c r="A104" s="26"/>
      <c r="B104" s="200"/>
      <c r="C104" s="42" t="s">
        <v>31</v>
      </c>
      <c r="D104" s="28">
        <f t="shared" si="85"/>
        <v>-0.39761111111111119</v>
      </c>
      <c r="E104" s="297">
        <v>0.40699999999999997</v>
      </c>
      <c r="F104" s="30">
        <f t="shared" si="86"/>
        <v>0.80461111111111117</v>
      </c>
      <c r="G104" s="30">
        <f t="shared" si="87"/>
        <v>0</v>
      </c>
      <c r="H104" s="48"/>
      <c r="I104" s="48"/>
      <c r="J104" s="48"/>
      <c r="K104" s="210"/>
      <c r="L104" s="210"/>
      <c r="M104" s="210"/>
      <c r="N104" s="36"/>
      <c r="O104" s="36">
        <v>1</v>
      </c>
      <c r="P104" s="31">
        <f t="shared" si="88"/>
        <v>1</v>
      </c>
      <c r="Q104" s="36">
        <v>0</v>
      </c>
      <c r="R104" s="167">
        <v>0</v>
      </c>
      <c r="S104" s="36"/>
      <c r="T104" s="34">
        <f t="shared" si="89"/>
        <v>19800</v>
      </c>
      <c r="U104" s="31">
        <f t="shared" si="90"/>
        <v>0</v>
      </c>
      <c r="V104" s="34">
        <f t="shared" si="91"/>
        <v>19800</v>
      </c>
      <c r="W104" s="43">
        <v>19800</v>
      </c>
      <c r="X104" s="34">
        <f t="shared" si="92"/>
        <v>7418.88</v>
      </c>
      <c r="Y104" s="34">
        <f t="shared" si="93"/>
        <v>7418.88</v>
      </c>
      <c r="Z104" s="34">
        <f t="shared" si="94"/>
        <v>15931.300000000001</v>
      </c>
      <c r="AA104" s="48">
        <v>14483</v>
      </c>
      <c r="AB104" s="36"/>
      <c r="AC104" s="204">
        <f t="shared" si="102"/>
        <v>0</v>
      </c>
      <c r="AD104" s="152">
        <v>0.08</v>
      </c>
      <c r="AE104" s="31">
        <f t="shared" si="108"/>
        <v>1900</v>
      </c>
      <c r="AF104" s="28">
        <f t="shared" si="96"/>
        <v>0.17595959595959595</v>
      </c>
      <c r="AG104" s="34">
        <f t="shared" si="97"/>
        <v>3484.03</v>
      </c>
      <c r="AH104" s="34">
        <f t="shared" si="98"/>
        <v>889.70900000000006</v>
      </c>
      <c r="AI104" s="34">
        <f t="shared" si="99"/>
        <v>8007.3809999999994</v>
      </c>
      <c r="AJ104" s="46">
        <f t="shared" si="100"/>
        <v>-7923.9190000000017</v>
      </c>
      <c r="AK104" s="40">
        <v>30</v>
      </c>
      <c r="AL104" s="41">
        <f t="shared" si="101"/>
        <v>38.64</v>
      </c>
      <c r="AM104" s="36">
        <v>14043</v>
      </c>
      <c r="AN104" s="284">
        <v>15</v>
      </c>
      <c r="AO104" s="26"/>
      <c r="AP104" s="26"/>
      <c r="AQ104" s="27"/>
      <c r="AR104" s="27"/>
      <c r="AS104" s="27"/>
      <c r="AT104" s="27"/>
      <c r="AU104" s="27"/>
      <c r="AV104" s="27"/>
      <c r="AW104" s="26"/>
      <c r="AX104" s="26"/>
      <c r="AY104" s="26"/>
      <c r="AZ104" s="26"/>
      <c r="BA104" s="26"/>
      <c r="BB104" s="26"/>
      <c r="BC104" s="26"/>
      <c r="BD104" s="26"/>
      <c r="BE104" s="26"/>
      <c r="BF104" s="26"/>
      <c r="BG104" s="26"/>
      <c r="BH104" s="26"/>
      <c r="BI104" s="26"/>
    </row>
    <row r="105" spans="1:61" ht="28.5" customHeight="1">
      <c r="A105" s="26"/>
      <c r="B105" s="200"/>
      <c r="C105" s="42" t="s">
        <v>118</v>
      </c>
      <c r="D105" s="28" t="e">
        <f t="shared" si="85"/>
        <v>#DIV/0!</v>
      </c>
      <c r="E105" s="297">
        <v>0.36799999999999999</v>
      </c>
      <c r="F105" s="30" t="e">
        <f t="shared" si="86"/>
        <v>#DIV/0!</v>
      </c>
      <c r="G105" s="30" t="e">
        <f t="shared" si="87"/>
        <v>#DIV/0!</v>
      </c>
      <c r="H105" s="48"/>
      <c r="I105" s="48"/>
      <c r="J105" s="48"/>
      <c r="K105" s="210"/>
      <c r="L105" s="210"/>
      <c r="M105" s="210"/>
      <c r="N105" s="36"/>
      <c r="O105" s="36">
        <v>0</v>
      </c>
      <c r="P105" s="31">
        <f t="shared" si="88"/>
        <v>0</v>
      </c>
      <c r="Q105" s="36">
        <v>0</v>
      </c>
      <c r="R105" s="167">
        <v>0</v>
      </c>
      <c r="S105" s="36"/>
      <c r="T105" s="34">
        <f t="shared" si="89"/>
        <v>0</v>
      </c>
      <c r="U105" s="31">
        <f t="shared" si="90"/>
        <v>0</v>
      </c>
      <c r="V105" s="34">
        <f t="shared" si="91"/>
        <v>0</v>
      </c>
      <c r="W105" s="43">
        <v>24800</v>
      </c>
      <c r="X105" s="34">
        <f t="shared" si="92"/>
        <v>10386.432000000001</v>
      </c>
      <c r="Y105" s="34">
        <f t="shared" si="93"/>
        <v>0</v>
      </c>
      <c r="Z105" s="34">
        <f t="shared" si="94"/>
        <v>0</v>
      </c>
      <c r="AA105" s="48">
        <v>0</v>
      </c>
      <c r="AB105" s="36"/>
      <c r="AC105" s="204">
        <f t="shared" si="102"/>
        <v>0</v>
      </c>
      <c r="AD105" s="152">
        <v>0.1</v>
      </c>
      <c r="AE105" s="31">
        <f t="shared" si="108"/>
        <v>0</v>
      </c>
      <c r="AF105" s="28" t="e">
        <f t="shared" si="96"/>
        <v>#DIV/0!</v>
      </c>
      <c r="AG105" s="34" t="e">
        <f t="shared" si="97"/>
        <v>#DIV/0!</v>
      </c>
      <c r="AH105" s="34" t="e">
        <f t="shared" si="98"/>
        <v>#DIV/0!</v>
      </c>
      <c r="AI105" s="34" t="e">
        <f t="shared" si="99"/>
        <v>#DIV/0!</v>
      </c>
      <c r="AJ105" s="46" t="e">
        <f t="shared" si="100"/>
        <v>#DIV/0!</v>
      </c>
      <c r="AK105" s="40">
        <v>42</v>
      </c>
      <c r="AL105" s="41">
        <f t="shared" si="101"/>
        <v>54.096000000000004</v>
      </c>
      <c r="AM105" s="36">
        <v>0</v>
      </c>
      <c r="AN105" s="284">
        <v>0</v>
      </c>
      <c r="AO105" s="26"/>
      <c r="AP105" s="26"/>
      <c r="AQ105" s="27"/>
      <c r="AR105" s="27"/>
      <c r="AS105" s="27"/>
      <c r="AT105" s="27"/>
      <c r="AU105" s="27"/>
      <c r="AV105" s="27"/>
      <c r="AW105" s="26"/>
      <c r="AX105" s="26"/>
      <c r="AY105" s="26"/>
      <c r="AZ105" s="26"/>
      <c r="BA105" s="26"/>
      <c r="BB105" s="26"/>
      <c r="BC105" s="26"/>
      <c r="BD105" s="26"/>
      <c r="BE105" s="26"/>
      <c r="BF105" s="26"/>
      <c r="BG105" s="26"/>
      <c r="BH105" s="26"/>
      <c r="BI105" s="26"/>
    </row>
    <row r="106" spans="1:61" ht="28.5" customHeight="1">
      <c r="A106" s="26"/>
      <c r="B106" s="200"/>
      <c r="C106" s="42" t="s">
        <v>119</v>
      </c>
      <c r="D106" s="28">
        <f t="shared" si="85"/>
        <v>0.3812998102466793</v>
      </c>
      <c r="E106" s="201">
        <v>0.41</v>
      </c>
      <c r="F106" s="30">
        <f t="shared" si="86"/>
        <v>2.8700189753320685E-2</v>
      </c>
      <c r="G106" s="30">
        <f t="shared" si="87"/>
        <v>0.12195121951219512</v>
      </c>
      <c r="H106" s="48"/>
      <c r="I106" s="48"/>
      <c r="J106" s="48"/>
      <c r="K106" s="210"/>
      <c r="L106" s="210"/>
      <c r="M106" s="210"/>
      <c r="N106" s="36"/>
      <c r="O106" s="36">
        <v>17</v>
      </c>
      <c r="P106" s="31">
        <f t="shared" si="88"/>
        <v>17</v>
      </c>
      <c r="Q106" s="36">
        <v>1</v>
      </c>
      <c r="R106" s="167">
        <v>10</v>
      </c>
      <c r="S106" s="36"/>
      <c r="T106" s="34">
        <f t="shared" si="89"/>
        <v>421600</v>
      </c>
      <c r="U106" s="31">
        <f t="shared" si="90"/>
        <v>0</v>
      </c>
      <c r="V106" s="34">
        <f t="shared" si="91"/>
        <v>421600</v>
      </c>
      <c r="W106" s="43">
        <v>24800</v>
      </c>
      <c r="X106" s="34">
        <f t="shared" si="92"/>
        <v>7666.1760000000013</v>
      </c>
      <c r="Y106" s="34">
        <f t="shared" si="93"/>
        <v>130324.99200000003</v>
      </c>
      <c r="Z106" s="34">
        <f t="shared" si="94"/>
        <v>9790</v>
      </c>
      <c r="AA106" s="48">
        <v>8900</v>
      </c>
      <c r="AB106" s="36"/>
      <c r="AC106" s="204">
        <f t="shared" si="102"/>
        <v>2310</v>
      </c>
      <c r="AD106" s="152">
        <v>0.108</v>
      </c>
      <c r="AE106" s="31">
        <f>3150*(P106+S106)</f>
        <v>53550</v>
      </c>
      <c r="AF106" s="28">
        <f t="shared" si="96"/>
        <v>0.23501612903225805</v>
      </c>
      <c r="AG106" s="34">
        <f t="shared" si="97"/>
        <v>99082.829999999987</v>
      </c>
      <c r="AH106" s="34">
        <f t="shared" si="98"/>
        <v>19219.217799999999</v>
      </c>
      <c r="AI106" s="34">
        <f t="shared" si="99"/>
        <v>172972.96019999997</v>
      </c>
      <c r="AJ106" s="46">
        <f t="shared" si="100"/>
        <v>163182.96019999997</v>
      </c>
      <c r="AK106" s="40">
        <v>31</v>
      </c>
      <c r="AL106" s="41">
        <f t="shared" si="101"/>
        <v>39.928000000000004</v>
      </c>
      <c r="AM106" s="36">
        <v>27998</v>
      </c>
      <c r="AN106" s="284">
        <v>82</v>
      </c>
      <c r="AO106" s="26"/>
      <c r="AP106" s="26"/>
      <c r="AQ106" s="27"/>
      <c r="AR106" s="27"/>
      <c r="AS106" s="27"/>
      <c r="AT106" s="27"/>
      <c r="AU106" s="27"/>
      <c r="AV106" s="27"/>
      <c r="AW106" s="26"/>
      <c r="AX106" s="26"/>
      <c r="AY106" s="26"/>
      <c r="AZ106" s="26"/>
      <c r="BA106" s="26"/>
      <c r="BB106" s="26"/>
      <c r="BC106" s="26"/>
      <c r="BD106" s="26"/>
      <c r="BE106" s="26"/>
      <c r="BF106" s="26"/>
      <c r="BG106" s="26"/>
      <c r="BH106" s="26"/>
      <c r="BI106" s="26"/>
    </row>
    <row r="107" spans="1:61" ht="28.5" customHeight="1">
      <c r="A107" s="26"/>
      <c r="B107" s="200"/>
      <c r="C107" s="239" t="s">
        <v>120</v>
      </c>
      <c r="D107" s="28">
        <f t="shared" si="85"/>
        <v>0.19134924623115579</v>
      </c>
      <c r="E107" s="201">
        <v>0.376</v>
      </c>
      <c r="F107" s="30">
        <f t="shared" si="86"/>
        <v>0.18465075376884421</v>
      </c>
      <c r="G107" s="30">
        <f t="shared" si="87"/>
        <v>0</v>
      </c>
      <c r="H107" s="48"/>
      <c r="I107" s="48"/>
      <c r="J107" s="48"/>
      <c r="K107" s="210"/>
      <c r="L107" s="210"/>
      <c r="M107" s="210"/>
      <c r="N107" s="36"/>
      <c r="O107" s="36">
        <v>5</v>
      </c>
      <c r="P107" s="31">
        <f t="shared" si="88"/>
        <v>5</v>
      </c>
      <c r="Q107" s="36">
        <v>0</v>
      </c>
      <c r="R107" s="167"/>
      <c r="S107" s="36"/>
      <c r="T107" s="34">
        <f t="shared" si="89"/>
        <v>199000</v>
      </c>
      <c r="U107" s="31">
        <f t="shared" si="90"/>
        <v>0</v>
      </c>
      <c r="V107" s="34">
        <f t="shared" si="91"/>
        <v>199000</v>
      </c>
      <c r="W107" s="43">
        <v>39800</v>
      </c>
      <c r="X107" s="34">
        <f t="shared" si="92"/>
        <v>7666.1760000000013</v>
      </c>
      <c r="Y107" s="34">
        <f t="shared" si="93"/>
        <v>38330.880000000005</v>
      </c>
      <c r="Z107" s="34">
        <f t="shared" si="94"/>
        <v>36745.5</v>
      </c>
      <c r="AA107" s="48">
        <v>33405</v>
      </c>
      <c r="AB107" s="286"/>
      <c r="AC107" s="204">
        <f t="shared" si="102"/>
        <v>0</v>
      </c>
      <c r="AD107" s="152">
        <v>0.108</v>
      </c>
      <c r="AE107" s="31">
        <f>3550*(P107+S107)</f>
        <v>17750</v>
      </c>
      <c r="AF107" s="28">
        <f t="shared" si="96"/>
        <v>0.1971959798994975</v>
      </c>
      <c r="AG107" s="34">
        <f t="shared" si="97"/>
        <v>39242.03</v>
      </c>
      <c r="AH107" s="34">
        <f t="shared" si="98"/>
        <v>12142.708999999999</v>
      </c>
      <c r="AI107" s="34">
        <f t="shared" si="99"/>
        <v>109284.38099999999</v>
      </c>
      <c r="AJ107" s="46">
        <f t="shared" si="100"/>
        <v>72538.880999999994</v>
      </c>
      <c r="AK107" s="40">
        <v>31</v>
      </c>
      <c r="AL107" s="41">
        <f t="shared" si="101"/>
        <v>39.928000000000004</v>
      </c>
      <c r="AM107" s="36">
        <v>7590</v>
      </c>
      <c r="AN107" s="284">
        <v>44</v>
      </c>
      <c r="AO107" s="26"/>
      <c r="AP107" s="26"/>
      <c r="AQ107" s="27"/>
      <c r="AR107" s="27"/>
      <c r="AS107" s="27"/>
      <c r="AT107" s="27"/>
      <c r="AU107" s="27"/>
      <c r="AV107" s="27"/>
      <c r="AW107" s="26"/>
      <c r="AX107" s="26"/>
      <c r="AY107" s="26"/>
      <c r="AZ107" s="26"/>
      <c r="BA107" s="26"/>
      <c r="BB107" s="26"/>
      <c r="BC107" s="26"/>
      <c r="BD107" s="26"/>
      <c r="BE107" s="26"/>
      <c r="BF107" s="26"/>
      <c r="BG107" s="26"/>
      <c r="BH107" s="26"/>
      <c r="BI107" s="26"/>
    </row>
    <row r="108" spans="1:61" ht="28.5" customHeight="1">
      <c r="A108" s="26"/>
      <c r="B108" s="216"/>
      <c r="C108" s="217"/>
      <c r="D108" s="298">
        <f>AJ108/V108</f>
        <v>0.13709664903114976</v>
      </c>
      <c r="E108" s="298">
        <f>AI108/V108</f>
        <v>0.38869235331813162</v>
      </c>
      <c r="F108" s="52">
        <f>(Z108)/V108</f>
        <v>0.25159570428698186</v>
      </c>
      <c r="G108" s="219"/>
      <c r="H108" s="55"/>
      <c r="I108" s="55"/>
      <c r="J108" s="55"/>
      <c r="K108" s="55"/>
      <c r="L108" s="55"/>
      <c r="M108" s="55"/>
      <c r="N108" s="130"/>
      <c r="O108" s="130">
        <f t="shared" ref="O108:V108" si="109">SUM(O85:O107)</f>
        <v>380</v>
      </c>
      <c r="P108" s="130">
        <f t="shared" si="109"/>
        <v>380</v>
      </c>
      <c r="Q108" s="130">
        <f t="shared" si="109"/>
        <v>61</v>
      </c>
      <c r="R108" s="130">
        <f t="shared" si="109"/>
        <v>261</v>
      </c>
      <c r="S108" s="130">
        <f t="shared" si="109"/>
        <v>0</v>
      </c>
      <c r="T108" s="130">
        <f t="shared" si="109"/>
        <v>9849820</v>
      </c>
      <c r="U108" s="130">
        <f t="shared" si="109"/>
        <v>0</v>
      </c>
      <c r="V108" s="130">
        <f t="shared" si="109"/>
        <v>9849820</v>
      </c>
      <c r="W108" s="55"/>
      <c r="X108" s="130">
        <f t="shared" ref="X108:AC108" si="110">SUM(X85:X107)</f>
        <v>338894.43839999987</v>
      </c>
      <c r="Y108" s="130">
        <f t="shared" si="110"/>
        <v>3526342.0416000001</v>
      </c>
      <c r="Z108" s="130">
        <f t="shared" si="110"/>
        <v>2478172.4</v>
      </c>
      <c r="AA108" s="130">
        <f t="shared" si="110"/>
        <v>2252884</v>
      </c>
      <c r="AB108" s="130">
        <f t="shared" si="110"/>
        <v>0</v>
      </c>
      <c r="AC108" s="130">
        <f t="shared" si="110"/>
        <v>138978</v>
      </c>
      <c r="AD108" s="154">
        <v>0.09</v>
      </c>
      <c r="AE108" s="130">
        <f>SUM(AE85:AE107)</f>
        <v>1183050</v>
      </c>
      <c r="AF108" s="53">
        <f t="shared" si="96"/>
        <v>0.21010879386628384</v>
      </c>
      <c r="AG108" s="56">
        <f t="shared" si="97"/>
        <v>2069533.8299999998</v>
      </c>
      <c r="AH108" s="56">
        <f t="shared" si="98"/>
        <v>425394.41284</v>
      </c>
      <c r="AI108" s="56">
        <f t="shared" si="99"/>
        <v>3828549.7155599995</v>
      </c>
      <c r="AJ108" s="46">
        <f>AI108-Z108-AB108</f>
        <v>1350377.3155599996</v>
      </c>
      <c r="AK108" s="54"/>
      <c r="AL108" s="222"/>
      <c r="AM108" s="131">
        <f t="shared" ref="AM108:AN108" si="111">SUM(AM85:AM86)</f>
        <v>364348</v>
      </c>
      <c r="AN108" s="132">
        <f t="shared" si="111"/>
        <v>1471</v>
      </c>
      <c r="AO108" s="26"/>
      <c r="AP108" s="26"/>
      <c r="AQ108" s="27"/>
      <c r="AR108" s="27"/>
      <c r="AS108" s="27"/>
      <c r="AT108" s="27"/>
      <c r="AU108" s="27"/>
      <c r="AV108" s="27"/>
      <c r="AW108" s="26"/>
      <c r="AX108" s="26"/>
      <c r="AY108" s="26"/>
      <c r="AZ108" s="26"/>
      <c r="BA108" s="26"/>
      <c r="BB108" s="26"/>
      <c r="BC108" s="26"/>
      <c r="BD108" s="26"/>
      <c r="BE108" s="26"/>
      <c r="BF108" s="26"/>
      <c r="BG108" s="26"/>
      <c r="BH108" s="26"/>
      <c r="BI108" s="26"/>
    </row>
    <row r="109" spans="1:61" ht="28.5" customHeight="1">
      <c r="A109" s="1"/>
      <c r="B109" s="290"/>
      <c r="C109" s="291"/>
      <c r="D109" s="2"/>
      <c r="E109" s="2"/>
      <c r="F109" s="2"/>
      <c r="G109" s="2"/>
      <c r="H109" s="2"/>
      <c r="I109" s="2"/>
      <c r="J109" s="2"/>
      <c r="K109" s="2"/>
      <c r="L109" s="2"/>
      <c r="M109" s="2"/>
      <c r="N109" s="292"/>
      <c r="O109" s="292"/>
      <c r="P109" s="2"/>
      <c r="Q109" s="2"/>
      <c r="R109" s="2"/>
      <c r="S109" s="293"/>
      <c r="T109" s="2"/>
      <c r="U109" s="2"/>
      <c r="V109" s="2"/>
      <c r="W109" s="2"/>
      <c r="X109" s="2"/>
      <c r="Y109" s="2"/>
      <c r="Z109" s="2"/>
      <c r="AA109" s="2"/>
      <c r="AB109" s="2"/>
      <c r="AC109" s="2"/>
      <c r="AD109" s="2"/>
      <c r="AE109" s="2"/>
      <c r="AF109" s="1"/>
      <c r="AG109" s="1"/>
      <c r="AH109" s="1"/>
      <c r="AI109" s="1"/>
      <c r="AJ109" s="1"/>
      <c r="AK109" s="1"/>
      <c r="AL109" s="1"/>
      <c r="AM109" s="1"/>
      <c r="AN109" s="1"/>
      <c r="AO109" s="1"/>
      <c r="AP109" s="1"/>
      <c r="AQ109" s="1"/>
      <c r="AR109" s="1"/>
      <c r="AS109" s="1"/>
      <c r="AT109" s="7"/>
      <c r="AU109" s="7"/>
      <c r="AV109" s="7"/>
      <c r="AW109" s="47"/>
      <c r="AX109" s="47"/>
      <c r="AY109" s="47"/>
      <c r="AZ109" s="47"/>
      <c r="BA109" s="47"/>
      <c r="BB109" s="47"/>
      <c r="BC109" s="47"/>
      <c r="BD109" s="47"/>
      <c r="BE109" s="47"/>
      <c r="BF109" s="47"/>
      <c r="BG109" s="47"/>
      <c r="BH109" s="47"/>
      <c r="BI109" s="47"/>
    </row>
    <row r="110" spans="1:61" ht="28.5" customHeight="1">
      <c r="A110" s="26"/>
      <c r="B110" s="189"/>
      <c r="C110" s="134">
        <v>45874</v>
      </c>
      <c r="D110" s="190" t="s">
        <v>0</v>
      </c>
      <c r="E110" s="190" t="s">
        <v>1</v>
      </c>
      <c r="F110" s="190" t="s">
        <v>2</v>
      </c>
      <c r="G110" s="190" t="s">
        <v>3</v>
      </c>
      <c r="H110" s="191" t="s">
        <v>4</v>
      </c>
      <c r="I110" s="192" t="s">
        <v>5</v>
      </c>
      <c r="J110" s="192" t="s">
        <v>90</v>
      </c>
      <c r="K110" s="193"/>
      <c r="L110" s="193" t="s">
        <v>6</v>
      </c>
      <c r="M110" s="194" t="s">
        <v>7</v>
      </c>
      <c r="N110" s="123"/>
      <c r="O110" s="123" t="s">
        <v>8</v>
      </c>
      <c r="P110" s="123" t="s">
        <v>9</v>
      </c>
      <c r="Q110" s="15" t="s">
        <v>10</v>
      </c>
      <c r="R110" s="123" t="s">
        <v>92</v>
      </c>
      <c r="S110" s="196" t="s">
        <v>11</v>
      </c>
      <c r="T110" s="17" t="s">
        <v>12</v>
      </c>
      <c r="U110" s="17" t="s">
        <v>13</v>
      </c>
      <c r="V110" s="17" t="s">
        <v>14</v>
      </c>
      <c r="W110" s="17" t="s">
        <v>15</v>
      </c>
      <c r="X110" s="17" t="s">
        <v>16</v>
      </c>
      <c r="Y110" s="17" t="s">
        <v>17</v>
      </c>
      <c r="Z110" s="19" t="s">
        <v>18</v>
      </c>
      <c r="AA110" s="19" t="s">
        <v>19</v>
      </c>
      <c r="AB110" s="20" t="s">
        <v>20</v>
      </c>
      <c r="AC110" s="22" t="s">
        <v>93</v>
      </c>
      <c r="AD110" s="197" t="s">
        <v>21</v>
      </c>
      <c r="AE110" s="21" t="s">
        <v>22</v>
      </c>
      <c r="AF110" s="23" t="s">
        <v>23</v>
      </c>
      <c r="AG110" s="23" t="s">
        <v>21</v>
      </c>
      <c r="AH110" s="23" t="s">
        <v>24</v>
      </c>
      <c r="AI110" s="24" t="s">
        <v>26</v>
      </c>
      <c r="AJ110" s="23" t="s">
        <v>27</v>
      </c>
      <c r="AK110" s="21" t="s">
        <v>147</v>
      </c>
      <c r="AL110" s="282" t="s">
        <v>148</v>
      </c>
      <c r="AM110" s="124" t="s">
        <v>94</v>
      </c>
      <c r="AN110" s="125" t="s">
        <v>95</v>
      </c>
      <c r="AO110" s="26"/>
      <c r="AP110" s="26"/>
      <c r="AQ110" s="27"/>
      <c r="AR110" s="27"/>
      <c r="AS110" s="27"/>
      <c r="AT110" s="27"/>
      <c r="AU110" s="27"/>
      <c r="AV110" s="27"/>
      <c r="AW110" s="26"/>
      <c r="AX110" s="26"/>
      <c r="AY110" s="26"/>
      <c r="AZ110" s="26"/>
      <c r="BA110" s="26"/>
      <c r="BB110" s="26"/>
      <c r="BC110" s="26"/>
      <c r="BD110" s="26"/>
      <c r="BE110" s="26"/>
      <c r="BF110" s="26"/>
      <c r="BG110" s="26"/>
      <c r="BH110" s="26"/>
      <c r="BI110" s="26"/>
    </row>
    <row r="111" spans="1:61" ht="28.5" customHeight="1">
      <c r="A111" s="26"/>
      <c r="B111" s="200"/>
      <c r="C111" s="42" t="s">
        <v>107</v>
      </c>
      <c r="D111" s="28">
        <f t="shared" ref="D111:D133" si="112">E111-F111</f>
        <v>0.14699037835035411</v>
      </c>
      <c r="E111" s="201">
        <v>0.39700000000000002</v>
      </c>
      <c r="F111" s="30">
        <f t="shared" ref="F111:F133" si="113">(Z111+AC111)/V111</f>
        <v>0.25000962164964591</v>
      </c>
      <c r="G111" s="30">
        <f t="shared" ref="G111:G133" si="114">R111/AN111</f>
        <v>9.2539454806312774E-2</v>
      </c>
      <c r="H111" s="48"/>
      <c r="I111" s="48"/>
      <c r="J111" s="48"/>
      <c r="K111" s="48"/>
      <c r="L111" s="48"/>
      <c r="M111" s="48"/>
      <c r="N111" s="36"/>
      <c r="O111" s="36">
        <v>163</v>
      </c>
      <c r="P111" s="31">
        <f t="shared" ref="P111:P133" si="115">O111-S111</f>
        <v>163</v>
      </c>
      <c r="Q111" s="36">
        <v>12</v>
      </c>
      <c r="R111" s="167">
        <v>129</v>
      </c>
      <c r="S111" s="36"/>
      <c r="T111" s="34">
        <f t="shared" ref="T111:T133" si="116">W111*O111</f>
        <v>4282010</v>
      </c>
      <c r="U111" s="31">
        <f t="shared" ref="U111:U133" si="117">W111*S111</f>
        <v>0</v>
      </c>
      <c r="V111" s="34">
        <f t="shared" ref="V111:V133" si="118">T111-U111</f>
        <v>4282010</v>
      </c>
      <c r="W111" s="43">
        <v>26270</v>
      </c>
      <c r="X111" s="34">
        <f t="shared" ref="X111:X133" si="119">AL111*$A$2</f>
        <v>9891.84</v>
      </c>
      <c r="Y111" s="34">
        <f t="shared" ref="Y111:Y133" si="120">X111*P111</f>
        <v>1612369.9199999999</v>
      </c>
      <c r="Z111" s="34">
        <f t="shared" ref="Z111:Z133" si="121">AA111*1.1</f>
        <v>1044479.7000000001</v>
      </c>
      <c r="AA111" s="48">
        <v>949527</v>
      </c>
      <c r="AB111" s="36"/>
      <c r="AC111" s="204">
        <f t="shared" ref="AC111:AC112" si="122">(1072+1100)*Q111</f>
        <v>26064</v>
      </c>
      <c r="AD111" s="152">
        <v>0.1</v>
      </c>
      <c r="AE111" s="31">
        <f>3050*(P111+S111)</f>
        <v>497150</v>
      </c>
      <c r="AF111" s="28">
        <f t="shared" ref="AF111:AF134" si="123">AD111+(AE111/V111)</f>
        <v>0.2161020175104682</v>
      </c>
      <c r="AG111" s="34">
        <f t="shared" ref="AG111:AG134" si="124">V111*AF111+3%</f>
        <v>925351.03</v>
      </c>
      <c r="AH111" s="34">
        <f t="shared" ref="AH111:AH134" si="125">(V111)*10%-(Y111+AG111)*10%</f>
        <v>174428.90499999997</v>
      </c>
      <c r="AI111" s="34">
        <f t="shared" ref="AI111:AI134" si="126">V111-(Y111+AG111+AH111)</f>
        <v>1569860.145</v>
      </c>
      <c r="AJ111" s="46">
        <f t="shared" ref="AJ111:AJ133" si="127">AI111-Z111</f>
        <v>525380.44499999995</v>
      </c>
      <c r="AK111" s="40">
        <v>40</v>
      </c>
      <c r="AL111" s="41">
        <f t="shared" ref="AL111:AL133" si="128">(AK111*1.15)*1.12</f>
        <v>51.52</v>
      </c>
      <c r="AM111" s="36">
        <v>378244</v>
      </c>
      <c r="AN111" s="284">
        <v>1394</v>
      </c>
      <c r="AO111" s="26"/>
      <c r="AP111" s="26"/>
      <c r="AQ111" s="27"/>
      <c r="AR111" s="27"/>
      <c r="AS111" s="27"/>
      <c r="AT111" s="27"/>
      <c r="AU111" s="27"/>
      <c r="AV111" s="27"/>
      <c r="AW111" s="26"/>
      <c r="AX111" s="26"/>
      <c r="AY111" s="26"/>
      <c r="AZ111" s="26"/>
      <c r="BA111" s="26"/>
      <c r="BB111" s="26"/>
      <c r="BC111" s="26"/>
      <c r="BD111" s="26"/>
      <c r="BE111" s="26"/>
      <c r="BF111" s="26"/>
      <c r="BG111" s="26"/>
      <c r="BH111" s="26"/>
      <c r="BI111" s="26"/>
    </row>
    <row r="112" spans="1:61" ht="28.5" customHeight="1">
      <c r="A112" s="26"/>
      <c r="B112" s="200"/>
      <c r="C112" s="42" t="s">
        <v>108</v>
      </c>
      <c r="D112" s="28" t="e">
        <f t="shared" si="112"/>
        <v>#DIV/0!</v>
      </c>
      <c r="E112" s="201">
        <v>0.379</v>
      </c>
      <c r="F112" s="30" t="e">
        <f t="shared" si="113"/>
        <v>#DIV/0!</v>
      </c>
      <c r="G112" s="30">
        <f t="shared" si="114"/>
        <v>0</v>
      </c>
      <c r="H112" s="48"/>
      <c r="I112" s="48"/>
      <c r="J112" s="48"/>
      <c r="K112" s="210"/>
      <c r="L112" s="210"/>
      <c r="M112" s="210"/>
      <c r="N112" s="36"/>
      <c r="O112" s="36">
        <v>0</v>
      </c>
      <c r="P112" s="31">
        <f t="shared" si="115"/>
        <v>0</v>
      </c>
      <c r="Q112" s="36"/>
      <c r="R112" s="167">
        <v>0</v>
      </c>
      <c r="S112" s="36"/>
      <c r="T112" s="34">
        <f t="shared" si="116"/>
        <v>0</v>
      </c>
      <c r="U112" s="31">
        <f t="shared" si="117"/>
        <v>0</v>
      </c>
      <c r="V112" s="34">
        <f t="shared" si="118"/>
        <v>0</v>
      </c>
      <c r="W112" s="43">
        <v>22900</v>
      </c>
      <c r="X112" s="34">
        <f t="shared" si="119"/>
        <v>7913.4719999999998</v>
      </c>
      <c r="Y112" s="34">
        <f t="shared" si="120"/>
        <v>0</v>
      </c>
      <c r="Z112" s="34">
        <f t="shared" si="121"/>
        <v>6317.3</v>
      </c>
      <c r="AA112" s="48">
        <v>5743</v>
      </c>
      <c r="AB112" s="36"/>
      <c r="AC112" s="204">
        <f t="shared" si="122"/>
        <v>0</v>
      </c>
      <c r="AD112" s="152">
        <v>0.1</v>
      </c>
      <c r="AE112" s="31">
        <f>2950*(P112+S112)</f>
        <v>0</v>
      </c>
      <c r="AF112" s="28" t="e">
        <f t="shared" si="123"/>
        <v>#DIV/0!</v>
      </c>
      <c r="AG112" s="34" t="e">
        <f t="shared" si="124"/>
        <v>#DIV/0!</v>
      </c>
      <c r="AH112" s="34" t="e">
        <f t="shared" si="125"/>
        <v>#DIV/0!</v>
      </c>
      <c r="AI112" s="34" t="e">
        <f t="shared" si="126"/>
        <v>#DIV/0!</v>
      </c>
      <c r="AJ112" s="46" t="e">
        <f t="shared" si="127"/>
        <v>#DIV/0!</v>
      </c>
      <c r="AK112" s="40">
        <v>32</v>
      </c>
      <c r="AL112" s="41">
        <f t="shared" si="128"/>
        <v>41.216000000000001</v>
      </c>
      <c r="AM112" s="36">
        <v>22345</v>
      </c>
      <c r="AN112" s="284">
        <v>29</v>
      </c>
      <c r="AO112" s="26"/>
      <c r="AP112" s="26"/>
      <c r="AQ112" s="27"/>
      <c r="AR112" s="27"/>
      <c r="AS112" s="27"/>
      <c r="AT112" s="27"/>
      <c r="AU112" s="27"/>
      <c r="AV112" s="27"/>
      <c r="AW112" s="26"/>
      <c r="AX112" s="26"/>
      <c r="AY112" s="26"/>
      <c r="AZ112" s="26"/>
      <c r="BA112" s="26"/>
      <c r="BB112" s="26"/>
      <c r="BC112" s="26"/>
      <c r="BD112" s="26"/>
      <c r="BE112" s="26"/>
      <c r="BF112" s="26"/>
      <c r="BG112" s="26"/>
      <c r="BH112" s="26"/>
      <c r="BI112" s="26"/>
    </row>
    <row r="113" spans="1:61" ht="28.5" customHeight="1">
      <c r="A113" s="336"/>
      <c r="B113" s="323"/>
      <c r="C113" s="42" t="s">
        <v>109</v>
      </c>
      <c r="D113" s="28">
        <f t="shared" si="112"/>
        <v>0.24575675675675673</v>
      </c>
      <c r="E113" s="201">
        <v>0.373</v>
      </c>
      <c r="F113" s="30">
        <f t="shared" si="113"/>
        <v>0.12724324324324326</v>
      </c>
      <c r="G113" s="30">
        <f t="shared" si="114"/>
        <v>0</v>
      </c>
      <c r="H113" s="48"/>
      <c r="I113" s="48"/>
      <c r="J113" s="48"/>
      <c r="K113" s="48"/>
      <c r="L113" s="334"/>
      <c r="M113" s="48"/>
      <c r="N113" s="36"/>
      <c r="O113" s="36">
        <v>1</v>
      </c>
      <c r="P113" s="31">
        <f t="shared" si="115"/>
        <v>1</v>
      </c>
      <c r="Q113" s="36"/>
      <c r="R113" s="167">
        <v>0</v>
      </c>
      <c r="S113" s="36"/>
      <c r="T113" s="34">
        <f t="shared" si="116"/>
        <v>44400</v>
      </c>
      <c r="U113" s="31">
        <f t="shared" si="117"/>
        <v>0</v>
      </c>
      <c r="V113" s="34">
        <f t="shared" si="118"/>
        <v>44400</v>
      </c>
      <c r="W113" s="43">
        <v>44400</v>
      </c>
      <c r="X113" s="34">
        <f t="shared" si="119"/>
        <v>16989.235200000003</v>
      </c>
      <c r="Y113" s="34">
        <f t="shared" si="120"/>
        <v>16989.235200000003</v>
      </c>
      <c r="Z113" s="34">
        <f t="shared" si="121"/>
        <v>5649.6</v>
      </c>
      <c r="AA113" s="48">
        <v>5136</v>
      </c>
      <c r="AB113" s="36"/>
      <c r="AC113" s="204">
        <f t="shared" ref="AC113:AC133" si="129">(1210+1100)*Q113</f>
        <v>0</v>
      </c>
      <c r="AD113" s="152">
        <v>0.11</v>
      </c>
      <c r="AE113" s="31">
        <f t="shared" ref="AE113:AE114" si="130">4150*(P113+S113)</f>
        <v>4150</v>
      </c>
      <c r="AF113" s="28">
        <f t="shared" si="123"/>
        <v>0.20346846846846847</v>
      </c>
      <c r="AG113" s="34">
        <f t="shared" si="124"/>
        <v>9034.0300000000007</v>
      </c>
      <c r="AH113" s="34">
        <f t="shared" si="125"/>
        <v>1837.6734799999995</v>
      </c>
      <c r="AI113" s="34">
        <f t="shared" si="126"/>
        <v>16539.061320000001</v>
      </c>
      <c r="AJ113" s="46">
        <f t="shared" si="127"/>
        <v>10889.46132</v>
      </c>
      <c r="AK113" s="40">
        <v>68.7</v>
      </c>
      <c r="AL113" s="41">
        <f t="shared" si="128"/>
        <v>88.485600000000005</v>
      </c>
      <c r="AM113" s="36">
        <v>38412</v>
      </c>
      <c r="AN113" s="284">
        <v>22</v>
      </c>
      <c r="AO113" s="26"/>
      <c r="AP113" s="26"/>
      <c r="AQ113" s="27"/>
      <c r="AR113" s="27"/>
      <c r="AS113" s="27"/>
      <c r="AT113" s="27"/>
      <c r="AU113" s="27"/>
      <c r="AV113" s="27"/>
      <c r="AW113" s="26"/>
      <c r="AX113" s="26"/>
      <c r="AY113" s="26"/>
      <c r="AZ113" s="26"/>
      <c r="BA113" s="26"/>
      <c r="BB113" s="26"/>
      <c r="BC113" s="26"/>
      <c r="BD113" s="26"/>
      <c r="BE113" s="26"/>
      <c r="BF113" s="26"/>
      <c r="BG113" s="26"/>
      <c r="BH113" s="26"/>
      <c r="BI113" s="26"/>
    </row>
    <row r="114" spans="1:61" ht="28.5" customHeight="1">
      <c r="A114" s="311"/>
      <c r="B114" s="324"/>
      <c r="C114" s="42" t="s">
        <v>110</v>
      </c>
      <c r="D114" s="28">
        <f t="shared" si="112"/>
        <v>0.14232799145299144</v>
      </c>
      <c r="E114" s="201">
        <v>0.29499999999999998</v>
      </c>
      <c r="F114" s="30">
        <f t="shared" si="113"/>
        <v>0.15267200854700855</v>
      </c>
      <c r="G114" s="30">
        <f t="shared" si="114"/>
        <v>6.8181818181818177E-2</v>
      </c>
      <c r="H114" s="48"/>
      <c r="I114" s="48"/>
      <c r="J114" s="48"/>
      <c r="K114" s="48"/>
      <c r="L114" s="310"/>
      <c r="M114" s="48"/>
      <c r="N114" s="36"/>
      <c r="O114" s="36">
        <v>4</v>
      </c>
      <c r="P114" s="31">
        <f t="shared" si="115"/>
        <v>4</v>
      </c>
      <c r="Q114" s="36">
        <v>1</v>
      </c>
      <c r="R114" s="167">
        <v>6</v>
      </c>
      <c r="S114" s="36"/>
      <c r="T114" s="34">
        <f t="shared" si="116"/>
        <v>187200</v>
      </c>
      <c r="U114" s="31">
        <f t="shared" si="117"/>
        <v>0</v>
      </c>
      <c r="V114" s="34">
        <f t="shared" si="118"/>
        <v>187200</v>
      </c>
      <c r="W114" s="43">
        <v>46800</v>
      </c>
      <c r="X114" s="34">
        <f t="shared" si="119"/>
        <v>22182.451200000003</v>
      </c>
      <c r="Y114" s="34">
        <f t="shared" si="120"/>
        <v>88729.804800000013</v>
      </c>
      <c r="Z114" s="34">
        <f t="shared" si="121"/>
        <v>26270.2</v>
      </c>
      <c r="AA114" s="48">
        <v>23882</v>
      </c>
      <c r="AB114" s="36"/>
      <c r="AC114" s="204">
        <f t="shared" si="129"/>
        <v>2310</v>
      </c>
      <c r="AD114" s="152">
        <v>0.11</v>
      </c>
      <c r="AE114" s="31">
        <f t="shared" si="130"/>
        <v>16600</v>
      </c>
      <c r="AF114" s="28">
        <f t="shared" si="123"/>
        <v>0.19867521367521368</v>
      </c>
      <c r="AG114" s="34">
        <f t="shared" si="124"/>
        <v>37192.03</v>
      </c>
      <c r="AH114" s="34">
        <f t="shared" si="125"/>
        <v>6127.8165199999985</v>
      </c>
      <c r="AI114" s="34">
        <f t="shared" si="126"/>
        <v>55150.348679999996</v>
      </c>
      <c r="AJ114" s="46">
        <f t="shared" si="127"/>
        <v>28880.148679999995</v>
      </c>
      <c r="AK114" s="40">
        <v>89.7</v>
      </c>
      <c r="AL114" s="41">
        <f t="shared" si="128"/>
        <v>115.53360000000001</v>
      </c>
      <c r="AM114" s="36">
        <v>39868</v>
      </c>
      <c r="AN114" s="284">
        <v>88</v>
      </c>
      <c r="AO114" s="26"/>
      <c r="AP114" s="26"/>
      <c r="AQ114" s="27"/>
      <c r="AR114" s="27"/>
      <c r="AS114" s="27"/>
      <c r="AT114" s="27"/>
      <c r="AU114" s="27"/>
      <c r="AV114" s="27"/>
      <c r="AW114" s="26"/>
      <c r="AX114" s="26"/>
      <c r="AY114" s="26"/>
      <c r="AZ114" s="26"/>
      <c r="BA114" s="26"/>
      <c r="BB114" s="26"/>
      <c r="BC114" s="26"/>
      <c r="BD114" s="26"/>
      <c r="BE114" s="26"/>
      <c r="BF114" s="26"/>
      <c r="BG114" s="26"/>
      <c r="BH114" s="26"/>
      <c r="BI114" s="26"/>
    </row>
    <row r="115" spans="1:61" ht="28.5" customHeight="1">
      <c r="A115" s="26"/>
      <c r="B115" s="323"/>
      <c r="C115" s="42" t="s">
        <v>32</v>
      </c>
      <c r="D115" s="28">
        <f t="shared" si="112"/>
        <v>0.21474080267558524</v>
      </c>
      <c r="E115" s="201">
        <v>0.41</v>
      </c>
      <c r="F115" s="30">
        <f t="shared" si="113"/>
        <v>0.19525919732441474</v>
      </c>
      <c r="G115" s="30">
        <f t="shared" si="114"/>
        <v>3.9215686274509803E-2</v>
      </c>
      <c r="H115" s="33"/>
      <c r="I115" s="48"/>
      <c r="J115" s="48"/>
      <c r="K115" s="48"/>
      <c r="L115" s="334"/>
      <c r="M115" s="48"/>
      <c r="N115" s="36"/>
      <c r="O115" s="36">
        <v>11</v>
      </c>
      <c r="P115" s="31">
        <f t="shared" si="115"/>
        <v>11</v>
      </c>
      <c r="Q115" s="36">
        <v>2</v>
      </c>
      <c r="R115" s="167">
        <v>8</v>
      </c>
      <c r="S115" s="36"/>
      <c r="T115" s="34">
        <f t="shared" si="116"/>
        <v>657800</v>
      </c>
      <c r="U115" s="31">
        <f t="shared" si="117"/>
        <v>0</v>
      </c>
      <c r="V115" s="34">
        <f t="shared" si="118"/>
        <v>657800</v>
      </c>
      <c r="W115" s="43">
        <v>59800</v>
      </c>
      <c r="X115" s="34">
        <f t="shared" si="119"/>
        <v>21143.807999999997</v>
      </c>
      <c r="Y115" s="34">
        <f t="shared" si="120"/>
        <v>232581.88799999998</v>
      </c>
      <c r="Z115" s="34">
        <f t="shared" si="121"/>
        <v>123821.50000000001</v>
      </c>
      <c r="AA115" s="48">
        <v>112565</v>
      </c>
      <c r="AB115" s="36"/>
      <c r="AC115" s="204">
        <f t="shared" si="129"/>
        <v>4620</v>
      </c>
      <c r="AD115" s="152">
        <v>0.108</v>
      </c>
      <c r="AE115" s="31">
        <f t="shared" ref="AE115:AE116" si="131">4825*(P115+S115)</f>
        <v>53075</v>
      </c>
      <c r="AF115" s="28">
        <f t="shared" si="123"/>
        <v>0.188685618729097</v>
      </c>
      <c r="AG115" s="34">
        <f t="shared" si="124"/>
        <v>124117.43000000001</v>
      </c>
      <c r="AH115" s="34">
        <f t="shared" si="125"/>
        <v>30110.068200000002</v>
      </c>
      <c r="AI115" s="34">
        <f t="shared" si="126"/>
        <v>270990.61380000005</v>
      </c>
      <c r="AJ115" s="46">
        <f t="shared" si="127"/>
        <v>147169.11380000005</v>
      </c>
      <c r="AK115" s="40">
        <v>85.5</v>
      </c>
      <c r="AL115" s="41">
        <f t="shared" si="128"/>
        <v>110.124</v>
      </c>
      <c r="AM115" s="36">
        <v>25675</v>
      </c>
      <c r="AN115" s="284">
        <v>204</v>
      </c>
      <c r="AO115" s="26"/>
      <c r="AP115" s="26"/>
      <c r="AQ115" s="27"/>
      <c r="AR115" s="27"/>
      <c r="AS115" s="27"/>
      <c r="AT115" s="27"/>
      <c r="AU115" s="27"/>
      <c r="AV115" s="27"/>
      <c r="AW115" s="26"/>
      <c r="AX115" s="26"/>
      <c r="AY115" s="26"/>
      <c r="AZ115" s="26"/>
      <c r="BA115" s="26"/>
      <c r="BB115" s="26"/>
      <c r="BC115" s="26"/>
      <c r="BD115" s="26"/>
      <c r="BE115" s="26"/>
      <c r="BF115" s="26"/>
      <c r="BG115" s="26"/>
      <c r="BH115" s="26"/>
      <c r="BI115" s="26"/>
    </row>
    <row r="116" spans="1:61" ht="28.5" customHeight="1">
      <c r="A116" s="26"/>
      <c r="B116" s="333"/>
      <c r="C116" s="42" t="s">
        <v>33</v>
      </c>
      <c r="D116" s="28">
        <f t="shared" si="112"/>
        <v>0.17922467402206621</v>
      </c>
      <c r="E116" s="201">
        <v>0.40100000000000002</v>
      </c>
      <c r="F116" s="30">
        <f t="shared" si="113"/>
        <v>0.22177532597793381</v>
      </c>
      <c r="G116" s="30">
        <f t="shared" si="114"/>
        <v>2.3972602739726026E-2</v>
      </c>
      <c r="H116" s="48"/>
      <c r="I116" s="48"/>
      <c r="J116" s="48"/>
      <c r="K116" s="48"/>
      <c r="L116" s="310"/>
      <c r="M116" s="48"/>
      <c r="N116" s="36"/>
      <c r="O116" s="36">
        <v>11</v>
      </c>
      <c r="P116" s="31">
        <f t="shared" si="115"/>
        <v>11</v>
      </c>
      <c r="Q116" s="36">
        <v>2</v>
      </c>
      <c r="R116" s="167">
        <v>7</v>
      </c>
      <c r="S116" s="36"/>
      <c r="T116" s="34">
        <f t="shared" si="116"/>
        <v>767690</v>
      </c>
      <c r="U116" s="31">
        <f t="shared" si="117"/>
        <v>0</v>
      </c>
      <c r="V116" s="34">
        <f t="shared" si="118"/>
        <v>767690</v>
      </c>
      <c r="W116" s="43">
        <v>69790</v>
      </c>
      <c r="X116" s="34">
        <f t="shared" si="119"/>
        <v>26337.023999999998</v>
      </c>
      <c r="Y116" s="34">
        <f t="shared" si="120"/>
        <v>289707.26399999997</v>
      </c>
      <c r="Z116" s="34">
        <f t="shared" si="121"/>
        <v>165634.70000000001</v>
      </c>
      <c r="AA116" s="48">
        <v>150577</v>
      </c>
      <c r="AB116" s="36"/>
      <c r="AC116" s="204">
        <f t="shared" si="129"/>
        <v>4620</v>
      </c>
      <c r="AD116" s="152">
        <v>0.108</v>
      </c>
      <c r="AE116" s="31">
        <f t="shared" si="131"/>
        <v>53075</v>
      </c>
      <c r="AF116" s="28">
        <f t="shared" si="123"/>
        <v>0.17713597936667144</v>
      </c>
      <c r="AG116" s="34">
        <f t="shared" si="124"/>
        <v>135985.54999999999</v>
      </c>
      <c r="AH116" s="34">
        <f t="shared" si="125"/>
        <v>34199.7186</v>
      </c>
      <c r="AI116" s="34">
        <f t="shared" si="126"/>
        <v>307797.46740000002</v>
      </c>
      <c r="AJ116" s="46">
        <f t="shared" si="127"/>
        <v>142162.76740000001</v>
      </c>
      <c r="AK116" s="40">
        <v>106.5</v>
      </c>
      <c r="AL116" s="41">
        <f t="shared" si="128"/>
        <v>137.172</v>
      </c>
      <c r="AM116" s="36">
        <v>57506</v>
      </c>
      <c r="AN116" s="284">
        <v>292</v>
      </c>
      <c r="AO116" s="26"/>
      <c r="AP116" s="26"/>
      <c r="AQ116" s="27"/>
      <c r="AR116" s="27"/>
      <c r="AS116" s="27"/>
      <c r="AT116" s="27"/>
      <c r="AU116" s="27"/>
      <c r="AV116" s="27"/>
      <c r="AW116" s="26"/>
      <c r="AX116" s="26"/>
      <c r="AY116" s="26"/>
      <c r="AZ116" s="26"/>
      <c r="BA116" s="26"/>
      <c r="BB116" s="26"/>
      <c r="BC116" s="26"/>
      <c r="BD116" s="26"/>
      <c r="BE116" s="26"/>
      <c r="BF116" s="26"/>
      <c r="BG116" s="26"/>
      <c r="BH116" s="26"/>
      <c r="BI116" s="26"/>
    </row>
    <row r="117" spans="1:61" ht="28.5" customHeight="1">
      <c r="A117" s="26"/>
      <c r="B117" s="333"/>
      <c r="C117" s="42" t="s">
        <v>149</v>
      </c>
      <c r="D117" s="28">
        <f t="shared" si="112"/>
        <v>-0.23556427758816834</v>
      </c>
      <c r="E117" s="201">
        <v>0.40100000000000002</v>
      </c>
      <c r="F117" s="30">
        <f t="shared" si="113"/>
        <v>0.63656427758816836</v>
      </c>
      <c r="G117" s="30">
        <f t="shared" si="114"/>
        <v>2.0408163265306121E-2</v>
      </c>
      <c r="H117" s="48"/>
      <c r="I117" s="48"/>
      <c r="J117" s="48"/>
      <c r="K117" s="48"/>
      <c r="L117" s="334"/>
      <c r="M117" s="48"/>
      <c r="N117" s="36"/>
      <c r="O117" s="36">
        <v>1</v>
      </c>
      <c r="P117" s="31">
        <f t="shared" si="115"/>
        <v>1</v>
      </c>
      <c r="Q117" s="36"/>
      <c r="R117" s="167">
        <v>1</v>
      </c>
      <c r="S117" s="36"/>
      <c r="T117" s="34">
        <f t="shared" si="116"/>
        <v>96690</v>
      </c>
      <c r="U117" s="31">
        <f t="shared" si="117"/>
        <v>0</v>
      </c>
      <c r="V117" s="34">
        <f t="shared" si="118"/>
        <v>96690</v>
      </c>
      <c r="W117" s="43">
        <v>96690</v>
      </c>
      <c r="X117" s="34">
        <f t="shared" si="119"/>
        <v>36723.455999999998</v>
      </c>
      <c r="Y117" s="34">
        <f t="shared" si="120"/>
        <v>36723.455999999998</v>
      </c>
      <c r="Z117" s="34">
        <f t="shared" si="121"/>
        <v>61549.4</v>
      </c>
      <c r="AA117" s="48">
        <v>55954</v>
      </c>
      <c r="AB117" s="36"/>
      <c r="AC117" s="204">
        <f t="shared" si="129"/>
        <v>0</v>
      </c>
      <c r="AD117" s="152">
        <v>0.108</v>
      </c>
      <c r="AE117" s="31">
        <f t="shared" ref="AE117:AE118" si="132">6200*(P117+S117)</f>
        <v>6200</v>
      </c>
      <c r="AF117" s="28">
        <f t="shared" si="123"/>
        <v>0.17212245320095149</v>
      </c>
      <c r="AG117" s="34">
        <f t="shared" si="124"/>
        <v>16642.55</v>
      </c>
      <c r="AH117" s="34">
        <f t="shared" si="125"/>
        <v>4332.3994000000002</v>
      </c>
      <c r="AI117" s="34">
        <f t="shared" si="126"/>
        <v>38991.594600000004</v>
      </c>
      <c r="AJ117" s="46">
        <f t="shared" si="127"/>
        <v>-22557.805399999997</v>
      </c>
      <c r="AK117" s="40">
        <v>148.5</v>
      </c>
      <c r="AL117" s="41">
        <f t="shared" si="128"/>
        <v>191.268</v>
      </c>
      <c r="AM117" s="36">
        <v>8521</v>
      </c>
      <c r="AN117" s="284">
        <v>49</v>
      </c>
      <c r="AO117" s="26"/>
      <c r="AP117" s="26"/>
      <c r="AQ117" s="27"/>
      <c r="AR117" s="27"/>
      <c r="AS117" s="27"/>
      <c r="AT117" s="27"/>
      <c r="AU117" s="27"/>
      <c r="AV117" s="27"/>
      <c r="AW117" s="26"/>
      <c r="AX117" s="26"/>
      <c r="AY117" s="26"/>
      <c r="AZ117" s="26"/>
      <c r="BA117" s="26"/>
      <c r="BB117" s="26"/>
      <c r="BC117" s="26"/>
      <c r="BD117" s="26"/>
      <c r="BE117" s="26"/>
      <c r="BF117" s="26"/>
      <c r="BG117" s="26"/>
      <c r="BH117" s="26"/>
      <c r="BI117" s="26"/>
    </row>
    <row r="118" spans="1:61" ht="28.5" customHeight="1">
      <c r="A118" s="26"/>
      <c r="B118" s="324"/>
      <c r="C118" s="42" t="s">
        <v>150</v>
      </c>
      <c r="D118" s="28">
        <f t="shared" si="112"/>
        <v>8.1579045837231079E-2</v>
      </c>
      <c r="E118" s="201">
        <v>0.39600000000000002</v>
      </c>
      <c r="F118" s="30">
        <f t="shared" si="113"/>
        <v>0.31442095416276894</v>
      </c>
      <c r="G118" s="30">
        <f t="shared" si="114"/>
        <v>3.0303030303030304E-2</v>
      </c>
      <c r="H118" s="48"/>
      <c r="I118" s="283"/>
      <c r="J118" s="48"/>
      <c r="K118" s="48"/>
      <c r="L118" s="310"/>
      <c r="M118" s="48"/>
      <c r="N118" s="36"/>
      <c r="O118" s="36">
        <v>3</v>
      </c>
      <c r="P118" s="31">
        <f t="shared" si="115"/>
        <v>3</v>
      </c>
      <c r="Q118" s="36">
        <v>1</v>
      </c>
      <c r="R118" s="167">
        <v>2</v>
      </c>
      <c r="S118" s="36"/>
      <c r="T118" s="34">
        <f t="shared" si="116"/>
        <v>320700</v>
      </c>
      <c r="U118" s="31">
        <f t="shared" si="117"/>
        <v>0</v>
      </c>
      <c r="V118" s="34">
        <f t="shared" si="118"/>
        <v>320700</v>
      </c>
      <c r="W118" s="43">
        <v>106900</v>
      </c>
      <c r="X118" s="34">
        <f t="shared" si="119"/>
        <v>41916.671999999999</v>
      </c>
      <c r="Y118" s="34">
        <f t="shared" si="120"/>
        <v>125750.016</v>
      </c>
      <c r="Z118" s="34">
        <f t="shared" si="121"/>
        <v>98524.800000000003</v>
      </c>
      <c r="AA118" s="48">
        <v>89568</v>
      </c>
      <c r="AB118" s="36"/>
      <c r="AC118" s="204">
        <f t="shared" si="129"/>
        <v>2310</v>
      </c>
      <c r="AD118" s="152">
        <v>0.108</v>
      </c>
      <c r="AE118" s="31">
        <f t="shared" si="132"/>
        <v>18600</v>
      </c>
      <c r="AF118" s="28">
        <f t="shared" si="123"/>
        <v>0.16599812909260991</v>
      </c>
      <c r="AG118" s="34">
        <f t="shared" si="124"/>
        <v>53235.63</v>
      </c>
      <c r="AH118" s="34">
        <f t="shared" si="125"/>
        <v>14171.435399999998</v>
      </c>
      <c r="AI118" s="34">
        <f t="shared" si="126"/>
        <v>127542.9186</v>
      </c>
      <c r="AJ118" s="46">
        <f t="shared" si="127"/>
        <v>29018.118600000002</v>
      </c>
      <c r="AK118" s="40">
        <v>169.5</v>
      </c>
      <c r="AL118" s="41">
        <f t="shared" si="128"/>
        <v>218.316</v>
      </c>
      <c r="AM118" s="36">
        <v>12925</v>
      </c>
      <c r="AN118" s="284">
        <v>66</v>
      </c>
      <c r="AO118" s="26"/>
      <c r="AP118" s="26"/>
      <c r="AQ118" s="27"/>
      <c r="AR118" s="27"/>
      <c r="AS118" s="27"/>
      <c r="AT118" s="27"/>
      <c r="AU118" s="27"/>
      <c r="AV118" s="27"/>
      <c r="AW118" s="26"/>
      <c r="AX118" s="26"/>
      <c r="AY118" s="26"/>
      <c r="AZ118" s="26"/>
      <c r="BA118" s="26"/>
      <c r="BB118" s="26"/>
      <c r="BC118" s="26"/>
      <c r="BD118" s="26"/>
      <c r="BE118" s="26"/>
      <c r="BF118" s="26"/>
      <c r="BG118" s="26"/>
      <c r="BH118" s="26"/>
      <c r="BI118" s="26"/>
    </row>
    <row r="119" spans="1:61" ht="28.5" customHeight="1">
      <c r="A119" s="26"/>
      <c r="B119" s="200"/>
      <c r="C119" s="42" t="s">
        <v>111</v>
      </c>
      <c r="D119" s="28">
        <f t="shared" si="112"/>
        <v>0.13003846153846152</v>
      </c>
      <c r="E119" s="201">
        <v>0.378</v>
      </c>
      <c r="F119" s="30">
        <f t="shared" si="113"/>
        <v>0.24796153846153848</v>
      </c>
      <c r="G119" s="30">
        <f t="shared" si="114"/>
        <v>2.9411764705882353E-2</v>
      </c>
      <c r="H119" s="48"/>
      <c r="I119" s="48"/>
      <c r="J119" s="48"/>
      <c r="K119" s="210"/>
      <c r="L119" s="210"/>
      <c r="M119" s="210"/>
      <c r="N119" s="36"/>
      <c r="O119" s="36">
        <v>5</v>
      </c>
      <c r="P119" s="31">
        <f t="shared" si="115"/>
        <v>5</v>
      </c>
      <c r="Q119" s="36">
        <v>1</v>
      </c>
      <c r="R119" s="167">
        <v>2</v>
      </c>
      <c r="S119" s="36"/>
      <c r="T119" s="34">
        <f t="shared" si="116"/>
        <v>85800</v>
      </c>
      <c r="U119" s="31">
        <f t="shared" si="117"/>
        <v>0</v>
      </c>
      <c r="V119" s="34">
        <f t="shared" si="118"/>
        <v>85800</v>
      </c>
      <c r="W119" s="43">
        <v>17160</v>
      </c>
      <c r="X119" s="34">
        <f t="shared" si="119"/>
        <v>5687.8080000000009</v>
      </c>
      <c r="Y119" s="34">
        <f t="shared" si="120"/>
        <v>28439.040000000005</v>
      </c>
      <c r="Z119" s="34">
        <f t="shared" si="121"/>
        <v>18965.100000000002</v>
      </c>
      <c r="AA119" s="48">
        <v>17241</v>
      </c>
      <c r="AB119" s="36"/>
      <c r="AC119" s="204">
        <f t="shared" si="129"/>
        <v>2310</v>
      </c>
      <c r="AD119" s="152">
        <v>7.8E-2</v>
      </c>
      <c r="AE119" s="31">
        <f>2900*(P119+S119)</f>
        <v>14500</v>
      </c>
      <c r="AF119" s="28">
        <f t="shared" si="123"/>
        <v>0.24699766899766901</v>
      </c>
      <c r="AG119" s="34">
        <f t="shared" si="124"/>
        <v>21192.43</v>
      </c>
      <c r="AH119" s="34">
        <f t="shared" si="125"/>
        <v>3616.8529999999992</v>
      </c>
      <c r="AI119" s="34">
        <f t="shared" si="126"/>
        <v>32551.676999999996</v>
      </c>
      <c r="AJ119" s="46">
        <f t="shared" si="127"/>
        <v>13586.576999999994</v>
      </c>
      <c r="AK119" s="40">
        <v>23</v>
      </c>
      <c r="AL119" s="41">
        <f t="shared" si="128"/>
        <v>29.624000000000002</v>
      </c>
      <c r="AM119" s="36">
        <v>25804</v>
      </c>
      <c r="AN119" s="284">
        <v>68</v>
      </c>
      <c r="AO119" s="26"/>
      <c r="AP119" s="26"/>
      <c r="AQ119" s="27"/>
      <c r="AR119" s="27"/>
      <c r="AS119" s="27"/>
      <c r="AT119" s="27"/>
      <c r="AU119" s="27"/>
      <c r="AV119" s="27"/>
      <c r="AW119" s="26"/>
      <c r="AX119" s="26"/>
      <c r="AY119" s="26"/>
      <c r="AZ119" s="26"/>
      <c r="BA119" s="26"/>
      <c r="BB119" s="26"/>
      <c r="BC119" s="26"/>
      <c r="BD119" s="26"/>
      <c r="BE119" s="26"/>
      <c r="BF119" s="26"/>
      <c r="BG119" s="26"/>
      <c r="BH119" s="26"/>
      <c r="BI119" s="26"/>
    </row>
    <row r="120" spans="1:61" ht="28.5" customHeight="1">
      <c r="A120" s="26"/>
      <c r="B120" s="207"/>
      <c r="C120" s="42" t="s">
        <v>151</v>
      </c>
      <c r="D120" s="28">
        <f t="shared" si="112"/>
        <v>-0.13859477124183006</v>
      </c>
      <c r="E120" s="201">
        <v>0.27700000000000002</v>
      </c>
      <c r="F120" s="30">
        <f t="shared" si="113"/>
        <v>0.41559477124183009</v>
      </c>
      <c r="G120" s="30">
        <f t="shared" si="114"/>
        <v>9.4488188976377951E-2</v>
      </c>
      <c r="H120" s="48"/>
      <c r="I120" s="48"/>
      <c r="J120" s="48"/>
      <c r="K120" s="210"/>
      <c r="L120" s="335"/>
      <c r="M120" s="210"/>
      <c r="N120" s="36"/>
      <c r="O120" s="36">
        <v>17</v>
      </c>
      <c r="P120" s="31">
        <f t="shared" si="115"/>
        <v>17</v>
      </c>
      <c r="Q120" s="36">
        <v>1</v>
      </c>
      <c r="R120" s="167">
        <v>12</v>
      </c>
      <c r="S120" s="36"/>
      <c r="T120" s="34">
        <f t="shared" si="116"/>
        <v>168300</v>
      </c>
      <c r="U120" s="31">
        <f t="shared" si="117"/>
        <v>0</v>
      </c>
      <c r="V120" s="34">
        <f t="shared" si="118"/>
        <v>168300</v>
      </c>
      <c r="W120" s="43">
        <v>9900</v>
      </c>
      <c r="X120" s="34">
        <f t="shared" si="119"/>
        <v>3462.1440000000002</v>
      </c>
      <c r="Y120" s="34">
        <f t="shared" si="120"/>
        <v>58856.448000000004</v>
      </c>
      <c r="Z120" s="34">
        <f t="shared" si="121"/>
        <v>67634.600000000006</v>
      </c>
      <c r="AA120" s="48">
        <v>61486</v>
      </c>
      <c r="AB120" s="36"/>
      <c r="AC120" s="204">
        <f t="shared" si="129"/>
        <v>2310</v>
      </c>
      <c r="AD120" s="152">
        <v>0.1</v>
      </c>
      <c r="AE120" s="31">
        <f>3275*(P120+S120)</f>
        <v>55675</v>
      </c>
      <c r="AF120" s="28">
        <f t="shared" si="123"/>
        <v>0.43080808080808086</v>
      </c>
      <c r="AG120" s="34">
        <f t="shared" si="124"/>
        <v>72505.030000000013</v>
      </c>
      <c r="AH120" s="34">
        <f t="shared" si="125"/>
        <v>3693.8521999999994</v>
      </c>
      <c r="AI120" s="34">
        <f t="shared" si="126"/>
        <v>33244.669800000003</v>
      </c>
      <c r="AJ120" s="46">
        <f t="shared" si="127"/>
        <v>-34389.930200000003</v>
      </c>
      <c r="AK120" s="40">
        <v>14</v>
      </c>
      <c r="AL120" s="41">
        <f t="shared" si="128"/>
        <v>18.032</v>
      </c>
      <c r="AM120" s="36">
        <v>58966</v>
      </c>
      <c r="AN120" s="284">
        <v>127</v>
      </c>
      <c r="AO120" s="26"/>
      <c r="AP120" s="26"/>
      <c r="AQ120" s="27"/>
      <c r="AR120" s="27"/>
      <c r="AS120" s="27"/>
      <c r="AT120" s="27"/>
      <c r="AU120" s="27"/>
      <c r="AV120" s="27"/>
      <c r="AW120" s="26"/>
      <c r="AX120" s="26"/>
      <c r="AY120" s="26"/>
      <c r="AZ120" s="26"/>
      <c r="BA120" s="26"/>
      <c r="BB120" s="26"/>
      <c r="BC120" s="26"/>
      <c r="BD120" s="26"/>
      <c r="BE120" s="26"/>
      <c r="BF120" s="26"/>
      <c r="BG120" s="26"/>
      <c r="BH120" s="26"/>
      <c r="BI120" s="26"/>
    </row>
    <row r="121" spans="1:61" ht="28.5" customHeight="1">
      <c r="A121" s="26"/>
      <c r="B121" s="212"/>
      <c r="C121" s="42" t="s">
        <v>152</v>
      </c>
      <c r="D121" s="28">
        <f t="shared" si="112"/>
        <v>-0.22871230158730166</v>
      </c>
      <c r="E121" s="201">
        <v>0.34200000000000003</v>
      </c>
      <c r="F121" s="30">
        <f t="shared" si="113"/>
        <v>0.57071230158730168</v>
      </c>
      <c r="G121" s="30">
        <f t="shared" si="114"/>
        <v>3.8834951456310676E-2</v>
      </c>
      <c r="H121" s="48"/>
      <c r="I121" s="48"/>
      <c r="J121" s="48"/>
      <c r="K121" s="210"/>
      <c r="L121" s="310"/>
      <c r="M121" s="210"/>
      <c r="N121" s="36"/>
      <c r="O121" s="36">
        <v>8</v>
      </c>
      <c r="P121" s="31">
        <f t="shared" si="115"/>
        <v>8</v>
      </c>
      <c r="Q121" s="36">
        <v>1</v>
      </c>
      <c r="R121" s="167">
        <v>8</v>
      </c>
      <c r="S121" s="36"/>
      <c r="T121" s="34">
        <f t="shared" si="116"/>
        <v>151200</v>
      </c>
      <c r="U121" s="31">
        <f t="shared" si="117"/>
        <v>0</v>
      </c>
      <c r="V121" s="34">
        <f t="shared" si="118"/>
        <v>151200</v>
      </c>
      <c r="W121" s="43">
        <v>18900</v>
      </c>
      <c r="X121" s="34">
        <f t="shared" si="119"/>
        <v>6924.2880000000005</v>
      </c>
      <c r="Y121" s="34">
        <f t="shared" si="120"/>
        <v>55394.304000000004</v>
      </c>
      <c r="Z121" s="34">
        <f t="shared" si="121"/>
        <v>83981.700000000012</v>
      </c>
      <c r="AA121" s="48">
        <v>76347</v>
      </c>
      <c r="AB121" s="36"/>
      <c r="AC121" s="204">
        <f t="shared" si="129"/>
        <v>2310</v>
      </c>
      <c r="AD121" s="152">
        <v>0.1</v>
      </c>
      <c r="AE121" s="31">
        <f>3425*(P121+S121)</f>
        <v>27400</v>
      </c>
      <c r="AF121" s="28">
        <f t="shared" si="123"/>
        <v>0.28121693121693125</v>
      </c>
      <c r="AG121" s="34">
        <f t="shared" si="124"/>
        <v>42520.030000000006</v>
      </c>
      <c r="AH121" s="34">
        <f t="shared" si="125"/>
        <v>5328.5666000000001</v>
      </c>
      <c r="AI121" s="34">
        <f t="shared" si="126"/>
        <v>47957.099399999992</v>
      </c>
      <c r="AJ121" s="46">
        <f t="shared" si="127"/>
        <v>-36024.60060000002</v>
      </c>
      <c r="AK121" s="40">
        <v>28</v>
      </c>
      <c r="AL121" s="41">
        <f t="shared" si="128"/>
        <v>36.064</v>
      </c>
      <c r="AM121" s="36">
        <v>53555</v>
      </c>
      <c r="AN121" s="284">
        <v>206</v>
      </c>
      <c r="AO121" s="26"/>
      <c r="AP121" s="26"/>
      <c r="AQ121" s="27"/>
      <c r="AR121" s="27"/>
      <c r="AS121" s="27"/>
      <c r="AT121" s="27"/>
      <c r="AU121" s="27"/>
      <c r="AV121" s="27"/>
      <c r="AW121" s="26"/>
      <c r="AX121" s="26"/>
      <c r="AY121" s="26"/>
      <c r="AZ121" s="26"/>
      <c r="BA121" s="26"/>
      <c r="BB121" s="26"/>
      <c r="BC121" s="26"/>
      <c r="BD121" s="26"/>
      <c r="BE121" s="26"/>
      <c r="BF121" s="26"/>
      <c r="BG121" s="26"/>
      <c r="BH121" s="26"/>
      <c r="BI121" s="26"/>
    </row>
    <row r="122" spans="1:61" ht="28.5" customHeight="1">
      <c r="A122" s="295"/>
      <c r="B122" s="296"/>
      <c r="C122" s="42" t="s">
        <v>153</v>
      </c>
      <c r="D122" s="28" t="e">
        <f t="shared" si="112"/>
        <v>#DIV/0!</v>
      </c>
      <c r="E122" s="201">
        <v>0.35</v>
      </c>
      <c r="F122" s="30" t="e">
        <f t="shared" si="113"/>
        <v>#DIV/0!</v>
      </c>
      <c r="G122" s="30" t="e">
        <f t="shared" si="114"/>
        <v>#DIV/0!</v>
      </c>
      <c r="H122" s="48"/>
      <c r="I122" s="48"/>
      <c r="J122" s="48"/>
      <c r="K122" s="26"/>
      <c r="L122" s="26"/>
      <c r="M122" s="210"/>
      <c r="N122" s="36"/>
      <c r="O122" s="36">
        <v>0</v>
      </c>
      <c r="P122" s="31">
        <f t="shared" si="115"/>
        <v>0</v>
      </c>
      <c r="Q122" s="36"/>
      <c r="R122" s="167">
        <v>0</v>
      </c>
      <c r="S122" s="36"/>
      <c r="T122" s="34">
        <f t="shared" si="116"/>
        <v>0</v>
      </c>
      <c r="U122" s="31">
        <f t="shared" si="117"/>
        <v>0</v>
      </c>
      <c r="V122" s="34">
        <f t="shared" si="118"/>
        <v>0</v>
      </c>
      <c r="W122" s="43">
        <v>26010</v>
      </c>
      <c r="X122" s="34">
        <f t="shared" si="119"/>
        <v>10386.432000000001</v>
      </c>
      <c r="Y122" s="34">
        <f t="shared" si="120"/>
        <v>0</v>
      </c>
      <c r="Z122" s="34">
        <f t="shared" si="121"/>
        <v>0</v>
      </c>
      <c r="AA122" s="48">
        <v>0</v>
      </c>
      <c r="AB122" s="36"/>
      <c r="AC122" s="204">
        <f t="shared" si="129"/>
        <v>0</v>
      </c>
      <c r="AD122" s="152">
        <v>0.1</v>
      </c>
      <c r="AE122" s="31">
        <f>5925*(P122+S122)</f>
        <v>0</v>
      </c>
      <c r="AF122" s="28" t="e">
        <f t="shared" si="123"/>
        <v>#DIV/0!</v>
      </c>
      <c r="AG122" s="34" t="e">
        <f t="shared" si="124"/>
        <v>#DIV/0!</v>
      </c>
      <c r="AH122" s="34" t="e">
        <f t="shared" si="125"/>
        <v>#DIV/0!</v>
      </c>
      <c r="AI122" s="34" t="e">
        <f t="shared" si="126"/>
        <v>#DIV/0!</v>
      </c>
      <c r="AJ122" s="46" t="e">
        <f t="shared" si="127"/>
        <v>#DIV/0!</v>
      </c>
      <c r="AK122" s="40">
        <v>42</v>
      </c>
      <c r="AL122" s="41">
        <f t="shared" si="128"/>
        <v>54.096000000000004</v>
      </c>
      <c r="AM122" s="36">
        <v>0</v>
      </c>
      <c r="AN122" s="284">
        <v>0</v>
      </c>
      <c r="AO122" s="26"/>
      <c r="AP122" s="26"/>
      <c r="AQ122" s="27"/>
      <c r="AR122" s="27"/>
      <c r="AS122" s="27"/>
      <c r="AT122" s="27"/>
      <c r="AU122" s="27"/>
      <c r="AV122" s="27"/>
      <c r="AW122" s="26"/>
      <c r="AX122" s="26"/>
      <c r="AY122" s="26"/>
      <c r="AZ122" s="26"/>
      <c r="BA122" s="26"/>
      <c r="BB122" s="26"/>
      <c r="BC122" s="26"/>
      <c r="BD122" s="26"/>
      <c r="BE122" s="26"/>
      <c r="BF122" s="26"/>
      <c r="BG122" s="26"/>
      <c r="BH122" s="26"/>
      <c r="BI122" s="26"/>
    </row>
    <row r="123" spans="1:61" ht="28.5" customHeight="1">
      <c r="A123" s="26"/>
      <c r="B123" s="323"/>
      <c r="C123" s="42" t="s">
        <v>112</v>
      </c>
      <c r="D123" s="28">
        <f t="shared" si="112"/>
        <v>0.18163691555917519</v>
      </c>
      <c r="E123" s="201">
        <v>0.38600000000000001</v>
      </c>
      <c r="F123" s="30">
        <f t="shared" si="113"/>
        <v>0.20436308444082482</v>
      </c>
      <c r="G123" s="30">
        <f t="shared" si="114"/>
        <v>3.4482758620689655E-2</v>
      </c>
      <c r="H123" s="334"/>
      <c r="I123" s="48"/>
      <c r="J123" s="48"/>
      <c r="K123" s="210"/>
      <c r="L123" s="335"/>
      <c r="M123" s="210"/>
      <c r="N123" s="36"/>
      <c r="O123" s="36">
        <v>14</v>
      </c>
      <c r="P123" s="31">
        <f t="shared" si="115"/>
        <v>14</v>
      </c>
      <c r="Q123" s="36"/>
      <c r="R123" s="167">
        <v>5</v>
      </c>
      <c r="S123" s="36"/>
      <c r="T123" s="34">
        <f t="shared" si="116"/>
        <v>540260</v>
      </c>
      <c r="U123" s="31">
        <f t="shared" si="117"/>
        <v>0</v>
      </c>
      <c r="V123" s="34">
        <f t="shared" si="118"/>
        <v>540260</v>
      </c>
      <c r="W123" s="43">
        <v>38590</v>
      </c>
      <c r="X123" s="34">
        <f t="shared" si="119"/>
        <v>15085.056</v>
      </c>
      <c r="Y123" s="34">
        <f t="shared" si="120"/>
        <v>211190.78400000001</v>
      </c>
      <c r="Z123" s="34">
        <f t="shared" si="121"/>
        <v>110409.20000000001</v>
      </c>
      <c r="AA123" s="48">
        <v>100372</v>
      </c>
      <c r="AB123" s="36"/>
      <c r="AC123" s="204">
        <f t="shared" si="129"/>
        <v>0</v>
      </c>
      <c r="AD123" s="152">
        <v>0.08</v>
      </c>
      <c r="AE123" s="31">
        <f t="shared" ref="AE123:AE124" si="133">4150*(P123+S123)</f>
        <v>58100</v>
      </c>
      <c r="AF123" s="28">
        <f t="shared" si="123"/>
        <v>0.18754081368230113</v>
      </c>
      <c r="AG123" s="34">
        <f t="shared" si="124"/>
        <v>101320.83</v>
      </c>
      <c r="AH123" s="34">
        <f t="shared" si="125"/>
        <v>22774.838599999999</v>
      </c>
      <c r="AI123" s="34">
        <f t="shared" si="126"/>
        <v>204973.54739999998</v>
      </c>
      <c r="AJ123" s="46">
        <f t="shared" si="127"/>
        <v>94564.34739999997</v>
      </c>
      <c r="AK123" s="40">
        <v>61</v>
      </c>
      <c r="AL123" s="41">
        <f t="shared" si="128"/>
        <v>78.567999999999998</v>
      </c>
      <c r="AM123" s="36">
        <v>31655</v>
      </c>
      <c r="AN123" s="284">
        <v>145</v>
      </c>
      <c r="AO123" s="26"/>
      <c r="AP123" s="26"/>
      <c r="AQ123" s="27"/>
      <c r="AR123" s="27"/>
      <c r="AS123" s="27"/>
      <c r="AT123" s="27"/>
      <c r="AU123" s="27"/>
      <c r="AV123" s="27"/>
      <c r="AW123" s="26"/>
      <c r="AX123" s="26"/>
      <c r="AY123" s="26"/>
      <c r="AZ123" s="26"/>
      <c r="BA123" s="26"/>
      <c r="BB123" s="26"/>
      <c r="BC123" s="26"/>
      <c r="BD123" s="26"/>
      <c r="BE123" s="26"/>
      <c r="BF123" s="26"/>
      <c r="BG123" s="26"/>
      <c r="BH123" s="26"/>
      <c r="BI123" s="26"/>
    </row>
    <row r="124" spans="1:61" ht="28.5" customHeight="1">
      <c r="A124" s="26"/>
      <c r="B124" s="324"/>
      <c r="C124" s="42" t="s">
        <v>113</v>
      </c>
      <c r="D124" s="28">
        <f t="shared" si="112"/>
        <v>-0.74752564102564101</v>
      </c>
      <c r="E124" s="201">
        <v>0.316</v>
      </c>
      <c r="F124" s="30">
        <f t="shared" si="113"/>
        <v>1.0635256410256411</v>
      </c>
      <c r="G124" s="30">
        <f t="shared" si="114"/>
        <v>2.1621621621621623E-2</v>
      </c>
      <c r="H124" s="310"/>
      <c r="I124" s="48"/>
      <c r="J124" s="48"/>
      <c r="K124" s="210"/>
      <c r="L124" s="310"/>
      <c r="M124" s="210"/>
      <c r="N124" s="36"/>
      <c r="O124" s="36">
        <v>2</v>
      </c>
      <c r="P124" s="31">
        <f t="shared" si="115"/>
        <v>2</v>
      </c>
      <c r="Q124" s="36">
        <v>1</v>
      </c>
      <c r="R124" s="167">
        <v>4</v>
      </c>
      <c r="S124" s="36"/>
      <c r="T124" s="34">
        <f t="shared" si="116"/>
        <v>85800</v>
      </c>
      <c r="U124" s="31">
        <f t="shared" si="117"/>
        <v>0</v>
      </c>
      <c r="V124" s="34">
        <f t="shared" si="118"/>
        <v>85800</v>
      </c>
      <c r="W124" s="43">
        <v>42900</v>
      </c>
      <c r="X124" s="34">
        <f t="shared" si="119"/>
        <v>20278.272000000004</v>
      </c>
      <c r="Y124" s="34">
        <f t="shared" si="120"/>
        <v>40556.544000000009</v>
      </c>
      <c r="Z124" s="34">
        <f t="shared" si="121"/>
        <v>88940.5</v>
      </c>
      <c r="AA124" s="48">
        <v>80855</v>
      </c>
      <c r="AB124" s="36"/>
      <c r="AC124" s="204">
        <f t="shared" si="129"/>
        <v>2310</v>
      </c>
      <c r="AD124" s="152">
        <v>7.8E-2</v>
      </c>
      <c r="AE124" s="31">
        <f t="shared" si="133"/>
        <v>8300</v>
      </c>
      <c r="AF124" s="28">
        <f t="shared" si="123"/>
        <v>0.17473659673659675</v>
      </c>
      <c r="AG124" s="34">
        <f t="shared" si="124"/>
        <v>14992.430000000002</v>
      </c>
      <c r="AH124" s="34">
        <f t="shared" si="125"/>
        <v>3025.1025999999983</v>
      </c>
      <c r="AI124" s="34">
        <f t="shared" si="126"/>
        <v>27225.923399999992</v>
      </c>
      <c r="AJ124" s="46">
        <f t="shared" si="127"/>
        <v>-61714.576600000008</v>
      </c>
      <c r="AK124" s="40">
        <v>82</v>
      </c>
      <c r="AL124" s="41">
        <f t="shared" si="128"/>
        <v>105.61600000000001</v>
      </c>
      <c r="AM124" s="36">
        <v>116639</v>
      </c>
      <c r="AN124" s="284">
        <v>185</v>
      </c>
      <c r="AO124" s="26"/>
      <c r="AP124" s="26"/>
      <c r="AQ124" s="27"/>
      <c r="AR124" s="27"/>
      <c r="AS124" s="27"/>
      <c r="AT124" s="27"/>
      <c r="AU124" s="27"/>
      <c r="AV124" s="27"/>
      <c r="AW124" s="26"/>
      <c r="AX124" s="26"/>
      <c r="AY124" s="26"/>
      <c r="AZ124" s="26"/>
      <c r="BA124" s="26"/>
      <c r="BB124" s="26"/>
      <c r="BC124" s="26"/>
      <c r="BD124" s="26"/>
      <c r="BE124" s="26"/>
      <c r="BF124" s="26"/>
      <c r="BG124" s="26"/>
      <c r="BH124" s="26"/>
      <c r="BI124" s="26"/>
    </row>
    <row r="125" spans="1:61" ht="28.5" customHeight="1">
      <c r="A125" s="26"/>
      <c r="B125" s="200"/>
      <c r="C125" s="42" t="s">
        <v>154</v>
      </c>
      <c r="D125" s="28">
        <f t="shared" si="112"/>
        <v>-0.12621118012422361</v>
      </c>
      <c r="E125" s="201">
        <v>0.185</v>
      </c>
      <c r="F125" s="30">
        <f t="shared" si="113"/>
        <v>0.31121118012422361</v>
      </c>
      <c r="G125" s="30">
        <f t="shared" si="114"/>
        <v>0.16759776536312848</v>
      </c>
      <c r="H125" s="48"/>
      <c r="I125" s="48"/>
      <c r="J125" s="48"/>
      <c r="K125" s="210"/>
      <c r="L125" s="210"/>
      <c r="M125" s="210"/>
      <c r="N125" s="36"/>
      <c r="O125" s="36">
        <v>46</v>
      </c>
      <c r="P125" s="31">
        <f t="shared" si="115"/>
        <v>46</v>
      </c>
      <c r="Q125" s="36">
        <v>5</v>
      </c>
      <c r="R125" s="167">
        <v>30</v>
      </c>
      <c r="S125" s="36"/>
      <c r="T125" s="34">
        <f t="shared" si="116"/>
        <v>450800</v>
      </c>
      <c r="U125" s="31">
        <f t="shared" si="117"/>
        <v>0</v>
      </c>
      <c r="V125" s="34">
        <f t="shared" si="118"/>
        <v>450800</v>
      </c>
      <c r="W125" s="43">
        <v>9800</v>
      </c>
      <c r="X125" s="34">
        <f t="shared" si="119"/>
        <v>4006.1952000000001</v>
      </c>
      <c r="Y125" s="34">
        <f t="shared" si="120"/>
        <v>184284.9792</v>
      </c>
      <c r="Z125" s="34">
        <f t="shared" si="121"/>
        <v>128744.00000000001</v>
      </c>
      <c r="AA125" s="48">
        <v>117040</v>
      </c>
      <c r="AB125" s="36"/>
      <c r="AC125" s="204">
        <f t="shared" si="129"/>
        <v>11550</v>
      </c>
      <c r="AD125" s="152">
        <v>0.108</v>
      </c>
      <c r="AE125" s="31">
        <f>2800*(P125+S125)</f>
        <v>128800</v>
      </c>
      <c r="AF125" s="28">
        <f t="shared" si="123"/>
        <v>0.39371428571428568</v>
      </c>
      <c r="AG125" s="34">
        <f t="shared" si="124"/>
        <v>177486.43</v>
      </c>
      <c r="AH125" s="34">
        <f t="shared" si="125"/>
        <v>8902.859080000002</v>
      </c>
      <c r="AI125" s="34">
        <f t="shared" si="126"/>
        <v>80125.731719999982</v>
      </c>
      <c r="AJ125" s="46">
        <f t="shared" si="127"/>
        <v>-48618.268280000033</v>
      </c>
      <c r="AK125" s="40">
        <v>16.2</v>
      </c>
      <c r="AL125" s="41">
        <f t="shared" si="128"/>
        <v>20.865600000000001</v>
      </c>
      <c r="AM125" s="36">
        <v>115422</v>
      </c>
      <c r="AN125" s="284">
        <v>179</v>
      </c>
      <c r="AO125" s="26"/>
      <c r="AP125" s="26"/>
      <c r="AQ125" s="27"/>
      <c r="AR125" s="27"/>
      <c r="AS125" s="27"/>
      <c r="AT125" s="27"/>
      <c r="AU125" s="27"/>
      <c r="AV125" s="27"/>
      <c r="AW125" s="26"/>
      <c r="AX125" s="26"/>
      <c r="AY125" s="26"/>
      <c r="AZ125" s="26"/>
      <c r="BA125" s="26"/>
      <c r="BB125" s="26"/>
      <c r="BC125" s="26"/>
      <c r="BD125" s="26"/>
      <c r="BE125" s="26"/>
      <c r="BF125" s="26"/>
      <c r="BG125" s="26"/>
      <c r="BH125" s="26"/>
      <c r="BI125" s="26"/>
    </row>
    <row r="126" spans="1:61" ht="28.5" customHeight="1">
      <c r="A126" s="26"/>
      <c r="B126" s="200"/>
      <c r="C126" s="42" t="s">
        <v>114</v>
      </c>
      <c r="D126" s="28">
        <f t="shared" si="112"/>
        <v>9.3283859649122808E-2</v>
      </c>
      <c r="E126" s="201">
        <v>0.33</v>
      </c>
      <c r="F126" s="30">
        <f t="shared" si="113"/>
        <v>0.23671614035087721</v>
      </c>
      <c r="G126" s="30">
        <f t="shared" si="114"/>
        <v>4.7619047619047616E-2</v>
      </c>
      <c r="H126" s="48"/>
      <c r="I126" s="48"/>
      <c r="J126" s="48"/>
      <c r="K126" s="210"/>
      <c r="L126" s="210"/>
      <c r="M126" s="210"/>
      <c r="N126" s="36"/>
      <c r="O126" s="36">
        <v>15</v>
      </c>
      <c r="P126" s="31">
        <f t="shared" si="115"/>
        <v>15</v>
      </c>
      <c r="Q126" s="36">
        <v>7</v>
      </c>
      <c r="R126" s="167">
        <v>4</v>
      </c>
      <c r="S126" s="36"/>
      <c r="T126" s="34">
        <f t="shared" si="116"/>
        <v>285000</v>
      </c>
      <c r="U126" s="31">
        <f t="shared" si="117"/>
        <v>0</v>
      </c>
      <c r="V126" s="34">
        <f t="shared" si="118"/>
        <v>285000</v>
      </c>
      <c r="W126" s="43">
        <v>19000</v>
      </c>
      <c r="X126" s="34">
        <f t="shared" si="119"/>
        <v>7122.1247999999996</v>
      </c>
      <c r="Y126" s="34">
        <f t="shared" si="120"/>
        <v>106831.87199999999</v>
      </c>
      <c r="Z126" s="34">
        <f t="shared" si="121"/>
        <v>51294.100000000006</v>
      </c>
      <c r="AA126" s="48">
        <v>46631</v>
      </c>
      <c r="AB126" s="36"/>
      <c r="AC126" s="204">
        <f t="shared" si="129"/>
        <v>16170</v>
      </c>
      <c r="AD126" s="152">
        <v>0.08</v>
      </c>
      <c r="AE126" s="31">
        <f>3350*(P126+S126)</f>
        <v>50250</v>
      </c>
      <c r="AF126" s="28">
        <f t="shared" si="123"/>
        <v>0.25631578947368422</v>
      </c>
      <c r="AG126" s="34">
        <f t="shared" si="124"/>
        <v>73050.03</v>
      </c>
      <c r="AH126" s="34">
        <f t="shared" si="125"/>
        <v>10511.809799999999</v>
      </c>
      <c r="AI126" s="34">
        <f t="shared" si="126"/>
        <v>94606.28820000001</v>
      </c>
      <c r="AJ126" s="46">
        <f t="shared" si="127"/>
        <v>43312.188200000004</v>
      </c>
      <c r="AK126" s="40">
        <v>28.8</v>
      </c>
      <c r="AL126" s="41">
        <f t="shared" si="128"/>
        <v>37.0944</v>
      </c>
      <c r="AM126" s="36">
        <v>40957</v>
      </c>
      <c r="AN126" s="284">
        <v>84</v>
      </c>
      <c r="AO126" s="26"/>
      <c r="AP126" s="26"/>
      <c r="AQ126" s="27"/>
      <c r="AR126" s="27"/>
      <c r="AS126" s="27"/>
      <c r="AT126" s="27"/>
      <c r="AU126" s="27"/>
      <c r="AV126" s="27"/>
      <c r="AW126" s="26"/>
      <c r="AX126" s="26"/>
      <c r="AY126" s="26"/>
      <c r="AZ126" s="26"/>
      <c r="BA126" s="26"/>
      <c r="BB126" s="26"/>
      <c r="BC126" s="26"/>
      <c r="BD126" s="26"/>
      <c r="BE126" s="26"/>
      <c r="BF126" s="26"/>
      <c r="BG126" s="26"/>
      <c r="BH126" s="26"/>
      <c r="BI126" s="26"/>
    </row>
    <row r="127" spans="1:61" ht="28.5" customHeight="1">
      <c r="A127" s="26"/>
      <c r="B127" s="326"/>
      <c r="C127" s="42" t="s">
        <v>115</v>
      </c>
      <c r="D127" s="28">
        <f t="shared" si="112"/>
        <v>-0.19708576642335768</v>
      </c>
      <c r="E127" s="201">
        <v>0.437</v>
      </c>
      <c r="F127" s="30">
        <f t="shared" si="113"/>
        <v>0.63408576642335768</v>
      </c>
      <c r="G127" s="30">
        <f t="shared" si="114"/>
        <v>3.7499999999999999E-2</v>
      </c>
      <c r="H127" s="48"/>
      <c r="I127" s="48"/>
      <c r="J127" s="48"/>
      <c r="K127" s="210"/>
      <c r="L127" s="210"/>
      <c r="M127" s="210"/>
      <c r="N127" s="36"/>
      <c r="O127" s="36">
        <v>2</v>
      </c>
      <c r="P127" s="31">
        <f t="shared" si="115"/>
        <v>2</v>
      </c>
      <c r="Q127" s="36">
        <v>2</v>
      </c>
      <c r="R127" s="167">
        <v>3</v>
      </c>
      <c r="S127" s="36"/>
      <c r="T127" s="34">
        <f t="shared" si="116"/>
        <v>109600</v>
      </c>
      <c r="U127" s="31">
        <f t="shared" si="117"/>
        <v>0</v>
      </c>
      <c r="V127" s="34">
        <f t="shared" si="118"/>
        <v>109600</v>
      </c>
      <c r="W127" s="43">
        <v>54800</v>
      </c>
      <c r="X127" s="34">
        <f t="shared" si="119"/>
        <v>20030.976000000002</v>
      </c>
      <c r="Y127" s="34">
        <f t="shared" si="120"/>
        <v>40061.952000000005</v>
      </c>
      <c r="Z127" s="34">
        <f t="shared" si="121"/>
        <v>64875.8</v>
      </c>
      <c r="AA127" s="48">
        <v>58978</v>
      </c>
      <c r="AB127" s="36"/>
      <c r="AC127" s="204">
        <f t="shared" si="129"/>
        <v>4620</v>
      </c>
      <c r="AD127" s="152">
        <v>7.8E-2</v>
      </c>
      <c r="AE127" s="31">
        <f t="shared" ref="AE127:AE128" si="134">4825*(P127+S127)</f>
        <v>9650</v>
      </c>
      <c r="AF127" s="28">
        <f t="shared" si="123"/>
        <v>0.16604744525547444</v>
      </c>
      <c r="AG127" s="34">
        <f t="shared" si="124"/>
        <v>18198.829999999998</v>
      </c>
      <c r="AH127" s="34">
        <f t="shared" si="125"/>
        <v>5133.9217999999992</v>
      </c>
      <c r="AI127" s="34">
        <f t="shared" si="126"/>
        <v>46205.296199999997</v>
      </c>
      <c r="AJ127" s="46">
        <f t="shared" si="127"/>
        <v>-18670.503800000006</v>
      </c>
      <c r="AK127" s="40">
        <v>81</v>
      </c>
      <c r="AL127" s="41">
        <f t="shared" si="128"/>
        <v>104.328</v>
      </c>
      <c r="AM127" s="36">
        <v>23210</v>
      </c>
      <c r="AN127" s="284">
        <v>80</v>
      </c>
      <c r="AO127" s="26"/>
      <c r="AP127" s="26"/>
      <c r="AQ127" s="27"/>
      <c r="AR127" s="27"/>
      <c r="AS127" s="27"/>
      <c r="AT127" s="27"/>
      <c r="AU127" s="27"/>
      <c r="AV127" s="27"/>
      <c r="AW127" s="26"/>
      <c r="AX127" s="26"/>
      <c r="AY127" s="26"/>
      <c r="AZ127" s="26"/>
      <c r="BA127" s="26"/>
      <c r="BB127" s="26"/>
      <c r="BC127" s="26"/>
      <c r="BD127" s="26"/>
      <c r="BE127" s="26"/>
      <c r="BF127" s="26"/>
      <c r="BG127" s="26"/>
      <c r="BH127" s="26"/>
      <c r="BI127" s="26"/>
    </row>
    <row r="128" spans="1:61" ht="28.5" customHeight="1">
      <c r="A128" s="26"/>
      <c r="B128" s="324"/>
      <c r="C128" s="42" t="s">
        <v>116</v>
      </c>
      <c r="D128" s="28">
        <f t="shared" si="112"/>
        <v>0.14860802469135798</v>
      </c>
      <c r="E128" s="201">
        <v>0.42499999999999999</v>
      </c>
      <c r="F128" s="30">
        <f t="shared" si="113"/>
        <v>0.27639197530864201</v>
      </c>
      <c r="G128" s="30">
        <f t="shared" si="114"/>
        <v>0.03</v>
      </c>
      <c r="H128" s="48"/>
      <c r="I128" s="48"/>
      <c r="J128" s="48"/>
      <c r="K128" s="210"/>
      <c r="L128" s="210"/>
      <c r="M128" s="210"/>
      <c r="N128" s="36"/>
      <c r="O128" s="36">
        <v>3</v>
      </c>
      <c r="P128" s="31">
        <f t="shared" si="115"/>
        <v>3</v>
      </c>
      <c r="Q128" s="36"/>
      <c r="R128" s="167">
        <v>3</v>
      </c>
      <c r="S128" s="36"/>
      <c r="T128" s="34">
        <f t="shared" si="116"/>
        <v>194400</v>
      </c>
      <c r="U128" s="31">
        <f t="shared" si="117"/>
        <v>0</v>
      </c>
      <c r="V128" s="34">
        <f t="shared" si="118"/>
        <v>194400</v>
      </c>
      <c r="W128" s="43">
        <v>64800</v>
      </c>
      <c r="X128" s="34">
        <f t="shared" si="119"/>
        <v>25224.192000000003</v>
      </c>
      <c r="Y128" s="34">
        <f t="shared" si="120"/>
        <v>75672.576000000001</v>
      </c>
      <c r="Z128" s="34">
        <f t="shared" si="121"/>
        <v>53730.600000000006</v>
      </c>
      <c r="AA128" s="48">
        <v>48846</v>
      </c>
      <c r="AB128" s="36"/>
      <c r="AC128" s="204">
        <f t="shared" si="129"/>
        <v>0</v>
      </c>
      <c r="AD128" s="152">
        <v>7.8E-2</v>
      </c>
      <c r="AE128" s="31">
        <f t="shared" si="134"/>
        <v>14475</v>
      </c>
      <c r="AF128" s="28">
        <f t="shared" si="123"/>
        <v>0.15245987654320986</v>
      </c>
      <c r="AG128" s="34">
        <f t="shared" si="124"/>
        <v>29638.229999999996</v>
      </c>
      <c r="AH128" s="34">
        <f t="shared" si="125"/>
        <v>8908.9193999999989</v>
      </c>
      <c r="AI128" s="34">
        <f t="shared" si="126"/>
        <v>80180.274600000004</v>
      </c>
      <c r="AJ128" s="46">
        <f t="shared" si="127"/>
        <v>26449.674599999998</v>
      </c>
      <c r="AK128" s="40">
        <v>102</v>
      </c>
      <c r="AL128" s="41">
        <f t="shared" si="128"/>
        <v>131.376</v>
      </c>
      <c r="AM128" s="36">
        <v>67994</v>
      </c>
      <c r="AN128" s="284">
        <v>100</v>
      </c>
      <c r="AO128" s="26"/>
      <c r="AP128" s="26"/>
      <c r="AQ128" s="27"/>
      <c r="AR128" s="27"/>
      <c r="AS128" s="27"/>
      <c r="AT128" s="27"/>
      <c r="AU128" s="27"/>
      <c r="AV128" s="27"/>
      <c r="AW128" s="26"/>
      <c r="AX128" s="26"/>
      <c r="AY128" s="26"/>
      <c r="AZ128" s="26"/>
      <c r="BA128" s="26"/>
      <c r="BB128" s="26"/>
      <c r="BC128" s="26"/>
      <c r="BD128" s="26"/>
      <c r="BE128" s="26"/>
      <c r="BF128" s="26"/>
      <c r="BG128" s="26"/>
      <c r="BH128" s="26"/>
      <c r="BI128" s="26"/>
    </row>
    <row r="129" spans="1:61" ht="28.5" customHeight="1">
      <c r="A129" s="26"/>
      <c r="B129" s="200"/>
      <c r="C129" s="42" t="s">
        <v>117</v>
      </c>
      <c r="D129" s="28">
        <f t="shared" si="112"/>
        <v>0.33105341880341882</v>
      </c>
      <c r="E129" s="297">
        <v>0.53900000000000003</v>
      </c>
      <c r="F129" s="30">
        <f t="shared" si="113"/>
        <v>0.20794658119658121</v>
      </c>
      <c r="G129" s="30">
        <f t="shared" si="114"/>
        <v>2.1940928270042195E-2</v>
      </c>
      <c r="H129" s="48"/>
      <c r="I129" s="48"/>
      <c r="J129" s="48"/>
      <c r="K129" s="210"/>
      <c r="L129" s="210"/>
      <c r="M129" s="210"/>
      <c r="N129" s="36"/>
      <c r="O129" s="36">
        <v>52</v>
      </c>
      <c r="P129" s="31">
        <f t="shared" si="115"/>
        <v>52</v>
      </c>
      <c r="Q129" s="36">
        <v>6</v>
      </c>
      <c r="R129" s="167">
        <v>26</v>
      </c>
      <c r="S129" s="36"/>
      <c r="T129" s="34">
        <f t="shared" si="116"/>
        <v>1029600</v>
      </c>
      <c r="U129" s="31">
        <f t="shared" si="117"/>
        <v>0</v>
      </c>
      <c r="V129" s="34">
        <f t="shared" si="118"/>
        <v>1029600</v>
      </c>
      <c r="W129" s="43">
        <v>19800</v>
      </c>
      <c r="X129" s="34">
        <f t="shared" si="119"/>
        <v>4451.3280000000004</v>
      </c>
      <c r="Y129" s="34">
        <f t="shared" si="120"/>
        <v>231469.05600000001</v>
      </c>
      <c r="Z129" s="34">
        <f t="shared" si="121"/>
        <v>200241.80000000002</v>
      </c>
      <c r="AA129" s="48">
        <v>182038</v>
      </c>
      <c r="AB129" s="36"/>
      <c r="AC129" s="204">
        <f t="shared" si="129"/>
        <v>13860</v>
      </c>
      <c r="AD129" s="152">
        <v>7.8E-2</v>
      </c>
      <c r="AE129" s="31">
        <f t="shared" ref="AE129:AE131" si="135">1900*(P129+S129)</f>
        <v>98800</v>
      </c>
      <c r="AF129" s="28">
        <f t="shared" si="123"/>
        <v>0.17395959595959595</v>
      </c>
      <c r="AG129" s="34">
        <f t="shared" si="124"/>
        <v>179108.83</v>
      </c>
      <c r="AH129" s="34">
        <f t="shared" si="125"/>
        <v>61902.2114</v>
      </c>
      <c r="AI129" s="34">
        <f t="shared" si="126"/>
        <v>557119.90260000003</v>
      </c>
      <c r="AJ129" s="46">
        <f t="shared" si="127"/>
        <v>356878.10259999998</v>
      </c>
      <c r="AK129" s="40">
        <v>18</v>
      </c>
      <c r="AL129" s="41">
        <f t="shared" si="128"/>
        <v>23.184000000000001</v>
      </c>
      <c r="AM129" s="36">
        <v>300395</v>
      </c>
      <c r="AN129" s="284">
        <v>1185</v>
      </c>
      <c r="AO129" s="26"/>
      <c r="AP129" s="26"/>
      <c r="AQ129" s="27"/>
      <c r="AR129" s="27"/>
      <c r="AS129" s="27"/>
      <c r="AT129" s="27"/>
      <c r="AU129" s="27"/>
      <c r="AV129" s="27"/>
      <c r="AW129" s="26"/>
      <c r="AX129" s="26"/>
      <c r="AY129" s="26"/>
      <c r="AZ129" s="26"/>
      <c r="BA129" s="26"/>
      <c r="BB129" s="26"/>
      <c r="BC129" s="26"/>
      <c r="BD129" s="26"/>
      <c r="BE129" s="26"/>
      <c r="BF129" s="26"/>
      <c r="BG129" s="26"/>
      <c r="BH129" s="26"/>
      <c r="BI129" s="26"/>
    </row>
    <row r="130" spans="1:61" ht="28.5" customHeight="1">
      <c r="A130" s="26"/>
      <c r="B130" s="200"/>
      <c r="C130" s="42" t="s">
        <v>31</v>
      </c>
      <c r="D130" s="28">
        <f t="shared" si="112"/>
        <v>0.10877777777777775</v>
      </c>
      <c r="E130" s="297">
        <v>0.40699999999999997</v>
      </c>
      <c r="F130" s="30">
        <f t="shared" si="113"/>
        <v>0.29822222222222222</v>
      </c>
      <c r="G130" s="30">
        <f t="shared" si="114"/>
        <v>8.3333333333333329E-2</v>
      </c>
      <c r="H130" s="48"/>
      <c r="I130" s="48"/>
      <c r="J130" s="48"/>
      <c r="K130" s="210"/>
      <c r="L130" s="210"/>
      <c r="M130" s="210"/>
      <c r="N130" s="36"/>
      <c r="O130" s="36">
        <v>1</v>
      </c>
      <c r="P130" s="31">
        <f t="shared" si="115"/>
        <v>1</v>
      </c>
      <c r="Q130" s="36"/>
      <c r="R130" s="167">
        <v>1</v>
      </c>
      <c r="S130" s="36"/>
      <c r="T130" s="34">
        <f t="shared" si="116"/>
        <v>19800</v>
      </c>
      <c r="U130" s="31">
        <f t="shared" si="117"/>
        <v>0</v>
      </c>
      <c r="V130" s="34">
        <f t="shared" si="118"/>
        <v>19800</v>
      </c>
      <c r="W130" s="43">
        <v>19800</v>
      </c>
      <c r="X130" s="34">
        <f t="shared" si="119"/>
        <v>7418.88</v>
      </c>
      <c r="Y130" s="34">
        <f t="shared" si="120"/>
        <v>7418.88</v>
      </c>
      <c r="Z130" s="34">
        <f t="shared" si="121"/>
        <v>5904.8</v>
      </c>
      <c r="AA130" s="48">
        <v>5368</v>
      </c>
      <c r="AB130" s="36"/>
      <c r="AC130" s="204">
        <f t="shared" si="129"/>
        <v>0</v>
      </c>
      <c r="AD130" s="152">
        <v>0.08</v>
      </c>
      <c r="AE130" s="31">
        <f t="shared" si="135"/>
        <v>1900</v>
      </c>
      <c r="AF130" s="28">
        <f t="shared" si="123"/>
        <v>0.17595959595959595</v>
      </c>
      <c r="AG130" s="34">
        <f t="shared" si="124"/>
        <v>3484.03</v>
      </c>
      <c r="AH130" s="34">
        <f t="shared" si="125"/>
        <v>889.70900000000006</v>
      </c>
      <c r="AI130" s="34">
        <f t="shared" si="126"/>
        <v>8007.3809999999994</v>
      </c>
      <c r="AJ130" s="46">
        <f t="shared" si="127"/>
        <v>2102.5809999999992</v>
      </c>
      <c r="AK130" s="40">
        <v>30</v>
      </c>
      <c r="AL130" s="41">
        <f t="shared" si="128"/>
        <v>38.64</v>
      </c>
      <c r="AM130" s="36">
        <v>12351</v>
      </c>
      <c r="AN130" s="284">
        <v>12</v>
      </c>
      <c r="AO130" s="26"/>
      <c r="AP130" s="26"/>
      <c r="AQ130" s="27"/>
      <c r="AR130" s="27"/>
      <c r="AS130" s="27"/>
      <c r="AT130" s="27"/>
      <c r="AU130" s="27"/>
      <c r="AV130" s="27"/>
      <c r="AW130" s="26"/>
      <c r="AX130" s="26"/>
      <c r="AY130" s="26"/>
      <c r="AZ130" s="26"/>
      <c r="BA130" s="26"/>
      <c r="BB130" s="26"/>
      <c r="BC130" s="26"/>
      <c r="BD130" s="26"/>
      <c r="BE130" s="26"/>
      <c r="BF130" s="26"/>
      <c r="BG130" s="26"/>
      <c r="BH130" s="26"/>
      <c r="BI130" s="26"/>
    </row>
    <row r="131" spans="1:61" ht="28.5" customHeight="1">
      <c r="A131" s="26"/>
      <c r="B131" s="200"/>
      <c r="C131" s="42" t="s">
        <v>118</v>
      </c>
      <c r="D131" s="28">
        <f t="shared" si="112"/>
        <v>0.36799999999999999</v>
      </c>
      <c r="E131" s="297">
        <v>0.36799999999999999</v>
      </c>
      <c r="F131" s="30">
        <f t="shared" si="113"/>
        <v>0</v>
      </c>
      <c r="G131" s="30" t="e">
        <f t="shared" si="114"/>
        <v>#DIV/0!</v>
      </c>
      <c r="H131" s="48"/>
      <c r="I131" s="48"/>
      <c r="J131" s="48"/>
      <c r="K131" s="210"/>
      <c r="L131" s="210"/>
      <c r="M131" s="210"/>
      <c r="N131" s="36"/>
      <c r="O131" s="36">
        <v>1</v>
      </c>
      <c r="P131" s="31">
        <f t="shared" si="115"/>
        <v>1</v>
      </c>
      <c r="Q131" s="36"/>
      <c r="R131" s="167">
        <v>0</v>
      </c>
      <c r="S131" s="36"/>
      <c r="T131" s="34">
        <f t="shared" si="116"/>
        <v>24800</v>
      </c>
      <c r="U131" s="31">
        <f t="shared" si="117"/>
        <v>0</v>
      </c>
      <c r="V131" s="34">
        <f t="shared" si="118"/>
        <v>24800</v>
      </c>
      <c r="W131" s="43">
        <v>24800</v>
      </c>
      <c r="X131" s="34">
        <f t="shared" si="119"/>
        <v>10386.432000000001</v>
      </c>
      <c r="Y131" s="34">
        <f t="shared" si="120"/>
        <v>10386.432000000001</v>
      </c>
      <c r="Z131" s="34">
        <f t="shared" si="121"/>
        <v>0</v>
      </c>
      <c r="AA131" s="48">
        <v>0</v>
      </c>
      <c r="AB131" s="36"/>
      <c r="AC131" s="204">
        <f t="shared" si="129"/>
        <v>0</v>
      </c>
      <c r="AD131" s="152">
        <v>0.1</v>
      </c>
      <c r="AE131" s="31">
        <f t="shared" si="135"/>
        <v>1900</v>
      </c>
      <c r="AF131" s="28">
        <f t="shared" si="123"/>
        <v>0.17661290322580647</v>
      </c>
      <c r="AG131" s="34">
        <f t="shared" si="124"/>
        <v>4380.0300000000007</v>
      </c>
      <c r="AH131" s="34">
        <f t="shared" si="125"/>
        <v>1003.3537999999999</v>
      </c>
      <c r="AI131" s="34">
        <f t="shared" si="126"/>
        <v>9030.1841999999997</v>
      </c>
      <c r="AJ131" s="46">
        <f t="shared" si="127"/>
        <v>9030.1841999999997</v>
      </c>
      <c r="AK131" s="40">
        <v>42</v>
      </c>
      <c r="AL131" s="41">
        <f t="shared" si="128"/>
        <v>54.096000000000004</v>
      </c>
      <c r="AM131" s="36">
        <v>0</v>
      </c>
      <c r="AN131" s="284">
        <v>0</v>
      </c>
      <c r="AO131" s="26"/>
      <c r="AP131" s="26"/>
      <c r="AQ131" s="27"/>
      <c r="AR131" s="27"/>
      <c r="AS131" s="27"/>
      <c r="AT131" s="27"/>
      <c r="AU131" s="27"/>
      <c r="AV131" s="27"/>
      <c r="AW131" s="26"/>
      <c r="AX131" s="26"/>
      <c r="AY131" s="26"/>
      <c r="AZ131" s="26"/>
      <c r="BA131" s="26"/>
      <c r="BB131" s="26"/>
      <c r="BC131" s="26"/>
      <c r="BD131" s="26"/>
      <c r="BE131" s="26"/>
      <c r="BF131" s="26"/>
      <c r="BG131" s="26"/>
      <c r="BH131" s="26"/>
      <c r="BI131" s="26"/>
    </row>
    <row r="132" spans="1:61" ht="28.5" customHeight="1">
      <c r="A132" s="26"/>
      <c r="B132" s="200"/>
      <c r="C132" s="42" t="s">
        <v>119</v>
      </c>
      <c r="D132" s="28">
        <f t="shared" si="112"/>
        <v>0.35448339658444017</v>
      </c>
      <c r="E132" s="201">
        <v>0.41</v>
      </c>
      <c r="F132" s="30">
        <f t="shared" si="113"/>
        <v>5.5516603415559779E-2</v>
      </c>
      <c r="G132" s="30">
        <f t="shared" si="114"/>
        <v>3.0927835051546393E-2</v>
      </c>
      <c r="H132" s="48"/>
      <c r="I132" s="48"/>
      <c r="J132" s="48"/>
      <c r="K132" s="210"/>
      <c r="L132" s="210"/>
      <c r="M132" s="210"/>
      <c r="N132" s="36"/>
      <c r="O132" s="36">
        <v>17</v>
      </c>
      <c r="P132" s="31">
        <f t="shared" si="115"/>
        <v>17</v>
      </c>
      <c r="Q132" s="36">
        <v>0</v>
      </c>
      <c r="R132" s="167">
        <v>3</v>
      </c>
      <c r="S132" s="36"/>
      <c r="T132" s="34">
        <f t="shared" si="116"/>
        <v>421600</v>
      </c>
      <c r="U132" s="31">
        <f t="shared" si="117"/>
        <v>0</v>
      </c>
      <c r="V132" s="34">
        <f t="shared" si="118"/>
        <v>421600</v>
      </c>
      <c r="W132" s="43">
        <v>24800</v>
      </c>
      <c r="X132" s="34">
        <f t="shared" si="119"/>
        <v>7666.1760000000013</v>
      </c>
      <c r="Y132" s="34">
        <f t="shared" si="120"/>
        <v>130324.99200000003</v>
      </c>
      <c r="Z132" s="34">
        <f t="shared" si="121"/>
        <v>23405.800000000003</v>
      </c>
      <c r="AA132" s="48">
        <v>21278</v>
      </c>
      <c r="AB132" s="36"/>
      <c r="AC132" s="204">
        <f t="shared" si="129"/>
        <v>0</v>
      </c>
      <c r="AD132" s="152">
        <v>0.108</v>
      </c>
      <c r="AE132" s="31">
        <f>3150*(P132+S132)</f>
        <v>53550</v>
      </c>
      <c r="AF132" s="28">
        <f t="shared" si="123"/>
        <v>0.23501612903225805</v>
      </c>
      <c r="AG132" s="34">
        <f t="shared" si="124"/>
        <v>99082.829999999987</v>
      </c>
      <c r="AH132" s="34">
        <f t="shared" si="125"/>
        <v>19219.217799999999</v>
      </c>
      <c r="AI132" s="34">
        <f t="shared" si="126"/>
        <v>172972.96019999997</v>
      </c>
      <c r="AJ132" s="46">
        <f t="shared" si="127"/>
        <v>149567.16019999998</v>
      </c>
      <c r="AK132" s="40">
        <v>31</v>
      </c>
      <c r="AL132" s="41">
        <f t="shared" si="128"/>
        <v>39.928000000000004</v>
      </c>
      <c r="AM132" s="36">
        <v>21823</v>
      </c>
      <c r="AN132" s="284">
        <v>97</v>
      </c>
      <c r="AO132" s="26"/>
      <c r="AP132" s="26"/>
      <c r="AQ132" s="27"/>
      <c r="AR132" s="27"/>
      <c r="AS132" s="27"/>
      <c r="AT132" s="27"/>
      <c r="AU132" s="27"/>
      <c r="AV132" s="27"/>
      <c r="AW132" s="26"/>
      <c r="AX132" s="26"/>
      <c r="AY132" s="26"/>
      <c r="AZ132" s="26"/>
      <c r="BA132" s="26"/>
      <c r="BB132" s="26"/>
      <c r="BC132" s="26"/>
      <c r="BD132" s="26"/>
      <c r="BE132" s="26"/>
      <c r="BF132" s="26"/>
      <c r="BG132" s="26"/>
      <c r="BH132" s="26"/>
      <c r="BI132" s="26"/>
    </row>
    <row r="133" spans="1:61" ht="28.5" customHeight="1">
      <c r="A133" s="26"/>
      <c r="B133" s="200"/>
      <c r="C133" s="239" t="s">
        <v>120</v>
      </c>
      <c r="D133" s="28">
        <f t="shared" si="112"/>
        <v>-0.46132663316582934</v>
      </c>
      <c r="E133" s="201">
        <v>0.376</v>
      </c>
      <c r="F133" s="30">
        <f t="shared" si="113"/>
        <v>0.83732663316582934</v>
      </c>
      <c r="G133" s="30">
        <f t="shared" si="114"/>
        <v>0</v>
      </c>
      <c r="H133" s="48"/>
      <c r="I133" s="48"/>
      <c r="J133" s="48"/>
      <c r="K133" s="210"/>
      <c r="L133" s="210"/>
      <c r="M133" s="210"/>
      <c r="N133" s="36"/>
      <c r="O133" s="36">
        <v>1</v>
      </c>
      <c r="P133" s="31">
        <f t="shared" si="115"/>
        <v>1</v>
      </c>
      <c r="Q133" s="36">
        <v>0</v>
      </c>
      <c r="R133" s="167"/>
      <c r="S133" s="36"/>
      <c r="T133" s="34">
        <f t="shared" si="116"/>
        <v>39800</v>
      </c>
      <c r="U133" s="31">
        <f t="shared" si="117"/>
        <v>0</v>
      </c>
      <c r="V133" s="34">
        <f t="shared" si="118"/>
        <v>39800</v>
      </c>
      <c r="W133" s="43">
        <v>39800</v>
      </c>
      <c r="X133" s="34">
        <f t="shared" si="119"/>
        <v>7666.1760000000013</v>
      </c>
      <c r="Y133" s="34">
        <f t="shared" si="120"/>
        <v>7666.1760000000013</v>
      </c>
      <c r="Z133" s="34">
        <f t="shared" si="121"/>
        <v>33325.600000000006</v>
      </c>
      <c r="AA133" s="48">
        <v>30296</v>
      </c>
      <c r="AB133" s="286"/>
      <c r="AC133" s="204">
        <f t="shared" si="129"/>
        <v>0</v>
      </c>
      <c r="AD133" s="152">
        <v>0.108</v>
      </c>
      <c r="AE133" s="31">
        <f>3550*(P133+S133)</f>
        <v>3550</v>
      </c>
      <c r="AF133" s="28">
        <f t="shared" si="123"/>
        <v>0.1971959798994975</v>
      </c>
      <c r="AG133" s="34">
        <f t="shared" si="124"/>
        <v>7848.43</v>
      </c>
      <c r="AH133" s="34">
        <f t="shared" si="125"/>
        <v>2428.5393999999997</v>
      </c>
      <c r="AI133" s="34">
        <f t="shared" si="126"/>
        <v>21856.854599999999</v>
      </c>
      <c r="AJ133" s="46">
        <f t="shared" si="127"/>
        <v>-11468.745400000007</v>
      </c>
      <c r="AK133" s="40">
        <v>31</v>
      </c>
      <c r="AL133" s="41">
        <f t="shared" si="128"/>
        <v>39.928000000000004</v>
      </c>
      <c r="AM133" s="36">
        <v>7590</v>
      </c>
      <c r="AN133" s="284">
        <v>44</v>
      </c>
      <c r="AO133" s="26"/>
      <c r="AP133" s="26"/>
      <c r="AQ133" s="27"/>
      <c r="AR133" s="27"/>
      <c r="AS133" s="27"/>
      <c r="AT133" s="27"/>
      <c r="AU133" s="27"/>
      <c r="AV133" s="27"/>
      <c r="AW133" s="26"/>
      <c r="AX133" s="26"/>
      <c r="AY133" s="26"/>
      <c r="AZ133" s="26"/>
      <c r="BA133" s="26"/>
      <c r="BB133" s="26"/>
      <c r="BC133" s="26"/>
      <c r="BD133" s="26"/>
      <c r="BE133" s="26"/>
      <c r="BF133" s="26"/>
      <c r="BG133" s="26"/>
      <c r="BH133" s="26"/>
      <c r="BI133" s="26"/>
    </row>
    <row r="134" spans="1:61" ht="28.5" customHeight="1">
      <c r="A134" s="26"/>
      <c r="B134" s="216"/>
      <c r="C134" s="217"/>
      <c r="D134" s="298">
        <f>AJ134/V134</f>
        <v>0.14109912585953388</v>
      </c>
      <c r="E134" s="298">
        <f>AI134/V134</f>
        <v>0.38837795555867821</v>
      </c>
      <c r="F134" s="52">
        <f>(Z134)/V134</f>
        <v>0.24727882969914433</v>
      </c>
      <c r="G134" s="219"/>
      <c r="H134" s="55"/>
      <c r="I134" s="55"/>
      <c r="J134" s="55"/>
      <c r="K134" s="55"/>
      <c r="L134" s="55"/>
      <c r="M134" s="55"/>
      <c r="N134" s="130"/>
      <c r="O134" s="130">
        <f t="shared" ref="O134:V134" si="136">SUM(O111:O133)</f>
        <v>378</v>
      </c>
      <c r="P134" s="130">
        <f t="shared" si="136"/>
        <v>378</v>
      </c>
      <c r="Q134" s="130">
        <f t="shared" si="136"/>
        <v>42</v>
      </c>
      <c r="R134" s="130">
        <f t="shared" si="136"/>
        <v>254</v>
      </c>
      <c r="S134" s="130">
        <f t="shared" si="136"/>
        <v>0</v>
      </c>
      <c r="T134" s="130">
        <f t="shared" si="136"/>
        <v>9963250</v>
      </c>
      <c r="U134" s="130">
        <f t="shared" si="136"/>
        <v>0</v>
      </c>
      <c r="V134" s="130">
        <f t="shared" si="136"/>
        <v>9963250</v>
      </c>
      <c r="W134" s="55"/>
      <c r="X134" s="130">
        <f t="shared" ref="X134:AC134" si="137">SUM(X111:X133)</f>
        <v>338894.43839999987</v>
      </c>
      <c r="Y134" s="130">
        <f t="shared" si="137"/>
        <v>3591405.6191999991</v>
      </c>
      <c r="Z134" s="130">
        <f t="shared" si="137"/>
        <v>2463700.7999999998</v>
      </c>
      <c r="AA134" s="130">
        <f t="shared" si="137"/>
        <v>2239728</v>
      </c>
      <c r="AB134" s="130">
        <f t="shared" si="137"/>
        <v>0</v>
      </c>
      <c r="AC134" s="130">
        <f t="shared" si="137"/>
        <v>95364</v>
      </c>
      <c r="AD134" s="154">
        <v>0.09</v>
      </c>
      <c r="AE134" s="130">
        <f>SUM(AE111:AE133)</f>
        <v>1175700</v>
      </c>
      <c r="AF134" s="53">
        <f t="shared" si="123"/>
        <v>0.20800366346322735</v>
      </c>
      <c r="AG134" s="56">
        <f t="shared" si="124"/>
        <v>2072392.53</v>
      </c>
      <c r="AH134" s="56">
        <f t="shared" si="125"/>
        <v>429945.18508000008</v>
      </c>
      <c r="AI134" s="56">
        <f t="shared" si="126"/>
        <v>3869506.6657200009</v>
      </c>
      <c r="AJ134" s="46">
        <f>AI134-Z134-AB134</f>
        <v>1405805.865720001</v>
      </c>
      <c r="AK134" s="54"/>
      <c r="AL134" s="222"/>
      <c r="AM134" s="131">
        <f t="shared" ref="AM134:AN134" si="138">SUM(AM111:AM112)</f>
        <v>400589</v>
      </c>
      <c r="AN134" s="132">
        <f t="shared" si="138"/>
        <v>1423</v>
      </c>
      <c r="AO134" s="26"/>
      <c r="AP134" s="26"/>
      <c r="AQ134" s="27"/>
      <c r="AR134" s="27"/>
      <c r="AS134" s="27"/>
      <c r="AT134" s="27"/>
      <c r="AU134" s="27"/>
      <c r="AV134" s="27"/>
      <c r="AW134" s="26"/>
      <c r="AX134" s="26"/>
      <c r="AY134" s="26"/>
      <c r="AZ134" s="26"/>
      <c r="BA134" s="26"/>
      <c r="BB134" s="26"/>
      <c r="BC134" s="26"/>
      <c r="BD134" s="26"/>
      <c r="BE134" s="26"/>
      <c r="BF134" s="26"/>
      <c r="BG134" s="26"/>
      <c r="BH134" s="26"/>
      <c r="BI134" s="26"/>
    </row>
    <row r="135" spans="1:61" ht="28.5" customHeight="1">
      <c r="A135" s="1"/>
      <c r="B135" s="290"/>
      <c r="C135" s="291"/>
      <c r="D135" s="2"/>
      <c r="E135" s="2"/>
      <c r="F135" s="2"/>
      <c r="G135" s="2"/>
      <c r="H135" s="2"/>
      <c r="I135" s="2"/>
      <c r="J135" s="2"/>
      <c r="K135" s="2"/>
      <c r="L135" s="2"/>
      <c r="M135" s="2"/>
      <c r="N135" s="292"/>
      <c r="O135" s="292"/>
      <c r="P135" s="2"/>
      <c r="Q135" s="2"/>
      <c r="R135" s="2"/>
      <c r="S135" s="293"/>
      <c r="T135" s="2"/>
      <c r="U135" s="2"/>
      <c r="V135" s="2"/>
      <c r="W135" s="2"/>
      <c r="X135" s="2"/>
      <c r="Y135" s="2"/>
      <c r="Z135" s="2"/>
      <c r="AA135" s="2"/>
      <c r="AB135" s="2"/>
      <c r="AC135" s="2"/>
      <c r="AD135" s="2"/>
      <c r="AE135" s="2"/>
      <c r="AF135" s="1"/>
      <c r="AG135" s="1"/>
      <c r="AH135" s="1"/>
      <c r="AI135" s="1"/>
      <c r="AJ135" s="1"/>
      <c r="AK135" s="1"/>
      <c r="AL135" s="1"/>
      <c r="AM135" s="1"/>
      <c r="AN135" s="1"/>
      <c r="AO135" s="1"/>
      <c r="AP135" s="1"/>
      <c r="AQ135" s="1"/>
      <c r="AR135" s="1"/>
      <c r="AS135" s="1"/>
      <c r="AT135" s="7"/>
      <c r="AU135" s="7"/>
      <c r="AV135" s="7"/>
      <c r="AW135" s="47"/>
      <c r="AX135" s="47"/>
      <c r="AY135" s="47"/>
      <c r="AZ135" s="47"/>
      <c r="BA135" s="47"/>
      <c r="BB135" s="47"/>
      <c r="BC135" s="47"/>
      <c r="BD135" s="47"/>
      <c r="BE135" s="47"/>
      <c r="BF135" s="47"/>
      <c r="BG135" s="47"/>
      <c r="BH135" s="47"/>
      <c r="BI135" s="47"/>
    </row>
    <row r="136" spans="1:61" ht="28.5" customHeight="1">
      <c r="A136" s="26"/>
      <c r="B136" s="189"/>
      <c r="C136" s="134">
        <v>45875</v>
      </c>
      <c r="D136" s="190" t="s">
        <v>0</v>
      </c>
      <c r="E136" s="190" t="s">
        <v>1</v>
      </c>
      <c r="F136" s="190" t="s">
        <v>2</v>
      </c>
      <c r="G136" s="190" t="s">
        <v>3</v>
      </c>
      <c r="H136" s="191" t="s">
        <v>4</v>
      </c>
      <c r="I136" s="192" t="s">
        <v>5</v>
      </c>
      <c r="J136" s="192" t="s">
        <v>90</v>
      </c>
      <c r="K136" s="193"/>
      <c r="L136" s="193" t="s">
        <v>6</v>
      </c>
      <c r="M136" s="194" t="s">
        <v>7</v>
      </c>
      <c r="N136" s="123"/>
      <c r="O136" s="123" t="s">
        <v>8</v>
      </c>
      <c r="P136" s="123" t="s">
        <v>9</v>
      </c>
      <c r="Q136" s="15" t="s">
        <v>10</v>
      </c>
      <c r="R136" s="123" t="s">
        <v>92</v>
      </c>
      <c r="S136" s="196" t="s">
        <v>11</v>
      </c>
      <c r="T136" s="17" t="s">
        <v>12</v>
      </c>
      <c r="U136" s="17" t="s">
        <v>13</v>
      </c>
      <c r="V136" s="17" t="s">
        <v>14</v>
      </c>
      <c r="W136" s="17" t="s">
        <v>15</v>
      </c>
      <c r="X136" s="17" t="s">
        <v>16</v>
      </c>
      <c r="Y136" s="17" t="s">
        <v>17</v>
      </c>
      <c r="Z136" s="19" t="s">
        <v>18</v>
      </c>
      <c r="AA136" s="19" t="s">
        <v>19</v>
      </c>
      <c r="AB136" s="20" t="s">
        <v>20</v>
      </c>
      <c r="AC136" s="22" t="s">
        <v>93</v>
      </c>
      <c r="AD136" s="197" t="s">
        <v>21</v>
      </c>
      <c r="AE136" s="21" t="s">
        <v>22</v>
      </c>
      <c r="AF136" s="23" t="s">
        <v>23</v>
      </c>
      <c r="AG136" s="23" t="s">
        <v>21</v>
      </c>
      <c r="AH136" s="23" t="s">
        <v>24</v>
      </c>
      <c r="AI136" s="24" t="s">
        <v>26</v>
      </c>
      <c r="AJ136" s="23" t="s">
        <v>27</v>
      </c>
      <c r="AK136" s="21" t="s">
        <v>147</v>
      </c>
      <c r="AL136" s="282" t="s">
        <v>148</v>
      </c>
      <c r="AM136" s="124" t="s">
        <v>94</v>
      </c>
      <c r="AN136" s="125" t="s">
        <v>95</v>
      </c>
      <c r="AO136" s="26"/>
      <c r="AP136" s="26"/>
      <c r="AQ136" s="27"/>
      <c r="AR136" s="27"/>
      <c r="AS136" s="27"/>
      <c r="AT136" s="27"/>
      <c r="AU136" s="27"/>
      <c r="AV136" s="27"/>
      <c r="AW136" s="26"/>
      <c r="AX136" s="26"/>
      <c r="AY136" s="26"/>
      <c r="AZ136" s="26"/>
      <c r="BA136" s="26"/>
      <c r="BB136" s="26"/>
      <c r="BC136" s="26"/>
      <c r="BD136" s="26"/>
      <c r="BE136" s="26"/>
      <c r="BF136" s="26"/>
      <c r="BG136" s="26"/>
      <c r="BH136" s="26"/>
      <c r="BI136" s="26"/>
    </row>
    <row r="137" spans="1:61" ht="28.5" customHeight="1">
      <c r="A137" s="26"/>
      <c r="B137" s="200"/>
      <c r="C137" s="42" t="s">
        <v>107</v>
      </c>
      <c r="D137" s="28">
        <f t="shared" ref="D137:D159" si="139">E137-F137</f>
        <v>0.18767686651779444</v>
      </c>
      <c r="E137" s="201">
        <v>0.39700000000000002</v>
      </c>
      <c r="F137" s="30">
        <f t="shared" ref="F137:F159" si="140">(Z137+AC137)/V137</f>
        <v>0.20932313348220558</v>
      </c>
      <c r="G137" s="30">
        <f t="shared" ref="G137:G159" si="141">R137/AN137</f>
        <v>9.4661921708185048E-2</v>
      </c>
      <c r="H137" s="48"/>
      <c r="I137" s="48"/>
      <c r="J137" s="48"/>
      <c r="K137" s="48"/>
      <c r="L137" s="48"/>
      <c r="M137" s="48"/>
      <c r="N137" s="36"/>
      <c r="O137" s="36">
        <v>187</v>
      </c>
      <c r="P137" s="31">
        <f t="shared" ref="P137:P159" si="142">O137-S137</f>
        <v>187</v>
      </c>
      <c r="Q137" s="36">
        <v>15</v>
      </c>
      <c r="R137" s="167">
        <v>133</v>
      </c>
      <c r="S137" s="36"/>
      <c r="T137" s="34">
        <f t="shared" ref="T137:T159" si="143">W137*O137</f>
        <v>4912490</v>
      </c>
      <c r="U137" s="31">
        <f t="shared" ref="U137:U159" si="144">W137*S137</f>
        <v>0</v>
      </c>
      <c r="V137" s="34">
        <f t="shared" ref="V137:V159" si="145">T137-U137</f>
        <v>4912490</v>
      </c>
      <c r="W137" s="43">
        <v>26270</v>
      </c>
      <c r="X137" s="34">
        <f t="shared" ref="X137:X159" si="146">AL137*$A$2</f>
        <v>9891.84</v>
      </c>
      <c r="Y137" s="34">
        <f t="shared" ref="Y137:Y159" si="147">X137*P137</f>
        <v>1849774.0800000001</v>
      </c>
      <c r="Z137" s="34">
        <f t="shared" ref="Z137:Z159" si="148">AA137*1.1</f>
        <v>995717.8</v>
      </c>
      <c r="AA137" s="48">
        <v>905198</v>
      </c>
      <c r="AB137" s="36"/>
      <c r="AC137" s="204">
        <f t="shared" ref="AC137:AC138" si="149">(1072+1100)*Q137</f>
        <v>32580</v>
      </c>
      <c r="AD137" s="152">
        <v>0.1</v>
      </c>
      <c r="AE137" s="31">
        <f>3050*(P137+S137)</f>
        <v>570350</v>
      </c>
      <c r="AF137" s="28">
        <f t="shared" ref="AF137:AF160" si="150">AD137+(AE137/V137)</f>
        <v>0.2161020175104682</v>
      </c>
      <c r="AG137" s="34">
        <f t="shared" ref="AG137:AG160" si="151">V137*AF137+3%</f>
        <v>1061599.03</v>
      </c>
      <c r="AH137" s="34">
        <f t="shared" ref="AH137:AH160" si="152">(V137)*10%-(Y137+AG137)*10%</f>
        <v>200111.68899999995</v>
      </c>
      <c r="AI137" s="34">
        <f t="shared" ref="AI137:AI160" si="153">V137-(Y137+AG137+AH137)</f>
        <v>1801005.2009999999</v>
      </c>
      <c r="AJ137" s="46">
        <f t="shared" ref="AJ137:AJ159" si="154">AI137-Z137</f>
        <v>805287.40099999984</v>
      </c>
      <c r="AK137" s="40">
        <v>40</v>
      </c>
      <c r="AL137" s="41">
        <f t="shared" ref="AL137:AL159" si="155">(AK137*1.15)*1.12</f>
        <v>51.52</v>
      </c>
      <c r="AM137" s="36">
        <v>398642</v>
      </c>
      <c r="AN137" s="284">
        <v>1405</v>
      </c>
      <c r="AO137" s="26"/>
      <c r="AP137" s="26"/>
      <c r="AQ137" s="27"/>
      <c r="AR137" s="27"/>
      <c r="AS137" s="27"/>
      <c r="AT137" s="27"/>
      <c r="AU137" s="27"/>
      <c r="AV137" s="27"/>
      <c r="AW137" s="26"/>
      <c r="AX137" s="26"/>
      <c r="AY137" s="26"/>
      <c r="AZ137" s="26"/>
      <c r="BA137" s="26"/>
      <c r="BB137" s="26"/>
      <c r="BC137" s="26"/>
      <c r="BD137" s="26"/>
      <c r="BE137" s="26"/>
      <c r="BF137" s="26"/>
      <c r="BG137" s="26"/>
      <c r="BH137" s="26"/>
      <c r="BI137" s="26"/>
    </row>
    <row r="138" spans="1:61" ht="28.5" customHeight="1">
      <c r="A138" s="26"/>
      <c r="B138" s="200"/>
      <c r="C138" s="42" t="s">
        <v>108</v>
      </c>
      <c r="D138" s="28" t="e">
        <f t="shared" si="139"/>
        <v>#DIV/0!</v>
      </c>
      <c r="E138" s="201">
        <v>0.379</v>
      </c>
      <c r="F138" s="30" t="e">
        <f t="shared" si="140"/>
        <v>#DIV/0!</v>
      </c>
      <c r="G138" s="30">
        <f t="shared" si="141"/>
        <v>0</v>
      </c>
      <c r="H138" s="48"/>
      <c r="I138" s="48"/>
      <c r="J138" s="48"/>
      <c r="K138" s="210"/>
      <c r="L138" s="210"/>
      <c r="M138" s="210"/>
      <c r="N138" s="36"/>
      <c r="O138" s="36">
        <v>0</v>
      </c>
      <c r="P138" s="31">
        <f t="shared" si="142"/>
        <v>0</v>
      </c>
      <c r="Q138" s="36">
        <v>0</v>
      </c>
      <c r="R138" s="167">
        <v>0</v>
      </c>
      <c r="S138" s="36"/>
      <c r="T138" s="34">
        <f t="shared" si="143"/>
        <v>0</v>
      </c>
      <c r="U138" s="31">
        <f t="shared" si="144"/>
        <v>0</v>
      </c>
      <c r="V138" s="34">
        <f t="shared" si="145"/>
        <v>0</v>
      </c>
      <c r="W138" s="43">
        <v>22900</v>
      </c>
      <c r="X138" s="34">
        <f t="shared" si="146"/>
        <v>7913.4719999999998</v>
      </c>
      <c r="Y138" s="34">
        <f t="shared" si="147"/>
        <v>0</v>
      </c>
      <c r="Z138" s="34">
        <f t="shared" si="148"/>
        <v>1790.8000000000002</v>
      </c>
      <c r="AA138" s="48">
        <v>1628</v>
      </c>
      <c r="AB138" s="36"/>
      <c r="AC138" s="204">
        <f t="shared" si="149"/>
        <v>0</v>
      </c>
      <c r="AD138" s="152">
        <v>0.1</v>
      </c>
      <c r="AE138" s="31">
        <f>2950*(P138+S138)</f>
        <v>0</v>
      </c>
      <c r="AF138" s="28" t="e">
        <f t="shared" si="150"/>
        <v>#DIV/0!</v>
      </c>
      <c r="AG138" s="34" t="e">
        <f t="shared" si="151"/>
        <v>#DIV/0!</v>
      </c>
      <c r="AH138" s="34" t="e">
        <f t="shared" si="152"/>
        <v>#DIV/0!</v>
      </c>
      <c r="AI138" s="34" t="e">
        <f t="shared" si="153"/>
        <v>#DIV/0!</v>
      </c>
      <c r="AJ138" s="46" t="e">
        <f t="shared" si="154"/>
        <v>#DIV/0!</v>
      </c>
      <c r="AK138" s="40">
        <v>32</v>
      </c>
      <c r="AL138" s="41">
        <f t="shared" si="155"/>
        <v>41.216000000000001</v>
      </c>
      <c r="AM138" s="36">
        <v>19372</v>
      </c>
      <c r="AN138" s="284">
        <v>18</v>
      </c>
      <c r="AO138" s="26"/>
      <c r="AP138" s="26"/>
      <c r="AQ138" s="27"/>
      <c r="AR138" s="27"/>
      <c r="AS138" s="27"/>
      <c r="AT138" s="27"/>
      <c r="AU138" s="27"/>
      <c r="AV138" s="27"/>
      <c r="AW138" s="26"/>
      <c r="AX138" s="26"/>
      <c r="AY138" s="26"/>
      <c r="AZ138" s="26"/>
      <c r="BA138" s="26"/>
      <c r="BB138" s="26"/>
      <c r="BC138" s="26"/>
      <c r="BD138" s="26"/>
      <c r="BE138" s="26"/>
      <c r="BF138" s="26"/>
      <c r="BG138" s="26"/>
      <c r="BH138" s="26"/>
      <c r="BI138" s="26"/>
    </row>
    <row r="139" spans="1:61" ht="28.5" customHeight="1">
      <c r="A139" s="336"/>
      <c r="B139" s="323"/>
      <c r="C139" s="42" t="s">
        <v>109</v>
      </c>
      <c r="D139" s="28">
        <f t="shared" si="139"/>
        <v>0.16543693693693692</v>
      </c>
      <c r="E139" s="201">
        <v>0.373</v>
      </c>
      <c r="F139" s="30">
        <f t="shared" si="140"/>
        <v>0.20756306306306307</v>
      </c>
      <c r="G139" s="30">
        <f t="shared" si="141"/>
        <v>5.5555555555555552E-2</v>
      </c>
      <c r="H139" s="48"/>
      <c r="I139" s="48"/>
      <c r="J139" s="48"/>
      <c r="K139" s="48"/>
      <c r="L139" s="334"/>
      <c r="M139" s="48"/>
      <c r="N139" s="36"/>
      <c r="O139" s="36">
        <v>1</v>
      </c>
      <c r="P139" s="31">
        <f t="shared" si="142"/>
        <v>1</v>
      </c>
      <c r="Q139" s="36"/>
      <c r="R139" s="167">
        <v>1</v>
      </c>
      <c r="S139" s="36"/>
      <c r="T139" s="34">
        <f t="shared" si="143"/>
        <v>44400</v>
      </c>
      <c r="U139" s="31">
        <f t="shared" si="144"/>
        <v>0</v>
      </c>
      <c r="V139" s="34">
        <f t="shared" si="145"/>
        <v>44400</v>
      </c>
      <c r="W139" s="43">
        <v>44400</v>
      </c>
      <c r="X139" s="34">
        <f t="shared" si="146"/>
        <v>16989.235200000003</v>
      </c>
      <c r="Y139" s="34">
        <f t="shared" si="147"/>
        <v>16989.235200000003</v>
      </c>
      <c r="Z139" s="34">
        <f t="shared" si="148"/>
        <v>9215.8000000000011</v>
      </c>
      <c r="AA139" s="48">
        <v>8378</v>
      </c>
      <c r="AB139" s="36"/>
      <c r="AC139" s="204">
        <f t="shared" ref="AC139:AC159" si="156">(1210+1100)*Q139</f>
        <v>0</v>
      </c>
      <c r="AD139" s="152">
        <v>0.11</v>
      </c>
      <c r="AE139" s="31">
        <f t="shared" ref="AE139:AE140" si="157">4150*(P139+S139)</f>
        <v>4150</v>
      </c>
      <c r="AF139" s="28">
        <f t="shared" si="150"/>
        <v>0.20346846846846847</v>
      </c>
      <c r="AG139" s="34">
        <f t="shared" si="151"/>
        <v>9034.0300000000007</v>
      </c>
      <c r="AH139" s="34">
        <f t="shared" si="152"/>
        <v>1837.6734799999995</v>
      </c>
      <c r="AI139" s="34">
        <f t="shared" si="153"/>
        <v>16539.061320000001</v>
      </c>
      <c r="AJ139" s="46">
        <f t="shared" si="154"/>
        <v>7323.2613199999996</v>
      </c>
      <c r="AK139" s="40">
        <v>68.7</v>
      </c>
      <c r="AL139" s="41">
        <f t="shared" si="155"/>
        <v>88.485600000000005</v>
      </c>
      <c r="AM139" s="36">
        <v>33634</v>
      </c>
      <c r="AN139" s="284">
        <v>18</v>
      </c>
      <c r="AO139" s="26"/>
      <c r="AP139" s="26"/>
      <c r="AQ139" s="27"/>
      <c r="AR139" s="27"/>
      <c r="AS139" s="27"/>
      <c r="AT139" s="27"/>
      <c r="AU139" s="27"/>
      <c r="AV139" s="27"/>
      <c r="AW139" s="26"/>
      <c r="AX139" s="26"/>
      <c r="AY139" s="26"/>
      <c r="AZ139" s="26"/>
      <c r="BA139" s="26"/>
      <c r="BB139" s="26"/>
      <c r="BC139" s="26"/>
      <c r="BD139" s="26"/>
      <c r="BE139" s="26"/>
      <c r="BF139" s="26"/>
      <c r="BG139" s="26"/>
      <c r="BH139" s="26"/>
      <c r="BI139" s="26"/>
    </row>
    <row r="140" spans="1:61" ht="28.5" customHeight="1">
      <c r="A140" s="311"/>
      <c r="B140" s="324"/>
      <c r="C140" s="42" t="s">
        <v>110</v>
      </c>
      <c r="D140" s="28">
        <f t="shared" si="139"/>
        <v>0.17187286324786322</v>
      </c>
      <c r="E140" s="201">
        <v>0.29499999999999998</v>
      </c>
      <c r="F140" s="30">
        <f t="shared" si="140"/>
        <v>0.12312713675213677</v>
      </c>
      <c r="G140" s="30">
        <f t="shared" si="141"/>
        <v>6.7961165048543687E-2</v>
      </c>
      <c r="H140" s="48"/>
      <c r="I140" s="48"/>
      <c r="J140" s="48"/>
      <c r="K140" s="48"/>
      <c r="L140" s="310"/>
      <c r="M140" s="48"/>
      <c r="N140" s="36"/>
      <c r="O140" s="36">
        <v>6</v>
      </c>
      <c r="P140" s="31">
        <f t="shared" si="142"/>
        <v>6</v>
      </c>
      <c r="Q140" s="36">
        <v>1</v>
      </c>
      <c r="R140" s="167">
        <v>7</v>
      </c>
      <c r="S140" s="36"/>
      <c r="T140" s="34">
        <f t="shared" si="143"/>
        <v>280800</v>
      </c>
      <c r="U140" s="31">
        <f t="shared" si="144"/>
        <v>0</v>
      </c>
      <c r="V140" s="34">
        <f t="shared" si="145"/>
        <v>280800</v>
      </c>
      <c r="W140" s="43">
        <v>46800</v>
      </c>
      <c r="X140" s="34">
        <f t="shared" si="146"/>
        <v>22182.451200000003</v>
      </c>
      <c r="Y140" s="34">
        <f t="shared" si="147"/>
        <v>133094.7072</v>
      </c>
      <c r="Z140" s="34">
        <f t="shared" si="148"/>
        <v>32264.100000000002</v>
      </c>
      <c r="AA140" s="48">
        <v>29331</v>
      </c>
      <c r="AB140" s="36"/>
      <c r="AC140" s="204">
        <f t="shared" si="156"/>
        <v>2310</v>
      </c>
      <c r="AD140" s="152">
        <v>0.11</v>
      </c>
      <c r="AE140" s="31">
        <f t="shared" si="157"/>
        <v>24900</v>
      </c>
      <c r="AF140" s="28">
        <f t="shared" si="150"/>
        <v>0.19867521367521368</v>
      </c>
      <c r="AG140" s="34">
        <f t="shared" si="151"/>
        <v>55788.03</v>
      </c>
      <c r="AH140" s="34">
        <f t="shared" si="152"/>
        <v>9191.726279999999</v>
      </c>
      <c r="AI140" s="34">
        <f t="shared" si="153"/>
        <v>82725.536519999994</v>
      </c>
      <c r="AJ140" s="46">
        <f t="shared" si="154"/>
        <v>50461.436519999988</v>
      </c>
      <c r="AK140" s="40">
        <v>89.7</v>
      </c>
      <c r="AL140" s="41">
        <f t="shared" si="155"/>
        <v>115.53360000000001</v>
      </c>
      <c r="AM140" s="36">
        <v>50603</v>
      </c>
      <c r="AN140" s="284">
        <v>103</v>
      </c>
      <c r="AO140" s="26"/>
      <c r="AP140" s="26"/>
      <c r="AQ140" s="27"/>
      <c r="AR140" s="27"/>
      <c r="AS140" s="27"/>
      <c r="AT140" s="27"/>
      <c r="AU140" s="27"/>
      <c r="AV140" s="27"/>
      <c r="AW140" s="26"/>
      <c r="AX140" s="26"/>
      <c r="AY140" s="26"/>
      <c r="AZ140" s="26"/>
      <c r="BA140" s="26"/>
      <c r="BB140" s="26"/>
      <c r="BC140" s="26"/>
      <c r="BD140" s="26"/>
      <c r="BE140" s="26"/>
      <c r="BF140" s="26"/>
      <c r="BG140" s="26"/>
      <c r="BH140" s="26"/>
      <c r="BI140" s="26"/>
    </row>
    <row r="141" spans="1:61" ht="28.5" customHeight="1">
      <c r="A141" s="26"/>
      <c r="B141" s="323"/>
      <c r="C141" s="42" t="s">
        <v>32</v>
      </c>
      <c r="D141" s="28">
        <f t="shared" si="139"/>
        <v>0.21079765886287621</v>
      </c>
      <c r="E141" s="201">
        <v>0.41</v>
      </c>
      <c r="F141" s="30">
        <f t="shared" si="140"/>
        <v>0.19920234113712376</v>
      </c>
      <c r="G141" s="30">
        <f t="shared" si="141"/>
        <v>3.2967032967032968E-2</v>
      </c>
      <c r="H141" s="33"/>
      <c r="I141" s="48"/>
      <c r="J141" s="48"/>
      <c r="K141" s="48"/>
      <c r="L141" s="334"/>
      <c r="M141" s="48"/>
      <c r="N141" s="36"/>
      <c r="O141" s="36">
        <v>16</v>
      </c>
      <c r="P141" s="31">
        <f t="shared" si="142"/>
        <v>11</v>
      </c>
      <c r="Q141" s="36">
        <v>1</v>
      </c>
      <c r="R141" s="167">
        <v>6</v>
      </c>
      <c r="S141" s="36">
        <v>5</v>
      </c>
      <c r="T141" s="34">
        <f t="shared" si="143"/>
        <v>956800</v>
      </c>
      <c r="U141" s="31">
        <f t="shared" si="144"/>
        <v>299000</v>
      </c>
      <c r="V141" s="34">
        <f t="shared" si="145"/>
        <v>657800</v>
      </c>
      <c r="W141" s="43">
        <v>59800</v>
      </c>
      <c r="X141" s="34">
        <f t="shared" si="146"/>
        <v>21143.807999999997</v>
      </c>
      <c r="Y141" s="34">
        <f t="shared" si="147"/>
        <v>232581.88799999998</v>
      </c>
      <c r="Z141" s="34">
        <f t="shared" si="148"/>
        <v>128725.30000000002</v>
      </c>
      <c r="AA141" s="48">
        <v>117023</v>
      </c>
      <c r="AB141" s="287">
        <f>((59800*0.015)+(59800*0.19)+2100+4950)*5</f>
        <v>96545</v>
      </c>
      <c r="AC141" s="204">
        <f t="shared" si="156"/>
        <v>2310</v>
      </c>
      <c r="AD141" s="152">
        <v>0.108</v>
      </c>
      <c r="AE141" s="31">
        <f t="shared" ref="AE141:AE142" si="158">4825*(P141+S141)</f>
        <v>77200</v>
      </c>
      <c r="AF141" s="28">
        <f t="shared" si="150"/>
        <v>0.22536089996959563</v>
      </c>
      <c r="AG141" s="34">
        <f t="shared" si="151"/>
        <v>148242.43</v>
      </c>
      <c r="AH141" s="34">
        <f t="shared" si="152"/>
        <v>27697.568200000002</v>
      </c>
      <c r="AI141" s="34">
        <f t="shared" si="153"/>
        <v>249278.11380000005</v>
      </c>
      <c r="AJ141" s="46">
        <f t="shared" si="154"/>
        <v>120552.81380000003</v>
      </c>
      <c r="AK141" s="40">
        <v>85.5</v>
      </c>
      <c r="AL141" s="41">
        <f t="shared" si="155"/>
        <v>110.124</v>
      </c>
      <c r="AM141" s="36">
        <v>25690</v>
      </c>
      <c r="AN141" s="284">
        <v>182</v>
      </c>
      <c r="AO141" s="26"/>
      <c r="AP141" s="26"/>
      <c r="AQ141" s="27"/>
      <c r="AR141" s="27"/>
      <c r="AS141" s="27"/>
      <c r="AT141" s="27"/>
      <c r="AU141" s="27"/>
      <c r="AV141" s="27"/>
      <c r="AW141" s="26"/>
      <c r="AX141" s="26"/>
      <c r="AY141" s="26"/>
      <c r="AZ141" s="26"/>
      <c r="BA141" s="26"/>
      <c r="BB141" s="26"/>
      <c r="BC141" s="26"/>
      <c r="BD141" s="26"/>
      <c r="BE141" s="26"/>
      <c r="BF141" s="26"/>
      <c r="BG141" s="26"/>
      <c r="BH141" s="26"/>
      <c r="BI141" s="26"/>
    </row>
    <row r="142" spans="1:61" ht="28.5" customHeight="1">
      <c r="A142" s="26"/>
      <c r="B142" s="333"/>
      <c r="C142" s="42" t="s">
        <v>33</v>
      </c>
      <c r="D142" s="28">
        <f t="shared" si="139"/>
        <v>0.13374484166786071</v>
      </c>
      <c r="E142" s="201">
        <v>0.40100000000000002</v>
      </c>
      <c r="F142" s="30">
        <f t="shared" si="140"/>
        <v>0.26725515833213931</v>
      </c>
      <c r="G142" s="30">
        <f t="shared" si="141"/>
        <v>1.1029411764705883E-2</v>
      </c>
      <c r="H142" s="48"/>
      <c r="I142" s="48"/>
      <c r="J142" s="48"/>
      <c r="K142" s="48"/>
      <c r="L142" s="310"/>
      <c r="M142" s="48"/>
      <c r="N142" s="36"/>
      <c r="O142" s="36">
        <v>8</v>
      </c>
      <c r="P142" s="31">
        <f t="shared" si="142"/>
        <v>8</v>
      </c>
      <c r="Q142" s="36">
        <v>2</v>
      </c>
      <c r="R142" s="167">
        <v>3</v>
      </c>
      <c r="S142" s="36"/>
      <c r="T142" s="34">
        <f t="shared" si="143"/>
        <v>558320</v>
      </c>
      <c r="U142" s="31">
        <f t="shared" si="144"/>
        <v>0</v>
      </c>
      <c r="V142" s="34">
        <f t="shared" si="145"/>
        <v>558320</v>
      </c>
      <c r="W142" s="43">
        <v>69790</v>
      </c>
      <c r="X142" s="34">
        <f t="shared" si="146"/>
        <v>26337.023999999998</v>
      </c>
      <c r="Y142" s="34">
        <f t="shared" si="147"/>
        <v>210696.19199999998</v>
      </c>
      <c r="Z142" s="34">
        <f t="shared" si="148"/>
        <v>144593.90000000002</v>
      </c>
      <c r="AA142" s="48">
        <v>131449</v>
      </c>
      <c r="AB142" s="36"/>
      <c r="AC142" s="204">
        <f t="shared" si="156"/>
        <v>4620</v>
      </c>
      <c r="AD142" s="152">
        <v>0.108</v>
      </c>
      <c r="AE142" s="31">
        <f t="shared" si="158"/>
        <v>38600</v>
      </c>
      <c r="AF142" s="28">
        <f t="shared" si="150"/>
        <v>0.17713597936667144</v>
      </c>
      <c r="AG142" s="34">
        <f t="shared" si="151"/>
        <v>98898.59</v>
      </c>
      <c r="AH142" s="34">
        <f t="shared" si="152"/>
        <v>24872.521799999999</v>
      </c>
      <c r="AI142" s="34">
        <f t="shared" si="153"/>
        <v>223852.69620000001</v>
      </c>
      <c r="AJ142" s="46">
        <f t="shared" si="154"/>
        <v>79258.796199999982</v>
      </c>
      <c r="AK142" s="40">
        <v>106.5</v>
      </c>
      <c r="AL142" s="41">
        <f t="shared" si="155"/>
        <v>137.172</v>
      </c>
      <c r="AM142" s="36">
        <v>57999</v>
      </c>
      <c r="AN142" s="284">
        <v>272</v>
      </c>
      <c r="AO142" s="26"/>
      <c r="AP142" s="26"/>
      <c r="AQ142" s="27"/>
      <c r="AR142" s="27"/>
      <c r="AS142" s="27"/>
      <c r="AT142" s="27"/>
      <c r="AU142" s="27"/>
      <c r="AV142" s="27"/>
      <c r="AW142" s="26"/>
      <c r="AX142" s="26"/>
      <c r="AY142" s="26"/>
      <c r="AZ142" s="26"/>
      <c r="BA142" s="26"/>
      <c r="BB142" s="26"/>
      <c r="BC142" s="26"/>
      <c r="BD142" s="26"/>
      <c r="BE142" s="26"/>
      <c r="BF142" s="26"/>
      <c r="BG142" s="26"/>
      <c r="BH142" s="26"/>
      <c r="BI142" s="26"/>
    </row>
    <row r="143" spans="1:61" ht="28.5" customHeight="1">
      <c r="A143" s="26"/>
      <c r="B143" s="333"/>
      <c r="C143" s="42" t="s">
        <v>149</v>
      </c>
      <c r="D143" s="28">
        <f t="shared" si="139"/>
        <v>8.8883959044368577E-2</v>
      </c>
      <c r="E143" s="201">
        <v>0.40100000000000002</v>
      </c>
      <c r="F143" s="30">
        <f t="shared" si="140"/>
        <v>0.31211604095563145</v>
      </c>
      <c r="G143" s="30">
        <f t="shared" si="141"/>
        <v>2.0833333333333332E-2</v>
      </c>
      <c r="H143" s="48"/>
      <c r="I143" s="48"/>
      <c r="J143" s="48"/>
      <c r="K143" s="48"/>
      <c r="L143" s="334"/>
      <c r="M143" s="48"/>
      <c r="N143" s="36"/>
      <c r="O143" s="36">
        <v>2</v>
      </c>
      <c r="P143" s="31">
        <f t="shared" si="142"/>
        <v>2</v>
      </c>
      <c r="Q143" s="36">
        <v>1</v>
      </c>
      <c r="R143" s="167">
        <v>1</v>
      </c>
      <c r="S143" s="36"/>
      <c r="T143" s="34">
        <f t="shared" si="143"/>
        <v>193380</v>
      </c>
      <c r="U143" s="31">
        <f t="shared" si="144"/>
        <v>0</v>
      </c>
      <c r="V143" s="34">
        <f t="shared" si="145"/>
        <v>193380</v>
      </c>
      <c r="W143" s="43">
        <v>96690</v>
      </c>
      <c r="X143" s="34">
        <f t="shared" si="146"/>
        <v>36723.455999999998</v>
      </c>
      <c r="Y143" s="34">
        <f t="shared" si="147"/>
        <v>73446.911999999997</v>
      </c>
      <c r="Z143" s="34">
        <f t="shared" si="148"/>
        <v>58047.000000000007</v>
      </c>
      <c r="AA143" s="48">
        <v>52770</v>
      </c>
      <c r="AB143" s="36"/>
      <c r="AC143" s="204">
        <f t="shared" si="156"/>
        <v>2310</v>
      </c>
      <c r="AD143" s="152">
        <v>0.108</v>
      </c>
      <c r="AE143" s="31">
        <f t="shared" ref="AE143:AE144" si="159">6200*(P143+S143)</f>
        <v>12400</v>
      </c>
      <c r="AF143" s="28">
        <f t="shared" si="150"/>
        <v>0.17212245320095149</v>
      </c>
      <c r="AG143" s="34">
        <f t="shared" si="151"/>
        <v>33285.07</v>
      </c>
      <c r="AH143" s="34">
        <f t="shared" si="152"/>
        <v>8664.8018000000011</v>
      </c>
      <c r="AI143" s="34">
        <f t="shared" si="153"/>
        <v>77983.21620000001</v>
      </c>
      <c r="AJ143" s="46">
        <f t="shared" si="154"/>
        <v>19936.216200000003</v>
      </c>
      <c r="AK143" s="40">
        <v>148.5</v>
      </c>
      <c r="AL143" s="41">
        <f t="shared" si="155"/>
        <v>191.268</v>
      </c>
      <c r="AM143" s="36">
        <v>6804</v>
      </c>
      <c r="AN143" s="284">
        <v>48</v>
      </c>
      <c r="AO143" s="26"/>
      <c r="AP143" s="26"/>
      <c r="AQ143" s="27"/>
      <c r="AR143" s="27"/>
      <c r="AS143" s="27"/>
      <c r="AT143" s="27"/>
      <c r="AU143" s="27"/>
      <c r="AV143" s="27"/>
      <c r="AW143" s="26"/>
      <c r="AX143" s="26"/>
      <c r="AY143" s="26"/>
      <c r="AZ143" s="26"/>
      <c r="BA143" s="26"/>
      <c r="BB143" s="26"/>
      <c r="BC143" s="26"/>
      <c r="BD143" s="26"/>
      <c r="BE143" s="26"/>
      <c r="BF143" s="26"/>
      <c r="BG143" s="26"/>
      <c r="BH143" s="26"/>
      <c r="BI143" s="26"/>
    </row>
    <row r="144" spans="1:61" ht="28.5" customHeight="1">
      <c r="A144" s="26"/>
      <c r="B144" s="324"/>
      <c r="C144" s="42" t="s">
        <v>150</v>
      </c>
      <c r="D144" s="28">
        <f t="shared" si="139"/>
        <v>0.28241793992308495</v>
      </c>
      <c r="E144" s="201">
        <v>0.39600000000000002</v>
      </c>
      <c r="F144" s="30">
        <f t="shared" si="140"/>
        <v>0.11358206007691508</v>
      </c>
      <c r="G144" s="30">
        <f t="shared" si="141"/>
        <v>5.3191489361702128E-2</v>
      </c>
      <c r="H144" s="48"/>
      <c r="I144" s="283"/>
      <c r="J144" s="48"/>
      <c r="K144" s="48"/>
      <c r="L144" s="310"/>
      <c r="M144" s="48"/>
      <c r="N144" s="36"/>
      <c r="O144" s="36">
        <v>9</v>
      </c>
      <c r="P144" s="31">
        <f t="shared" si="142"/>
        <v>9</v>
      </c>
      <c r="Q144" s="36"/>
      <c r="R144" s="167">
        <v>5</v>
      </c>
      <c r="S144" s="36"/>
      <c r="T144" s="34">
        <f t="shared" si="143"/>
        <v>962100</v>
      </c>
      <c r="U144" s="31">
        <f t="shared" si="144"/>
        <v>0</v>
      </c>
      <c r="V144" s="34">
        <f t="shared" si="145"/>
        <v>962100</v>
      </c>
      <c r="W144" s="43">
        <v>106900</v>
      </c>
      <c r="X144" s="34">
        <f t="shared" si="146"/>
        <v>41916.671999999999</v>
      </c>
      <c r="Y144" s="34">
        <f t="shared" si="147"/>
        <v>377250.04800000001</v>
      </c>
      <c r="Z144" s="34">
        <f t="shared" si="148"/>
        <v>109277.3</v>
      </c>
      <c r="AA144" s="48">
        <v>99343</v>
      </c>
      <c r="AB144" s="36"/>
      <c r="AC144" s="204">
        <f t="shared" si="156"/>
        <v>0</v>
      </c>
      <c r="AD144" s="152">
        <v>0.108</v>
      </c>
      <c r="AE144" s="31">
        <f t="shared" si="159"/>
        <v>55800</v>
      </c>
      <c r="AF144" s="28">
        <f t="shared" si="150"/>
        <v>0.16599812909260991</v>
      </c>
      <c r="AG144" s="34">
        <f t="shared" si="151"/>
        <v>159706.82999999999</v>
      </c>
      <c r="AH144" s="34">
        <f t="shared" si="152"/>
        <v>42514.312199999993</v>
      </c>
      <c r="AI144" s="34">
        <f t="shared" si="153"/>
        <v>382628.80979999993</v>
      </c>
      <c r="AJ144" s="46">
        <f t="shared" si="154"/>
        <v>273351.50979999994</v>
      </c>
      <c r="AK144" s="40">
        <v>169.5</v>
      </c>
      <c r="AL144" s="41">
        <f t="shared" si="155"/>
        <v>218.316</v>
      </c>
      <c r="AM144" s="36">
        <v>11833</v>
      </c>
      <c r="AN144" s="284">
        <v>94</v>
      </c>
      <c r="AO144" s="26"/>
      <c r="AP144" s="26"/>
      <c r="AQ144" s="27"/>
      <c r="AR144" s="27"/>
      <c r="AS144" s="27"/>
      <c r="AT144" s="27"/>
      <c r="AU144" s="27"/>
      <c r="AV144" s="27"/>
      <c r="AW144" s="26"/>
      <c r="AX144" s="26"/>
      <c r="AY144" s="26"/>
      <c r="AZ144" s="26"/>
      <c r="BA144" s="26"/>
      <c r="BB144" s="26"/>
      <c r="BC144" s="26"/>
      <c r="BD144" s="26"/>
      <c r="BE144" s="26"/>
      <c r="BF144" s="26"/>
      <c r="BG144" s="26"/>
      <c r="BH144" s="26"/>
      <c r="BI144" s="26"/>
    </row>
    <row r="145" spans="1:61" ht="28.5" customHeight="1">
      <c r="A145" s="26"/>
      <c r="B145" s="200"/>
      <c r="C145" s="42" t="s">
        <v>111</v>
      </c>
      <c r="D145" s="28">
        <f t="shared" si="139"/>
        <v>1.4442307692307699E-2</v>
      </c>
      <c r="E145" s="201">
        <v>0.378</v>
      </c>
      <c r="F145" s="30">
        <f t="shared" si="140"/>
        <v>0.3635576923076923</v>
      </c>
      <c r="G145" s="30">
        <f t="shared" si="141"/>
        <v>2.9702970297029702E-2</v>
      </c>
      <c r="H145" s="48"/>
      <c r="I145" s="48"/>
      <c r="J145" s="48"/>
      <c r="K145" s="210"/>
      <c r="L145" s="210"/>
      <c r="M145" s="210"/>
      <c r="N145" s="36"/>
      <c r="O145" s="36">
        <v>11</v>
      </c>
      <c r="P145" s="31">
        <f t="shared" si="142"/>
        <v>6</v>
      </c>
      <c r="Q145" s="36">
        <v>1</v>
      </c>
      <c r="R145" s="167">
        <v>3</v>
      </c>
      <c r="S145" s="36">
        <v>5</v>
      </c>
      <c r="T145" s="34">
        <f t="shared" si="143"/>
        <v>188760</v>
      </c>
      <c r="U145" s="31">
        <f t="shared" si="144"/>
        <v>85800</v>
      </c>
      <c r="V145" s="34">
        <f t="shared" si="145"/>
        <v>102960</v>
      </c>
      <c r="W145" s="43">
        <v>17160</v>
      </c>
      <c r="X145" s="34">
        <f t="shared" si="146"/>
        <v>5687.8080000000009</v>
      </c>
      <c r="Y145" s="34">
        <f t="shared" si="147"/>
        <v>34126.848000000005</v>
      </c>
      <c r="Z145" s="34">
        <f t="shared" si="148"/>
        <v>35121.9</v>
      </c>
      <c r="AA145" s="48">
        <v>31929</v>
      </c>
      <c r="AB145" s="287">
        <f>((17160*0.015)+(17160*0.25)+2100+4950)*5</f>
        <v>57987</v>
      </c>
      <c r="AC145" s="204">
        <f t="shared" si="156"/>
        <v>2310</v>
      </c>
      <c r="AD145" s="152">
        <v>7.8E-2</v>
      </c>
      <c r="AE145" s="31">
        <f>2900*(P145+S145)</f>
        <v>31900</v>
      </c>
      <c r="AF145" s="28">
        <f t="shared" si="150"/>
        <v>0.38782905982905985</v>
      </c>
      <c r="AG145" s="34">
        <f t="shared" si="151"/>
        <v>39930.910000000003</v>
      </c>
      <c r="AH145" s="34">
        <f t="shared" si="152"/>
        <v>2890.2241999999997</v>
      </c>
      <c r="AI145" s="34">
        <f t="shared" si="153"/>
        <v>26012.017800000001</v>
      </c>
      <c r="AJ145" s="46">
        <f t="shared" si="154"/>
        <v>-9109.8822</v>
      </c>
      <c r="AK145" s="40">
        <v>23</v>
      </c>
      <c r="AL145" s="41">
        <f t="shared" si="155"/>
        <v>29.624000000000002</v>
      </c>
      <c r="AM145" s="36">
        <v>29193</v>
      </c>
      <c r="AN145" s="284">
        <v>101</v>
      </c>
      <c r="AO145" s="26"/>
      <c r="AP145" s="26"/>
      <c r="AQ145" s="27"/>
      <c r="AR145" s="27"/>
      <c r="AS145" s="27"/>
      <c r="AT145" s="27"/>
      <c r="AU145" s="27"/>
      <c r="AV145" s="27"/>
      <c r="AW145" s="26"/>
      <c r="AX145" s="26"/>
      <c r="AY145" s="26"/>
      <c r="AZ145" s="26"/>
      <c r="BA145" s="26"/>
      <c r="BB145" s="26"/>
      <c r="BC145" s="26"/>
      <c r="BD145" s="26"/>
      <c r="BE145" s="26"/>
      <c r="BF145" s="26"/>
      <c r="BG145" s="26"/>
      <c r="BH145" s="26"/>
      <c r="BI145" s="26"/>
    </row>
    <row r="146" spans="1:61" ht="28.5" customHeight="1">
      <c r="A146" s="26"/>
      <c r="B146" s="207"/>
      <c r="C146" s="42" t="s">
        <v>151</v>
      </c>
      <c r="D146" s="28">
        <f t="shared" si="139"/>
        <v>-0.20195238095238094</v>
      </c>
      <c r="E146" s="201">
        <v>0.27700000000000002</v>
      </c>
      <c r="F146" s="30">
        <f t="shared" si="140"/>
        <v>0.47895238095238096</v>
      </c>
      <c r="G146" s="30">
        <f t="shared" si="141"/>
        <v>8.9285714285714288E-2</v>
      </c>
      <c r="H146" s="48"/>
      <c r="I146" s="48"/>
      <c r="J146" s="48"/>
      <c r="K146" s="210"/>
      <c r="L146" s="335"/>
      <c r="M146" s="210"/>
      <c r="N146" s="36"/>
      <c r="O146" s="36">
        <v>11</v>
      </c>
      <c r="P146" s="31">
        <f t="shared" si="142"/>
        <v>7</v>
      </c>
      <c r="Q146" s="36">
        <v>1</v>
      </c>
      <c r="R146" s="167">
        <v>5</v>
      </c>
      <c r="S146" s="36">
        <v>4</v>
      </c>
      <c r="T146" s="34">
        <f t="shared" si="143"/>
        <v>108900</v>
      </c>
      <c r="U146" s="31">
        <f t="shared" si="144"/>
        <v>39600</v>
      </c>
      <c r="V146" s="34">
        <f t="shared" si="145"/>
        <v>69300</v>
      </c>
      <c r="W146" s="43">
        <v>9900</v>
      </c>
      <c r="X146" s="34">
        <f t="shared" si="146"/>
        <v>3462.1440000000002</v>
      </c>
      <c r="Y146" s="34">
        <f t="shared" si="147"/>
        <v>24235.008000000002</v>
      </c>
      <c r="Z146" s="34">
        <f t="shared" si="148"/>
        <v>30881.4</v>
      </c>
      <c r="AA146" s="48">
        <v>28074</v>
      </c>
      <c r="AB146" s="287">
        <f>((9900*0.015)+(9900*0.34)+2100+4950)*4</f>
        <v>42258</v>
      </c>
      <c r="AC146" s="204">
        <f t="shared" si="156"/>
        <v>2310</v>
      </c>
      <c r="AD146" s="152">
        <v>0.1</v>
      </c>
      <c r="AE146" s="31">
        <f>3275*(P146+S146)</f>
        <v>36025</v>
      </c>
      <c r="AF146" s="28">
        <f t="shared" si="150"/>
        <v>0.61984126984126986</v>
      </c>
      <c r="AG146" s="34">
        <f t="shared" si="151"/>
        <v>42955.03</v>
      </c>
      <c r="AH146" s="34">
        <f t="shared" si="152"/>
        <v>210.99619999999959</v>
      </c>
      <c r="AI146" s="34">
        <f t="shared" si="153"/>
        <v>1898.9658000000054</v>
      </c>
      <c r="AJ146" s="46">
        <f t="shared" si="154"/>
        <v>-28982.434199999996</v>
      </c>
      <c r="AK146" s="40">
        <v>14</v>
      </c>
      <c r="AL146" s="41">
        <f t="shared" si="155"/>
        <v>18.032</v>
      </c>
      <c r="AM146" s="36">
        <v>19621</v>
      </c>
      <c r="AN146" s="284">
        <v>56</v>
      </c>
      <c r="AO146" s="26"/>
      <c r="AP146" s="26"/>
      <c r="AQ146" s="27"/>
      <c r="AR146" s="27"/>
      <c r="AS146" s="27"/>
      <c r="AT146" s="27"/>
      <c r="AU146" s="27"/>
      <c r="AV146" s="27"/>
      <c r="AW146" s="26"/>
      <c r="AX146" s="26"/>
      <c r="AY146" s="26"/>
      <c r="AZ146" s="26"/>
      <c r="BA146" s="26"/>
      <c r="BB146" s="26"/>
      <c r="BC146" s="26"/>
      <c r="BD146" s="26"/>
      <c r="BE146" s="26"/>
      <c r="BF146" s="26"/>
      <c r="BG146" s="26"/>
      <c r="BH146" s="26"/>
      <c r="BI146" s="26"/>
    </row>
    <row r="147" spans="1:61" ht="28.5" customHeight="1">
      <c r="A147" s="26"/>
      <c r="B147" s="212"/>
      <c r="C147" s="42" t="s">
        <v>152</v>
      </c>
      <c r="D147" s="28">
        <f t="shared" si="139"/>
        <v>-4.2730158730158729E-2</v>
      </c>
      <c r="E147" s="201">
        <v>0.34200000000000003</v>
      </c>
      <c r="F147" s="30">
        <f t="shared" si="140"/>
        <v>0.38473015873015876</v>
      </c>
      <c r="G147" s="30">
        <f t="shared" si="141"/>
        <v>5.3571428571428568E-2</v>
      </c>
      <c r="H147" s="48"/>
      <c r="I147" s="48"/>
      <c r="J147" s="48"/>
      <c r="K147" s="210"/>
      <c r="L147" s="310"/>
      <c r="M147" s="210"/>
      <c r="N147" s="36"/>
      <c r="O147" s="36">
        <v>11</v>
      </c>
      <c r="P147" s="31">
        <f t="shared" si="142"/>
        <v>11</v>
      </c>
      <c r="Q147" s="36">
        <v>1</v>
      </c>
      <c r="R147" s="167">
        <v>9</v>
      </c>
      <c r="S147" s="36"/>
      <c r="T147" s="34">
        <f t="shared" si="143"/>
        <v>207900</v>
      </c>
      <c r="U147" s="31">
        <f t="shared" si="144"/>
        <v>0</v>
      </c>
      <c r="V147" s="34">
        <f t="shared" si="145"/>
        <v>207900</v>
      </c>
      <c r="W147" s="43">
        <v>18900</v>
      </c>
      <c r="X147" s="34">
        <f t="shared" si="146"/>
        <v>6924.2880000000005</v>
      </c>
      <c r="Y147" s="34">
        <f t="shared" si="147"/>
        <v>76167.168000000005</v>
      </c>
      <c r="Z147" s="34">
        <f t="shared" si="148"/>
        <v>77675.400000000009</v>
      </c>
      <c r="AA147" s="48">
        <v>70614</v>
      </c>
      <c r="AB147" s="36"/>
      <c r="AC147" s="204">
        <f t="shared" si="156"/>
        <v>2310</v>
      </c>
      <c r="AD147" s="152">
        <v>0.1</v>
      </c>
      <c r="AE147" s="31">
        <f>3425*(P147+S147)</f>
        <v>37675</v>
      </c>
      <c r="AF147" s="28">
        <f t="shared" si="150"/>
        <v>0.28121693121693125</v>
      </c>
      <c r="AG147" s="34">
        <f t="shared" si="151"/>
        <v>58465.030000000006</v>
      </c>
      <c r="AH147" s="34">
        <f t="shared" si="152"/>
        <v>7326.7801999999992</v>
      </c>
      <c r="AI147" s="34">
        <f t="shared" si="153"/>
        <v>65941.021799999988</v>
      </c>
      <c r="AJ147" s="46">
        <f t="shared" si="154"/>
        <v>-11734.378200000021</v>
      </c>
      <c r="AK147" s="40">
        <v>28</v>
      </c>
      <c r="AL147" s="41">
        <f t="shared" si="155"/>
        <v>36.064</v>
      </c>
      <c r="AM147" s="36">
        <v>43288</v>
      </c>
      <c r="AN147" s="284">
        <v>168</v>
      </c>
      <c r="AO147" s="26"/>
      <c r="AP147" s="26"/>
      <c r="AQ147" s="27"/>
      <c r="AR147" s="27"/>
      <c r="AS147" s="27"/>
      <c r="AT147" s="27"/>
      <c r="AU147" s="27"/>
      <c r="AV147" s="27"/>
      <c r="AW147" s="26"/>
      <c r="AX147" s="26"/>
      <c r="AY147" s="26"/>
      <c r="AZ147" s="26"/>
      <c r="BA147" s="26"/>
      <c r="BB147" s="26"/>
      <c r="BC147" s="26"/>
      <c r="BD147" s="26"/>
      <c r="BE147" s="26"/>
      <c r="BF147" s="26"/>
      <c r="BG147" s="26"/>
      <c r="BH147" s="26"/>
      <c r="BI147" s="26"/>
    </row>
    <row r="148" spans="1:61" ht="28.5" customHeight="1">
      <c r="A148" s="295"/>
      <c r="B148" s="296"/>
      <c r="C148" s="42" t="s">
        <v>153</v>
      </c>
      <c r="D148" s="28">
        <f t="shared" si="139"/>
        <v>0.26118800461361014</v>
      </c>
      <c r="E148" s="201">
        <v>0.35</v>
      </c>
      <c r="F148" s="30">
        <f t="shared" si="140"/>
        <v>8.8811995386389855E-2</v>
      </c>
      <c r="G148" s="30" t="e">
        <f t="shared" si="141"/>
        <v>#DIV/0!</v>
      </c>
      <c r="H148" s="48"/>
      <c r="I148" s="48"/>
      <c r="J148" s="48"/>
      <c r="K148" s="26"/>
      <c r="L148" s="26"/>
      <c r="M148" s="210"/>
      <c r="N148" s="36"/>
      <c r="O148" s="36">
        <v>1</v>
      </c>
      <c r="P148" s="31">
        <f t="shared" si="142"/>
        <v>1</v>
      </c>
      <c r="Q148" s="36">
        <v>1</v>
      </c>
      <c r="R148" s="167">
        <v>0</v>
      </c>
      <c r="S148" s="36"/>
      <c r="T148" s="34">
        <f t="shared" si="143"/>
        <v>26010</v>
      </c>
      <c r="U148" s="31">
        <f t="shared" si="144"/>
        <v>0</v>
      </c>
      <c r="V148" s="34">
        <f t="shared" si="145"/>
        <v>26010</v>
      </c>
      <c r="W148" s="43">
        <v>26010</v>
      </c>
      <c r="X148" s="34">
        <f t="shared" si="146"/>
        <v>10386.432000000001</v>
      </c>
      <c r="Y148" s="34">
        <f t="shared" si="147"/>
        <v>10386.432000000001</v>
      </c>
      <c r="Z148" s="34">
        <f t="shared" si="148"/>
        <v>0</v>
      </c>
      <c r="AA148" s="48">
        <v>0</v>
      </c>
      <c r="AB148" s="36"/>
      <c r="AC148" s="204">
        <f t="shared" si="156"/>
        <v>2310</v>
      </c>
      <c r="AD148" s="152">
        <v>0.1</v>
      </c>
      <c r="AE148" s="31">
        <f>5925*(P148+S148)</f>
        <v>5925</v>
      </c>
      <c r="AF148" s="28">
        <f t="shared" si="150"/>
        <v>0.32779700115340255</v>
      </c>
      <c r="AG148" s="34">
        <f t="shared" si="151"/>
        <v>8526.0300000000007</v>
      </c>
      <c r="AH148" s="34">
        <f t="shared" si="152"/>
        <v>709.75379999999996</v>
      </c>
      <c r="AI148" s="34">
        <f t="shared" si="153"/>
        <v>6387.7842000000019</v>
      </c>
      <c r="AJ148" s="46">
        <f t="shared" si="154"/>
        <v>6387.7842000000019</v>
      </c>
      <c r="AK148" s="40">
        <v>42</v>
      </c>
      <c r="AL148" s="41">
        <f t="shared" si="155"/>
        <v>54.096000000000004</v>
      </c>
      <c r="AM148" s="36">
        <v>0</v>
      </c>
      <c r="AN148" s="284"/>
      <c r="AO148" s="26"/>
      <c r="AP148" s="26"/>
      <c r="AQ148" s="27"/>
      <c r="AR148" s="27"/>
      <c r="AS148" s="27"/>
      <c r="AT148" s="27"/>
      <c r="AU148" s="27"/>
      <c r="AV148" s="27"/>
      <c r="AW148" s="26"/>
      <c r="AX148" s="26"/>
      <c r="AY148" s="26"/>
      <c r="AZ148" s="26"/>
      <c r="BA148" s="26"/>
      <c r="BB148" s="26"/>
      <c r="BC148" s="26"/>
      <c r="BD148" s="26"/>
      <c r="BE148" s="26"/>
      <c r="BF148" s="26"/>
      <c r="BG148" s="26"/>
      <c r="BH148" s="26"/>
      <c r="BI148" s="26"/>
    </row>
    <row r="149" spans="1:61" ht="28.5" customHeight="1">
      <c r="A149" s="26"/>
      <c r="B149" s="323"/>
      <c r="C149" s="42" t="s">
        <v>112</v>
      </c>
      <c r="D149" s="28">
        <f t="shared" si="139"/>
        <v>0.19192606029195819</v>
      </c>
      <c r="E149" s="201">
        <v>0.38600000000000001</v>
      </c>
      <c r="F149" s="30">
        <f t="shared" si="140"/>
        <v>0.19407393970804182</v>
      </c>
      <c r="G149" s="30">
        <f t="shared" si="141"/>
        <v>5.128205128205128E-2</v>
      </c>
      <c r="H149" s="334"/>
      <c r="I149" s="48"/>
      <c r="J149" s="48"/>
      <c r="K149" s="210"/>
      <c r="L149" s="335"/>
      <c r="M149" s="210"/>
      <c r="N149" s="36"/>
      <c r="O149" s="36">
        <v>19</v>
      </c>
      <c r="P149" s="31">
        <f t="shared" si="142"/>
        <v>15</v>
      </c>
      <c r="Q149" s="36">
        <v>1</v>
      </c>
      <c r="R149" s="167">
        <v>8</v>
      </c>
      <c r="S149" s="36">
        <v>4</v>
      </c>
      <c r="T149" s="34">
        <f t="shared" si="143"/>
        <v>733210</v>
      </c>
      <c r="U149" s="31">
        <f t="shared" si="144"/>
        <v>154360</v>
      </c>
      <c r="V149" s="34">
        <f t="shared" si="145"/>
        <v>578850</v>
      </c>
      <c r="W149" s="43">
        <v>38590</v>
      </c>
      <c r="X149" s="34">
        <f t="shared" si="146"/>
        <v>15085.056</v>
      </c>
      <c r="Y149" s="34">
        <f t="shared" si="147"/>
        <v>226275.84</v>
      </c>
      <c r="Z149" s="34">
        <f t="shared" si="148"/>
        <v>110029.70000000001</v>
      </c>
      <c r="AA149" s="48">
        <v>100027</v>
      </c>
      <c r="AB149" s="286">
        <f>((38590*0.18)+(38590*0.015)+2100+2200)*4</f>
        <v>47300.2</v>
      </c>
      <c r="AC149" s="204">
        <f t="shared" si="156"/>
        <v>2310</v>
      </c>
      <c r="AD149" s="152">
        <v>0.08</v>
      </c>
      <c r="AE149" s="31">
        <f t="shared" ref="AE149:AE150" si="160">4150*(P149+S149)</f>
        <v>78850</v>
      </c>
      <c r="AF149" s="28">
        <f t="shared" si="150"/>
        <v>0.21621836399758143</v>
      </c>
      <c r="AG149" s="34">
        <f t="shared" si="151"/>
        <v>125158.03000000001</v>
      </c>
      <c r="AH149" s="34">
        <f t="shared" si="152"/>
        <v>22741.612999999998</v>
      </c>
      <c r="AI149" s="34">
        <f t="shared" si="153"/>
        <v>204674.51699999999</v>
      </c>
      <c r="AJ149" s="46">
        <f t="shared" si="154"/>
        <v>94644.816999999981</v>
      </c>
      <c r="AK149" s="40">
        <v>61</v>
      </c>
      <c r="AL149" s="41">
        <f t="shared" si="155"/>
        <v>78.567999999999998</v>
      </c>
      <c r="AM149" s="36">
        <v>33904</v>
      </c>
      <c r="AN149" s="284">
        <v>156</v>
      </c>
      <c r="AO149" s="26"/>
      <c r="AP149" s="26"/>
      <c r="AQ149" s="27"/>
      <c r="AR149" s="27"/>
      <c r="AS149" s="27"/>
      <c r="AT149" s="27"/>
      <c r="AU149" s="27"/>
      <c r="AV149" s="27"/>
      <c r="AW149" s="26"/>
      <c r="AX149" s="26"/>
      <c r="AY149" s="26"/>
      <c r="AZ149" s="26"/>
      <c r="BA149" s="26"/>
      <c r="BB149" s="26"/>
      <c r="BC149" s="26"/>
      <c r="BD149" s="26"/>
      <c r="BE149" s="26"/>
      <c r="BF149" s="26"/>
      <c r="BG149" s="26"/>
      <c r="BH149" s="26"/>
      <c r="BI149" s="26"/>
    </row>
    <row r="150" spans="1:61" ht="28.5" customHeight="1">
      <c r="A150" s="26"/>
      <c r="B150" s="324"/>
      <c r="C150" s="42" t="s">
        <v>113</v>
      </c>
      <c r="D150" s="28">
        <f t="shared" si="139"/>
        <v>-0.23362051282051283</v>
      </c>
      <c r="E150" s="201">
        <v>0.316</v>
      </c>
      <c r="F150" s="30">
        <f t="shared" si="140"/>
        <v>0.54962051282051283</v>
      </c>
      <c r="G150" s="30">
        <f t="shared" si="141"/>
        <v>5.2884615384615384E-2</v>
      </c>
      <c r="H150" s="310"/>
      <c r="I150" s="48"/>
      <c r="J150" s="48"/>
      <c r="K150" s="210"/>
      <c r="L150" s="310"/>
      <c r="M150" s="210"/>
      <c r="N150" s="36"/>
      <c r="O150" s="36">
        <v>5</v>
      </c>
      <c r="P150" s="31">
        <f t="shared" si="142"/>
        <v>5</v>
      </c>
      <c r="Q150" s="36">
        <v>6</v>
      </c>
      <c r="R150" s="167">
        <v>11</v>
      </c>
      <c r="S150" s="36"/>
      <c r="T150" s="34">
        <f t="shared" si="143"/>
        <v>214500</v>
      </c>
      <c r="U150" s="31">
        <f t="shared" si="144"/>
        <v>0</v>
      </c>
      <c r="V150" s="34">
        <f t="shared" si="145"/>
        <v>214500</v>
      </c>
      <c r="W150" s="43">
        <v>42900</v>
      </c>
      <c r="X150" s="34">
        <f t="shared" si="146"/>
        <v>20278.272000000004</v>
      </c>
      <c r="Y150" s="34">
        <f t="shared" si="147"/>
        <v>101391.36000000002</v>
      </c>
      <c r="Z150" s="34">
        <f t="shared" si="148"/>
        <v>104033.60000000001</v>
      </c>
      <c r="AA150" s="48">
        <v>94576</v>
      </c>
      <c r="AB150" s="36"/>
      <c r="AC150" s="204">
        <f t="shared" si="156"/>
        <v>13860</v>
      </c>
      <c r="AD150" s="152">
        <v>7.8E-2</v>
      </c>
      <c r="AE150" s="31">
        <f t="shared" si="160"/>
        <v>20750</v>
      </c>
      <c r="AF150" s="28">
        <f t="shared" si="150"/>
        <v>0.17473659673659675</v>
      </c>
      <c r="AG150" s="34">
        <f t="shared" si="151"/>
        <v>37481.03</v>
      </c>
      <c r="AH150" s="34">
        <f t="shared" si="152"/>
        <v>7562.7609999999986</v>
      </c>
      <c r="AI150" s="34">
        <f t="shared" si="153"/>
        <v>68064.848999999987</v>
      </c>
      <c r="AJ150" s="46">
        <f t="shared" si="154"/>
        <v>-35968.751000000018</v>
      </c>
      <c r="AK150" s="40">
        <v>82</v>
      </c>
      <c r="AL150" s="41">
        <f t="shared" si="155"/>
        <v>105.61600000000001</v>
      </c>
      <c r="AM150" s="36">
        <v>139125</v>
      </c>
      <c r="AN150" s="284">
        <v>208</v>
      </c>
      <c r="AO150" s="26"/>
      <c r="AP150" s="26"/>
      <c r="AQ150" s="27"/>
      <c r="AR150" s="27"/>
      <c r="AS150" s="27"/>
      <c r="AT150" s="27"/>
      <c r="AU150" s="27"/>
      <c r="AV150" s="27"/>
      <c r="AW150" s="26"/>
      <c r="AX150" s="26"/>
      <c r="AY150" s="26"/>
      <c r="AZ150" s="26"/>
      <c r="BA150" s="26"/>
      <c r="BB150" s="26"/>
      <c r="BC150" s="26"/>
      <c r="BD150" s="26"/>
      <c r="BE150" s="26"/>
      <c r="BF150" s="26"/>
      <c r="BG150" s="26"/>
      <c r="BH150" s="26"/>
      <c r="BI150" s="26"/>
    </row>
    <row r="151" spans="1:61" ht="28.5" customHeight="1">
      <c r="A151" s="26"/>
      <c r="B151" s="200"/>
      <c r="C151" s="42" t="s">
        <v>154</v>
      </c>
      <c r="D151" s="28">
        <f t="shared" si="139"/>
        <v>4.3269181090157538E-3</v>
      </c>
      <c r="E151" s="201">
        <v>0.185</v>
      </c>
      <c r="F151" s="30">
        <f t="shared" si="140"/>
        <v>0.18067308189098424</v>
      </c>
      <c r="G151" s="30">
        <f t="shared" si="141"/>
        <v>0.19760479041916168</v>
      </c>
      <c r="H151" s="48"/>
      <c r="I151" s="48"/>
      <c r="J151" s="48"/>
      <c r="K151" s="210"/>
      <c r="L151" s="210"/>
      <c r="M151" s="210"/>
      <c r="N151" s="36"/>
      <c r="O151" s="36">
        <v>81</v>
      </c>
      <c r="P151" s="31">
        <f t="shared" si="142"/>
        <v>79</v>
      </c>
      <c r="Q151" s="36">
        <v>6</v>
      </c>
      <c r="R151" s="167">
        <v>33</v>
      </c>
      <c r="S151" s="36">
        <v>2</v>
      </c>
      <c r="T151" s="34">
        <f t="shared" si="143"/>
        <v>793800</v>
      </c>
      <c r="U151" s="31">
        <f t="shared" si="144"/>
        <v>19600</v>
      </c>
      <c r="V151" s="34">
        <f t="shared" si="145"/>
        <v>774200</v>
      </c>
      <c r="W151" s="43">
        <v>9800</v>
      </c>
      <c r="X151" s="34">
        <f t="shared" si="146"/>
        <v>4006.1952000000001</v>
      </c>
      <c r="Y151" s="34">
        <f t="shared" si="147"/>
        <v>316489.42080000002</v>
      </c>
      <c r="Z151" s="34">
        <f t="shared" si="148"/>
        <v>126017.1</v>
      </c>
      <c r="AA151" s="48">
        <v>114561</v>
      </c>
      <c r="AB151" s="287">
        <f>((9800*0.015)+(9800*0.39)+2100+4950)*2</f>
        <v>22038</v>
      </c>
      <c r="AC151" s="204">
        <f t="shared" si="156"/>
        <v>13860</v>
      </c>
      <c r="AD151" s="152">
        <v>0.108</v>
      </c>
      <c r="AE151" s="31">
        <f>2800*(P151+S151)</f>
        <v>226800</v>
      </c>
      <c r="AF151" s="28">
        <f t="shared" si="150"/>
        <v>0.40094755877034355</v>
      </c>
      <c r="AG151" s="34">
        <f t="shared" si="151"/>
        <v>310413.63</v>
      </c>
      <c r="AH151" s="34">
        <f t="shared" si="152"/>
        <v>14729.694919999987</v>
      </c>
      <c r="AI151" s="34">
        <f t="shared" si="153"/>
        <v>132567.25427999988</v>
      </c>
      <c r="AJ151" s="46">
        <f t="shared" si="154"/>
        <v>6550.1542799998715</v>
      </c>
      <c r="AK151" s="40">
        <v>16.2</v>
      </c>
      <c r="AL151" s="41">
        <f t="shared" si="155"/>
        <v>20.865600000000001</v>
      </c>
      <c r="AM151" s="36">
        <v>126076</v>
      </c>
      <c r="AN151" s="284">
        <v>167</v>
      </c>
      <c r="AO151" s="26"/>
      <c r="AP151" s="26"/>
      <c r="AQ151" s="27"/>
      <c r="AR151" s="27"/>
      <c r="AS151" s="27"/>
      <c r="AT151" s="27"/>
      <c r="AU151" s="27"/>
      <c r="AV151" s="27"/>
      <c r="AW151" s="26"/>
      <c r="AX151" s="26"/>
      <c r="AY151" s="26"/>
      <c r="AZ151" s="26"/>
      <c r="BA151" s="26"/>
      <c r="BB151" s="26"/>
      <c r="BC151" s="26"/>
      <c r="BD151" s="26"/>
      <c r="BE151" s="26"/>
      <c r="BF151" s="26"/>
      <c r="BG151" s="26"/>
      <c r="BH151" s="26"/>
      <c r="BI151" s="26"/>
    </row>
    <row r="152" spans="1:61" ht="28.5" customHeight="1">
      <c r="A152" s="26"/>
      <c r="B152" s="200"/>
      <c r="C152" s="42" t="s">
        <v>114</v>
      </c>
      <c r="D152" s="28">
        <f t="shared" si="139"/>
        <v>0.14945526315789473</v>
      </c>
      <c r="E152" s="201">
        <v>0.33</v>
      </c>
      <c r="F152" s="30">
        <f t="shared" si="140"/>
        <v>0.18054473684210529</v>
      </c>
      <c r="G152" s="30">
        <f t="shared" si="141"/>
        <v>0.11538461538461539</v>
      </c>
      <c r="H152" s="48"/>
      <c r="I152" s="48"/>
      <c r="J152" s="48"/>
      <c r="K152" s="210"/>
      <c r="L152" s="210"/>
      <c r="M152" s="210"/>
      <c r="N152" s="36"/>
      <c r="O152" s="36">
        <v>22</v>
      </c>
      <c r="P152" s="31">
        <f t="shared" si="142"/>
        <v>22</v>
      </c>
      <c r="Q152" s="36">
        <v>5</v>
      </c>
      <c r="R152" s="167">
        <v>12</v>
      </c>
      <c r="S152" s="36"/>
      <c r="T152" s="34">
        <f t="shared" si="143"/>
        <v>418000</v>
      </c>
      <c r="U152" s="31">
        <f t="shared" si="144"/>
        <v>0</v>
      </c>
      <c r="V152" s="34">
        <f t="shared" si="145"/>
        <v>418000</v>
      </c>
      <c r="W152" s="43">
        <v>19000</v>
      </c>
      <c r="X152" s="34">
        <f t="shared" si="146"/>
        <v>7122.1247999999996</v>
      </c>
      <c r="Y152" s="34">
        <f t="shared" si="147"/>
        <v>156686.74559999999</v>
      </c>
      <c r="Z152" s="34">
        <f t="shared" si="148"/>
        <v>63917.700000000004</v>
      </c>
      <c r="AA152" s="48">
        <v>58107</v>
      </c>
      <c r="AB152" s="36"/>
      <c r="AC152" s="204">
        <f t="shared" si="156"/>
        <v>11550</v>
      </c>
      <c r="AD152" s="152">
        <v>0.08</v>
      </c>
      <c r="AE152" s="31">
        <f>3350*(P152+S152)</f>
        <v>73700</v>
      </c>
      <c r="AF152" s="28">
        <f t="shared" si="150"/>
        <v>0.25631578947368422</v>
      </c>
      <c r="AG152" s="34">
        <f t="shared" si="151"/>
        <v>107140.03</v>
      </c>
      <c r="AH152" s="34">
        <f t="shared" si="152"/>
        <v>15417.32244</v>
      </c>
      <c r="AI152" s="34">
        <f t="shared" si="153"/>
        <v>138755.90195999999</v>
      </c>
      <c r="AJ152" s="46">
        <f t="shared" si="154"/>
        <v>74838.201959999977</v>
      </c>
      <c r="AK152" s="40">
        <v>28.8</v>
      </c>
      <c r="AL152" s="41">
        <f t="shared" si="155"/>
        <v>37.0944</v>
      </c>
      <c r="AM152" s="36">
        <v>47060</v>
      </c>
      <c r="AN152" s="284">
        <v>104</v>
      </c>
      <c r="AO152" s="26"/>
      <c r="AP152" s="26"/>
      <c r="AQ152" s="27"/>
      <c r="AR152" s="27"/>
      <c r="AS152" s="27"/>
      <c r="AT152" s="27"/>
      <c r="AU152" s="27"/>
      <c r="AV152" s="27"/>
      <c r="AW152" s="26"/>
      <c r="AX152" s="26"/>
      <c r="AY152" s="26"/>
      <c r="AZ152" s="26"/>
      <c r="BA152" s="26"/>
      <c r="BB152" s="26"/>
      <c r="BC152" s="26"/>
      <c r="BD152" s="26"/>
      <c r="BE152" s="26"/>
      <c r="BF152" s="26"/>
      <c r="BG152" s="26"/>
      <c r="BH152" s="26"/>
      <c r="BI152" s="26"/>
    </row>
    <row r="153" spans="1:61" ht="28.5" customHeight="1">
      <c r="A153" s="26"/>
      <c r="B153" s="326"/>
      <c r="C153" s="42" t="s">
        <v>115</v>
      </c>
      <c r="D153" s="28">
        <f t="shared" si="139"/>
        <v>-0.67616788321167887</v>
      </c>
      <c r="E153" s="201">
        <v>0.437</v>
      </c>
      <c r="F153" s="30">
        <f t="shared" si="140"/>
        <v>1.1131678832116789</v>
      </c>
      <c r="G153" s="30">
        <f t="shared" si="141"/>
        <v>2.2222222222222223E-2</v>
      </c>
      <c r="H153" s="48"/>
      <c r="I153" s="48"/>
      <c r="J153" s="48"/>
      <c r="K153" s="210"/>
      <c r="L153" s="210"/>
      <c r="M153" s="210"/>
      <c r="N153" s="36"/>
      <c r="O153" s="36">
        <v>1</v>
      </c>
      <c r="P153" s="31">
        <f t="shared" si="142"/>
        <v>1</v>
      </c>
      <c r="Q153" s="36"/>
      <c r="R153" s="167">
        <v>2</v>
      </c>
      <c r="S153" s="36"/>
      <c r="T153" s="34">
        <f t="shared" si="143"/>
        <v>54800</v>
      </c>
      <c r="U153" s="31">
        <f t="shared" si="144"/>
        <v>0</v>
      </c>
      <c r="V153" s="34">
        <f t="shared" si="145"/>
        <v>54800</v>
      </c>
      <c r="W153" s="43">
        <v>54800</v>
      </c>
      <c r="X153" s="34">
        <f t="shared" si="146"/>
        <v>20030.976000000002</v>
      </c>
      <c r="Y153" s="34">
        <f t="shared" si="147"/>
        <v>20030.976000000002</v>
      </c>
      <c r="Z153" s="34">
        <f t="shared" si="148"/>
        <v>61001.600000000006</v>
      </c>
      <c r="AA153" s="48">
        <v>55456</v>
      </c>
      <c r="AB153" s="36"/>
      <c r="AC153" s="204">
        <f t="shared" si="156"/>
        <v>0</v>
      </c>
      <c r="AD153" s="152">
        <v>7.8E-2</v>
      </c>
      <c r="AE153" s="31">
        <f t="shared" ref="AE153:AE154" si="161">4825*(P153+S153)</f>
        <v>4825</v>
      </c>
      <c r="AF153" s="28">
        <f t="shared" si="150"/>
        <v>0.16604744525547444</v>
      </c>
      <c r="AG153" s="34">
        <f t="shared" si="151"/>
        <v>9099.43</v>
      </c>
      <c r="AH153" s="34">
        <f t="shared" si="152"/>
        <v>2566.9593999999997</v>
      </c>
      <c r="AI153" s="34">
        <f t="shared" si="153"/>
        <v>23102.634599999998</v>
      </c>
      <c r="AJ153" s="46">
        <f t="shared" si="154"/>
        <v>-37898.965400000008</v>
      </c>
      <c r="AK153" s="40">
        <v>81</v>
      </c>
      <c r="AL153" s="41">
        <f t="shared" si="155"/>
        <v>104.328</v>
      </c>
      <c r="AM153" s="36">
        <v>16534</v>
      </c>
      <c r="AN153" s="284">
        <v>90</v>
      </c>
      <c r="AO153" s="26"/>
      <c r="AP153" s="26"/>
      <c r="AQ153" s="27"/>
      <c r="AR153" s="27"/>
      <c r="AS153" s="27"/>
      <c r="AT153" s="27"/>
      <c r="AU153" s="27"/>
      <c r="AV153" s="27"/>
      <c r="AW153" s="26"/>
      <c r="AX153" s="26"/>
      <c r="AY153" s="26"/>
      <c r="AZ153" s="26"/>
      <c r="BA153" s="26"/>
      <c r="BB153" s="26"/>
      <c r="BC153" s="26"/>
      <c r="BD153" s="26"/>
      <c r="BE153" s="26"/>
      <c r="BF153" s="26"/>
      <c r="BG153" s="26"/>
      <c r="BH153" s="26"/>
      <c r="BI153" s="26"/>
    </row>
    <row r="154" spans="1:61" ht="28.5" customHeight="1">
      <c r="A154" s="26"/>
      <c r="B154" s="324"/>
      <c r="C154" s="42" t="s">
        <v>116</v>
      </c>
      <c r="D154" s="28">
        <f t="shared" si="139"/>
        <v>0.29952488425925927</v>
      </c>
      <c r="E154" s="201">
        <v>0.42499999999999999</v>
      </c>
      <c r="F154" s="30">
        <f t="shared" si="140"/>
        <v>0.12547511574074074</v>
      </c>
      <c r="G154" s="30">
        <f t="shared" si="141"/>
        <v>4.9504950495049507E-2</v>
      </c>
      <c r="H154" s="48"/>
      <c r="I154" s="48"/>
      <c r="J154" s="48"/>
      <c r="K154" s="210"/>
      <c r="L154" s="210"/>
      <c r="M154" s="210"/>
      <c r="N154" s="36"/>
      <c r="O154" s="36">
        <v>8</v>
      </c>
      <c r="P154" s="31">
        <f t="shared" si="142"/>
        <v>8</v>
      </c>
      <c r="Q154" s="36"/>
      <c r="R154" s="167">
        <v>5</v>
      </c>
      <c r="S154" s="36"/>
      <c r="T154" s="34">
        <f t="shared" si="143"/>
        <v>518400</v>
      </c>
      <c r="U154" s="31">
        <f t="shared" si="144"/>
        <v>0</v>
      </c>
      <c r="V154" s="34">
        <f t="shared" si="145"/>
        <v>518400</v>
      </c>
      <c r="W154" s="43">
        <v>64800</v>
      </c>
      <c r="X154" s="34">
        <f t="shared" si="146"/>
        <v>25224.192000000003</v>
      </c>
      <c r="Y154" s="34">
        <f t="shared" si="147"/>
        <v>201793.53600000002</v>
      </c>
      <c r="Z154" s="34">
        <f t="shared" si="148"/>
        <v>65046.3</v>
      </c>
      <c r="AA154" s="48">
        <v>59133</v>
      </c>
      <c r="AB154" s="36"/>
      <c r="AC154" s="204">
        <f t="shared" si="156"/>
        <v>0</v>
      </c>
      <c r="AD154" s="152">
        <v>7.8E-2</v>
      </c>
      <c r="AE154" s="31">
        <f t="shared" si="161"/>
        <v>38600</v>
      </c>
      <c r="AF154" s="28">
        <f t="shared" si="150"/>
        <v>0.15245987654320986</v>
      </c>
      <c r="AG154" s="34">
        <f t="shared" si="151"/>
        <v>79035.23</v>
      </c>
      <c r="AH154" s="34">
        <f t="shared" si="152"/>
        <v>23757.123399999997</v>
      </c>
      <c r="AI154" s="34">
        <f t="shared" si="153"/>
        <v>213814.11060000001</v>
      </c>
      <c r="AJ154" s="46">
        <f t="shared" si="154"/>
        <v>148767.81060000003</v>
      </c>
      <c r="AK154" s="40">
        <v>102</v>
      </c>
      <c r="AL154" s="41">
        <f t="shared" si="155"/>
        <v>131.376</v>
      </c>
      <c r="AM154" s="36">
        <v>47206</v>
      </c>
      <c r="AN154" s="284">
        <v>101</v>
      </c>
      <c r="AO154" s="26"/>
      <c r="AP154" s="26"/>
      <c r="AQ154" s="27"/>
      <c r="AR154" s="27"/>
      <c r="AS154" s="27"/>
      <c r="AT154" s="27"/>
      <c r="AU154" s="27"/>
      <c r="AV154" s="27"/>
      <c r="AW154" s="26"/>
      <c r="AX154" s="26"/>
      <c r="AY154" s="26"/>
      <c r="AZ154" s="26"/>
      <c r="BA154" s="26"/>
      <c r="BB154" s="26"/>
      <c r="BC154" s="26"/>
      <c r="BD154" s="26"/>
      <c r="BE154" s="26"/>
      <c r="BF154" s="26"/>
      <c r="BG154" s="26"/>
      <c r="BH154" s="26"/>
      <c r="BI154" s="26"/>
    </row>
    <row r="155" spans="1:61" ht="28.5" customHeight="1">
      <c r="A155" s="26"/>
      <c r="B155" s="200"/>
      <c r="C155" s="42" t="s">
        <v>117</v>
      </c>
      <c r="D155" s="28">
        <f t="shared" si="139"/>
        <v>0.39248492063492069</v>
      </c>
      <c r="E155" s="297">
        <v>0.53900000000000003</v>
      </c>
      <c r="F155" s="30">
        <f t="shared" si="140"/>
        <v>0.14651507936507938</v>
      </c>
      <c r="G155" s="30">
        <f t="shared" si="141"/>
        <v>3.4759358288770054E-2</v>
      </c>
      <c r="H155" s="48"/>
      <c r="I155" s="48"/>
      <c r="J155" s="48"/>
      <c r="K155" s="210"/>
      <c r="L155" s="210"/>
      <c r="M155" s="210"/>
      <c r="N155" s="36"/>
      <c r="O155" s="36">
        <v>70</v>
      </c>
      <c r="P155" s="31">
        <f t="shared" si="142"/>
        <v>70</v>
      </c>
      <c r="Q155" s="36">
        <v>6</v>
      </c>
      <c r="R155" s="167">
        <v>39</v>
      </c>
      <c r="S155" s="36"/>
      <c r="T155" s="34">
        <f t="shared" si="143"/>
        <v>1386000</v>
      </c>
      <c r="U155" s="31">
        <f t="shared" si="144"/>
        <v>0</v>
      </c>
      <c r="V155" s="34">
        <f t="shared" si="145"/>
        <v>1386000</v>
      </c>
      <c r="W155" s="43">
        <v>19800</v>
      </c>
      <c r="X155" s="34">
        <f t="shared" si="146"/>
        <v>4451.3280000000004</v>
      </c>
      <c r="Y155" s="34">
        <f t="shared" si="147"/>
        <v>311592.96000000002</v>
      </c>
      <c r="Z155" s="34">
        <f t="shared" si="148"/>
        <v>189209.90000000002</v>
      </c>
      <c r="AA155" s="48">
        <v>172009</v>
      </c>
      <c r="AB155" s="36"/>
      <c r="AC155" s="204">
        <f t="shared" si="156"/>
        <v>13860</v>
      </c>
      <c r="AD155" s="152">
        <v>7.8E-2</v>
      </c>
      <c r="AE155" s="31">
        <f t="shared" ref="AE155:AE157" si="162">1900*(P155+S155)</f>
        <v>133000</v>
      </c>
      <c r="AF155" s="28">
        <f t="shared" si="150"/>
        <v>0.17395959595959595</v>
      </c>
      <c r="AG155" s="34">
        <f t="shared" si="151"/>
        <v>241108.03</v>
      </c>
      <c r="AH155" s="34">
        <f t="shared" si="152"/>
        <v>83329.900999999998</v>
      </c>
      <c r="AI155" s="34">
        <f t="shared" si="153"/>
        <v>749969.10900000005</v>
      </c>
      <c r="AJ155" s="46">
        <f t="shared" si="154"/>
        <v>560759.20900000003</v>
      </c>
      <c r="AK155" s="40">
        <v>18</v>
      </c>
      <c r="AL155" s="41">
        <f t="shared" si="155"/>
        <v>23.184000000000001</v>
      </c>
      <c r="AM155" s="36">
        <v>287649</v>
      </c>
      <c r="AN155" s="284">
        <v>1122</v>
      </c>
      <c r="AO155" s="26"/>
      <c r="AP155" s="26"/>
      <c r="AQ155" s="27"/>
      <c r="AR155" s="27"/>
      <c r="AS155" s="27"/>
      <c r="AT155" s="27"/>
      <c r="AU155" s="27"/>
      <c r="AV155" s="27"/>
      <c r="AW155" s="26"/>
      <c r="AX155" s="26"/>
      <c r="AY155" s="26"/>
      <c r="AZ155" s="26"/>
      <c r="BA155" s="26"/>
      <c r="BB155" s="26"/>
      <c r="BC155" s="26"/>
      <c r="BD155" s="26"/>
      <c r="BE155" s="26"/>
      <c r="BF155" s="26"/>
      <c r="BG155" s="26"/>
      <c r="BH155" s="26"/>
      <c r="BI155" s="26"/>
    </row>
    <row r="156" spans="1:61" ht="28.5" customHeight="1">
      <c r="A156" s="26"/>
      <c r="B156" s="200"/>
      <c r="C156" s="42" t="s">
        <v>31</v>
      </c>
      <c r="D156" s="28">
        <f t="shared" si="139"/>
        <v>0.27475925925925926</v>
      </c>
      <c r="E156" s="297">
        <v>0.40699999999999997</v>
      </c>
      <c r="F156" s="30">
        <f t="shared" si="140"/>
        <v>0.13224074074074074</v>
      </c>
      <c r="G156" s="30">
        <f t="shared" si="141"/>
        <v>0.1</v>
      </c>
      <c r="H156" s="48"/>
      <c r="I156" s="48"/>
      <c r="J156" s="48"/>
      <c r="K156" s="210"/>
      <c r="L156" s="210"/>
      <c r="M156" s="210"/>
      <c r="N156" s="36"/>
      <c r="O156" s="36">
        <v>10</v>
      </c>
      <c r="P156" s="31">
        <f t="shared" si="142"/>
        <v>3</v>
      </c>
      <c r="Q156" s="36"/>
      <c r="R156" s="167">
        <v>2</v>
      </c>
      <c r="S156" s="36">
        <v>7</v>
      </c>
      <c r="T156" s="34">
        <f t="shared" si="143"/>
        <v>198000</v>
      </c>
      <c r="U156" s="31">
        <f t="shared" si="144"/>
        <v>138600</v>
      </c>
      <c r="V156" s="34">
        <f t="shared" si="145"/>
        <v>59400</v>
      </c>
      <c r="W156" s="43">
        <v>19800</v>
      </c>
      <c r="X156" s="34">
        <f t="shared" si="146"/>
        <v>7418.88</v>
      </c>
      <c r="Y156" s="34">
        <f t="shared" si="147"/>
        <v>22256.639999999999</v>
      </c>
      <c r="Z156" s="34">
        <f t="shared" si="148"/>
        <v>7855.1</v>
      </c>
      <c r="AA156" s="48">
        <v>7141</v>
      </c>
      <c r="AB156" s="286">
        <f>((19800*0.1)+(19800*0.015)+2100+2200)*7</f>
        <v>46039</v>
      </c>
      <c r="AC156" s="204">
        <f t="shared" si="156"/>
        <v>0</v>
      </c>
      <c r="AD156" s="152">
        <v>0.08</v>
      </c>
      <c r="AE156" s="31">
        <f t="shared" si="162"/>
        <v>19000</v>
      </c>
      <c r="AF156" s="28">
        <f t="shared" si="150"/>
        <v>0.39986531986531987</v>
      </c>
      <c r="AG156" s="34">
        <f t="shared" si="151"/>
        <v>23752.03</v>
      </c>
      <c r="AH156" s="34">
        <f t="shared" si="152"/>
        <v>1339.1329999999998</v>
      </c>
      <c r="AI156" s="34">
        <f t="shared" si="153"/>
        <v>12052.197</v>
      </c>
      <c r="AJ156" s="46">
        <f t="shared" si="154"/>
        <v>4197.0969999999998</v>
      </c>
      <c r="AK156" s="40">
        <v>30</v>
      </c>
      <c r="AL156" s="41">
        <f t="shared" si="155"/>
        <v>38.64</v>
      </c>
      <c r="AM156" s="36">
        <v>13375</v>
      </c>
      <c r="AN156" s="284">
        <v>20</v>
      </c>
      <c r="AO156" s="26"/>
      <c r="AP156" s="26"/>
      <c r="AQ156" s="27"/>
      <c r="AR156" s="27"/>
      <c r="AS156" s="27"/>
      <c r="AT156" s="27"/>
      <c r="AU156" s="27"/>
      <c r="AV156" s="27"/>
      <c r="AW156" s="26"/>
      <c r="AX156" s="26"/>
      <c r="AY156" s="26"/>
      <c r="AZ156" s="26"/>
      <c r="BA156" s="26"/>
      <c r="BB156" s="26"/>
      <c r="BC156" s="26"/>
      <c r="BD156" s="26"/>
      <c r="BE156" s="26"/>
      <c r="BF156" s="26"/>
      <c r="BG156" s="26"/>
      <c r="BH156" s="26"/>
      <c r="BI156" s="26"/>
    </row>
    <row r="157" spans="1:61" ht="28.5" customHeight="1">
      <c r="A157" s="26"/>
      <c r="B157" s="200"/>
      <c r="C157" s="42" t="s">
        <v>118</v>
      </c>
      <c r="D157" s="28" t="e">
        <f t="shared" si="139"/>
        <v>#DIV/0!</v>
      </c>
      <c r="E157" s="297">
        <v>0.36799999999999999</v>
      </c>
      <c r="F157" s="30" t="e">
        <f t="shared" si="140"/>
        <v>#DIV/0!</v>
      </c>
      <c r="G157" s="30" t="e">
        <f t="shared" si="141"/>
        <v>#DIV/0!</v>
      </c>
      <c r="H157" s="48"/>
      <c r="I157" s="48"/>
      <c r="J157" s="48"/>
      <c r="K157" s="210"/>
      <c r="L157" s="210"/>
      <c r="M157" s="210"/>
      <c r="N157" s="36"/>
      <c r="O157" s="36">
        <v>0</v>
      </c>
      <c r="P157" s="31">
        <f t="shared" si="142"/>
        <v>0</v>
      </c>
      <c r="Q157" s="36"/>
      <c r="R157" s="167">
        <v>0</v>
      </c>
      <c r="S157" s="36"/>
      <c r="T157" s="34">
        <f t="shared" si="143"/>
        <v>0</v>
      </c>
      <c r="U157" s="31">
        <f t="shared" si="144"/>
        <v>0</v>
      </c>
      <c r="V157" s="34">
        <f t="shared" si="145"/>
        <v>0</v>
      </c>
      <c r="W157" s="43">
        <v>24800</v>
      </c>
      <c r="X157" s="34">
        <f t="shared" si="146"/>
        <v>10386.432000000001</v>
      </c>
      <c r="Y157" s="34">
        <f t="shared" si="147"/>
        <v>0</v>
      </c>
      <c r="Z157" s="34">
        <f t="shared" si="148"/>
        <v>0</v>
      </c>
      <c r="AA157" s="48">
        <v>0</v>
      </c>
      <c r="AB157" s="36"/>
      <c r="AC157" s="204">
        <f t="shared" si="156"/>
        <v>0</v>
      </c>
      <c r="AD157" s="152">
        <v>0.1</v>
      </c>
      <c r="AE157" s="31">
        <f t="shared" si="162"/>
        <v>0</v>
      </c>
      <c r="AF157" s="28" t="e">
        <f t="shared" si="150"/>
        <v>#DIV/0!</v>
      </c>
      <c r="AG157" s="34" t="e">
        <f t="shared" si="151"/>
        <v>#DIV/0!</v>
      </c>
      <c r="AH157" s="34" t="e">
        <f t="shared" si="152"/>
        <v>#DIV/0!</v>
      </c>
      <c r="AI157" s="34" t="e">
        <f t="shared" si="153"/>
        <v>#DIV/0!</v>
      </c>
      <c r="AJ157" s="46" t="e">
        <f t="shared" si="154"/>
        <v>#DIV/0!</v>
      </c>
      <c r="AK157" s="40">
        <v>42</v>
      </c>
      <c r="AL157" s="41">
        <f t="shared" si="155"/>
        <v>54.096000000000004</v>
      </c>
      <c r="AM157" s="36">
        <v>0</v>
      </c>
      <c r="AN157" s="284"/>
      <c r="AO157" s="26"/>
      <c r="AP157" s="26"/>
      <c r="AQ157" s="27"/>
      <c r="AR157" s="27"/>
      <c r="AS157" s="27"/>
      <c r="AT157" s="27"/>
      <c r="AU157" s="27"/>
      <c r="AV157" s="27"/>
      <c r="AW157" s="26"/>
      <c r="AX157" s="26"/>
      <c r="AY157" s="26"/>
      <c r="AZ157" s="26"/>
      <c r="BA157" s="26"/>
      <c r="BB157" s="26"/>
      <c r="BC157" s="26"/>
      <c r="BD157" s="26"/>
      <c r="BE157" s="26"/>
      <c r="BF157" s="26"/>
      <c r="BG157" s="26"/>
      <c r="BH157" s="26"/>
      <c r="BI157" s="26"/>
    </row>
    <row r="158" spans="1:61" ht="28.5" customHeight="1">
      <c r="A158" s="26"/>
      <c r="B158" s="200"/>
      <c r="C158" s="42" t="s">
        <v>119</v>
      </c>
      <c r="D158" s="28">
        <f t="shared" si="139"/>
        <v>0.38052910238429172</v>
      </c>
      <c r="E158" s="201">
        <v>0.41</v>
      </c>
      <c r="F158" s="30">
        <f t="shared" si="140"/>
        <v>2.9470897615708275E-2</v>
      </c>
      <c r="G158" s="30">
        <f t="shared" si="141"/>
        <v>8.3333333333333329E-2</v>
      </c>
      <c r="H158" s="48"/>
      <c r="I158" s="48"/>
      <c r="J158" s="48"/>
      <c r="K158" s="210"/>
      <c r="L158" s="210"/>
      <c r="M158" s="210"/>
      <c r="N158" s="36"/>
      <c r="O158" s="36">
        <v>23</v>
      </c>
      <c r="P158" s="31">
        <f t="shared" si="142"/>
        <v>23</v>
      </c>
      <c r="Q158" s="36">
        <v>1</v>
      </c>
      <c r="R158" s="167">
        <v>6</v>
      </c>
      <c r="S158" s="36"/>
      <c r="T158" s="34">
        <f t="shared" si="143"/>
        <v>570400</v>
      </c>
      <c r="U158" s="31">
        <f t="shared" si="144"/>
        <v>0</v>
      </c>
      <c r="V158" s="34">
        <f t="shared" si="145"/>
        <v>570400</v>
      </c>
      <c r="W158" s="43">
        <v>24800</v>
      </c>
      <c r="X158" s="34">
        <f t="shared" si="146"/>
        <v>7666.1760000000013</v>
      </c>
      <c r="Y158" s="34">
        <f t="shared" si="147"/>
        <v>176322.04800000004</v>
      </c>
      <c r="Z158" s="34">
        <f t="shared" si="148"/>
        <v>14500.2</v>
      </c>
      <c r="AA158" s="48">
        <v>13182</v>
      </c>
      <c r="AB158" s="36"/>
      <c r="AC158" s="204">
        <f t="shared" si="156"/>
        <v>2310</v>
      </c>
      <c r="AD158" s="152">
        <v>0.108</v>
      </c>
      <c r="AE158" s="31">
        <f>3150*(P158+S158)</f>
        <v>72450</v>
      </c>
      <c r="AF158" s="28">
        <f t="shared" si="150"/>
        <v>0.23501612903225805</v>
      </c>
      <c r="AG158" s="34">
        <f t="shared" si="151"/>
        <v>134053.22999999998</v>
      </c>
      <c r="AH158" s="34">
        <f t="shared" si="152"/>
        <v>26002.472199999993</v>
      </c>
      <c r="AI158" s="34">
        <f t="shared" si="153"/>
        <v>234022.24979999993</v>
      </c>
      <c r="AJ158" s="46">
        <f t="shared" si="154"/>
        <v>219522.04979999992</v>
      </c>
      <c r="AK158" s="40">
        <v>31</v>
      </c>
      <c r="AL158" s="41">
        <f t="shared" si="155"/>
        <v>39.928000000000004</v>
      </c>
      <c r="AM158" s="36">
        <v>13701</v>
      </c>
      <c r="AN158" s="284">
        <v>72</v>
      </c>
      <c r="AO158" s="26"/>
      <c r="AP158" s="26"/>
      <c r="AQ158" s="27"/>
      <c r="AR158" s="27"/>
      <c r="AS158" s="27"/>
      <c r="AT158" s="27"/>
      <c r="AU158" s="27"/>
      <c r="AV158" s="27"/>
      <c r="AW158" s="26"/>
      <c r="AX158" s="26"/>
      <c r="AY158" s="26"/>
      <c r="AZ158" s="26"/>
      <c r="BA158" s="26"/>
      <c r="BB158" s="26"/>
      <c r="BC158" s="26"/>
      <c r="BD158" s="26"/>
      <c r="BE158" s="26"/>
      <c r="BF158" s="26"/>
      <c r="BG158" s="26"/>
      <c r="BH158" s="26"/>
      <c r="BI158" s="26"/>
    </row>
    <row r="159" spans="1:61" ht="28.5" customHeight="1">
      <c r="A159" s="26"/>
      <c r="B159" s="200"/>
      <c r="C159" s="239" t="s">
        <v>120</v>
      </c>
      <c r="D159" s="28">
        <f t="shared" si="139"/>
        <v>-0.85721608040201025</v>
      </c>
      <c r="E159" s="201">
        <v>0.376</v>
      </c>
      <c r="F159" s="30">
        <f t="shared" si="140"/>
        <v>1.2332160804020103</v>
      </c>
      <c r="G159" s="30">
        <f t="shared" si="141"/>
        <v>0</v>
      </c>
      <c r="H159" s="48"/>
      <c r="I159" s="48"/>
      <c r="J159" s="48"/>
      <c r="K159" s="210"/>
      <c r="L159" s="210"/>
      <c r="M159" s="210"/>
      <c r="N159" s="36"/>
      <c r="O159" s="36">
        <v>1</v>
      </c>
      <c r="P159" s="31">
        <f t="shared" si="142"/>
        <v>1</v>
      </c>
      <c r="Q159" s="36">
        <v>0</v>
      </c>
      <c r="R159" s="167"/>
      <c r="S159" s="36"/>
      <c r="T159" s="34">
        <f t="shared" si="143"/>
        <v>39800</v>
      </c>
      <c r="U159" s="31">
        <f t="shared" si="144"/>
        <v>0</v>
      </c>
      <c r="V159" s="34">
        <f t="shared" si="145"/>
        <v>39800</v>
      </c>
      <c r="W159" s="43">
        <v>39800</v>
      </c>
      <c r="X159" s="34">
        <f t="shared" si="146"/>
        <v>7666.1760000000013</v>
      </c>
      <c r="Y159" s="34">
        <f t="shared" si="147"/>
        <v>7666.1760000000013</v>
      </c>
      <c r="Z159" s="34">
        <f t="shared" si="148"/>
        <v>49082.000000000007</v>
      </c>
      <c r="AA159" s="48">
        <v>44620</v>
      </c>
      <c r="AB159" s="286"/>
      <c r="AC159" s="204">
        <f t="shared" si="156"/>
        <v>0</v>
      </c>
      <c r="AD159" s="152">
        <v>0.108</v>
      </c>
      <c r="AE159" s="31">
        <f>3550*(P159+S159)</f>
        <v>3550</v>
      </c>
      <c r="AF159" s="28">
        <f t="shared" si="150"/>
        <v>0.1971959798994975</v>
      </c>
      <c r="AG159" s="34">
        <f t="shared" si="151"/>
        <v>7848.43</v>
      </c>
      <c r="AH159" s="34">
        <f t="shared" si="152"/>
        <v>2428.5393999999997</v>
      </c>
      <c r="AI159" s="34">
        <f t="shared" si="153"/>
        <v>21856.854599999999</v>
      </c>
      <c r="AJ159" s="46">
        <f t="shared" si="154"/>
        <v>-27225.145400000009</v>
      </c>
      <c r="AK159" s="40">
        <v>31</v>
      </c>
      <c r="AL159" s="41">
        <f t="shared" si="155"/>
        <v>39.928000000000004</v>
      </c>
      <c r="AM159" s="36">
        <v>7590</v>
      </c>
      <c r="AN159" s="284">
        <v>44</v>
      </c>
      <c r="AO159" s="26"/>
      <c r="AP159" s="26"/>
      <c r="AQ159" s="27"/>
      <c r="AR159" s="27"/>
      <c r="AS159" s="27"/>
      <c r="AT159" s="27"/>
      <c r="AU159" s="27"/>
      <c r="AV159" s="27"/>
      <c r="AW159" s="26"/>
      <c r="AX159" s="26"/>
      <c r="AY159" s="26"/>
      <c r="AZ159" s="26"/>
      <c r="BA159" s="26"/>
      <c r="BB159" s="26"/>
      <c r="BC159" s="26"/>
      <c r="BD159" s="26"/>
      <c r="BE159" s="26"/>
      <c r="BF159" s="26"/>
      <c r="BG159" s="26"/>
      <c r="BH159" s="26"/>
      <c r="BI159" s="26"/>
    </row>
    <row r="160" spans="1:61" ht="28.5" customHeight="1">
      <c r="A160" s="26"/>
      <c r="B160" s="216"/>
      <c r="C160" s="217"/>
      <c r="D160" s="298">
        <f>AJ160/V160</f>
        <v>0.16520513485792748</v>
      </c>
      <c r="E160" s="298">
        <f>AI160/V160</f>
        <v>0.38105724189675072</v>
      </c>
      <c r="F160" s="52">
        <f>(Z160)/V160</f>
        <v>0.19113540900456938</v>
      </c>
      <c r="G160" s="219"/>
      <c r="H160" s="55"/>
      <c r="I160" s="55"/>
      <c r="J160" s="55"/>
      <c r="K160" s="55"/>
      <c r="L160" s="55"/>
      <c r="M160" s="55"/>
      <c r="N160" s="130"/>
      <c r="O160" s="130">
        <f t="shared" ref="O160:V160" si="163">SUM(O137:O159)</f>
        <v>503</v>
      </c>
      <c r="P160" s="130">
        <f t="shared" si="163"/>
        <v>476</v>
      </c>
      <c r="Q160" s="130">
        <f t="shared" si="163"/>
        <v>49</v>
      </c>
      <c r="R160" s="130">
        <f t="shared" si="163"/>
        <v>291</v>
      </c>
      <c r="S160" s="130">
        <f t="shared" si="163"/>
        <v>27</v>
      </c>
      <c r="T160" s="130">
        <f t="shared" si="163"/>
        <v>13366770</v>
      </c>
      <c r="U160" s="130">
        <f t="shared" si="163"/>
        <v>736960</v>
      </c>
      <c r="V160" s="130">
        <f t="shared" si="163"/>
        <v>12629810</v>
      </c>
      <c r="W160" s="55"/>
      <c r="X160" s="130">
        <f t="shared" ref="X160:AC160" si="164">SUM(X137:X159)</f>
        <v>338894.43839999987</v>
      </c>
      <c r="Y160" s="130">
        <f t="shared" si="164"/>
        <v>4579254.2207999993</v>
      </c>
      <c r="Z160" s="130">
        <f t="shared" si="164"/>
        <v>2414003.9000000004</v>
      </c>
      <c r="AA160" s="130">
        <f t="shared" si="164"/>
        <v>2194549</v>
      </c>
      <c r="AB160" s="130">
        <f t="shared" si="164"/>
        <v>312167.2</v>
      </c>
      <c r="AC160" s="130">
        <f t="shared" si="164"/>
        <v>111120</v>
      </c>
      <c r="AD160" s="154">
        <v>0.09</v>
      </c>
      <c r="AE160" s="130">
        <f>SUM(AE137:AE159)</f>
        <v>1566450</v>
      </c>
      <c r="AF160" s="53">
        <f t="shared" si="150"/>
        <v>0.21402799408700526</v>
      </c>
      <c r="AG160" s="56">
        <f t="shared" si="151"/>
        <v>2703132.9299999997</v>
      </c>
      <c r="AH160" s="56">
        <f t="shared" si="152"/>
        <v>534742.28492000001</v>
      </c>
      <c r="AI160" s="56">
        <f t="shared" si="153"/>
        <v>4812680.5642800014</v>
      </c>
      <c r="AJ160" s="46">
        <f>AI160-Z160-AB160</f>
        <v>2086509.4642800011</v>
      </c>
      <c r="AK160" s="54"/>
      <c r="AL160" s="222"/>
      <c r="AM160" s="131">
        <f t="shared" ref="AM160:AN160" si="165">SUM(AM137:AM138)</f>
        <v>418014</v>
      </c>
      <c r="AN160" s="132">
        <f t="shared" si="165"/>
        <v>1423</v>
      </c>
      <c r="AO160" s="26"/>
      <c r="AP160" s="26"/>
      <c r="AQ160" s="27"/>
      <c r="AR160" s="27"/>
      <c r="AS160" s="27"/>
      <c r="AT160" s="27"/>
      <c r="AU160" s="27"/>
      <c r="AV160" s="27"/>
      <c r="AW160" s="26"/>
      <c r="AX160" s="26"/>
      <c r="AY160" s="26"/>
      <c r="AZ160" s="26"/>
      <c r="BA160" s="26"/>
      <c r="BB160" s="26"/>
      <c r="BC160" s="26"/>
      <c r="BD160" s="26"/>
      <c r="BE160" s="26"/>
      <c r="BF160" s="26"/>
      <c r="BG160" s="26"/>
      <c r="BH160" s="26"/>
      <c r="BI160" s="26"/>
    </row>
    <row r="161" spans="1:61" ht="28.5" customHeight="1">
      <c r="A161" s="1"/>
      <c r="B161" s="290"/>
      <c r="C161" s="291"/>
      <c r="D161" s="2"/>
      <c r="E161" s="2"/>
      <c r="F161" s="2"/>
      <c r="G161" s="2"/>
      <c r="H161" s="2"/>
      <c r="I161" s="2"/>
      <c r="J161" s="2"/>
      <c r="K161" s="2"/>
      <c r="L161" s="2"/>
      <c r="M161" s="2"/>
      <c r="N161" s="292"/>
      <c r="O161" s="292"/>
      <c r="P161" s="2"/>
      <c r="Q161" s="2"/>
      <c r="R161" s="2"/>
      <c r="S161" s="293"/>
      <c r="T161" s="2"/>
      <c r="U161" s="2"/>
      <c r="V161" s="2"/>
      <c r="W161" s="2"/>
      <c r="X161" s="2"/>
      <c r="Y161" s="2"/>
      <c r="Z161" s="2"/>
      <c r="AA161" s="2"/>
      <c r="AB161" s="2"/>
      <c r="AC161" s="2"/>
      <c r="AD161" s="2"/>
      <c r="AE161" s="2"/>
      <c r="AF161" s="1"/>
      <c r="AG161" s="1"/>
      <c r="AH161" s="1"/>
      <c r="AI161" s="1"/>
      <c r="AJ161" s="1"/>
      <c r="AK161" s="1"/>
      <c r="AL161" s="1"/>
      <c r="AM161" s="1"/>
      <c r="AN161" s="1"/>
      <c r="AO161" s="1"/>
      <c r="AP161" s="1"/>
      <c r="AQ161" s="1"/>
      <c r="AR161" s="1"/>
      <c r="AS161" s="1"/>
      <c r="AT161" s="7"/>
      <c r="AU161" s="7"/>
      <c r="AV161" s="7"/>
      <c r="AW161" s="47"/>
      <c r="AX161" s="47"/>
      <c r="AY161" s="47"/>
      <c r="AZ161" s="47"/>
      <c r="BA161" s="47"/>
      <c r="BB161" s="47"/>
      <c r="BC161" s="47"/>
      <c r="BD161" s="47"/>
      <c r="BE161" s="47"/>
      <c r="BF161" s="47"/>
      <c r="BG161" s="47"/>
      <c r="BH161" s="47"/>
      <c r="BI161" s="47"/>
    </row>
    <row r="162" spans="1:61" ht="28.5" customHeight="1">
      <c r="A162" s="26"/>
      <c r="B162" s="189"/>
      <c r="C162" s="134">
        <v>45876</v>
      </c>
      <c r="D162" s="190" t="s">
        <v>0</v>
      </c>
      <c r="E162" s="190" t="s">
        <v>1</v>
      </c>
      <c r="F162" s="190" t="s">
        <v>2</v>
      </c>
      <c r="G162" s="190" t="s">
        <v>3</v>
      </c>
      <c r="H162" s="191" t="s">
        <v>4</v>
      </c>
      <c r="I162" s="192" t="s">
        <v>5</v>
      </c>
      <c r="J162" s="192" t="s">
        <v>90</v>
      </c>
      <c r="K162" s="193"/>
      <c r="L162" s="193" t="s">
        <v>6</v>
      </c>
      <c r="M162" s="194" t="s">
        <v>7</v>
      </c>
      <c r="N162" s="123"/>
      <c r="O162" s="123" t="s">
        <v>8</v>
      </c>
      <c r="P162" s="123" t="s">
        <v>9</v>
      </c>
      <c r="Q162" s="15" t="s">
        <v>10</v>
      </c>
      <c r="R162" s="123" t="s">
        <v>92</v>
      </c>
      <c r="S162" s="196" t="s">
        <v>11</v>
      </c>
      <c r="T162" s="17" t="s">
        <v>12</v>
      </c>
      <c r="U162" s="17" t="s">
        <v>13</v>
      </c>
      <c r="V162" s="17" t="s">
        <v>14</v>
      </c>
      <c r="W162" s="17" t="s">
        <v>15</v>
      </c>
      <c r="X162" s="17" t="s">
        <v>16</v>
      </c>
      <c r="Y162" s="17" t="s">
        <v>17</v>
      </c>
      <c r="Z162" s="19" t="s">
        <v>18</v>
      </c>
      <c r="AA162" s="19" t="s">
        <v>19</v>
      </c>
      <c r="AB162" s="20" t="s">
        <v>20</v>
      </c>
      <c r="AC162" s="22" t="s">
        <v>93</v>
      </c>
      <c r="AD162" s="197" t="s">
        <v>21</v>
      </c>
      <c r="AE162" s="21" t="s">
        <v>22</v>
      </c>
      <c r="AF162" s="23" t="s">
        <v>23</v>
      </c>
      <c r="AG162" s="23" t="s">
        <v>21</v>
      </c>
      <c r="AH162" s="23" t="s">
        <v>24</v>
      </c>
      <c r="AI162" s="24" t="s">
        <v>26</v>
      </c>
      <c r="AJ162" s="23" t="s">
        <v>27</v>
      </c>
      <c r="AK162" s="21" t="s">
        <v>147</v>
      </c>
      <c r="AL162" s="282" t="s">
        <v>148</v>
      </c>
      <c r="AM162" s="124" t="s">
        <v>94</v>
      </c>
      <c r="AN162" s="125" t="s">
        <v>95</v>
      </c>
      <c r="AO162" s="26"/>
      <c r="AP162" s="26"/>
      <c r="AQ162" s="27"/>
      <c r="AR162" s="27"/>
      <c r="AS162" s="27"/>
      <c r="AT162" s="27"/>
      <c r="AU162" s="27"/>
      <c r="AV162" s="27"/>
      <c r="AW162" s="26"/>
      <c r="AX162" s="26"/>
      <c r="AY162" s="26"/>
      <c r="AZ162" s="26"/>
      <c r="BA162" s="26"/>
      <c r="BB162" s="26"/>
      <c r="BC162" s="26"/>
      <c r="BD162" s="26"/>
      <c r="BE162" s="26"/>
      <c r="BF162" s="26"/>
      <c r="BG162" s="26"/>
      <c r="BH162" s="26"/>
      <c r="BI162" s="26"/>
    </row>
    <row r="163" spans="1:61" ht="28.5" customHeight="1">
      <c r="A163" s="26"/>
      <c r="B163" s="200"/>
      <c r="C163" s="42" t="s">
        <v>107</v>
      </c>
      <c r="D163" s="28">
        <f t="shared" ref="D163:D185" si="166">E163-F163</f>
        <v>0.11843974960876369</v>
      </c>
      <c r="E163" s="201">
        <v>0.39700000000000002</v>
      </c>
      <c r="F163" s="30">
        <f t="shared" ref="F163:F185" si="167">(Z163+AC163)/V163</f>
        <v>0.27856025039123633</v>
      </c>
      <c r="G163" s="30">
        <f t="shared" ref="G163:G185" si="168">R163/AN163</f>
        <v>7.6589595375722547E-2</v>
      </c>
      <c r="H163" s="48"/>
      <c r="I163" s="48"/>
      <c r="J163" s="48"/>
      <c r="K163" s="48"/>
      <c r="L163" s="48"/>
      <c r="M163" s="48"/>
      <c r="N163" s="36"/>
      <c r="O163" s="36">
        <v>135</v>
      </c>
      <c r="P163" s="31">
        <f t="shared" ref="P163:P185" si="169">O163-S163</f>
        <v>135</v>
      </c>
      <c r="Q163" s="36">
        <v>20</v>
      </c>
      <c r="R163" s="167">
        <v>106</v>
      </c>
      <c r="S163" s="36"/>
      <c r="T163" s="34">
        <f t="shared" ref="T163:T185" si="170">W163*O163</f>
        <v>3546450</v>
      </c>
      <c r="U163" s="31">
        <f t="shared" ref="U163:U185" si="171">W163*S163</f>
        <v>0</v>
      </c>
      <c r="V163" s="34">
        <f t="shared" ref="V163:V185" si="172">T163-U163</f>
        <v>3546450</v>
      </c>
      <c r="W163" s="43">
        <v>26270</v>
      </c>
      <c r="X163" s="34">
        <f t="shared" ref="X163:X185" si="173">AL163*$A$2</f>
        <v>9891.84</v>
      </c>
      <c r="Y163" s="34">
        <f t="shared" ref="Y163:Y185" si="174">X163*P163</f>
        <v>1335398.3999999999</v>
      </c>
      <c r="Z163" s="34">
        <f t="shared" ref="Z163:Z185" si="175">AA163*1.1</f>
        <v>944460.00000000012</v>
      </c>
      <c r="AA163" s="48">
        <v>858600</v>
      </c>
      <c r="AB163" s="36"/>
      <c r="AC163" s="204">
        <f t="shared" ref="AC163:AC164" si="176">(1072+1100)*Q163</f>
        <v>43440</v>
      </c>
      <c r="AD163" s="152">
        <v>0.1</v>
      </c>
      <c r="AE163" s="31">
        <f>3050*(P163+S163)</f>
        <v>411750</v>
      </c>
      <c r="AF163" s="28">
        <f t="shared" ref="AF163:AF186" si="177">AD163+(AE163/V163)</f>
        <v>0.2161020175104682</v>
      </c>
      <c r="AG163" s="34">
        <f t="shared" ref="AG163:AG186" si="178">V163*AF163+3%</f>
        <v>766395.03</v>
      </c>
      <c r="AH163" s="34">
        <f t="shared" ref="AH163:AH186" si="179">(V163)*10%-(Y163+AG163)*10%</f>
        <v>144465.65700000001</v>
      </c>
      <c r="AI163" s="34">
        <f t="shared" ref="AI163:AI186" si="180">V163-(Y163+AG163+AH163)</f>
        <v>1300190.9130000002</v>
      </c>
      <c r="AJ163" s="46">
        <f t="shared" ref="AJ163:AJ185" si="181">AI163-Z163</f>
        <v>355730.91300000006</v>
      </c>
      <c r="AK163" s="40">
        <v>40</v>
      </c>
      <c r="AL163" s="41">
        <f t="shared" ref="AL163:AL185" si="182">(AK163*1.15)*1.12</f>
        <v>51.52</v>
      </c>
      <c r="AM163" s="36">
        <v>355829</v>
      </c>
      <c r="AN163" s="284">
        <v>1384</v>
      </c>
      <c r="AO163" s="26"/>
      <c r="AP163" s="26"/>
      <c r="AQ163" s="27"/>
      <c r="AR163" s="27"/>
      <c r="AS163" s="27"/>
      <c r="AT163" s="27"/>
      <c r="AU163" s="27"/>
      <c r="AV163" s="27"/>
      <c r="AW163" s="26"/>
      <c r="AX163" s="26"/>
      <c r="AY163" s="26"/>
      <c r="AZ163" s="26"/>
      <c r="BA163" s="26"/>
      <c r="BB163" s="26"/>
      <c r="BC163" s="26"/>
      <c r="BD163" s="26"/>
      <c r="BE163" s="26"/>
      <c r="BF163" s="26"/>
      <c r="BG163" s="26"/>
      <c r="BH163" s="26"/>
      <c r="BI163" s="26"/>
    </row>
    <row r="164" spans="1:61" ht="28.5" customHeight="1">
      <c r="A164" s="26"/>
      <c r="B164" s="200"/>
      <c r="C164" s="42" t="s">
        <v>108</v>
      </c>
      <c r="D164" s="28" t="e">
        <f t="shared" si="166"/>
        <v>#DIV/0!</v>
      </c>
      <c r="E164" s="201">
        <v>0.379</v>
      </c>
      <c r="F164" s="30" t="e">
        <f t="shared" si="167"/>
        <v>#DIV/0!</v>
      </c>
      <c r="G164" s="30">
        <f t="shared" si="168"/>
        <v>0</v>
      </c>
      <c r="H164" s="48"/>
      <c r="I164" s="48"/>
      <c r="J164" s="48"/>
      <c r="K164" s="210"/>
      <c r="L164" s="210"/>
      <c r="M164" s="210"/>
      <c r="N164" s="36"/>
      <c r="O164" s="36">
        <v>0</v>
      </c>
      <c r="P164" s="31">
        <f t="shared" si="169"/>
        <v>0</v>
      </c>
      <c r="Q164" s="36"/>
      <c r="R164" s="167">
        <v>0</v>
      </c>
      <c r="S164" s="36"/>
      <c r="T164" s="34">
        <f t="shared" si="170"/>
        <v>0</v>
      </c>
      <c r="U164" s="31">
        <f t="shared" si="171"/>
        <v>0</v>
      </c>
      <c r="V164" s="34">
        <f t="shared" si="172"/>
        <v>0</v>
      </c>
      <c r="W164" s="43">
        <v>22900</v>
      </c>
      <c r="X164" s="34">
        <f t="shared" si="173"/>
        <v>7913.4719999999998</v>
      </c>
      <c r="Y164" s="34">
        <f t="shared" si="174"/>
        <v>0</v>
      </c>
      <c r="Z164" s="34">
        <f t="shared" si="175"/>
        <v>1831.5000000000002</v>
      </c>
      <c r="AA164" s="48">
        <v>1665</v>
      </c>
      <c r="AB164" s="36"/>
      <c r="AC164" s="204">
        <f t="shared" si="176"/>
        <v>0</v>
      </c>
      <c r="AD164" s="152">
        <v>0.1</v>
      </c>
      <c r="AE164" s="31">
        <f>2950*(P164+S164)</f>
        <v>0</v>
      </c>
      <c r="AF164" s="28" t="e">
        <f t="shared" si="177"/>
        <v>#DIV/0!</v>
      </c>
      <c r="AG164" s="34" t="e">
        <f t="shared" si="178"/>
        <v>#DIV/0!</v>
      </c>
      <c r="AH164" s="34" t="e">
        <f t="shared" si="179"/>
        <v>#DIV/0!</v>
      </c>
      <c r="AI164" s="34" t="e">
        <f t="shared" si="180"/>
        <v>#DIV/0!</v>
      </c>
      <c r="AJ164" s="46" t="e">
        <f t="shared" si="181"/>
        <v>#DIV/0!</v>
      </c>
      <c r="AK164" s="40">
        <v>32</v>
      </c>
      <c r="AL164" s="41">
        <f t="shared" si="182"/>
        <v>41.216000000000001</v>
      </c>
      <c r="AM164" s="36">
        <v>19433</v>
      </c>
      <c r="AN164" s="284">
        <v>19</v>
      </c>
      <c r="AO164" s="26"/>
      <c r="AP164" s="26"/>
      <c r="AQ164" s="27"/>
      <c r="AR164" s="27"/>
      <c r="AS164" s="27"/>
      <c r="AT164" s="27"/>
      <c r="AU164" s="27"/>
      <c r="AV164" s="27"/>
      <c r="AW164" s="26"/>
      <c r="AX164" s="26"/>
      <c r="AY164" s="26"/>
      <c r="AZ164" s="26"/>
      <c r="BA164" s="26"/>
      <c r="BB164" s="26"/>
      <c r="BC164" s="26"/>
      <c r="BD164" s="26"/>
      <c r="BE164" s="26"/>
      <c r="BF164" s="26"/>
      <c r="BG164" s="26"/>
      <c r="BH164" s="26"/>
      <c r="BI164" s="26"/>
    </row>
    <row r="165" spans="1:61" ht="28.5" customHeight="1">
      <c r="A165" s="336"/>
      <c r="B165" s="323"/>
      <c r="C165" s="42" t="s">
        <v>109</v>
      </c>
      <c r="D165" s="28" t="e">
        <f t="shared" si="166"/>
        <v>#DIV/0!</v>
      </c>
      <c r="E165" s="201">
        <v>0.373</v>
      </c>
      <c r="F165" s="30" t="e">
        <f t="shared" si="167"/>
        <v>#DIV/0!</v>
      </c>
      <c r="G165" s="30">
        <f t="shared" si="168"/>
        <v>0</v>
      </c>
      <c r="H165" s="48"/>
      <c r="I165" s="48"/>
      <c r="J165" s="48"/>
      <c r="K165" s="48"/>
      <c r="L165" s="334"/>
      <c r="M165" s="48"/>
      <c r="N165" s="36"/>
      <c r="O165" s="36">
        <v>0</v>
      </c>
      <c r="P165" s="31">
        <f t="shared" si="169"/>
        <v>0</v>
      </c>
      <c r="Q165" s="36"/>
      <c r="R165" s="167">
        <v>0</v>
      </c>
      <c r="S165" s="36"/>
      <c r="T165" s="34">
        <f t="shared" si="170"/>
        <v>0</v>
      </c>
      <c r="U165" s="31">
        <f t="shared" si="171"/>
        <v>0</v>
      </c>
      <c r="V165" s="34">
        <f t="shared" si="172"/>
        <v>0</v>
      </c>
      <c r="W165" s="43">
        <v>44400</v>
      </c>
      <c r="X165" s="34">
        <f t="shared" si="173"/>
        <v>16989.235200000003</v>
      </c>
      <c r="Y165" s="34">
        <f t="shared" si="174"/>
        <v>0</v>
      </c>
      <c r="Z165" s="34">
        <f t="shared" si="175"/>
        <v>9069.5</v>
      </c>
      <c r="AA165" s="48">
        <v>8245</v>
      </c>
      <c r="AB165" s="36"/>
      <c r="AC165" s="204">
        <f t="shared" ref="AC165:AC185" si="183">(1210+1100)*Q165</f>
        <v>0</v>
      </c>
      <c r="AD165" s="152">
        <v>0.11</v>
      </c>
      <c r="AE165" s="31">
        <f t="shared" ref="AE165:AE166" si="184">4150*(P165+S165)</f>
        <v>0</v>
      </c>
      <c r="AF165" s="28" t="e">
        <f t="shared" si="177"/>
        <v>#DIV/0!</v>
      </c>
      <c r="AG165" s="34" t="e">
        <f t="shared" si="178"/>
        <v>#DIV/0!</v>
      </c>
      <c r="AH165" s="34" t="e">
        <f t="shared" si="179"/>
        <v>#DIV/0!</v>
      </c>
      <c r="AI165" s="34" t="e">
        <f t="shared" si="180"/>
        <v>#DIV/0!</v>
      </c>
      <c r="AJ165" s="46" t="e">
        <f t="shared" si="181"/>
        <v>#DIV/0!</v>
      </c>
      <c r="AK165" s="40">
        <v>68.7</v>
      </c>
      <c r="AL165" s="41">
        <f t="shared" si="182"/>
        <v>88.485600000000005</v>
      </c>
      <c r="AM165" s="36">
        <v>36971</v>
      </c>
      <c r="AN165" s="284">
        <v>25</v>
      </c>
      <c r="AO165" s="26"/>
      <c r="AP165" s="26"/>
      <c r="AQ165" s="27"/>
      <c r="AR165" s="27"/>
      <c r="AS165" s="27"/>
      <c r="AT165" s="27"/>
      <c r="AU165" s="27"/>
      <c r="AV165" s="27"/>
      <c r="AW165" s="26"/>
      <c r="AX165" s="26"/>
      <c r="AY165" s="26"/>
      <c r="AZ165" s="26"/>
      <c r="BA165" s="26"/>
      <c r="BB165" s="26"/>
      <c r="BC165" s="26"/>
      <c r="BD165" s="26"/>
      <c r="BE165" s="26"/>
      <c r="BF165" s="26"/>
      <c r="BG165" s="26"/>
      <c r="BH165" s="26"/>
      <c r="BI165" s="26"/>
    </row>
    <row r="166" spans="1:61" ht="28.5" customHeight="1">
      <c r="A166" s="311"/>
      <c r="B166" s="324"/>
      <c r="C166" s="42" t="s">
        <v>110</v>
      </c>
      <c r="D166" s="28">
        <f t="shared" si="166"/>
        <v>0.15054861111111109</v>
      </c>
      <c r="E166" s="201">
        <v>0.29499999999999998</v>
      </c>
      <c r="F166" s="30">
        <f t="shared" si="167"/>
        <v>0.14445138888888889</v>
      </c>
      <c r="G166" s="30">
        <f t="shared" si="168"/>
        <v>2.1052631578947368E-2</v>
      </c>
      <c r="H166" s="48"/>
      <c r="I166" s="48"/>
      <c r="J166" s="48"/>
      <c r="K166" s="48"/>
      <c r="L166" s="310"/>
      <c r="M166" s="48"/>
      <c r="N166" s="36"/>
      <c r="O166" s="36">
        <v>4</v>
      </c>
      <c r="P166" s="31">
        <f t="shared" si="169"/>
        <v>4</v>
      </c>
      <c r="Q166" s="36"/>
      <c r="R166" s="167">
        <v>2</v>
      </c>
      <c r="S166" s="36"/>
      <c r="T166" s="34">
        <f t="shared" si="170"/>
        <v>187200</v>
      </c>
      <c r="U166" s="31">
        <f t="shared" si="171"/>
        <v>0</v>
      </c>
      <c r="V166" s="34">
        <f t="shared" si="172"/>
        <v>187200</v>
      </c>
      <c r="W166" s="43">
        <v>46800</v>
      </c>
      <c r="X166" s="34">
        <f t="shared" si="173"/>
        <v>22182.451200000003</v>
      </c>
      <c r="Y166" s="34">
        <f t="shared" si="174"/>
        <v>88729.804800000013</v>
      </c>
      <c r="Z166" s="34">
        <f t="shared" si="175"/>
        <v>27041.300000000003</v>
      </c>
      <c r="AA166" s="48">
        <v>24583</v>
      </c>
      <c r="AB166" s="36"/>
      <c r="AC166" s="204">
        <f t="shared" si="183"/>
        <v>0</v>
      </c>
      <c r="AD166" s="152">
        <v>0.11</v>
      </c>
      <c r="AE166" s="31">
        <f t="shared" si="184"/>
        <v>16600</v>
      </c>
      <c r="AF166" s="28">
        <f t="shared" si="177"/>
        <v>0.19867521367521368</v>
      </c>
      <c r="AG166" s="34">
        <f t="shared" si="178"/>
        <v>37192.03</v>
      </c>
      <c r="AH166" s="34">
        <f t="shared" si="179"/>
        <v>6127.8165199999985</v>
      </c>
      <c r="AI166" s="34">
        <f t="shared" si="180"/>
        <v>55150.348679999996</v>
      </c>
      <c r="AJ166" s="46">
        <f t="shared" si="181"/>
        <v>28109.048679999993</v>
      </c>
      <c r="AK166" s="40">
        <v>89.7</v>
      </c>
      <c r="AL166" s="41">
        <f t="shared" si="182"/>
        <v>115.53360000000001</v>
      </c>
      <c r="AM166" s="36">
        <v>55291</v>
      </c>
      <c r="AN166" s="284">
        <v>95</v>
      </c>
      <c r="AO166" s="26"/>
      <c r="AP166" s="26"/>
      <c r="AQ166" s="27"/>
      <c r="AR166" s="27"/>
      <c r="AS166" s="27"/>
      <c r="AT166" s="27"/>
      <c r="AU166" s="27"/>
      <c r="AV166" s="27"/>
      <c r="AW166" s="26"/>
      <c r="AX166" s="26"/>
      <c r="AY166" s="26"/>
      <c r="AZ166" s="26"/>
      <c r="BA166" s="26"/>
      <c r="BB166" s="26"/>
      <c r="BC166" s="26"/>
      <c r="BD166" s="26"/>
      <c r="BE166" s="26"/>
      <c r="BF166" s="26"/>
      <c r="BG166" s="26"/>
      <c r="BH166" s="26"/>
      <c r="BI166" s="26"/>
    </row>
    <row r="167" spans="1:61" ht="28.5" customHeight="1">
      <c r="A167" s="26"/>
      <c r="B167" s="323"/>
      <c r="C167" s="42" t="s">
        <v>32</v>
      </c>
      <c r="D167" s="28">
        <f t="shared" si="166"/>
        <v>-1.7923545150501676</v>
      </c>
      <c r="E167" s="201">
        <v>0.41</v>
      </c>
      <c r="F167" s="30">
        <f t="shared" si="167"/>
        <v>2.2023545150501675</v>
      </c>
      <c r="G167" s="30">
        <f t="shared" si="168"/>
        <v>1.092896174863388E-2</v>
      </c>
      <c r="H167" s="33"/>
      <c r="I167" s="48"/>
      <c r="J167" s="48"/>
      <c r="K167" s="48"/>
      <c r="L167" s="334"/>
      <c r="M167" s="48"/>
      <c r="N167" s="36"/>
      <c r="O167" s="36">
        <v>6</v>
      </c>
      <c r="P167" s="31">
        <f t="shared" si="169"/>
        <v>1</v>
      </c>
      <c r="Q167" s="36">
        <v>2</v>
      </c>
      <c r="R167" s="167">
        <v>2</v>
      </c>
      <c r="S167" s="36">
        <v>5</v>
      </c>
      <c r="T167" s="34">
        <f t="shared" si="170"/>
        <v>358800</v>
      </c>
      <c r="U167" s="31">
        <f t="shared" si="171"/>
        <v>299000</v>
      </c>
      <c r="V167" s="34">
        <f t="shared" si="172"/>
        <v>59800</v>
      </c>
      <c r="W167" s="43">
        <v>59800</v>
      </c>
      <c r="X167" s="34">
        <f t="shared" si="173"/>
        <v>21143.807999999997</v>
      </c>
      <c r="Y167" s="34">
        <f t="shared" si="174"/>
        <v>21143.807999999997</v>
      </c>
      <c r="Z167" s="34">
        <f t="shared" si="175"/>
        <v>127080.80000000002</v>
      </c>
      <c r="AA167" s="48">
        <v>115528</v>
      </c>
      <c r="AB167" s="287">
        <f>((59800*0.015)+(59800*0.19)+2100+4950)*5</f>
        <v>96545</v>
      </c>
      <c r="AC167" s="204">
        <f t="shared" si="183"/>
        <v>4620</v>
      </c>
      <c r="AD167" s="152">
        <v>0.108</v>
      </c>
      <c r="AE167" s="31">
        <f t="shared" ref="AE167:AE168" si="185">4825*(P167+S167)</f>
        <v>28950</v>
      </c>
      <c r="AF167" s="28">
        <f t="shared" si="177"/>
        <v>0.59211371237458199</v>
      </c>
      <c r="AG167" s="34">
        <f t="shared" si="178"/>
        <v>35408.43</v>
      </c>
      <c r="AH167" s="34">
        <f t="shared" si="179"/>
        <v>324.77620000000024</v>
      </c>
      <c r="AI167" s="34">
        <f t="shared" si="180"/>
        <v>2922.9858000000022</v>
      </c>
      <c r="AJ167" s="46">
        <f t="shared" si="181"/>
        <v>-124157.81420000002</v>
      </c>
      <c r="AK167" s="40">
        <v>85.5</v>
      </c>
      <c r="AL167" s="41">
        <f t="shared" si="182"/>
        <v>110.124</v>
      </c>
      <c r="AM167" s="36">
        <v>20116</v>
      </c>
      <c r="AN167" s="284">
        <v>183</v>
      </c>
      <c r="AO167" s="26"/>
      <c r="AP167" s="26"/>
      <c r="AQ167" s="27"/>
      <c r="AR167" s="27"/>
      <c r="AS167" s="27"/>
      <c r="AT167" s="27"/>
      <c r="AU167" s="27"/>
      <c r="AV167" s="27"/>
      <c r="AW167" s="26"/>
      <c r="AX167" s="26"/>
      <c r="AY167" s="26"/>
      <c r="AZ167" s="26"/>
      <c r="BA167" s="26"/>
      <c r="BB167" s="26"/>
      <c r="BC167" s="26"/>
      <c r="BD167" s="26"/>
      <c r="BE167" s="26"/>
      <c r="BF167" s="26"/>
      <c r="BG167" s="26"/>
      <c r="BH167" s="26"/>
      <c r="BI167" s="26"/>
    </row>
    <row r="168" spans="1:61" ht="28.5" customHeight="1">
      <c r="A168" s="26"/>
      <c r="B168" s="333"/>
      <c r="C168" s="42" t="s">
        <v>33</v>
      </c>
      <c r="D168" s="28">
        <f t="shared" si="166"/>
        <v>0.21245352724841191</v>
      </c>
      <c r="E168" s="201">
        <v>0.40100000000000002</v>
      </c>
      <c r="F168" s="30">
        <f t="shared" si="167"/>
        <v>0.18854647275158812</v>
      </c>
      <c r="G168" s="30">
        <f t="shared" si="168"/>
        <v>2.6058631921824105E-2</v>
      </c>
      <c r="H168" s="48"/>
      <c r="I168" s="48"/>
      <c r="J168" s="48"/>
      <c r="K168" s="48"/>
      <c r="L168" s="310"/>
      <c r="M168" s="48"/>
      <c r="N168" s="36"/>
      <c r="O168" s="36">
        <v>12</v>
      </c>
      <c r="P168" s="31">
        <f t="shared" si="169"/>
        <v>12</v>
      </c>
      <c r="Q168" s="36">
        <v>1</v>
      </c>
      <c r="R168" s="167">
        <v>8</v>
      </c>
      <c r="S168" s="36"/>
      <c r="T168" s="34">
        <f t="shared" si="170"/>
        <v>837480</v>
      </c>
      <c r="U168" s="31">
        <f t="shared" si="171"/>
        <v>0</v>
      </c>
      <c r="V168" s="34">
        <f t="shared" si="172"/>
        <v>837480</v>
      </c>
      <c r="W168" s="43">
        <v>69790</v>
      </c>
      <c r="X168" s="34">
        <f t="shared" si="173"/>
        <v>26337.023999999998</v>
      </c>
      <c r="Y168" s="34">
        <f t="shared" si="174"/>
        <v>316044.28799999994</v>
      </c>
      <c r="Z168" s="34">
        <f t="shared" si="175"/>
        <v>155593.90000000002</v>
      </c>
      <c r="AA168" s="48">
        <v>141449</v>
      </c>
      <c r="AB168" s="36"/>
      <c r="AC168" s="204">
        <f t="shared" si="183"/>
        <v>2310</v>
      </c>
      <c r="AD168" s="152">
        <v>0.108</v>
      </c>
      <c r="AE168" s="31">
        <f t="shared" si="185"/>
        <v>57900</v>
      </c>
      <c r="AF168" s="28">
        <f t="shared" si="177"/>
        <v>0.17713597936667144</v>
      </c>
      <c r="AG168" s="34">
        <f t="shared" si="178"/>
        <v>148347.87</v>
      </c>
      <c r="AH168" s="34">
        <f t="shared" si="179"/>
        <v>37308.784200000002</v>
      </c>
      <c r="AI168" s="34">
        <f t="shared" si="180"/>
        <v>335779.05780000007</v>
      </c>
      <c r="AJ168" s="46">
        <f t="shared" si="181"/>
        <v>180185.15780000004</v>
      </c>
      <c r="AK168" s="40">
        <v>106.5</v>
      </c>
      <c r="AL168" s="41">
        <f t="shared" si="182"/>
        <v>137.172</v>
      </c>
      <c r="AM168" s="36">
        <v>67097</v>
      </c>
      <c r="AN168" s="284">
        <v>307</v>
      </c>
      <c r="AO168" s="26"/>
      <c r="AP168" s="26"/>
      <c r="AQ168" s="27"/>
      <c r="AR168" s="27"/>
      <c r="AS168" s="27"/>
      <c r="AT168" s="27"/>
      <c r="AU168" s="27"/>
      <c r="AV168" s="27"/>
      <c r="AW168" s="26"/>
      <c r="AX168" s="26"/>
      <c r="AY168" s="26"/>
      <c r="AZ168" s="26"/>
      <c r="BA168" s="26"/>
      <c r="BB168" s="26"/>
      <c r="BC168" s="26"/>
      <c r="BD168" s="26"/>
      <c r="BE168" s="26"/>
      <c r="BF168" s="26"/>
      <c r="BG168" s="26"/>
      <c r="BH168" s="26"/>
      <c r="BI168" s="26"/>
    </row>
    <row r="169" spans="1:61" ht="28.5" customHeight="1">
      <c r="A169" s="26"/>
      <c r="B169" s="333"/>
      <c r="C169" s="42" t="s">
        <v>149</v>
      </c>
      <c r="D169" s="28">
        <f t="shared" si="166"/>
        <v>6.8246871444823665E-2</v>
      </c>
      <c r="E169" s="201">
        <v>0.40100000000000002</v>
      </c>
      <c r="F169" s="30">
        <f t="shared" si="167"/>
        <v>0.33275312855517636</v>
      </c>
      <c r="G169" s="30">
        <f t="shared" si="168"/>
        <v>8.3333333333333329E-2</v>
      </c>
      <c r="H169" s="48"/>
      <c r="I169" s="48"/>
      <c r="J169" s="48"/>
      <c r="K169" s="48"/>
      <c r="L169" s="334"/>
      <c r="M169" s="48"/>
      <c r="N169" s="36"/>
      <c r="O169" s="36">
        <v>2</v>
      </c>
      <c r="P169" s="31">
        <f t="shared" si="169"/>
        <v>2</v>
      </c>
      <c r="Q169" s="36">
        <v>1</v>
      </c>
      <c r="R169" s="167">
        <v>4</v>
      </c>
      <c r="S169" s="36"/>
      <c r="T169" s="34">
        <f t="shared" si="170"/>
        <v>193380</v>
      </c>
      <c r="U169" s="31">
        <f t="shared" si="171"/>
        <v>0</v>
      </c>
      <c r="V169" s="34">
        <f t="shared" si="172"/>
        <v>193380</v>
      </c>
      <c r="W169" s="43">
        <v>96690</v>
      </c>
      <c r="X169" s="34">
        <f t="shared" si="173"/>
        <v>36723.455999999998</v>
      </c>
      <c r="Y169" s="34">
        <f t="shared" si="174"/>
        <v>73446.911999999997</v>
      </c>
      <c r="Z169" s="34">
        <f t="shared" si="175"/>
        <v>62037.8</v>
      </c>
      <c r="AA169" s="48">
        <v>56398</v>
      </c>
      <c r="AB169" s="36"/>
      <c r="AC169" s="204">
        <f t="shared" si="183"/>
        <v>2310</v>
      </c>
      <c r="AD169" s="152">
        <v>0.108</v>
      </c>
      <c r="AE169" s="31">
        <f t="shared" ref="AE169:AE170" si="186">6200*(P169+S169)</f>
        <v>12400</v>
      </c>
      <c r="AF169" s="28">
        <f t="shared" si="177"/>
        <v>0.17212245320095149</v>
      </c>
      <c r="AG169" s="34">
        <f t="shared" si="178"/>
        <v>33285.07</v>
      </c>
      <c r="AH169" s="34">
        <f t="shared" si="179"/>
        <v>8664.8018000000011</v>
      </c>
      <c r="AI169" s="34">
        <f t="shared" si="180"/>
        <v>77983.21620000001</v>
      </c>
      <c r="AJ169" s="46">
        <f t="shared" si="181"/>
        <v>15945.416200000007</v>
      </c>
      <c r="AK169" s="40">
        <v>148.5</v>
      </c>
      <c r="AL169" s="41">
        <f t="shared" si="182"/>
        <v>191.268</v>
      </c>
      <c r="AM169" s="36">
        <v>4432</v>
      </c>
      <c r="AN169" s="284">
        <v>48</v>
      </c>
      <c r="AO169" s="26"/>
      <c r="AP169" s="26"/>
      <c r="AQ169" s="27"/>
      <c r="AR169" s="27"/>
      <c r="AS169" s="27"/>
      <c r="AT169" s="27"/>
      <c r="AU169" s="27"/>
      <c r="AV169" s="27"/>
      <c r="AW169" s="26"/>
      <c r="AX169" s="26"/>
      <c r="AY169" s="26"/>
      <c r="AZ169" s="26"/>
      <c r="BA169" s="26"/>
      <c r="BB169" s="26"/>
      <c r="BC169" s="26"/>
      <c r="BD169" s="26"/>
      <c r="BE169" s="26"/>
      <c r="BF169" s="26"/>
      <c r="BG169" s="26"/>
      <c r="BH169" s="26"/>
      <c r="BI169" s="26"/>
    </row>
    <row r="170" spans="1:61" ht="28.5" customHeight="1">
      <c r="A170" s="26"/>
      <c r="B170" s="324"/>
      <c r="C170" s="42" t="s">
        <v>150</v>
      </c>
      <c r="D170" s="28">
        <f t="shared" si="166"/>
        <v>0.22710352354225133</v>
      </c>
      <c r="E170" s="201">
        <v>0.39600000000000002</v>
      </c>
      <c r="F170" s="30">
        <f t="shared" si="167"/>
        <v>0.16889647645774869</v>
      </c>
      <c r="G170" s="30">
        <f t="shared" si="168"/>
        <v>1.3698630136986301E-2</v>
      </c>
      <c r="H170" s="48"/>
      <c r="I170" s="283"/>
      <c r="J170" s="48"/>
      <c r="K170" s="48"/>
      <c r="L170" s="310"/>
      <c r="M170" s="48"/>
      <c r="N170" s="36"/>
      <c r="O170" s="36">
        <v>6</v>
      </c>
      <c r="P170" s="31">
        <f t="shared" si="169"/>
        <v>6</v>
      </c>
      <c r="Q170" s="36"/>
      <c r="R170" s="167">
        <v>1</v>
      </c>
      <c r="S170" s="36"/>
      <c r="T170" s="34">
        <f t="shared" si="170"/>
        <v>641400</v>
      </c>
      <c r="U170" s="31">
        <f t="shared" si="171"/>
        <v>0</v>
      </c>
      <c r="V170" s="34">
        <f t="shared" si="172"/>
        <v>641400</v>
      </c>
      <c r="W170" s="43">
        <v>106900</v>
      </c>
      <c r="X170" s="34">
        <f t="shared" si="173"/>
        <v>41916.671999999999</v>
      </c>
      <c r="Y170" s="34">
        <f t="shared" si="174"/>
        <v>251500.03200000001</v>
      </c>
      <c r="Z170" s="34">
        <f t="shared" si="175"/>
        <v>108330.20000000001</v>
      </c>
      <c r="AA170" s="48">
        <v>98482</v>
      </c>
      <c r="AB170" s="36"/>
      <c r="AC170" s="204">
        <f t="shared" si="183"/>
        <v>0</v>
      </c>
      <c r="AD170" s="152">
        <v>0.108</v>
      </c>
      <c r="AE170" s="31">
        <f t="shared" si="186"/>
        <v>37200</v>
      </c>
      <c r="AF170" s="28">
        <f t="shared" si="177"/>
        <v>0.16599812909260991</v>
      </c>
      <c r="AG170" s="34">
        <f t="shared" si="178"/>
        <v>106471.23</v>
      </c>
      <c r="AH170" s="34">
        <f t="shared" si="179"/>
        <v>28342.873800000001</v>
      </c>
      <c r="AI170" s="34">
        <f t="shared" si="180"/>
        <v>255085.86420000001</v>
      </c>
      <c r="AJ170" s="46">
        <f t="shared" si="181"/>
        <v>146755.6642</v>
      </c>
      <c r="AK170" s="40">
        <v>169.5</v>
      </c>
      <c r="AL170" s="41">
        <f t="shared" si="182"/>
        <v>218.316</v>
      </c>
      <c r="AM170" s="36">
        <v>5680</v>
      </c>
      <c r="AN170" s="284">
        <v>73</v>
      </c>
      <c r="AO170" s="26"/>
      <c r="AP170" s="26"/>
      <c r="AQ170" s="27"/>
      <c r="AR170" s="27"/>
      <c r="AS170" s="27"/>
      <c r="AT170" s="27"/>
      <c r="AU170" s="27"/>
      <c r="AV170" s="27"/>
      <c r="AW170" s="26"/>
      <c r="AX170" s="26"/>
      <c r="AY170" s="26"/>
      <c r="AZ170" s="26"/>
      <c r="BA170" s="26"/>
      <c r="BB170" s="26"/>
      <c r="BC170" s="26"/>
      <c r="BD170" s="26"/>
      <c r="BE170" s="26"/>
      <c r="BF170" s="26"/>
      <c r="BG170" s="26"/>
      <c r="BH170" s="26"/>
      <c r="BI170" s="26"/>
    </row>
    <row r="171" spans="1:61" ht="28.5" customHeight="1">
      <c r="A171" s="26"/>
      <c r="B171" s="200"/>
      <c r="C171" s="42" t="s">
        <v>111</v>
      </c>
      <c r="D171" s="28">
        <f t="shared" si="166"/>
        <v>0.15645441595441595</v>
      </c>
      <c r="E171" s="201">
        <v>0.378</v>
      </c>
      <c r="F171" s="30">
        <f t="shared" si="167"/>
        <v>0.22154558404558405</v>
      </c>
      <c r="G171" s="30">
        <f t="shared" si="168"/>
        <v>6.25E-2</v>
      </c>
      <c r="H171" s="48"/>
      <c r="I171" s="48"/>
      <c r="J171" s="48"/>
      <c r="K171" s="210"/>
      <c r="L171" s="210"/>
      <c r="M171" s="210"/>
      <c r="N171" s="36"/>
      <c r="O171" s="36">
        <v>14</v>
      </c>
      <c r="P171" s="31">
        <f t="shared" si="169"/>
        <v>9</v>
      </c>
      <c r="Q171" s="36"/>
      <c r="R171" s="167">
        <v>7</v>
      </c>
      <c r="S171" s="36">
        <v>5</v>
      </c>
      <c r="T171" s="34">
        <f t="shared" si="170"/>
        <v>240240</v>
      </c>
      <c r="U171" s="31">
        <f t="shared" si="171"/>
        <v>85800</v>
      </c>
      <c r="V171" s="34">
        <f t="shared" si="172"/>
        <v>154440</v>
      </c>
      <c r="W171" s="43">
        <v>17160</v>
      </c>
      <c r="X171" s="34">
        <f t="shared" si="173"/>
        <v>5687.8080000000009</v>
      </c>
      <c r="Y171" s="34">
        <f t="shared" si="174"/>
        <v>51190.272000000012</v>
      </c>
      <c r="Z171" s="34">
        <f t="shared" si="175"/>
        <v>34215.5</v>
      </c>
      <c r="AA171" s="48">
        <v>31105</v>
      </c>
      <c r="AB171" s="287">
        <f>((17160*0.015)+(17160*0.25)+2100+4950)*5</f>
        <v>57987</v>
      </c>
      <c r="AC171" s="204">
        <f t="shared" si="183"/>
        <v>0</v>
      </c>
      <c r="AD171" s="152">
        <v>7.8E-2</v>
      </c>
      <c r="AE171" s="31">
        <f>2900*(P171+S171)</f>
        <v>40600</v>
      </c>
      <c r="AF171" s="28">
        <f t="shared" si="177"/>
        <v>0.34088526288526289</v>
      </c>
      <c r="AG171" s="34">
        <f t="shared" si="178"/>
        <v>52646.35</v>
      </c>
      <c r="AH171" s="34">
        <f t="shared" si="179"/>
        <v>5060.3377999999993</v>
      </c>
      <c r="AI171" s="34">
        <f t="shared" si="180"/>
        <v>45543.040200000003</v>
      </c>
      <c r="AJ171" s="46">
        <f t="shared" si="181"/>
        <v>11327.540200000003</v>
      </c>
      <c r="AK171" s="40">
        <v>23</v>
      </c>
      <c r="AL171" s="41">
        <f t="shared" si="182"/>
        <v>29.624000000000002</v>
      </c>
      <c r="AM171" s="36">
        <v>31503</v>
      </c>
      <c r="AN171" s="284">
        <v>112</v>
      </c>
      <c r="AO171" s="26"/>
      <c r="AP171" s="26"/>
      <c r="AQ171" s="27"/>
      <c r="AR171" s="27"/>
      <c r="AS171" s="27"/>
      <c r="AT171" s="27"/>
      <c r="AU171" s="27"/>
      <c r="AV171" s="27"/>
      <c r="AW171" s="26"/>
      <c r="AX171" s="26"/>
      <c r="AY171" s="26"/>
      <c r="AZ171" s="26"/>
      <c r="BA171" s="26"/>
      <c r="BB171" s="26"/>
      <c r="BC171" s="26"/>
      <c r="BD171" s="26"/>
      <c r="BE171" s="26"/>
      <c r="BF171" s="26"/>
      <c r="BG171" s="26"/>
      <c r="BH171" s="26"/>
      <c r="BI171" s="26"/>
    </row>
    <row r="172" spans="1:61" ht="28.5" customHeight="1">
      <c r="A172" s="26"/>
      <c r="B172" s="207"/>
      <c r="C172" s="42" t="s">
        <v>151</v>
      </c>
      <c r="D172" s="28">
        <f t="shared" si="166"/>
        <v>-3.6172839506172783E-3</v>
      </c>
      <c r="E172" s="201">
        <v>0.27700000000000002</v>
      </c>
      <c r="F172" s="30">
        <f t="shared" si="167"/>
        <v>0.2806172839506173</v>
      </c>
      <c r="G172" s="30">
        <f t="shared" si="168"/>
        <v>8.1632653061224483E-2</v>
      </c>
      <c r="H172" s="48"/>
      <c r="I172" s="48"/>
      <c r="J172" s="48"/>
      <c r="K172" s="210"/>
      <c r="L172" s="335"/>
      <c r="M172" s="210"/>
      <c r="N172" s="36"/>
      <c r="O172" s="36">
        <v>14</v>
      </c>
      <c r="P172" s="31">
        <f t="shared" si="169"/>
        <v>9</v>
      </c>
      <c r="Q172" s="36"/>
      <c r="R172" s="167">
        <v>4</v>
      </c>
      <c r="S172" s="36">
        <v>5</v>
      </c>
      <c r="T172" s="34">
        <f t="shared" si="170"/>
        <v>138600</v>
      </c>
      <c r="U172" s="31">
        <f t="shared" si="171"/>
        <v>49500</v>
      </c>
      <c r="V172" s="34">
        <f t="shared" si="172"/>
        <v>89100</v>
      </c>
      <c r="W172" s="43">
        <v>9900</v>
      </c>
      <c r="X172" s="34">
        <f t="shared" si="173"/>
        <v>3462.1440000000002</v>
      </c>
      <c r="Y172" s="34">
        <f t="shared" si="174"/>
        <v>31159.296000000002</v>
      </c>
      <c r="Z172" s="34">
        <f t="shared" si="175"/>
        <v>25003.000000000004</v>
      </c>
      <c r="AA172" s="48">
        <v>22730</v>
      </c>
      <c r="AB172" s="287">
        <f>((9900*0.015)+(9900*0.34)+2100+4950)*5</f>
        <v>52822.5</v>
      </c>
      <c r="AC172" s="204">
        <f t="shared" si="183"/>
        <v>0</v>
      </c>
      <c r="AD172" s="152">
        <v>0.1</v>
      </c>
      <c r="AE172" s="31">
        <f>3275*(P172+S172)</f>
        <v>45850</v>
      </c>
      <c r="AF172" s="28">
        <f t="shared" si="177"/>
        <v>0.61459034792368128</v>
      </c>
      <c r="AG172" s="34">
        <f t="shared" si="178"/>
        <v>54760.03</v>
      </c>
      <c r="AH172" s="34">
        <f t="shared" si="179"/>
        <v>318.06739999999991</v>
      </c>
      <c r="AI172" s="34">
        <f t="shared" si="180"/>
        <v>2862.6065999999992</v>
      </c>
      <c r="AJ172" s="46">
        <f t="shared" si="181"/>
        <v>-22140.393400000004</v>
      </c>
      <c r="AK172" s="40">
        <v>14</v>
      </c>
      <c r="AL172" s="41">
        <f t="shared" si="182"/>
        <v>18.032</v>
      </c>
      <c r="AM172" s="36">
        <v>26328</v>
      </c>
      <c r="AN172" s="284">
        <v>49</v>
      </c>
      <c r="AO172" s="26"/>
      <c r="AP172" s="26"/>
      <c r="AQ172" s="27"/>
      <c r="AR172" s="27"/>
      <c r="AS172" s="27"/>
      <c r="AT172" s="27"/>
      <c r="AU172" s="27"/>
      <c r="AV172" s="27"/>
      <c r="AW172" s="26"/>
      <c r="AX172" s="26"/>
      <c r="AY172" s="26"/>
      <c r="AZ172" s="26"/>
      <c r="BA172" s="26"/>
      <c r="BB172" s="26"/>
      <c r="BC172" s="26"/>
      <c r="BD172" s="26"/>
      <c r="BE172" s="26"/>
      <c r="BF172" s="26"/>
      <c r="BG172" s="26"/>
      <c r="BH172" s="26"/>
      <c r="BI172" s="26"/>
    </row>
    <row r="173" spans="1:61" ht="28.5" customHeight="1">
      <c r="A173" s="26"/>
      <c r="B173" s="212"/>
      <c r="C173" s="42" t="s">
        <v>152</v>
      </c>
      <c r="D173" s="28">
        <f t="shared" si="166"/>
        <v>-0.46394885361552035</v>
      </c>
      <c r="E173" s="201">
        <v>0.34200000000000003</v>
      </c>
      <c r="F173" s="30">
        <f t="shared" si="167"/>
        <v>0.80594885361552038</v>
      </c>
      <c r="G173" s="30">
        <f t="shared" si="168"/>
        <v>3.007518796992481E-2</v>
      </c>
      <c r="H173" s="48"/>
      <c r="I173" s="48"/>
      <c r="J173" s="48"/>
      <c r="K173" s="210"/>
      <c r="L173" s="310"/>
      <c r="M173" s="210"/>
      <c r="N173" s="36"/>
      <c r="O173" s="36">
        <v>3</v>
      </c>
      <c r="P173" s="31">
        <f t="shared" si="169"/>
        <v>3</v>
      </c>
      <c r="Q173" s="36">
        <v>1</v>
      </c>
      <c r="R173" s="167">
        <v>4</v>
      </c>
      <c r="S173" s="36"/>
      <c r="T173" s="34">
        <f t="shared" si="170"/>
        <v>56700</v>
      </c>
      <c r="U173" s="31">
        <f t="shared" si="171"/>
        <v>0</v>
      </c>
      <c r="V173" s="34">
        <f t="shared" si="172"/>
        <v>56700</v>
      </c>
      <c r="W173" s="43">
        <v>18900</v>
      </c>
      <c r="X173" s="34">
        <f t="shared" si="173"/>
        <v>6924.2880000000005</v>
      </c>
      <c r="Y173" s="34">
        <f t="shared" si="174"/>
        <v>20772.864000000001</v>
      </c>
      <c r="Z173" s="34">
        <f t="shared" si="175"/>
        <v>43387.3</v>
      </c>
      <c r="AA173" s="48">
        <v>39443</v>
      </c>
      <c r="AB173" s="36"/>
      <c r="AC173" s="204">
        <f t="shared" si="183"/>
        <v>2310</v>
      </c>
      <c r="AD173" s="152">
        <v>0.1</v>
      </c>
      <c r="AE173" s="31">
        <f>3425*(P173+S173)</f>
        <v>10275</v>
      </c>
      <c r="AF173" s="28">
        <f t="shared" si="177"/>
        <v>0.28121693121693125</v>
      </c>
      <c r="AG173" s="34">
        <f t="shared" si="178"/>
        <v>15945.030000000002</v>
      </c>
      <c r="AH173" s="34">
        <f t="shared" si="179"/>
        <v>1998.2105999999999</v>
      </c>
      <c r="AI173" s="34">
        <f t="shared" si="180"/>
        <v>17983.895400000001</v>
      </c>
      <c r="AJ173" s="46">
        <f t="shared" si="181"/>
        <v>-25403.404600000002</v>
      </c>
      <c r="AK173" s="40">
        <v>28</v>
      </c>
      <c r="AL173" s="41">
        <f t="shared" si="182"/>
        <v>36.064</v>
      </c>
      <c r="AM173" s="36">
        <v>47550</v>
      </c>
      <c r="AN173" s="284">
        <v>133</v>
      </c>
      <c r="AO173" s="26"/>
      <c r="AP173" s="26"/>
      <c r="AQ173" s="27"/>
      <c r="AR173" s="27"/>
      <c r="AS173" s="27"/>
      <c r="AT173" s="27"/>
      <c r="AU173" s="27"/>
      <c r="AV173" s="27"/>
      <c r="AW173" s="26"/>
      <c r="AX173" s="26"/>
      <c r="AY173" s="26"/>
      <c r="AZ173" s="26"/>
      <c r="BA173" s="26"/>
      <c r="BB173" s="26"/>
      <c r="BC173" s="26"/>
      <c r="BD173" s="26"/>
      <c r="BE173" s="26"/>
      <c r="BF173" s="26"/>
      <c r="BG173" s="26"/>
      <c r="BH173" s="26"/>
      <c r="BI173" s="26"/>
    </row>
    <row r="174" spans="1:61" ht="28.5" customHeight="1">
      <c r="A174" s="295"/>
      <c r="B174" s="296"/>
      <c r="C174" s="42" t="s">
        <v>153</v>
      </c>
      <c r="D174" s="28">
        <f t="shared" si="166"/>
        <v>0.35</v>
      </c>
      <c r="E174" s="201">
        <v>0.35</v>
      </c>
      <c r="F174" s="30">
        <f t="shared" si="167"/>
        <v>0</v>
      </c>
      <c r="G174" s="30" t="e">
        <f t="shared" si="168"/>
        <v>#DIV/0!</v>
      </c>
      <c r="H174" s="48"/>
      <c r="I174" s="48"/>
      <c r="J174" s="48"/>
      <c r="K174" s="26"/>
      <c r="L174" s="26"/>
      <c r="M174" s="210"/>
      <c r="N174" s="36"/>
      <c r="O174" s="36">
        <v>1</v>
      </c>
      <c r="P174" s="31">
        <f t="shared" si="169"/>
        <v>1</v>
      </c>
      <c r="Q174" s="36"/>
      <c r="R174" s="167">
        <v>0</v>
      </c>
      <c r="S174" s="36"/>
      <c r="T174" s="34">
        <f t="shared" si="170"/>
        <v>26010</v>
      </c>
      <c r="U174" s="31">
        <f t="shared" si="171"/>
        <v>0</v>
      </c>
      <c r="V174" s="34">
        <f t="shared" si="172"/>
        <v>26010</v>
      </c>
      <c r="W174" s="43">
        <v>26010</v>
      </c>
      <c r="X174" s="34">
        <f t="shared" si="173"/>
        <v>10386.432000000001</v>
      </c>
      <c r="Y174" s="34">
        <f t="shared" si="174"/>
        <v>10386.432000000001</v>
      </c>
      <c r="Z174" s="34">
        <f t="shared" si="175"/>
        <v>0</v>
      </c>
      <c r="AA174" s="48">
        <v>0</v>
      </c>
      <c r="AB174" s="36"/>
      <c r="AC174" s="204">
        <f t="shared" si="183"/>
        <v>0</v>
      </c>
      <c r="AD174" s="152">
        <v>0.1</v>
      </c>
      <c r="AE174" s="31">
        <f>5925*(P174+S174)</f>
        <v>5925</v>
      </c>
      <c r="AF174" s="28">
        <f t="shared" si="177"/>
        <v>0.32779700115340255</v>
      </c>
      <c r="AG174" s="34">
        <f t="shared" si="178"/>
        <v>8526.0300000000007</v>
      </c>
      <c r="AH174" s="34">
        <f t="shared" si="179"/>
        <v>709.75379999999996</v>
      </c>
      <c r="AI174" s="34">
        <f t="shared" si="180"/>
        <v>6387.7842000000019</v>
      </c>
      <c r="AJ174" s="46">
        <f t="shared" si="181"/>
        <v>6387.7842000000019</v>
      </c>
      <c r="AK174" s="40">
        <v>42</v>
      </c>
      <c r="AL174" s="41">
        <f t="shared" si="182"/>
        <v>54.096000000000004</v>
      </c>
      <c r="AM174" s="36">
        <v>0</v>
      </c>
      <c r="AN174" s="284"/>
      <c r="AO174" s="26"/>
      <c r="AP174" s="26"/>
      <c r="AQ174" s="27"/>
      <c r="AR174" s="27"/>
      <c r="AS174" s="27"/>
      <c r="AT174" s="27"/>
      <c r="AU174" s="27"/>
      <c r="AV174" s="27"/>
      <c r="AW174" s="26"/>
      <c r="AX174" s="26"/>
      <c r="AY174" s="26"/>
      <c r="AZ174" s="26"/>
      <c r="BA174" s="26"/>
      <c r="BB174" s="26"/>
      <c r="BC174" s="26"/>
      <c r="BD174" s="26"/>
      <c r="BE174" s="26"/>
      <c r="BF174" s="26"/>
      <c r="BG174" s="26"/>
      <c r="BH174" s="26"/>
      <c r="BI174" s="26"/>
    </row>
    <row r="175" spans="1:61" ht="28.5" customHeight="1">
      <c r="A175" s="26"/>
      <c r="B175" s="323"/>
      <c r="C175" s="42" t="s">
        <v>112</v>
      </c>
      <c r="D175" s="28">
        <f t="shared" si="166"/>
        <v>-6.1587025999827238E-2</v>
      </c>
      <c r="E175" s="201">
        <v>0.38600000000000001</v>
      </c>
      <c r="F175" s="30">
        <f t="shared" si="167"/>
        <v>0.44758702599982725</v>
      </c>
      <c r="G175" s="30">
        <f t="shared" si="168"/>
        <v>8.1818181818181818E-2</v>
      </c>
      <c r="H175" s="334"/>
      <c r="I175" s="48"/>
      <c r="J175" s="48"/>
      <c r="K175" s="210"/>
      <c r="L175" s="335"/>
      <c r="M175" s="210"/>
      <c r="N175" s="36"/>
      <c r="O175" s="36">
        <v>10</v>
      </c>
      <c r="P175" s="31">
        <f t="shared" si="169"/>
        <v>6</v>
      </c>
      <c r="Q175" s="36">
        <v>4</v>
      </c>
      <c r="R175" s="167">
        <v>9</v>
      </c>
      <c r="S175" s="36">
        <v>4</v>
      </c>
      <c r="T175" s="34">
        <f t="shared" si="170"/>
        <v>385900</v>
      </c>
      <c r="U175" s="31">
        <f t="shared" si="171"/>
        <v>154360</v>
      </c>
      <c r="V175" s="34">
        <f t="shared" si="172"/>
        <v>231540</v>
      </c>
      <c r="W175" s="43">
        <v>38590</v>
      </c>
      <c r="X175" s="34">
        <f t="shared" si="173"/>
        <v>15085.056</v>
      </c>
      <c r="Y175" s="34">
        <f t="shared" si="174"/>
        <v>90510.33600000001</v>
      </c>
      <c r="Z175" s="34">
        <f t="shared" si="175"/>
        <v>94394.3</v>
      </c>
      <c r="AA175" s="48">
        <v>85813</v>
      </c>
      <c r="AB175" s="286">
        <f>((38590*0.18)+(38590*0.015)+2100+2200)*4</f>
        <v>47300.2</v>
      </c>
      <c r="AC175" s="204">
        <f t="shared" si="183"/>
        <v>9240</v>
      </c>
      <c r="AD175" s="152">
        <v>0.08</v>
      </c>
      <c r="AE175" s="31">
        <f t="shared" ref="AE175:AE176" si="187">4150*(P175+S175)</f>
        <v>41500</v>
      </c>
      <c r="AF175" s="28">
        <f t="shared" si="177"/>
        <v>0.25923468947050188</v>
      </c>
      <c r="AG175" s="34">
        <f t="shared" si="178"/>
        <v>60023.23</v>
      </c>
      <c r="AH175" s="34">
        <f t="shared" si="179"/>
        <v>8100.6433999999972</v>
      </c>
      <c r="AI175" s="34">
        <f t="shared" si="180"/>
        <v>72905.790599999978</v>
      </c>
      <c r="AJ175" s="46">
        <f t="shared" si="181"/>
        <v>-21488.509400000024</v>
      </c>
      <c r="AK175" s="40">
        <v>61</v>
      </c>
      <c r="AL175" s="41">
        <f t="shared" si="182"/>
        <v>78.567999999999998</v>
      </c>
      <c r="AM175" s="36">
        <v>24853</v>
      </c>
      <c r="AN175" s="284">
        <v>110</v>
      </c>
      <c r="AO175" s="26"/>
      <c r="AP175" s="26"/>
      <c r="AQ175" s="27"/>
      <c r="AR175" s="27"/>
      <c r="AS175" s="27"/>
      <c r="AT175" s="27"/>
      <c r="AU175" s="27"/>
      <c r="AV175" s="27"/>
      <c r="AW175" s="26"/>
      <c r="AX175" s="26"/>
      <c r="AY175" s="26"/>
      <c r="AZ175" s="26"/>
      <c r="BA175" s="26"/>
      <c r="BB175" s="26"/>
      <c r="BC175" s="26"/>
      <c r="BD175" s="26"/>
      <c r="BE175" s="26"/>
      <c r="BF175" s="26"/>
      <c r="BG175" s="26"/>
      <c r="BH175" s="26"/>
      <c r="BI175" s="26"/>
    </row>
    <row r="176" spans="1:61" ht="28.5" customHeight="1">
      <c r="A176" s="26"/>
      <c r="B176" s="324"/>
      <c r="C176" s="42" t="s">
        <v>113</v>
      </c>
      <c r="D176" s="28">
        <f t="shared" si="166"/>
        <v>0.11697802197802198</v>
      </c>
      <c r="E176" s="201">
        <v>0.316</v>
      </c>
      <c r="F176" s="30">
        <f t="shared" si="167"/>
        <v>0.19902197802197802</v>
      </c>
      <c r="G176" s="30">
        <f t="shared" si="168"/>
        <v>6.7708333333333329E-2</v>
      </c>
      <c r="H176" s="310"/>
      <c r="I176" s="48"/>
      <c r="J176" s="48"/>
      <c r="K176" s="210"/>
      <c r="L176" s="310"/>
      <c r="M176" s="210"/>
      <c r="N176" s="36"/>
      <c r="O176" s="36">
        <v>14</v>
      </c>
      <c r="P176" s="31">
        <f t="shared" si="169"/>
        <v>14</v>
      </c>
      <c r="Q176" s="36">
        <v>2</v>
      </c>
      <c r="R176" s="167">
        <v>13</v>
      </c>
      <c r="S176" s="36"/>
      <c r="T176" s="34">
        <f t="shared" si="170"/>
        <v>600600</v>
      </c>
      <c r="U176" s="31">
        <f t="shared" si="171"/>
        <v>0</v>
      </c>
      <c r="V176" s="34">
        <f t="shared" si="172"/>
        <v>600600</v>
      </c>
      <c r="W176" s="43">
        <v>42900</v>
      </c>
      <c r="X176" s="34">
        <f t="shared" si="173"/>
        <v>20278.272000000004</v>
      </c>
      <c r="Y176" s="34">
        <f t="shared" si="174"/>
        <v>283895.80800000008</v>
      </c>
      <c r="Z176" s="34">
        <f t="shared" si="175"/>
        <v>114912.6</v>
      </c>
      <c r="AA176" s="48">
        <v>104466</v>
      </c>
      <c r="AB176" s="36"/>
      <c r="AC176" s="204">
        <f t="shared" si="183"/>
        <v>4620</v>
      </c>
      <c r="AD176" s="152">
        <v>7.8E-2</v>
      </c>
      <c r="AE176" s="31">
        <f t="shared" si="187"/>
        <v>58100</v>
      </c>
      <c r="AF176" s="28">
        <f t="shared" si="177"/>
        <v>0.17473659673659675</v>
      </c>
      <c r="AG176" s="34">
        <f t="shared" si="178"/>
        <v>104946.83</v>
      </c>
      <c r="AH176" s="34">
        <f t="shared" si="179"/>
        <v>21175.736199999992</v>
      </c>
      <c r="AI176" s="34">
        <f t="shared" si="180"/>
        <v>190581.62579999992</v>
      </c>
      <c r="AJ176" s="46">
        <f t="shared" si="181"/>
        <v>75669.025799999916</v>
      </c>
      <c r="AK176" s="40">
        <v>82</v>
      </c>
      <c r="AL176" s="41">
        <f t="shared" si="182"/>
        <v>105.61600000000001</v>
      </c>
      <c r="AM176" s="36">
        <v>129746</v>
      </c>
      <c r="AN176" s="284">
        <v>192</v>
      </c>
      <c r="AO176" s="26"/>
      <c r="AP176" s="26"/>
      <c r="AQ176" s="27"/>
      <c r="AR176" s="27"/>
      <c r="AS176" s="27"/>
      <c r="AT176" s="27"/>
      <c r="AU176" s="27"/>
      <c r="AV176" s="27"/>
      <c r="AW176" s="26"/>
      <c r="AX176" s="26"/>
      <c r="AY176" s="26"/>
      <c r="AZ176" s="26"/>
      <c r="BA176" s="26"/>
      <c r="BB176" s="26"/>
      <c r="BC176" s="26"/>
      <c r="BD176" s="26"/>
      <c r="BE176" s="26"/>
      <c r="BF176" s="26"/>
      <c r="BG176" s="26"/>
      <c r="BH176" s="26"/>
      <c r="BI176" s="26"/>
    </row>
    <row r="177" spans="1:61" ht="28.5" customHeight="1">
      <c r="A177" s="26"/>
      <c r="B177" s="200"/>
      <c r="C177" s="42" t="s">
        <v>154</v>
      </c>
      <c r="D177" s="28">
        <f t="shared" si="166"/>
        <v>-0.43561139455782322</v>
      </c>
      <c r="E177" s="201">
        <v>0.185</v>
      </c>
      <c r="F177" s="30">
        <f t="shared" si="167"/>
        <v>0.62061139455782321</v>
      </c>
      <c r="G177" s="30">
        <f t="shared" si="168"/>
        <v>0.11688311688311688</v>
      </c>
      <c r="H177" s="48"/>
      <c r="I177" s="48"/>
      <c r="J177" s="48"/>
      <c r="K177" s="210"/>
      <c r="L177" s="210"/>
      <c r="M177" s="210"/>
      <c r="N177" s="36"/>
      <c r="O177" s="36">
        <v>27</v>
      </c>
      <c r="P177" s="31">
        <f t="shared" si="169"/>
        <v>24</v>
      </c>
      <c r="Q177" s="36">
        <v>6</v>
      </c>
      <c r="R177" s="167">
        <v>18</v>
      </c>
      <c r="S177" s="36">
        <v>3</v>
      </c>
      <c r="T177" s="34">
        <f t="shared" si="170"/>
        <v>264600</v>
      </c>
      <c r="U177" s="31">
        <f t="shared" si="171"/>
        <v>29400</v>
      </c>
      <c r="V177" s="34">
        <f t="shared" si="172"/>
        <v>235200</v>
      </c>
      <c r="W177" s="43">
        <v>9800</v>
      </c>
      <c r="X177" s="34">
        <f t="shared" si="173"/>
        <v>4006.1952000000001</v>
      </c>
      <c r="Y177" s="34">
        <f t="shared" si="174"/>
        <v>96148.684800000003</v>
      </c>
      <c r="Z177" s="34">
        <f t="shared" si="175"/>
        <v>132107.80000000002</v>
      </c>
      <c r="AA177" s="48">
        <v>120098</v>
      </c>
      <c r="AB177" s="287">
        <f>((9800*0.015)+(9800*0.39)+2100+4950)*3</f>
        <v>33057</v>
      </c>
      <c r="AC177" s="204">
        <f t="shared" si="183"/>
        <v>13860</v>
      </c>
      <c r="AD177" s="152">
        <v>0.108</v>
      </c>
      <c r="AE177" s="31">
        <f>2800*(P177+S177)</f>
        <v>75600</v>
      </c>
      <c r="AF177" s="28">
        <f t="shared" si="177"/>
        <v>0.42942857142857144</v>
      </c>
      <c r="AG177" s="34">
        <f t="shared" si="178"/>
        <v>101001.63</v>
      </c>
      <c r="AH177" s="34">
        <f t="shared" si="179"/>
        <v>3804.9685199999985</v>
      </c>
      <c r="AI177" s="34">
        <f t="shared" si="180"/>
        <v>34244.716680000012</v>
      </c>
      <c r="AJ177" s="46">
        <f t="shared" si="181"/>
        <v>-97863.083320000005</v>
      </c>
      <c r="AK177" s="40">
        <v>16.2</v>
      </c>
      <c r="AL177" s="41">
        <f t="shared" si="182"/>
        <v>20.865600000000001</v>
      </c>
      <c r="AM177" s="36">
        <v>126073</v>
      </c>
      <c r="AN177" s="284">
        <v>154</v>
      </c>
      <c r="AO177" s="26"/>
      <c r="AP177" s="26"/>
      <c r="AQ177" s="27"/>
      <c r="AR177" s="27"/>
      <c r="AS177" s="27"/>
      <c r="AT177" s="27"/>
      <c r="AU177" s="27"/>
      <c r="AV177" s="27"/>
      <c r="AW177" s="26"/>
      <c r="AX177" s="26"/>
      <c r="AY177" s="26"/>
      <c r="AZ177" s="26"/>
      <c r="BA177" s="26"/>
      <c r="BB177" s="26"/>
      <c r="BC177" s="26"/>
      <c r="BD177" s="26"/>
      <c r="BE177" s="26"/>
      <c r="BF177" s="26"/>
      <c r="BG177" s="26"/>
      <c r="BH177" s="26"/>
      <c r="BI177" s="26"/>
    </row>
    <row r="178" spans="1:61" ht="28.5" customHeight="1">
      <c r="A178" s="26"/>
      <c r="B178" s="200"/>
      <c r="C178" s="42" t="s">
        <v>114</v>
      </c>
      <c r="D178" s="28">
        <f t="shared" si="166"/>
        <v>0.20182105263157896</v>
      </c>
      <c r="E178" s="201">
        <v>0.33</v>
      </c>
      <c r="F178" s="30">
        <f t="shared" si="167"/>
        <v>0.12817894736842106</v>
      </c>
      <c r="G178" s="30">
        <f t="shared" si="168"/>
        <v>0.16190476190476191</v>
      </c>
      <c r="H178" s="48"/>
      <c r="I178" s="48"/>
      <c r="J178" s="48"/>
      <c r="K178" s="210"/>
      <c r="L178" s="210"/>
      <c r="M178" s="210"/>
      <c r="N178" s="36"/>
      <c r="O178" s="36">
        <v>27</v>
      </c>
      <c r="P178" s="31">
        <f t="shared" si="169"/>
        <v>27</v>
      </c>
      <c r="Q178" s="36">
        <v>4</v>
      </c>
      <c r="R178" s="167">
        <v>17</v>
      </c>
      <c r="S178" s="36"/>
      <c r="T178" s="34">
        <f t="shared" si="170"/>
        <v>513000</v>
      </c>
      <c r="U178" s="31">
        <f t="shared" si="171"/>
        <v>0</v>
      </c>
      <c r="V178" s="34">
        <f t="shared" si="172"/>
        <v>513000</v>
      </c>
      <c r="W178" s="43">
        <v>19000</v>
      </c>
      <c r="X178" s="34">
        <f t="shared" si="173"/>
        <v>7122.1247999999996</v>
      </c>
      <c r="Y178" s="34">
        <f t="shared" si="174"/>
        <v>192297.36959999998</v>
      </c>
      <c r="Z178" s="34">
        <f t="shared" si="175"/>
        <v>56515.8</v>
      </c>
      <c r="AA178" s="48">
        <v>51378</v>
      </c>
      <c r="AB178" s="36"/>
      <c r="AC178" s="204">
        <f t="shared" si="183"/>
        <v>9240</v>
      </c>
      <c r="AD178" s="152">
        <v>0.08</v>
      </c>
      <c r="AE178" s="31">
        <f>3350*(P178+S178)</f>
        <v>90450</v>
      </c>
      <c r="AF178" s="28">
        <f t="shared" si="177"/>
        <v>0.25631578947368422</v>
      </c>
      <c r="AG178" s="34">
        <f t="shared" si="178"/>
        <v>131490.03</v>
      </c>
      <c r="AH178" s="34">
        <f t="shared" si="179"/>
        <v>18921.260039999997</v>
      </c>
      <c r="AI178" s="34">
        <f t="shared" si="180"/>
        <v>170291.34035999997</v>
      </c>
      <c r="AJ178" s="46">
        <f t="shared" si="181"/>
        <v>113775.54035999997</v>
      </c>
      <c r="AK178" s="40">
        <v>28.8</v>
      </c>
      <c r="AL178" s="41">
        <f t="shared" si="182"/>
        <v>37.0944</v>
      </c>
      <c r="AM178" s="36">
        <v>51680</v>
      </c>
      <c r="AN178" s="284">
        <v>105</v>
      </c>
      <c r="AO178" s="26"/>
      <c r="AP178" s="26"/>
      <c r="AQ178" s="27"/>
      <c r="AR178" s="27"/>
      <c r="AS178" s="27"/>
      <c r="AT178" s="27"/>
      <c r="AU178" s="27"/>
      <c r="AV178" s="27"/>
      <c r="AW178" s="26"/>
      <c r="AX178" s="26"/>
      <c r="AY178" s="26"/>
      <c r="AZ178" s="26"/>
      <c r="BA178" s="26"/>
      <c r="BB178" s="26"/>
      <c r="BC178" s="26"/>
      <c r="BD178" s="26"/>
      <c r="BE178" s="26"/>
      <c r="BF178" s="26"/>
      <c r="BG178" s="26"/>
      <c r="BH178" s="26"/>
      <c r="BI178" s="26"/>
    </row>
    <row r="179" spans="1:61" ht="28.5" customHeight="1">
      <c r="A179" s="26"/>
      <c r="B179" s="326"/>
      <c r="C179" s="42" t="s">
        <v>115</v>
      </c>
      <c r="D179" s="28">
        <f t="shared" si="166"/>
        <v>0.22583211678832113</v>
      </c>
      <c r="E179" s="201">
        <v>0.437</v>
      </c>
      <c r="F179" s="30">
        <f t="shared" si="167"/>
        <v>0.21116788321167887</v>
      </c>
      <c r="G179" s="30">
        <f t="shared" si="168"/>
        <v>6.9444444444444448E-2</v>
      </c>
      <c r="H179" s="48"/>
      <c r="I179" s="48"/>
      <c r="J179" s="48"/>
      <c r="K179" s="210"/>
      <c r="L179" s="210"/>
      <c r="M179" s="210"/>
      <c r="N179" s="36"/>
      <c r="O179" s="36">
        <v>5</v>
      </c>
      <c r="P179" s="31">
        <f t="shared" si="169"/>
        <v>5</v>
      </c>
      <c r="Q179" s="36"/>
      <c r="R179" s="167">
        <v>5</v>
      </c>
      <c r="S179" s="36"/>
      <c r="T179" s="34">
        <f t="shared" si="170"/>
        <v>274000</v>
      </c>
      <c r="U179" s="31">
        <f t="shared" si="171"/>
        <v>0</v>
      </c>
      <c r="V179" s="34">
        <f t="shared" si="172"/>
        <v>274000</v>
      </c>
      <c r="W179" s="43">
        <v>54800</v>
      </c>
      <c r="X179" s="34">
        <f t="shared" si="173"/>
        <v>20030.976000000002</v>
      </c>
      <c r="Y179" s="34">
        <f t="shared" si="174"/>
        <v>100154.88</v>
      </c>
      <c r="Z179" s="34">
        <f t="shared" si="175"/>
        <v>57860.000000000007</v>
      </c>
      <c r="AA179" s="48">
        <v>52600</v>
      </c>
      <c r="AB179" s="36"/>
      <c r="AC179" s="204">
        <f t="shared" si="183"/>
        <v>0</v>
      </c>
      <c r="AD179" s="152">
        <v>7.8E-2</v>
      </c>
      <c r="AE179" s="31">
        <f t="shared" ref="AE179:AE180" si="188">4825*(P179+S179)</f>
        <v>24125</v>
      </c>
      <c r="AF179" s="28">
        <f t="shared" si="177"/>
        <v>0.16604744525547444</v>
      </c>
      <c r="AG179" s="34">
        <f t="shared" si="178"/>
        <v>45497.029999999992</v>
      </c>
      <c r="AH179" s="34">
        <f t="shared" si="179"/>
        <v>12834.808999999999</v>
      </c>
      <c r="AI179" s="34">
        <f t="shared" si="180"/>
        <v>115513.28099999999</v>
      </c>
      <c r="AJ179" s="46">
        <f t="shared" si="181"/>
        <v>57653.280999999981</v>
      </c>
      <c r="AK179" s="40">
        <v>81</v>
      </c>
      <c r="AL179" s="41">
        <f t="shared" si="182"/>
        <v>104.328</v>
      </c>
      <c r="AM179" s="36">
        <v>12455</v>
      </c>
      <c r="AN179" s="284">
        <v>72</v>
      </c>
      <c r="AO179" s="26"/>
      <c r="AP179" s="26"/>
      <c r="AQ179" s="27"/>
      <c r="AR179" s="27"/>
      <c r="AS179" s="27"/>
      <c r="AT179" s="27"/>
      <c r="AU179" s="27"/>
      <c r="AV179" s="27"/>
      <c r="AW179" s="26"/>
      <c r="AX179" s="26"/>
      <c r="AY179" s="26"/>
      <c r="AZ179" s="26"/>
      <c r="BA179" s="26"/>
      <c r="BB179" s="26"/>
      <c r="BC179" s="26"/>
      <c r="BD179" s="26"/>
      <c r="BE179" s="26"/>
      <c r="BF179" s="26"/>
      <c r="BG179" s="26"/>
      <c r="BH179" s="26"/>
      <c r="BI179" s="26"/>
    </row>
    <row r="180" spans="1:61" ht="28.5" customHeight="1">
      <c r="A180" s="26"/>
      <c r="B180" s="324"/>
      <c r="C180" s="42" t="s">
        <v>116</v>
      </c>
      <c r="D180" s="28">
        <f t="shared" si="166"/>
        <v>0.26673677248677241</v>
      </c>
      <c r="E180" s="201">
        <v>0.42499999999999999</v>
      </c>
      <c r="F180" s="30">
        <f t="shared" si="167"/>
        <v>0.15826322751322755</v>
      </c>
      <c r="G180" s="30">
        <f t="shared" si="168"/>
        <v>4.5977011494252873E-2</v>
      </c>
      <c r="H180" s="48"/>
      <c r="I180" s="48"/>
      <c r="J180" s="48"/>
      <c r="K180" s="210"/>
      <c r="L180" s="210"/>
      <c r="M180" s="210"/>
      <c r="N180" s="36"/>
      <c r="O180" s="36">
        <v>7</v>
      </c>
      <c r="P180" s="31">
        <f t="shared" si="169"/>
        <v>7</v>
      </c>
      <c r="Q180" s="36"/>
      <c r="R180" s="167">
        <v>4</v>
      </c>
      <c r="S180" s="36"/>
      <c r="T180" s="34">
        <f t="shared" si="170"/>
        <v>453600</v>
      </c>
      <c r="U180" s="31">
        <f t="shared" si="171"/>
        <v>0</v>
      </c>
      <c r="V180" s="34">
        <f t="shared" si="172"/>
        <v>453600</v>
      </c>
      <c r="W180" s="43">
        <v>64800</v>
      </c>
      <c r="X180" s="34">
        <f t="shared" si="173"/>
        <v>25224.192000000003</v>
      </c>
      <c r="Y180" s="34">
        <f t="shared" si="174"/>
        <v>176569.34400000001</v>
      </c>
      <c r="Z180" s="34">
        <f t="shared" si="175"/>
        <v>71788.200000000012</v>
      </c>
      <c r="AA180" s="48">
        <v>65262</v>
      </c>
      <c r="AB180" s="36"/>
      <c r="AC180" s="204">
        <f t="shared" si="183"/>
        <v>0</v>
      </c>
      <c r="AD180" s="152">
        <v>7.8E-2</v>
      </c>
      <c r="AE180" s="31">
        <f t="shared" si="188"/>
        <v>33775</v>
      </c>
      <c r="AF180" s="28">
        <f t="shared" si="177"/>
        <v>0.15245987654320986</v>
      </c>
      <c r="AG180" s="34">
        <f t="shared" si="178"/>
        <v>69155.829999999987</v>
      </c>
      <c r="AH180" s="34">
        <f t="shared" si="179"/>
        <v>20787.482599999999</v>
      </c>
      <c r="AI180" s="34">
        <f t="shared" si="180"/>
        <v>187087.34340000001</v>
      </c>
      <c r="AJ180" s="46">
        <f t="shared" si="181"/>
        <v>115299.1434</v>
      </c>
      <c r="AK180" s="40">
        <v>102</v>
      </c>
      <c r="AL180" s="41">
        <f t="shared" si="182"/>
        <v>131.376</v>
      </c>
      <c r="AM180" s="36">
        <v>28609</v>
      </c>
      <c r="AN180" s="284">
        <v>87</v>
      </c>
      <c r="AO180" s="26"/>
      <c r="AP180" s="26"/>
      <c r="AQ180" s="27"/>
      <c r="AR180" s="27"/>
      <c r="AS180" s="27"/>
      <c r="AT180" s="27"/>
      <c r="AU180" s="27"/>
      <c r="AV180" s="27"/>
      <c r="AW180" s="26"/>
      <c r="AX180" s="26"/>
      <c r="AY180" s="26"/>
      <c r="AZ180" s="26"/>
      <c r="BA180" s="26"/>
      <c r="BB180" s="26"/>
      <c r="BC180" s="26"/>
      <c r="BD180" s="26"/>
      <c r="BE180" s="26"/>
      <c r="BF180" s="26"/>
      <c r="BG180" s="26"/>
      <c r="BH180" s="26"/>
      <c r="BI180" s="26"/>
    </row>
    <row r="181" spans="1:61" ht="28.5" customHeight="1">
      <c r="A181" s="26"/>
      <c r="B181" s="200"/>
      <c r="C181" s="42" t="s">
        <v>117</v>
      </c>
      <c r="D181" s="28">
        <f t="shared" si="166"/>
        <v>0.40606410256410258</v>
      </c>
      <c r="E181" s="297">
        <v>0.53900000000000003</v>
      </c>
      <c r="F181" s="30">
        <f t="shared" si="167"/>
        <v>0.13293589743589745</v>
      </c>
      <c r="G181" s="30">
        <f t="shared" si="168"/>
        <v>3.5606060606060606E-2</v>
      </c>
      <c r="H181" s="48"/>
      <c r="I181" s="48"/>
      <c r="J181" s="48"/>
      <c r="K181" s="210"/>
      <c r="L181" s="210"/>
      <c r="M181" s="210"/>
      <c r="N181" s="36"/>
      <c r="O181" s="36">
        <v>91</v>
      </c>
      <c r="P181" s="31">
        <f t="shared" si="169"/>
        <v>91</v>
      </c>
      <c r="Q181" s="36">
        <v>14</v>
      </c>
      <c r="R181" s="167">
        <v>47</v>
      </c>
      <c r="S181" s="36"/>
      <c r="T181" s="34">
        <f t="shared" si="170"/>
        <v>1801800</v>
      </c>
      <c r="U181" s="31">
        <f t="shared" si="171"/>
        <v>0</v>
      </c>
      <c r="V181" s="34">
        <f t="shared" si="172"/>
        <v>1801800</v>
      </c>
      <c r="W181" s="43">
        <v>19800</v>
      </c>
      <c r="X181" s="34">
        <f t="shared" si="173"/>
        <v>4451.3280000000004</v>
      </c>
      <c r="Y181" s="34">
        <f t="shared" si="174"/>
        <v>405070.84800000006</v>
      </c>
      <c r="Z181" s="34">
        <f t="shared" si="175"/>
        <v>207183.90000000002</v>
      </c>
      <c r="AA181" s="48">
        <v>188349</v>
      </c>
      <c r="AB181" s="36"/>
      <c r="AC181" s="204">
        <f t="shared" si="183"/>
        <v>32340</v>
      </c>
      <c r="AD181" s="152">
        <v>7.8E-2</v>
      </c>
      <c r="AE181" s="31">
        <f t="shared" ref="AE181:AE183" si="189">1900*(P181+S181)</f>
        <v>172900</v>
      </c>
      <c r="AF181" s="28">
        <f t="shared" si="177"/>
        <v>0.17395959595959595</v>
      </c>
      <c r="AG181" s="34">
        <f t="shared" si="178"/>
        <v>313440.43</v>
      </c>
      <c r="AH181" s="34">
        <f t="shared" si="179"/>
        <v>108328.8722</v>
      </c>
      <c r="AI181" s="34">
        <f t="shared" si="180"/>
        <v>974959.84979999997</v>
      </c>
      <c r="AJ181" s="46">
        <f t="shared" si="181"/>
        <v>767775.94979999994</v>
      </c>
      <c r="AK181" s="40">
        <v>18</v>
      </c>
      <c r="AL181" s="41">
        <f t="shared" si="182"/>
        <v>23.184000000000001</v>
      </c>
      <c r="AM181" s="36">
        <v>284932</v>
      </c>
      <c r="AN181" s="284">
        <v>1320</v>
      </c>
      <c r="AO181" s="26"/>
      <c r="AP181" s="26"/>
      <c r="AQ181" s="27"/>
      <c r="AR181" s="27"/>
      <c r="AS181" s="27"/>
      <c r="AT181" s="27"/>
      <c r="AU181" s="27"/>
      <c r="AV181" s="27"/>
      <c r="AW181" s="26"/>
      <c r="AX181" s="26"/>
      <c r="AY181" s="26"/>
      <c r="AZ181" s="26"/>
      <c r="BA181" s="26"/>
      <c r="BB181" s="26"/>
      <c r="BC181" s="26"/>
      <c r="BD181" s="26"/>
      <c r="BE181" s="26"/>
      <c r="BF181" s="26"/>
      <c r="BG181" s="26"/>
      <c r="BH181" s="26"/>
      <c r="BI181" s="26"/>
    </row>
    <row r="182" spans="1:61" ht="28.5" customHeight="1">
      <c r="A182" s="26"/>
      <c r="B182" s="200"/>
      <c r="C182" s="42" t="s">
        <v>31</v>
      </c>
      <c r="D182" s="28">
        <f t="shared" si="166"/>
        <v>0.18881481481481477</v>
      </c>
      <c r="E182" s="297">
        <v>0.40699999999999997</v>
      </c>
      <c r="F182" s="30">
        <f t="shared" si="167"/>
        <v>0.2181851851851852</v>
      </c>
      <c r="G182" s="30">
        <f t="shared" si="168"/>
        <v>9.0909090909090912E-2</v>
      </c>
      <c r="H182" s="48"/>
      <c r="I182" s="48"/>
      <c r="J182" s="48"/>
      <c r="K182" s="210"/>
      <c r="L182" s="210"/>
      <c r="M182" s="210"/>
      <c r="N182" s="36"/>
      <c r="O182" s="36">
        <v>10</v>
      </c>
      <c r="P182" s="31">
        <f t="shared" si="169"/>
        <v>3</v>
      </c>
      <c r="Q182" s="36"/>
      <c r="R182" s="167">
        <v>2</v>
      </c>
      <c r="S182" s="36">
        <v>7</v>
      </c>
      <c r="T182" s="34">
        <f t="shared" si="170"/>
        <v>198000</v>
      </c>
      <c r="U182" s="31">
        <f t="shared" si="171"/>
        <v>138600</v>
      </c>
      <c r="V182" s="34">
        <f t="shared" si="172"/>
        <v>59400</v>
      </c>
      <c r="W182" s="43">
        <v>19800</v>
      </c>
      <c r="X182" s="34">
        <f t="shared" si="173"/>
        <v>7418.88</v>
      </c>
      <c r="Y182" s="34">
        <f t="shared" si="174"/>
        <v>22256.639999999999</v>
      </c>
      <c r="Z182" s="34">
        <f t="shared" si="175"/>
        <v>12960.2</v>
      </c>
      <c r="AA182" s="48">
        <v>11782</v>
      </c>
      <c r="AB182" s="286">
        <f>((19800*0.1)+(19800*0.015)+2100+2200)*7</f>
        <v>46039</v>
      </c>
      <c r="AC182" s="204">
        <f t="shared" si="183"/>
        <v>0</v>
      </c>
      <c r="AD182" s="152">
        <v>0.08</v>
      </c>
      <c r="AE182" s="31">
        <f t="shared" si="189"/>
        <v>19000</v>
      </c>
      <c r="AF182" s="28">
        <f t="shared" si="177"/>
        <v>0.39986531986531987</v>
      </c>
      <c r="AG182" s="34">
        <f t="shared" si="178"/>
        <v>23752.03</v>
      </c>
      <c r="AH182" s="34">
        <f t="shared" si="179"/>
        <v>1339.1329999999998</v>
      </c>
      <c r="AI182" s="34">
        <f t="shared" si="180"/>
        <v>12052.197</v>
      </c>
      <c r="AJ182" s="46">
        <f t="shared" si="181"/>
        <v>-908.00300000000061</v>
      </c>
      <c r="AK182" s="40">
        <v>30</v>
      </c>
      <c r="AL182" s="41">
        <f t="shared" si="182"/>
        <v>38.64</v>
      </c>
      <c r="AM182" s="36">
        <v>12925</v>
      </c>
      <c r="AN182" s="284">
        <v>22</v>
      </c>
      <c r="AO182" s="26"/>
      <c r="AP182" s="26"/>
      <c r="AQ182" s="27"/>
      <c r="AR182" s="27"/>
      <c r="AS182" s="27"/>
      <c r="AT182" s="27"/>
      <c r="AU182" s="27"/>
      <c r="AV182" s="27"/>
      <c r="AW182" s="26"/>
      <c r="AX182" s="26"/>
      <c r="AY182" s="26"/>
      <c r="AZ182" s="26"/>
      <c r="BA182" s="26"/>
      <c r="BB182" s="26"/>
      <c r="BC182" s="26"/>
      <c r="BD182" s="26"/>
      <c r="BE182" s="26"/>
      <c r="BF182" s="26"/>
      <c r="BG182" s="26"/>
      <c r="BH182" s="26"/>
      <c r="BI182" s="26"/>
    </row>
    <row r="183" spans="1:61" ht="28.5" customHeight="1">
      <c r="A183" s="26"/>
      <c r="B183" s="200"/>
      <c r="C183" s="42" t="s">
        <v>118</v>
      </c>
      <c r="D183" s="28" t="e">
        <f t="shared" si="166"/>
        <v>#DIV/0!</v>
      </c>
      <c r="E183" s="297">
        <v>0.36799999999999999</v>
      </c>
      <c r="F183" s="30" t="e">
        <f t="shared" si="167"/>
        <v>#DIV/0!</v>
      </c>
      <c r="G183" s="30" t="e">
        <f t="shared" si="168"/>
        <v>#DIV/0!</v>
      </c>
      <c r="H183" s="48"/>
      <c r="I183" s="48"/>
      <c r="J183" s="48"/>
      <c r="K183" s="210"/>
      <c r="L183" s="210"/>
      <c r="M183" s="210"/>
      <c r="N183" s="36"/>
      <c r="O183" s="36">
        <v>0</v>
      </c>
      <c r="P183" s="31">
        <f t="shared" si="169"/>
        <v>0</v>
      </c>
      <c r="Q183" s="36"/>
      <c r="R183" s="167">
        <v>0</v>
      </c>
      <c r="S183" s="36"/>
      <c r="T183" s="34">
        <f t="shared" si="170"/>
        <v>0</v>
      </c>
      <c r="U183" s="31">
        <f t="shared" si="171"/>
        <v>0</v>
      </c>
      <c r="V183" s="34">
        <f t="shared" si="172"/>
        <v>0</v>
      </c>
      <c r="W183" s="43">
        <v>24800</v>
      </c>
      <c r="X183" s="34">
        <f t="shared" si="173"/>
        <v>10386.432000000001</v>
      </c>
      <c r="Y183" s="34">
        <f t="shared" si="174"/>
        <v>0</v>
      </c>
      <c r="Z183" s="34">
        <f t="shared" si="175"/>
        <v>0</v>
      </c>
      <c r="AA183" s="48">
        <v>0</v>
      </c>
      <c r="AB183" s="36"/>
      <c r="AC183" s="204">
        <f t="shared" si="183"/>
        <v>0</v>
      </c>
      <c r="AD183" s="152">
        <v>0.1</v>
      </c>
      <c r="AE183" s="31">
        <f t="shared" si="189"/>
        <v>0</v>
      </c>
      <c r="AF183" s="28" t="e">
        <f t="shared" si="177"/>
        <v>#DIV/0!</v>
      </c>
      <c r="AG183" s="34" t="e">
        <f t="shared" si="178"/>
        <v>#DIV/0!</v>
      </c>
      <c r="AH183" s="34" t="e">
        <f t="shared" si="179"/>
        <v>#DIV/0!</v>
      </c>
      <c r="AI183" s="34" t="e">
        <f t="shared" si="180"/>
        <v>#DIV/0!</v>
      </c>
      <c r="AJ183" s="46" t="e">
        <f t="shared" si="181"/>
        <v>#DIV/0!</v>
      </c>
      <c r="AK183" s="40">
        <v>42</v>
      </c>
      <c r="AL183" s="41">
        <f t="shared" si="182"/>
        <v>54.096000000000004</v>
      </c>
      <c r="AM183" s="36">
        <v>0</v>
      </c>
      <c r="AN183" s="284"/>
      <c r="AO183" s="26"/>
      <c r="AP183" s="26"/>
      <c r="AQ183" s="27"/>
      <c r="AR183" s="27"/>
      <c r="AS183" s="27"/>
      <c r="AT183" s="27"/>
      <c r="AU183" s="27"/>
      <c r="AV183" s="27"/>
      <c r="AW183" s="26"/>
      <c r="AX183" s="26"/>
      <c r="AY183" s="26"/>
      <c r="AZ183" s="26"/>
      <c r="BA183" s="26"/>
      <c r="BB183" s="26"/>
      <c r="BC183" s="26"/>
      <c r="BD183" s="26"/>
      <c r="BE183" s="26"/>
      <c r="BF183" s="26"/>
      <c r="BG183" s="26"/>
      <c r="BH183" s="26"/>
      <c r="BI183" s="26"/>
    </row>
    <row r="184" spans="1:61" ht="27" customHeight="1">
      <c r="A184" s="26"/>
      <c r="B184" s="200"/>
      <c r="C184" s="42" t="s">
        <v>119</v>
      </c>
      <c r="D184" s="28">
        <f t="shared" si="166"/>
        <v>0.29342562724014332</v>
      </c>
      <c r="E184" s="201">
        <v>0.41</v>
      </c>
      <c r="F184" s="30">
        <f t="shared" si="167"/>
        <v>0.11657437275985663</v>
      </c>
      <c r="G184" s="30">
        <f t="shared" si="168"/>
        <v>0.10416666666666667</v>
      </c>
      <c r="H184" s="48"/>
      <c r="I184" s="48"/>
      <c r="J184" s="48"/>
      <c r="K184" s="210"/>
      <c r="L184" s="210"/>
      <c r="M184" s="210"/>
      <c r="N184" s="36"/>
      <c r="O184" s="36">
        <v>9</v>
      </c>
      <c r="P184" s="31">
        <f t="shared" si="169"/>
        <v>9</v>
      </c>
      <c r="Q184" s="36">
        <v>3</v>
      </c>
      <c r="R184" s="167">
        <v>5</v>
      </c>
      <c r="S184" s="36"/>
      <c r="T184" s="34">
        <f t="shared" si="170"/>
        <v>223200</v>
      </c>
      <c r="U184" s="31">
        <f t="shared" si="171"/>
        <v>0</v>
      </c>
      <c r="V184" s="34">
        <f t="shared" si="172"/>
        <v>223200</v>
      </c>
      <c r="W184" s="43">
        <v>24800</v>
      </c>
      <c r="X184" s="34">
        <f t="shared" si="173"/>
        <v>7666.1760000000013</v>
      </c>
      <c r="Y184" s="34">
        <f t="shared" si="174"/>
        <v>68995.584000000017</v>
      </c>
      <c r="Z184" s="34">
        <f t="shared" si="175"/>
        <v>19089.400000000001</v>
      </c>
      <c r="AA184" s="48">
        <v>17354</v>
      </c>
      <c r="AB184" s="36"/>
      <c r="AC184" s="204">
        <f t="shared" si="183"/>
        <v>6930</v>
      </c>
      <c r="AD184" s="152">
        <v>0.108</v>
      </c>
      <c r="AE184" s="31">
        <f>3150*(P184+S184)</f>
        <v>28350</v>
      </c>
      <c r="AF184" s="28">
        <f t="shared" si="177"/>
        <v>0.23501612903225805</v>
      </c>
      <c r="AG184" s="34">
        <f t="shared" si="178"/>
        <v>52455.63</v>
      </c>
      <c r="AH184" s="34">
        <f t="shared" si="179"/>
        <v>10174.878599999998</v>
      </c>
      <c r="AI184" s="34">
        <f t="shared" si="180"/>
        <v>91573.907399999996</v>
      </c>
      <c r="AJ184" s="46">
        <f t="shared" si="181"/>
        <v>72484.507400000002</v>
      </c>
      <c r="AK184" s="40">
        <v>31</v>
      </c>
      <c r="AL184" s="41">
        <f t="shared" si="182"/>
        <v>39.928000000000004</v>
      </c>
      <c r="AM184" s="36">
        <v>6358</v>
      </c>
      <c r="AN184" s="284">
        <v>48</v>
      </c>
      <c r="AO184" s="26"/>
      <c r="AP184" s="26"/>
      <c r="AQ184" s="27"/>
      <c r="AR184" s="27"/>
      <c r="AS184" s="27"/>
      <c r="AT184" s="27"/>
      <c r="AU184" s="27"/>
      <c r="AV184" s="27"/>
      <c r="AW184" s="26"/>
      <c r="AX184" s="26"/>
      <c r="AY184" s="26"/>
      <c r="AZ184" s="26"/>
      <c r="BA184" s="26"/>
      <c r="BB184" s="26"/>
      <c r="BC184" s="26"/>
      <c r="BD184" s="26"/>
      <c r="BE184" s="26"/>
      <c r="BF184" s="26"/>
      <c r="BG184" s="26"/>
      <c r="BH184" s="26"/>
      <c r="BI184" s="26"/>
    </row>
    <row r="185" spans="1:61" ht="28.5" customHeight="1">
      <c r="A185" s="26"/>
      <c r="B185" s="200"/>
      <c r="C185" s="239" t="s">
        <v>120</v>
      </c>
      <c r="D185" s="28" t="e">
        <f t="shared" si="166"/>
        <v>#DIV/0!</v>
      </c>
      <c r="E185" s="201">
        <v>0.376</v>
      </c>
      <c r="F185" s="30" t="e">
        <f t="shared" si="167"/>
        <v>#DIV/0!</v>
      </c>
      <c r="G185" s="30">
        <f t="shared" si="168"/>
        <v>0</v>
      </c>
      <c r="H185" s="48"/>
      <c r="I185" s="48"/>
      <c r="J185" s="48"/>
      <c r="K185" s="210"/>
      <c r="L185" s="210"/>
      <c r="M185" s="210"/>
      <c r="N185" s="36"/>
      <c r="O185" s="36">
        <v>0</v>
      </c>
      <c r="P185" s="31">
        <f t="shared" si="169"/>
        <v>0</v>
      </c>
      <c r="Q185" s="36">
        <v>1</v>
      </c>
      <c r="R185" s="167"/>
      <c r="S185" s="36"/>
      <c r="T185" s="34">
        <f t="shared" si="170"/>
        <v>0</v>
      </c>
      <c r="U185" s="31">
        <f t="shared" si="171"/>
        <v>0</v>
      </c>
      <c r="V185" s="34">
        <f t="shared" si="172"/>
        <v>0</v>
      </c>
      <c r="W185" s="43">
        <v>39800</v>
      </c>
      <c r="X185" s="34">
        <f t="shared" si="173"/>
        <v>7666.1760000000013</v>
      </c>
      <c r="Y185" s="34">
        <f t="shared" si="174"/>
        <v>0</v>
      </c>
      <c r="Z185" s="34">
        <f t="shared" si="175"/>
        <v>31658.000000000004</v>
      </c>
      <c r="AA185" s="48">
        <v>28780</v>
      </c>
      <c r="AB185" s="286"/>
      <c r="AC185" s="204">
        <f t="shared" si="183"/>
        <v>2310</v>
      </c>
      <c r="AD185" s="152">
        <v>0.108</v>
      </c>
      <c r="AE185" s="31">
        <f>3550*(P185+S185)</f>
        <v>0</v>
      </c>
      <c r="AF185" s="28" t="e">
        <f t="shared" si="177"/>
        <v>#DIV/0!</v>
      </c>
      <c r="AG185" s="34" t="e">
        <f t="shared" si="178"/>
        <v>#DIV/0!</v>
      </c>
      <c r="AH185" s="34" t="e">
        <f t="shared" si="179"/>
        <v>#DIV/0!</v>
      </c>
      <c r="AI185" s="34" t="e">
        <f t="shared" si="180"/>
        <v>#DIV/0!</v>
      </c>
      <c r="AJ185" s="46" t="e">
        <f t="shared" si="181"/>
        <v>#DIV/0!</v>
      </c>
      <c r="AK185" s="40">
        <v>31</v>
      </c>
      <c r="AL185" s="41">
        <f t="shared" si="182"/>
        <v>39.928000000000004</v>
      </c>
      <c r="AM185" s="36">
        <v>7590</v>
      </c>
      <c r="AN185" s="284">
        <v>44</v>
      </c>
      <c r="AO185" s="26"/>
      <c r="AP185" s="26"/>
      <c r="AQ185" s="27"/>
      <c r="AR185" s="27"/>
      <c r="AS185" s="27"/>
      <c r="AT185" s="27"/>
      <c r="AU185" s="27"/>
      <c r="AV185" s="27"/>
      <c r="AW185" s="26"/>
      <c r="AX185" s="26"/>
      <c r="AY185" s="26"/>
      <c r="AZ185" s="26"/>
      <c r="BA185" s="26"/>
      <c r="BB185" s="26"/>
      <c r="BC185" s="26"/>
      <c r="BD185" s="26"/>
      <c r="BE185" s="26"/>
      <c r="BF185" s="26"/>
      <c r="BG185" s="26"/>
      <c r="BH185" s="26"/>
      <c r="BI185" s="26"/>
    </row>
    <row r="186" spans="1:61" ht="28.5" customHeight="1">
      <c r="A186" s="26"/>
      <c r="B186" s="216"/>
      <c r="C186" s="217"/>
      <c r="D186" s="298">
        <f>AJ186/V186</f>
        <v>0.12847623598283622</v>
      </c>
      <c r="E186" s="298">
        <f>AI186/V186</f>
        <v>0.39067115365022625</v>
      </c>
      <c r="F186" s="52">
        <f>(Z186)/V186</f>
        <v>0.22942381901554357</v>
      </c>
      <c r="G186" s="219"/>
      <c r="H186" s="55"/>
      <c r="I186" s="55"/>
      <c r="J186" s="55"/>
      <c r="K186" s="55"/>
      <c r="L186" s="55"/>
      <c r="M186" s="55"/>
      <c r="N186" s="130"/>
      <c r="O186" s="130">
        <f t="shared" ref="O186:V186" si="190">SUM(O163:O185)</f>
        <v>397</v>
      </c>
      <c r="P186" s="130">
        <f t="shared" si="190"/>
        <v>368</v>
      </c>
      <c r="Q186" s="130">
        <f t="shared" si="190"/>
        <v>59</v>
      </c>
      <c r="R186" s="130">
        <f t="shared" si="190"/>
        <v>258</v>
      </c>
      <c r="S186" s="130">
        <f t="shared" si="190"/>
        <v>29</v>
      </c>
      <c r="T186" s="130">
        <f t="shared" si="190"/>
        <v>10940960</v>
      </c>
      <c r="U186" s="130">
        <f t="shared" si="190"/>
        <v>756660</v>
      </c>
      <c r="V186" s="130">
        <f t="shared" si="190"/>
        <v>10184300</v>
      </c>
      <c r="W186" s="55"/>
      <c r="X186" s="130">
        <f t="shared" ref="X186:AC186" si="191">SUM(X163:X185)</f>
        <v>338894.43839999987</v>
      </c>
      <c r="Y186" s="130">
        <f t="shared" si="191"/>
        <v>3635671.6032000002</v>
      </c>
      <c r="Z186" s="130">
        <f t="shared" si="191"/>
        <v>2336521.0000000005</v>
      </c>
      <c r="AA186" s="130">
        <f t="shared" si="191"/>
        <v>2124110</v>
      </c>
      <c r="AB186" s="130">
        <f t="shared" si="191"/>
        <v>333750.7</v>
      </c>
      <c r="AC186" s="130">
        <f t="shared" si="191"/>
        <v>133530</v>
      </c>
      <c r="AD186" s="154">
        <v>0.09</v>
      </c>
      <c r="AE186" s="130">
        <f>SUM(AE163:AE185)</f>
        <v>1211250</v>
      </c>
      <c r="AF186" s="53">
        <f t="shared" si="177"/>
        <v>0.20893306363716702</v>
      </c>
      <c r="AG186" s="56">
        <f t="shared" si="178"/>
        <v>2127837.0299999998</v>
      </c>
      <c r="AH186" s="56">
        <f t="shared" si="179"/>
        <v>442079.13668</v>
      </c>
      <c r="AI186" s="56">
        <f t="shared" si="180"/>
        <v>3978712.2301199995</v>
      </c>
      <c r="AJ186" s="46">
        <f>AI186-Z186-AB186</f>
        <v>1308440.5301199991</v>
      </c>
      <c r="AK186" s="54"/>
      <c r="AL186" s="222"/>
      <c r="AM186" s="131">
        <f t="shared" ref="AM186:AN186" si="192">SUM(AM163:AM164)</f>
        <v>375262</v>
      </c>
      <c r="AN186" s="132">
        <f t="shared" si="192"/>
        <v>1403</v>
      </c>
      <c r="AO186" s="26"/>
      <c r="AP186" s="26"/>
      <c r="AQ186" s="27"/>
      <c r="AR186" s="27"/>
      <c r="AS186" s="27"/>
      <c r="AT186" s="27"/>
      <c r="AU186" s="27"/>
      <c r="AV186" s="27"/>
      <c r="AW186" s="26"/>
      <c r="AX186" s="26"/>
      <c r="AY186" s="26"/>
      <c r="AZ186" s="26"/>
      <c r="BA186" s="26"/>
      <c r="BB186" s="26"/>
      <c r="BC186" s="26"/>
      <c r="BD186" s="26"/>
      <c r="BE186" s="26"/>
      <c r="BF186" s="26"/>
      <c r="BG186" s="26"/>
      <c r="BH186" s="26"/>
      <c r="BI186" s="26"/>
    </row>
    <row r="187" spans="1:61" ht="28.5" customHeight="1">
      <c r="A187" s="1"/>
      <c r="B187" s="290"/>
      <c r="C187" s="291"/>
      <c r="D187" s="2"/>
      <c r="E187" s="2"/>
      <c r="F187" s="2"/>
      <c r="G187" s="2"/>
      <c r="H187" s="2"/>
      <c r="I187" s="2"/>
      <c r="J187" s="2"/>
      <c r="K187" s="2"/>
      <c r="L187" s="2"/>
      <c r="M187" s="2"/>
      <c r="N187" s="292"/>
      <c r="O187" s="292"/>
      <c r="P187" s="2"/>
      <c r="Q187" s="2"/>
      <c r="R187" s="2"/>
      <c r="S187" s="293"/>
      <c r="T187" s="2"/>
      <c r="U187" s="2"/>
      <c r="V187" s="2"/>
      <c r="W187" s="2"/>
      <c r="X187" s="2"/>
      <c r="Y187" s="2"/>
      <c r="Z187" s="2"/>
      <c r="AA187" s="2"/>
      <c r="AB187" s="2"/>
      <c r="AC187" s="2"/>
      <c r="AD187" s="2"/>
      <c r="AE187" s="2"/>
      <c r="AF187" s="1"/>
      <c r="AG187" s="1"/>
      <c r="AH187" s="1"/>
      <c r="AI187" s="1"/>
      <c r="AJ187" s="1"/>
      <c r="AK187" s="1"/>
      <c r="AL187" s="1"/>
      <c r="AM187" s="1"/>
      <c r="AN187" s="1"/>
      <c r="AO187" s="1"/>
      <c r="AP187" s="1"/>
      <c r="AQ187" s="1"/>
      <c r="AR187" s="1"/>
      <c r="AS187" s="1"/>
      <c r="AT187" s="7"/>
      <c r="AU187" s="7"/>
      <c r="AV187" s="7"/>
      <c r="AW187" s="47"/>
      <c r="AX187" s="47"/>
      <c r="AY187" s="47"/>
      <c r="AZ187" s="47"/>
      <c r="BA187" s="47"/>
      <c r="BB187" s="47"/>
      <c r="BC187" s="47"/>
      <c r="BD187" s="47"/>
      <c r="BE187" s="47"/>
      <c r="BF187" s="47"/>
      <c r="BG187" s="47"/>
      <c r="BH187" s="47"/>
      <c r="BI187" s="47"/>
    </row>
    <row r="188" spans="1:61" ht="28.5" customHeight="1">
      <c r="A188" s="26"/>
      <c r="B188" s="189"/>
      <c r="C188" s="134">
        <v>45877</v>
      </c>
      <c r="D188" s="190" t="s">
        <v>0</v>
      </c>
      <c r="E188" s="190" t="s">
        <v>1</v>
      </c>
      <c r="F188" s="190" t="s">
        <v>2</v>
      </c>
      <c r="G188" s="190" t="s">
        <v>3</v>
      </c>
      <c r="H188" s="191" t="s">
        <v>4</v>
      </c>
      <c r="I188" s="192" t="s">
        <v>5</v>
      </c>
      <c r="J188" s="192" t="s">
        <v>90</v>
      </c>
      <c r="K188" s="193"/>
      <c r="L188" s="193" t="s">
        <v>6</v>
      </c>
      <c r="M188" s="194" t="s">
        <v>7</v>
      </c>
      <c r="N188" s="123"/>
      <c r="O188" s="123" t="s">
        <v>8</v>
      </c>
      <c r="P188" s="123" t="s">
        <v>9</v>
      </c>
      <c r="Q188" s="15" t="s">
        <v>10</v>
      </c>
      <c r="R188" s="123" t="s">
        <v>92</v>
      </c>
      <c r="S188" s="196" t="s">
        <v>11</v>
      </c>
      <c r="T188" s="17" t="s">
        <v>12</v>
      </c>
      <c r="U188" s="17" t="s">
        <v>13</v>
      </c>
      <c r="V188" s="17" t="s">
        <v>14</v>
      </c>
      <c r="W188" s="17" t="s">
        <v>15</v>
      </c>
      <c r="X188" s="17" t="s">
        <v>16</v>
      </c>
      <c r="Y188" s="17" t="s">
        <v>17</v>
      </c>
      <c r="Z188" s="19" t="s">
        <v>18</v>
      </c>
      <c r="AA188" s="19" t="s">
        <v>19</v>
      </c>
      <c r="AB188" s="20" t="s">
        <v>20</v>
      </c>
      <c r="AC188" s="22" t="s">
        <v>93</v>
      </c>
      <c r="AD188" s="197" t="s">
        <v>21</v>
      </c>
      <c r="AE188" s="21" t="s">
        <v>22</v>
      </c>
      <c r="AF188" s="23" t="s">
        <v>23</v>
      </c>
      <c r="AG188" s="23" t="s">
        <v>21</v>
      </c>
      <c r="AH188" s="23" t="s">
        <v>24</v>
      </c>
      <c r="AI188" s="24" t="s">
        <v>26</v>
      </c>
      <c r="AJ188" s="23" t="s">
        <v>27</v>
      </c>
      <c r="AK188" s="21" t="s">
        <v>147</v>
      </c>
      <c r="AL188" s="282" t="s">
        <v>148</v>
      </c>
      <c r="AM188" s="124" t="s">
        <v>94</v>
      </c>
      <c r="AN188" s="125" t="s">
        <v>95</v>
      </c>
      <c r="AO188" s="26"/>
      <c r="AP188" s="26"/>
      <c r="AQ188" s="27"/>
      <c r="AR188" s="27"/>
      <c r="AS188" s="27"/>
      <c r="AT188" s="27"/>
      <c r="AU188" s="27"/>
      <c r="AV188" s="27"/>
      <c r="AW188" s="26"/>
      <c r="AX188" s="26"/>
      <c r="AY188" s="26"/>
      <c r="AZ188" s="26"/>
      <c r="BA188" s="26"/>
      <c r="BB188" s="26"/>
      <c r="BC188" s="26"/>
      <c r="BD188" s="26"/>
      <c r="BE188" s="26"/>
      <c r="BF188" s="26"/>
      <c r="BG188" s="26"/>
      <c r="BH188" s="26"/>
      <c r="BI188" s="26"/>
    </row>
    <row r="189" spans="1:61" ht="28.5" customHeight="1">
      <c r="A189" s="26"/>
      <c r="B189" s="200"/>
      <c r="C189" s="42" t="s">
        <v>107</v>
      </c>
      <c r="D189" s="28">
        <f t="shared" ref="D189:D211" si="193">E189-F189</f>
        <v>0.1288391701560716</v>
      </c>
      <c r="E189" s="201">
        <v>0.39700000000000002</v>
      </c>
      <c r="F189" s="30">
        <f t="shared" ref="F189:F211" si="194">(Z189+AC189)/V189</f>
        <v>0.26816082984392842</v>
      </c>
      <c r="G189" s="30">
        <f t="shared" ref="G189:G211" si="195">R189/AN189</f>
        <v>8.9312977099236635E-2</v>
      </c>
      <c r="H189" s="48"/>
      <c r="I189" s="48"/>
      <c r="J189" s="48"/>
      <c r="K189" s="48"/>
      <c r="L189" s="48"/>
      <c r="M189" s="48"/>
      <c r="N189" s="36"/>
      <c r="O189" s="36">
        <v>140</v>
      </c>
      <c r="P189" s="31">
        <f t="shared" ref="P189:P211" si="196">O189-S189</f>
        <v>140</v>
      </c>
      <c r="Q189" s="36">
        <v>12</v>
      </c>
      <c r="R189" s="167">
        <v>117</v>
      </c>
      <c r="S189" s="36"/>
      <c r="T189" s="34">
        <f t="shared" ref="T189:T211" si="197">W189*O189</f>
        <v>3677800</v>
      </c>
      <c r="U189" s="31">
        <f t="shared" ref="U189:U211" si="198">W189*S189</f>
        <v>0</v>
      </c>
      <c r="V189" s="34">
        <f t="shared" ref="V189:V211" si="199">T189-U189</f>
        <v>3677800</v>
      </c>
      <c r="W189" s="43">
        <v>26270</v>
      </c>
      <c r="X189" s="34">
        <f t="shared" ref="X189:X211" si="200">AL189*$A$2</f>
        <v>9891.84</v>
      </c>
      <c r="Y189" s="34">
        <f t="shared" ref="Y189:Y211" si="201">X189*P189</f>
        <v>1384857.6000000001</v>
      </c>
      <c r="Z189" s="34">
        <f t="shared" ref="Z189:Z211" si="202">AA189*1.1</f>
        <v>960177.9</v>
      </c>
      <c r="AA189" s="48">
        <v>872889</v>
      </c>
      <c r="AB189" s="36"/>
      <c r="AC189" s="204">
        <f t="shared" ref="AC189:AC190" si="203">(1072+1100)*Q189</f>
        <v>26064</v>
      </c>
      <c r="AD189" s="152">
        <v>0.1</v>
      </c>
      <c r="AE189" s="31">
        <f>3050*(P189+S189)</f>
        <v>427000</v>
      </c>
      <c r="AF189" s="28">
        <f t="shared" ref="AF189:AF212" si="204">AD189+(AE189/V189)</f>
        <v>0.2161020175104682</v>
      </c>
      <c r="AG189" s="34">
        <f t="shared" ref="AG189:AG212" si="205">V189*AF189+3%</f>
        <v>794780.03</v>
      </c>
      <c r="AH189" s="34">
        <f t="shared" ref="AH189:AH212" si="206">(V189)*10%-(Y189+AG189)*10%</f>
        <v>149816.23699999999</v>
      </c>
      <c r="AI189" s="34">
        <f t="shared" ref="AI189:AI212" si="207">V189-(Y189+AG189+AH189)</f>
        <v>1348346.1329999999</v>
      </c>
      <c r="AJ189" s="46">
        <f t="shared" ref="AJ189:AJ211" si="208">AI189-Z189</f>
        <v>388168.23299999989</v>
      </c>
      <c r="AK189" s="40">
        <v>40</v>
      </c>
      <c r="AL189" s="41">
        <f t="shared" ref="AL189:AL211" si="209">(AK189*1.15)*1.12</f>
        <v>51.52</v>
      </c>
      <c r="AM189" s="36">
        <v>323770</v>
      </c>
      <c r="AN189" s="284">
        <v>1310</v>
      </c>
      <c r="AO189" s="26"/>
      <c r="AP189" s="26"/>
      <c r="AQ189" s="27"/>
      <c r="AR189" s="27"/>
      <c r="AS189" s="27"/>
      <c r="AT189" s="27"/>
      <c r="AU189" s="27"/>
      <c r="AV189" s="27"/>
      <c r="AW189" s="26"/>
      <c r="AX189" s="26"/>
      <c r="AY189" s="26"/>
      <c r="AZ189" s="26"/>
      <c r="BA189" s="26"/>
      <c r="BB189" s="26"/>
      <c r="BC189" s="26"/>
      <c r="BD189" s="26"/>
      <c r="BE189" s="26"/>
      <c r="BF189" s="26"/>
      <c r="BG189" s="26"/>
      <c r="BH189" s="26"/>
      <c r="BI189" s="26"/>
    </row>
    <row r="190" spans="1:61" ht="28.5" customHeight="1">
      <c r="A190" s="26"/>
      <c r="B190" s="200"/>
      <c r="C190" s="42" t="s">
        <v>108</v>
      </c>
      <c r="D190" s="28">
        <f t="shared" si="193"/>
        <v>0.35358951965065499</v>
      </c>
      <c r="E190" s="201">
        <v>0.379</v>
      </c>
      <c r="F190" s="30">
        <f t="shared" si="194"/>
        <v>2.5410480349344983E-2</v>
      </c>
      <c r="G190" s="30">
        <f t="shared" si="195"/>
        <v>0.125</v>
      </c>
      <c r="H190" s="48"/>
      <c r="I190" s="48"/>
      <c r="J190" s="48"/>
      <c r="K190" s="210"/>
      <c r="L190" s="210"/>
      <c r="M190" s="210"/>
      <c r="N190" s="36"/>
      <c r="O190" s="36">
        <v>2</v>
      </c>
      <c r="P190" s="31">
        <f t="shared" si="196"/>
        <v>2</v>
      </c>
      <c r="Q190" s="36">
        <v>0</v>
      </c>
      <c r="R190" s="167">
        <v>1</v>
      </c>
      <c r="S190" s="36"/>
      <c r="T190" s="34">
        <f t="shared" si="197"/>
        <v>45800</v>
      </c>
      <c r="U190" s="31">
        <f t="shared" si="198"/>
        <v>0</v>
      </c>
      <c r="V190" s="34">
        <f t="shared" si="199"/>
        <v>45800</v>
      </c>
      <c r="W190" s="43">
        <v>22900</v>
      </c>
      <c r="X190" s="34">
        <f t="shared" si="200"/>
        <v>7913.4719999999998</v>
      </c>
      <c r="Y190" s="34">
        <f t="shared" si="201"/>
        <v>15826.944</v>
      </c>
      <c r="Z190" s="34">
        <f t="shared" si="202"/>
        <v>1163.8000000000002</v>
      </c>
      <c r="AA190" s="48">
        <v>1058</v>
      </c>
      <c r="AB190" s="36"/>
      <c r="AC190" s="204">
        <f t="shared" si="203"/>
        <v>0</v>
      </c>
      <c r="AD190" s="152">
        <v>0.1</v>
      </c>
      <c r="AE190" s="31">
        <f>2950*(P190+S190)</f>
        <v>5900</v>
      </c>
      <c r="AF190" s="28">
        <f t="shared" si="204"/>
        <v>0.22882096069868996</v>
      </c>
      <c r="AG190" s="34">
        <f t="shared" si="205"/>
        <v>10480.030000000001</v>
      </c>
      <c r="AH190" s="34">
        <f t="shared" si="206"/>
        <v>1949.3025999999995</v>
      </c>
      <c r="AI190" s="34">
        <f t="shared" si="207"/>
        <v>17543.723399999999</v>
      </c>
      <c r="AJ190" s="46">
        <f t="shared" si="208"/>
        <v>16379.9234</v>
      </c>
      <c r="AK190" s="40">
        <v>32</v>
      </c>
      <c r="AL190" s="41">
        <f t="shared" si="209"/>
        <v>41.216000000000001</v>
      </c>
      <c r="AM190" s="36">
        <v>14338</v>
      </c>
      <c r="AN190" s="284">
        <v>8</v>
      </c>
      <c r="AO190" s="26"/>
      <c r="AP190" s="26"/>
      <c r="AQ190" s="27"/>
      <c r="AR190" s="27"/>
      <c r="AS190" s="27"/>
      <c r="AT190" s="27"/>
      <c r="AU190" s="27"/>
      <c r="AV190" s="27"/>
      <c r="AW190" s="26"/>
      <c r="AX190" s="26"/>
      <c r="AY190" s="26"/>
      <c r="AZ190" s="26"/>
      <c r="BA190" s="26"/>
      <c r="BB190" s="26"/>
      <c r="BC190" s="26"/>
      <c r="BD190" s="26"/>
      <c r="BE190" s="26"/>
      <c r="BF190" s="26"/>
      <c r="BG190" s="26"/>
      <c r="BH190" s="26"/>
      <c r="BI190" s="26"/>
    </row>
    <row r="191" spans="1:61" ht="28.5" customHeight="1">
      <c r="A191" s="336"/>
      <c r="B191" s="323"/>
      <c r="C191" s="42" t="s">
        <v>109</v>
      </c>
      <c r="D191" s="28" t="e">
        <f t="shared" si="193"/>
        <v>#DIV/0!</v>
      </c>
      <c r="E191" s="201">
        <v>0.373</v>
      </c>
      <c r="F191" s="30" t="e">
        <f t="shared" si="194"/>
        <v>#DIV/0!</v>
      </c>
      <c r="G191" s="30">
        <f t="shared" si="195"/>
        <v>0</v>
      </c>
      <c r="H191" s="48"/>
      <c r="I191" s="48"/>
      <c r="J191" s="48"/>
      <c r="K191" s="48"/>
      <c r="L191" s="334"/>
      <c r="M191" s="48"/>
      <c r="N191" s="36"/>
      <c r="O191" s="36">
        <v>0</v>
      </c>
      <c r="P191" s="31">
        <f t="shared" si="196"/>
        <v>0</v>
      </c>
      <c r="Q191" s="36">
        <v>1</v>
      </c>
      <c r="R191" s="167">
        <v>0</v>
      </c>
      <c r="S191" s="36"/>
      <c r="T191" s="34">
        <f t="shared" si="197"/>
        <v>0</v>
      </c>
      <c r="U191" s="31">
        <f t="shared" si="198"/>
        <v>0</v>
      </c>
      <c r="V191" s="34">
        <f t="shared" si="199"/>
        <v>0</v>
      </c>
      <c r="W191" s="43">
        <v>44400</v>
      </c>
      <c r="X191" s="34">
        <f t="shared" si="200"/>
        <v>16989.235200000003</v>
      </c>
      <c r="Y191" s="34">
        <f t="shared" si="201"/>
        <v>0</v>
      </c>
      <c r="Z191" s="34">
        <f t="shared" si="202"/>
        <v>10098</v>
      </c>
      <c r="AA191" s="48">
        <v>9180</v>
      </c>
      <c r="AB191" s="36"/>
      <c r="AC191" s="204">
        <f t="shared" ref="AC191:AC211" si="210">(1210+1100)*Q191</f>
        <v>2310</v>
      </c>
      <c r="AD191" s="152">
        <v>0.11</v>
      </c>
      <c r="AE191" s="31">
        <f t="shared" ref="AE191:AE192" si="211">4150*(P191+S191)</f>
        <v>0</v>
      </c>
      <c r="AF191" s="28" t="e">
        <f t="shared" si="204"/>
        <v>#DIV/0!</v>
      </c>
      <c r="AG191" s="34" t="e">
        <f t="shared" si="205"/>
        <v>#DIV/0!</v>
      </c>
      <c r="AH191" s="34" t="e">
        <f t="shared" si="206"/>
        <v>#DIV/0!</v>
      </c>
      <c r="AI191" s="34" t="e">
        <f t="shared" si="207"/>
        <v>#DIV/0!</v>
      </c>
      <c r="AJ191" s="46" t="e">
        <f t="shared" si="208"/>
        <v>#DIV/0!</v>
      </c>
      <c r="AK191" s="40">
        <v>68.7</v>
      </c>
      <c r="AL191" s="41">
        <f t="shared" si="209"/>
        <v>88.485600000000005</v>
      </c>
      <c r="AM191" s="36">
        <v>16511</v>
      </c>
      <c r="AN191" s="284">
        <v>27</v>
      </c>
      <c r="AO191" s="26"/>
      <c r="AP191" s="26"/>
      <c r="AQ191" s="27"/>
      <c r="AR191" s="27"/>
      <c r="AS191" s="27"/>
      <c r="AT191" s="27"/>
      <c r="AU191" s="27"/>
      <c r="AV191" s="27"/>
      <c r="AW191" s="26"/>
      <c r="AX191" s="26"/>
      <c r="AY191" s="26"/>
      <c r="AZ191" s="26"/>
      <c r="BA191" s="26"/>
      <c r="BB191" s="26"/>
      <c r="BC191" s="26"/>
      <c r="BD191" s="26"/>
      <c r="BE191" s="26"/>
      <c r="BF191" s="26"/>
      <c r="BG191" s="26"/>
      <c r="BH191" s="26"/>
      <c r="BI191" s="26"/>
    </row>
    <row r="192" spans="1:61" ht="28.5" customHeight="1">
      <c r="A192" s="311"/>
      <c r="B192" s="324"/>
      <c r="C192" s="42" t="s">
        <v>110</v>
      </c>
      <c r="D192" s="28">
        <f t="shared" si="193"/>
        <v>-5.6235754985755615E-3</v>
      </c>
      <c r="E192" s="201">
        <v>0.29499999999999998</v>
      </c>
      <c r="F192" s="30">
        <f t="shared" si="194"/>
        <v>0.30062357549857555</v>
      </c>
      <c r="G192" s="30">
        <f t="shared" si="195"/>
        <v>3.7499999999999999E-2</v>
      </c>
      <c r="H192" s="48"/>
      <c r="I192" s="48"/>
      <c r="J192" s="48"/>
      <c r="K192" s="48"/>
      <c r="L192" s="310"/>
      <c r="M192" s="48"/>
      <c r="N192" s="36"/>
      <c r="O192" s="36">
        <v>6</v>
      </c>
      <c r="P192" s="31">
        <f t="shared" si="196"/>
        <v>6</v>
      </c>
      <c r="Q192" s="36">
        <v>1</v>
      </c>
      <c r="R192" s="167">
        <v>6</v>
      </c>
      <c r="S192" s="36"/>
      <c r="T192" s="34">
        <f t="shared" si="197"/>
        <v>280800</v>
      </c>
      <c r="U192" s="31">
        <f t="shared" si="198"/>
        <v>0</v>
      </c>
      <c r="V192" s="34">
        <f t="shared" si="199"/>
        <v>280800</v>
      </c>
      <c r="W192" s="43">
        <v>46800</v>
      </c>
      <c r="X192" s="34">
        <f t="shared" si="200"/>
        <v>22182.451200000003</v>
      </c>
      <c r="Y192" s="34">
        <f t="shared" si="201"/>
        <v>133094.7072</v>
      </c>
      <c r="Z192" s="34">
        <f t="shared" si="202"/>
        <v>82105.100000000006</v>
      </c>
      <c r="AA192" s="48">
        <v>74641</v>
      </c>
      <c r="AB192" s="36"/>
      <c r="AC192" s="204">
        <f t="shared" si="210"/>
        <v>2310</v>
      </c>
      <c r="AD192" s="152">
        <v>0.11</v>
      </c>
      <c r="AE192" s="31">
        <f t="shared" si="211"/>
        <v>24900</v>
      </c>
      <c r="AF192" s="28">
        <f t="shared" si="204"/>
        <v>0.19867521367521368</v>
      </c>
      <c r="AG192" s="34">
        <f t="shared" si="205"/>
        <v>55788.03</v>
      </c>
      <c r="AH192" s="34">
        <f t="shared" si="206"/>
        <v>9191.726279999999</v>
      </c>
      <c r="AI192" s="34">
        <f t="shared" si="207"/>
        <v>82725.536519999994</v>
      </c>
      <c r="AJ192" s="46">
        <f t="shared" si="208"/>
        <v>620.43651999998838</v>
      </c>
      <c r="AK192" s="40">
        <v>89.7</v>
      </c>
      <c r="AL192" s="41">
        <f t="shared" si="209"/>
        <v>115.53360000000001</v>
      </c>
      <c r="AM192" s="36">
        <v>73162</v>
      </c>
      <c r="AN192" s="284">
        <v>160</v>
      </c>
      <c r="AO192" s="26"/>
      <c r="AP192" s="26"/>
      <c r="AQ192" s="27"/>
      <c r="AR192" s="27"/>
      <c r="AS192" s="27"/>
      <c r="AT192" s="27"/>
      <c r="AU192" s="27"/>
      <c r="AV192" s="27"/>
      <c r="AW192" s="26"/>
      <c r="AX192" s="26"/>
      <c r="AY192" s="26"/>
      <c r="AZ192" s="26"/>
      <c r="BA192" s="26"/>
      <c r="BB192" s="26"/>
      <c r="BC192" s="26"/>
      <c r="BD192" s="26"/>
      <c r="BE192" s="26"/>
      <c r="BF192" s="26"/>
      <c r="BG192" s="26"/>
      <c r="BH192" s="26"/>
      <c r="BI192" s="26"/>
    </row>
    <row r="193" spans="1:61" ht="28.5" customHeight="1">
      <c r="A193" s="26"/>
      <c r="B193" s="323"/>
      <c r="C193" s="42" t="s">
        <v>32</v>
      </c>
      <c r="D193" s="28">
        <f t="shared" si="193"/>
        <v>-0.10297157190635459</v>
      </c>
      <c r="E193" s="201">
        <v>0.41</v>
      </c>
      <c r="F193" s="30">
        <f t="shared" si="194"/>
        <v>0.51297157190635456</v>
      </c>
      <c r="G193" s="30">
        <f t="shared" si="195"/>
        <v>3.2608695652173912E-2</v>
      </c>
      <c r="H193" s="33"/>
      <c r="I193" s="48"/>
      <c r="J193" s="48"/>
      <c r="K193" s="48"/>
      <c r="L193" s="334"/>
      <c r="M193" s="48"/>
      <c r="N193" s="36"/>
      <c r="O193" s="36">
        <v>9</v>
      </c>
      <c r="P193" s="31">
        <f t="shared" si="196"/>
        <v>4</v>
      </c>
      <c r="Q193" s="36">
        <v>3</v>
      </c>
      <c r="R193" s="167">
        <v>6</v>
      </c>
      <c r="S193" s="36">
        <v>5</v>
      </c>
      <c r="T193" s="34">
        <f t="shared" si="197"/>
        <v>538200</v>
      </c>
      <c r="U193" s="31">
        <f t="shared" si="198"/>
        <v>299000</v>
      </c>
      <c r="V193" s="34">
        <f t="shared" si="199"/>
        <v>239200</v>
      </c>
      <c r="W193" s="43">
        <v>59800</v>
      </c>
      <c r="X193" s="34">
        <f t="shared" si="200"/>
        <v>21143.807999999997</v>
      </c>
      <c r="Y193" s="34">
        <f t="shared" si="201"/>
        <v>84575.231999999989</v>
      </c>
      <c r="Z193" s="34">
        <f t="shared" si="202"/>
        <v>115772.8</v>
      </c>
      <c r="AA193" s="48">
        <v>105248</v>
      </c>
      <c r="AB193" s="287">
        <f>((59800*0.015)+(59800*0.19)+2100+4950)*5</f>
        <v>96545</v>
      </c>
      <c r="AC193" s="204">
        <f t="shared" si="210"/>
        <v>6930</v>
      </c>
      <c r="AD193" s="152">
        <v>0.108</v>
      </c>
      <c r="AE193" s="31">
        <f t="shared" ref="AE193:AE194" si="212">4825*(P193+S193)</f>
        <v>43425</v>
      </c>
      <c r="AF193" s="28">
        <f t="shared" si="204"/>
        <v>0.28954264214046821</v>
      </c>
      <c r="AG193" s="34">
        <f t="shared" si="205"/>
        <v>69258.62999999999</v>
      </c>
      <c r="AH193" s="34">
        <f t="shared" si="206"/>
        <v>8536.6138000000028</v>
      </c>
      <c r="AI193" s="34">
        <f t="shared" si="207"/>
        <v>76829.524200000043</v>
      </c>
      <c r="AJ193" s="46">
        <f t="shared" si="208"/>
        <v>-38943.275799999959</v>
      </c>
      <c r="AK193" s="40">
        <v>85.5</v>
      </c>
      <c r="AL193" s="41">
        <f t="shared" si="209"/>
        <v>110.124</v>
      </c>
      <c r="AM193" s="36">
        <v>29133</v>
      </c>
      <c r="AN193" s="284">
        <v>184</v>
      </c>
      <c r="AO193" s="26"/>
      <c r="AP193" s="26"/>
      <c r="AQ193" s="27"/>
      <c r="AR193" s="27"/>
      <c r="AS193" s="27"/>
      <c r="AT193" s="27"/>
      <c r="AU193" s="27"/>
      <c r="AV193" s="27"/>
      <c r="AW193" s="26"/>
      <c r="AX193" s="26"/>
      <c r="AY193" s="26"/>
      <c r="AZ193" s="26"/>
      <c r="BA193" s="26"/>
      <c r="BB193" s="26"/>
      <c r="BC193" s="26"/>
      <c r="BD193" s="26"/>
      <c r="BE193" s="26"/>
      <c r="BF193" s="26"/>
      <c r="BG193" s="26"/>
      <c r="BH193" s="26"/>
      <c r="BI193" s="26"/>
    </row>
    <row r="194" spans="1:61" ht="28.5" customHeight="1">
      <c r="A194" s="26"/>
      <c r="B194" s="333"/>
      <c r="C194" s="42" t="s">
        <v>33</v>
      </c>
      <c r="D194" s="28">
        <f t="shared" si="193"/>
        <v>0.19967633512783248</v>
      </c>
      <c r="E194" s="201">
        <v>0.40100000000000002</v>
      </c>
      <c r="F194" s="30">
        <f t="shared" si="194"/>
        <v>0.20132366487216755</v>
      </c>
      <c r="G194" s="30">
        <f t="shared" si="195"/>
        <v>2.7027027027027029E-2</v>
      </c>
      <c r="H194" s="48"/>
      <c r="I194" s="48"/>
      <c r="J194" s="48"/>
      <c r="K194" s="48"/>
      <c r="L194" s="310"/>
      <c r="M194" s="48"/>
      <c r="N194" s="36"/>
      <c r="O194" s="36">
        <v>14</v>
      </c>
      <c r="P194" s="31">
        <f t="shared" si="196"/>
        <v>14</v>
      </c>
      <c r="Q194" s="36">
        <v>3</v>
      </c>
      <c r="R194" s="167">
        <v>10</v>
      </c>
      <c r="S194" s="36"/>
      <c r="T194" s="34">
        <f t="shared" si="197"/>
        <v>977060</v>
      </c>
      <c r="U194" s="31">
        <f t="shared" si="198"/>
        <v>0</v>
      </c>
      <c r="V194" s="34">
        <f t="shared" si="199"/>
        <v>977060</v>
      </c>
      <c r="W194" s="43">
        <v>69790</v>
      </c>
      <c r="X194" s="34">
        <f t="shared" si="200"/>
        <v>26337.023999999998</v>
      </c>
      <c r="Y194" s="34">
        <f t="shared" si="201"/>
        <v>368718.33599999995</v>
      </c>
      <c r="Z194" s="34">
        <f t="shared" si="202"/>
        <v>189775.30000000002</v>
      </c>
      <c r="AA194" s="48">
        <v>172523</v>
      </c>
      <c r="AB194" s="36"/>
      <c r="AC194" s="204">
        <f t="shared" si="210"/>
        <v>6930</v>
      </c>
      <c r="AD194" s="152">
        <v>0.108</v>
      </c>
      <c r="AE194" s="31">
        <f t="shared" si="212"/>
        <v>67550</v>
      </c>
      <c r="AF194" s="28">
        <f t="shared" si="204"/>
        <v>0.17713597936667144</v>
      </c>
      <c r="AG194" s="34">
        <f t="shared" si="205"/>
        <v>173072.51</v>
      </c>
      <c r="AH194" s="34">
        <f t="shared" si="206"/>
        <v>43526.915400000005</v>
      </c>
      <c r="AI194" s="34">
        <f t="shared" si="207"/>
        <v>391742.23860000004</v>
      </c>
      <c r="AJ194" s="46">
        <f t="shared" si="208"/>
        <v>201966.93860000002</v>
      </c>
      <c r="AK194" s="40">
        <v>106.5</v>
      </c>
      <c r="AL194" s="41">
        <f t="shared" si="209"/>
        <v>137.172</v>
      </c>
      <c r="AM194" s="36">
        <v>77550</v>
      </c>
      <c r="AN194" s="284">
        <v>370</v>
      </c>
      <c r="AO194" s="26"/>
      <c r="AP194" s="26"/>
      <c r="AQ194" s="27"/>
      <c r="AR194" s="27"/>
      <c r="AS194" s="27"/>
      <c r="AT194" s="27"/>
      <c r="AU194" s="27"/>
      <c r="AV194" s="27"/>
      <c r="AW194" s="26"/>
      <c r="AX194" s="26"/>
      <c r="AY194" s="26"/>
      <c r="AZ194" s="26"/>
      <c r="BA194" s="26"/>
      <c r="BB194" s="26"/>
      <c r="BC194" s="26"/>
      <c r="BD194" s="26"/>
      <c r="BE194" s="26"/>
      <c r="BF194" s="26"/>
      <c r="BG194" s="26"/>
      <c r="BH194" s="26"/>
      <c r="BI194" s="26"/>
    </row>
    <row r="195" spans="1:61" ht="28.5" customHeight="1">
      <c r="A195" s="26"/>
      <c r="B195" s="333"/>
      <c r="C195" s="42" t="s">
        <v>149</v>
      </c>
      <c r="D195" s="28" t="e">
        <f t="shared" si="193"/>
        <v>#DIV/0!</v>
      </c>
      <c r="E195" s="201">
        <v>0.40100000000000002</v>
      </c>
      <c r="F195" s="30" t="e">
        <f t="shared" si="194"/>
        <v>#DIV/0!</v>
      </c>
      <c r="G195" s="30">
        <f t="shared" si="195"/>
        <v>2.2222222222222223E-2</v>
      </c>
      <c r="H195" s="48"/>
      <c r="I195" s="48"/>
      <c r="J195" s="48"/>
      <c r="K195" s="48"/>
      <c r="L195" s="334"/>
      <c r="M195" s="48"/>
      <c r="N195" s="36"/>
      <c r="O195" s="36">
        <v>0</v>
      </c>
      <c r="P195" s="31">
        <f t="shared" si="196"/>
        <v>0</v>
      </c>
      <c r="Q195" s="36">
        <v>1</v>
      </c>
      <c r="R195" s="167">
        <v>2</v>
      </c>
      <c r="S195" s="36"/>
      <c r="T195" s="34">
        <f t="shared" si="197"/>
        <v>0</v>
      </c>
      <c r="U195" s="31">
        <f t="shared" si="198"/>
        <v>0</v>
      </c>
      <c r="V195" s="34">
        <f t="shared" si="199"/>
        <v>0</v>
      </c>
      <c r="W195" s="43">
        <v>96690</v>
      </c>
      <c r="X195" s="34">
        <f t="shared" si="200"/>
        <v>36723.455999999998</v>
      </c>
      <c r="Y195" s="34">
        <f t="shared" si="201"/>
        <v>0</v>
      </c>
      <c r="Z195" s="34">
        <f t="shared" si="202"/>
        <v>69573.900000000009</v>
      </c>
      <c r="AA195" s="48">
        <v>63249</v>
      </c>
      <c r="AB195" s="36"/>
      <c r="AC195" s="204">
        <f t="shared" si="210"/>
        <v>2310</v>
      </c>
      <c r="AD195" s="152">
        <v>0.108</v>
      </c>
      <c r="AE195" s="31">
        <f t="shared" ref="AE195:AE196" si="213">6200*(P195+S195)</f>
        <v>0</v>
      </c>
      <c r="AF195" s="28" t="e">
        <f t="shared" si="204"/>
        <v>#DIV/0!</v>
      </c>
      <c r="AG195" s="34" t="e">
        <f t="shared" si="205"/>
        <v>#DIV/0!</v>
      </c>
      <c r="AH195" s="34" t="e">
        <f t="shared" si="206"/>
        <v>#DIV/0!</v>
      </c>
      <c r="AI195" s="34" t="e">
        <f t="shared" si="207"/>
        <v>#DIV/0!</v>
      </c>
      <c r="AJ195" s="46" t="e">
        <f t="shared" si="208"/>
        <v>#DIV/0!</v>
      </c>
      <c r="AK195" s="40">
        <v>148.5</v>
      </c>
      <c r="AL195" s="41">
        <f t="shared" si="209"/>
        <v>191.268</v>
      </c>
      <c r="AM195" s="36">
        <v>13085</v>
      </c>
      <c r="AN195" s="284">
        <v>90</v>
      </c>
      <c r="AO195" s="26"/>
      <c r="AP195" s="26"/>
      <c r="AQ195" s="27"/>
      <c r="AR195" s="27"/>
      <c r="AS195" s="27"/>
      <c r="AT195" s="27"/>
      <c r="AU195" s="27"/>
      <c r="AV195" s="27"/>
      <c r="AW195" s="26"/>
      <c r="AX195" s="26"/>
      <c r="AY195" s="26"/>
      <c r="AZ195" s="26"/>
      <c r="BA195" s="26"/>
      <c r="BB195" s="26"/>
      <c r="BC195" s="26"/>
      <c r="BD195" s="26"/>
      <c r="BE195" s="26"/>
      <c r="BF195" s="26"/>
      <c r="BG195" s="26"/>
      <c r="BH195" s="26"/>
      <c r="BI195" s="26"/>
    </row>
    <row r="196" spans="1:61" ht="28.5" customHeight="1">
      <c r="A196" s="26"/>
      <c r="B196" s="324"/>
      <c r="C196" s="42" t="s">
        <v>150</v>
      </c>
      <c r="D196" s="28">
        <f t="shared" si="193"/>
        <v>0.30543485233195244</v>
      </c>
      <c r="E196" s="201">
        <v>0.39600000000000002</v>
      </c>
      <c r="F196" s="30">
        <f t="shared" si="194"/>
        <v>9.0565147668047588E-2</v>
      </c>
      <c r="G196" s="30">
        <f t="shared" si="195"/>
        <v>4.0540540540540543E-2</v>
      </c>
      <c r="H196" s="48"/>
      <c r="I196" s="283"/>
      <c r="J196" s="48"/>
      <c r="K196" s="48"/>
      <c r="L196" s="310"/>
      <c r="M196" s="48"/>
      <c r="N196" s="36"/>
      <c r="O196" s="36">
        <v>7</v>
      </c>
      <c r="P196" s="31">
        <f t="shared" si="196"/>
        <v>7</v>
      </c>
      <c r="Q196" s="36">
        <v>0</v>
      </c>
      <c r="R196" s="167">
        <v>3</v>
      </c>
      <c r="S196" s="36"/>
      <c r="T196" s="34">
        <f t="shared" si="197"/>
        <v>748300</v>
      </c>
      <c r="U196" s="31">
        <f t="shared" si="198"/>
        <v>0</v>
      </c>
      <c r="V196" s="34">
        <f t="shared" si="199"/>
        <v>748300</v>
      </c>
      <c r="W196" s="43">
        <v>106900</v>
      </c>
      <c r="X196" s="34">
        <f t="shared" si="200"/>
        <v>41916.671999999999</v>
      </c>
      <c r="Y196" s="34">
        <f t="shared" si="201"/>
        <v>293416.70399999997</v>
      </c>
      <c r="Z196" s="34">
        <f t="shared" si="202"/>
        <v>67769.900000000009</v>
      </c>
      <c r="AA196" s="48">
        <f>40651+20958</f>
        <v>61609</v>
      </c>
      <c r="AB196" s="36"/>
      <c r="AC196" s="204">
        <f t="shared" si="210"/>
        <v>0</v>
      </c>
      <c r="AD196" s="152">
        <v>0.108</v>
      </c>
      <c r="AE196" s="31">
        <f t="shared" si="213"/>
        <v>43400</v>
      </c>
      <c r="AF196" s="28">
        <f t="shared" si="204"/>
        <v>0.16599812909260991</v>
      </c>
      <c r="AG196" s="34">
        <f t="shared" si="205"/>
        <v>124216.43</v>
      </c>
      <c r="AH196" s="34">
        <f t="shared" si="206"/>
        <v>33066.686600000001</v>
      </c>
      <c r="AI196" s="34">
        <f t="shared" si="207"/>
        <v>297600.17940000002</v>
      </c>
      <c r="AJ196" s="46">
        <f t="shared" si="208"/>
        <v>229830.2794</v>
      </c>
      <c r="AK196" s="40">
        <v>169.5</v>
      </c>
      <c r="AL196" s="41">
        <f t="shared" si="209"/>
        <v>218.316</v>
      </c>
      <c r="AM196" s="36">
        <f>5499+6249</f>
        <v>11748</v>
      </c>
      <c r="AN196" s="284">
        <f>44+30</f>
        <v>74</v>
      </c>
      <c r="AO196" s="26"/>
      <c r="AP196" s="26"/>
      <c r="AQ196" s="27"/>
      <c r="AR196" s="27"/>
      <c r="AS196" s="27"/>
      <c r="AT196" s="27"/>
      <c r="AU196" s="27"/>
      <c r="AV196" s="27"/>
      <c r="AW196" s="26"/>
      <c r="AX196" s="26"/>
      <c r="AY196" s="26"/>
      <c r="AZ196" s="26"/>
      <c r="BA196" s="26"/>
      <c r="BB196" s="26"/>
      <c r="BC196" s="26"/>
      <c r="BD196" s="26"/>
      <c r="BE196" s="26"/>
      <c r="BF196" s="26"/>
      <c r="BG196" s="26"/>
      <c r="BH196" s="26"/>
      <c r="BI196" s="26"/>
    </row>
    <row r="197" spans="1:61" ht="28.5" customHeight="1">
      <c r="A197" s="26"/>
      <c r="B197" s="200"/>
      <c r="C197" s="42" t="s">
        <v>111</v>
      </c>
      <c r="D197" s="28">
        <f t="shared" si="193"/>
        <v>0.11961858974358969</v>
      </c>
      <c r="E197" s="201">
        <v>0.378</v>
      </c>
      <c r="F197" s="30">
        <f t="shared" si="194"/>
        <v>0.25838141025641032</v>
      </c>
      <c r="G197" s="30">
        <f t="shared" si="195"/>
        <v>8.1632653061224483E-2</v>
      </c>
      <c r="H197" s="48"/>
      <c r="I197" s="48"/>
      <c r="J197" s="48"/>
      <c r="K197" s="210"/>
      <c r="L197" s="210"/>
      <c r="M197" s="210"/>
      <c r="N197" s="36"/>
      <c r="O197" s="36">
        <v>13</v>
      </c>
      <c r="P197" s="31">
        <f t="shared" si="196"/>
        <v>8</v>
      </c>
      <c r="Q197" s="36">
        <v>0</v>
      </c>
      <c r="R197" s="167">
        <v>8</v>
      </c>
      <c r="S197" s="36">
        <v>5</v>
      </c>
      <c r="T197" s="34">
        <f t="shared" si="197"/>
        <v>223080</v>
      </c>
      <c r="U197" s="31">
        <f t="shared" si="198"/>
        <v>85800</v>
      </c>
      <c r="V197" s="34">
        <f t="shared" si="199"/>
        <v>137280</v>
      </c>
      <c r="W197" s="43">
        <v>17160</v>
      </c>
      <c r="X197" s="34">
        <f t="shared" si="200"/>
        <v>5687.8080000000009</v>
      </c>
      <c r="Y197" s="34">
        <f t="shared" si="201"/>
        <v>45502.464000000007</v>
      </c>
      <c r="Z197" s="34">
        <f t="shared" si="202"/>
        <v>35470.600000000006</v>
      </c>
      <c r="AA197" s="48">
        <v>32246</v>
      </c>
      <c r="AB197" s="287">
        <f>((17160*0.015)+(17160*0.25)+2100+4950)*5</f>
        <v>57987</v>
      </c>
      <c r="AC197" s="204">
        <f t="shared" si="210"/>
        <v>0</v>
      </c>
      <c r="AD197" s="152">
        <v>7.8E-2</v>
      </c>
      <c r="AE197" s="31">
        <f>2900*(P197+S197)</f>
        <v>37700</v>
      </c>
      <c r="AF197" s="28">
        <f t="shared" si="204"/>
        <v>0.35262121212121211</v>
      </c>
      <c r="AG197" s="34">
        <f t="shared" si="205"/>
        <v>48407.869999999995</v>
      </c>
      <c r="AH197" s="34">
        <f t="shared" si="206"/>
        <v>4336.9665999999997</v>
      </c>
      <c r="AI197" s="34">
        <f t="shared" si="207"/>
        <v>39032.699399999998</v>
      </c>
      <c r="AJ197" s="46">
        <f t="shared" si="208"/>
        <v>3562.0993999999919</v>
      </c>
      <c r="AK197" s="40">
        <v>23</v>
      </c>
      <c r="AL197" s="41">
        <f t="shared" si="209"/>
        <v>29.624000000000002</v>
      </c>
      <c r="AM197" s="36">
        <v>29297</v>
      </c>
      <c r="AN197" s="284">
        <v>98</v>
      </c>
      <c r="AO197" s="26"/>
      <c r="AP197" s="26"/>
      <c r="AQ197" s="27"/>
      <c r="AR197" s="27"/>
      <c r="AS197" s="27"/>
      <c r="AT197" s="27"/>
      <c r="AU197" s="27"/>
      <c r="AV197" s="27"/>
      <c r="AW197" s="26"/>
      <c r="AX197" s="26"/>
      <c r="AY197" s="26"/>
      <c r="AZ197" s="26"/>
      <c r="BA197" s="26"/>
      <c r="BB197" s="26"/>
      <c r="BC197" s="26"/>
      <c r="BD197" s="26"/>
      <c r="BE197" s="26"/>
      <c r="BF197" s="26"/>
      <c r="BG197" s="26"/>
      <c r="BH197" s="26"/>
      <c r="BI197" s="26"/>
    </row>
    <row r="198" spans="1:61" ht="28.5" customHeight="1">
      <c r="A198" s="26"/>
      <c r="B198" s="207"/>
      <c r="C198" s="42" t="s">
        <v>151</v>
      </c>
      <c r="D198" s="28">
        <f t="shared" si="193"/>
        <v>0.13306172839506172</v>
      </c>
      <c r="E198" s="201">
        <v>0.27700000000000002</v>
      </c>
      <c r="F198" s="30">
        <f t="shared" si="194"/>
        <v>0.1439382716049383</v>
      </c>
      <c r="G198" s="30">
        <f t="shared" si="195"/>
        <v>6.0606060606060608E-2</v>
      </c>
      <c r="H198" s="48"/>
      <c r="I198" s="48"/>
      <c r="J198" s="48"/>
      <c r="K198" s="210"/>
      <c r="L198" s="335"/>
      <c r="M198" s="210"/>
      <c r="N198" s="36"/>
      <c r="O198" s="36">
        <v>9</v>
      </c>
      <c r="P198" s="31">
        <f t="shared" si="196"/>
        <v>9</v>
      </c>
      <c r="Q198" s="36">
        <v>0</v>
      </c>
      <c r="R198" s="167">
        <v>2</v>
      </c>
      <c r="S198" s="36"/>
      <c r="T198" s="34">
        <f t="shared" si="197"/>
        <v>89100</v>
      </c>
      <c r="U198" s="31">
        <f t="shared" si="198"/>
        <v>0</v>
      </c>
      <c r="V198" s="34">
        <f t="shared" si="199"/>
        <v>89100</v>
      </c>
      <c r="W198" s="43">
        <v>9900</v>
      </c>
      <c r="X198" s="34">
        <f t="shared" si="200"/>
        <v>3462.1440000000002</v>
      </c>
      <c r="Y198" s="34">
        <f t="shared" si="201"/>
        <v>31159.296000000002</v>
      </c>
      <c r="Z198" s="34">
        <f t="shared" si="202"/>
        <v>12824.900000000001</v>
      </c>
      <c r="AA198" s="48">
        <v>11659</v>
      </c>
      <c r="AB198" s="287"/>
      <c r="AC198" s="204">
        <f t="shared" si="210"/>
        <v>0</v>
      </c>
      <c r="AD198" s="152">
        <v>0.1</v>
      </c>
      <c r="AE198" s="31">
        <f>3275*(P198+S198)</f>
        <v>29475</v>
      </c>
      <c r="AF198" s="28">
        <f t="shared" si="204"/>
        <v>0.43080808080808086</v>
      </c>
      <c r="AG198" s="34">
        <f t="shared" si="205"/>
        <v>38385.030000000006</v>
      </c>
      <c r="AH198" s="34">
        <f t="shared" si="206"/>
        <v>1955.5673999999999</v>
      </c>
      <c r="AI198" s="34">
        <f t="shared" si="207"/>
        <v>17600.106599999999</v>
      </c>
      <c r="AJ198" s="46">
        <f t="shared" si="208"/>
        <v>4775.2065999999977</v>
      </c>
      <c r="AK198" s="40">
        <v>14</v>
      </c>
      <c r="AL198" s="41">
        <f t="shared" si="209"/>
        <v>18.032</v>
      </c>
      <c r="AM198" s="36">
        <v>19529</v>
      </c>
      <c r="AN198" s="284">
        <v>33</v>
      </c>
      <c r="AO198" s="26"/>
      <c r="AP198" s="26"/>
      <c r="AQ198" s="27"/>
      <c r="AR198" s="27"/>
      <c r="AS198" s="27"/>
      <c r="AT198" s="27"/>
      <c r="AU198" s="27"/>
      <c r="AV198" s="27"/>
      <c r="AW198" s="26"/>
      <c r="AX198" s="26"/>
      <c r="AY198" s="26"/>
      <c r="AZ198" s="26"/>
      <c r="BA198" s="26"/>
      <c r="BB198" s="26"/>
      <c r="BC198" s="26"/>
      <c r="BD198" s="26"/>
      <c r="BE198" s="26"/>
      <c r="BF198" s="26"/>
      <c r="BG198" s="26"/>
      <c r="BH198" s="26"/>
      <c r="BI198" s="26"/>
    </row>
    <row r="199" spans="1:61" ht="28.5" customHeight="1">
      <c r="A199" s="26"/>
      <c r="B199" s="212"/>
      <c r="C199" s="42" t="s">
        <v>152</v>
      </c>
      <c r="D199" s="28">
        <f t="shared" si="193"/>
        <v>-8.5969841269841252E-2</v>
      </c>
      <c r="E199" s="201">
        <v>0.34200000000000003</v>
      </c>
      <c r="F199" s="30">
        <f t="shared" si="194"/>
        <v>0.42796984126984128</v>
      </c>
      <c r="G199" s="30">
        <f t="shared" si="195"/>
        <v>9.154929577464789E-2</v>
      </c>
      <c r="H199" s="48"/>
      <c r="I199" s="48"/>
      <c r="J199" s="48"/>
      <c r="K199" s="210"/>
      <c r="L199" s="310"/>
      <c r="M199" s="210"/>
      <c r="N199" s="36"/>
      <c r="O199" s="36">
        <v>10</v>
      </c>
      <c r="P199" s="31">
        <f t="shared" si="196"/>
        <v>10</v>
      </c>
      <c r="Q199" s="36">
        <v>0</v>
      </c>
      <c r="R199" s="167">
        <v>13</v>
      </c>
      <c r="S199" s="36"/>
      <c r="T199" s="34">
        <f t="shared" si="197"/>
        <v>189000</v>
      </c>
      <c r="U199" s="31">
        <f t="shared" si="198"/>
        <v>0</v>
      </c>
      <c r="V199" s="34">
        <f t="shared" si="199"/>
        <v>189000</v>
      </c>
      <c r="W199" s="43">
        <v>18900</v>
      </c>
      <c r="X199" s="34">
        <f t="shared" si="200"/>
        <v>6924.2880000000005</v>
      </c>
      <c r="Y199" s="34">
        <f t="shared" si="201"/>
        <v>69242.880000000005</v>
      </c>
      <c r="Z199" s="34">
        <f t="shared" si="202"/>
        <v>80886.3</v>
      </c>
      <c r="AA199" s="48">
        <v>73533</v>
      </c>
      <c r="AB199" s="36"/>
      <c r="AC199" s="204">
        <f t="shared" si="210"/>
        <v>0</v>
      </c>
      <c r="AD199" s="152">
        <v>0.1</v>
      </c>
      <c r="AE199" s="31">
        <f>3425*(P199+S199)</f>
        <v>34250</v>
      </c>
      <c r="AF199" s="28">
        <f t="shared" si="204"/>
        <v>0.28121693121693125</v>
      </c>
      <c r="AG199" s="34">
        <f t="shared" si="205"/>
        <v>53150.030000000006</v>
      </c>
      <c r="AH199" s="34">
        <f t="shared" si="206"/>
        <v>6660.7089999999989</v>
      </c>
      <c r="AI199" s="34">
        <f t="shared" si="207"/>
        <v>59946.380999999994</v>
      </c>
      <c r="AJ199" s="46">
        <f t="shared" si="208"/>
        <v>-20939.919000000009</v>
      </c>
      <c r="AK199" s="40">
        <v>28</v>
      </c>
      <c r="AL199" s="41">
        <f t="shared" si="209"/>
        <v>36.064</v>
      </c>
      <c r="AM199" s="36">
        <v>65531</v>
      </c>
      <c r="AN199" s="284">
        <v>142</v>
      </c>
      <c r="AO199" s="26"/>
      <c r="AP199" s="26"/>
      <c r="AQ199" s="27"/>
      <c r="AR199" s="27"/>
      <c r="AS199" s="27"/>
      <c r="AT199" s="27"/>
      <c r="AU199" s="27"/>
      <c r="AV199" s="27"/>
      <c r="AW199" s="26"/>
      <c r="AX199" s="26"/>
      <c r="AY199" s="26"/>
      <c r="AZ199" s="26"/>
      <c r="BA199" s="26"/>
      <c r="BB199" s="26"/>
      <c r="BC199" s="26"/>
      <c r="BD199" s="26"/>
      <c r="BE199" s="26"/>
      <c r="BF199" s="26"/>
      <c r="BG199" s="26"/>
      <c r="BH199" s="26"/>
      <c r="BI199" s="26"/>
    </row>
    <row r="200" spans="1:61" ht="28.5" customHeight="1">
      <c r="A200" s="295"/>
      <c r="B200" s="296"/>
      <c r="C200" s="42" t="s">
        <v>153</v>
      </c>
      <c r="D200" s="28">
        <f t="shared" si="193"/>
        <v>0.35</v>
      </c>
      <c r="E200" s="201">
        <v>0.35</v>
      </c>
      <c r="F200" s="30">
        <f t="shared" si="194"/>
        <v>0</v>
      </c>
      <c r="G200" s="30" t="e">
        <f t="shared" si="195"/>
        <v>#DIV/0!</v>
      </c>
      <c r="H200" s="48"/>
      <c r="I200" s="48"/>
      <c r="J200" s="48"/>
      <c r="K200" s="26"/>
      <c r="L200" s="26"/>
      <c r="M200" s="210"/>
      <c r="N200" s="36"/>
      <c r="O200" s="36">
        <v>2</v>
      </c>
      <c r="P200" s="31">
        <f t="shared" si="196"/>
        <v>2</v>
      </c>
      <c r="Q200" s="36">
        <v>0</v>
      </c>
      <c r="R200" s="167">
        <v>0</v>
      </c>
      <c r="S200" s="36"/>
      <c r="T200" s="34">
        <f t="shared" si="197"/>
        <v>52020</v>
      </c>
      <c r="U200" s="31">
        <f t="shared" si="198"/>
        <v>0</v>
      </c>
      <c r="V200" s="34">
        <f t="shared" si="199"/>
        <v>52020</v>
      </c>
      <c r="W200" s="43">
        <v>26010</v>
      </c>
      <c r="X200" s="34">
        <f t="shared" si="200"/>
        <v>10386.432000000001</v>
      </c>
      <c r="Y200" s="34">
        <f t="shared" si="201"/>
        <v>20772.864000000001</v>
      </c>
      <c r="Z200" s="34">
        <f t="shared" si="202"/>
        <v>0</v>
      </c>
      <c r="AA200" s="48">
        <v>0</v>
      </c>
      <c r="AB200" s="36"/>
      <c r="AC200" s="204">
        <f t="shared" si="210"/>
        <v>0</v>
      </c>
      <c r="AD200" s="152">
        <v>0.1</v>
      </c>
      <c r="AE200" s="31">
        <f>5925*(P200+S200)</f>
        <v>11850</v>
      </c>
      <c r="AF200" s="28">
        <f t="shared" si="204"/>
        <v>0.32779700115340255</v>
      </c>
      <c r="AG200" s="34">
        <f t="shared" si="205"/>
        <v>17052.03</v>
      </c>
      <c r="AH200" s="34">
        <f t="shared" si="206"/>
        <v>1419.5105999999996</v>
      </c>
      <c r="AI200" s="34">
        <f t="shared" si="207"/>
        <v>12775.595399999998</v>
      </c>
      <c r="AJ200" s="46">
        <f t="shared" si="208"/>
        <v>12775.595399999998</v>
      </c>
      <c r="AK200" s="40">
        <v>42</v>
      </c>
      <c r="AL200" s="41">
        <f t="shared" si="209"/>
        <v>54.096000000000004</v>
      </c>
      <c r="AM200" s="36">
        <v>0</v>
      </c>
      <c r="AN200" s="284">
        <v>0</v>
      </c>
      <c r="AO200" s="26"/>
      <c r="AP200" s="26"/>
      <c r="AQ200" s="27"/>
      <c r="AR200" s="27"/>
      <c r="AS200" s="27"/>
      <c r="AT200" s="27"/>
      <c r="AU200" s="27"/>
      <c r="AV200" s="27"/>
      <c r="AW200" s="26"/>
      <c r="AX200" s="26"/>
      <c r="AY200" s="26"/>
      <c r="AZ200" s="26"/>
      <c r="BA200" s="26"/>
      <c r="BB200" s="26"/>
      <c r="BC200" s="26"/>
      <c r="BD200" s="26"/>
      <c r="BE200" s="26"/>
      <c r="BF200" s="26"/>
      <c r="BG200" s="26"/>
      <c r="BH200" s="26"/>
      <c r="BI200" s="26"/>
    </row>
    <row r="201" spans="1:61" ht="28.5" customHeight="1">
      <c r="A201" s="26"/>
      <c r="B201" s="323"/>
      <c r="C201" s="42" t="s">
        <v>112</v>
      </c>
      <c r="D201" s="28">
        <f t="shared" si="193"/>
        <v>0.18494347166179248</v>
      </c>
      <c r="E201" s="201">
        <v>0.38600000000000001</v>
      </c>
      <c r="F201" s="30">
        <f t="shared" si="194"/>
        <v>0.20105652833820753</v>
      </c>
      <c r="G201" s="30">
        <f t="shared" si="195"/>
        <v>6.6666666666666666E-2</v>
      </c>
      <c r="H201" s="334"/>
      <c r="I201" s="48"/>
      <c r="J201" s="48"/>
      <c r="K201" s="210"/>
      <c r="L201" s="335"/>
      <c r="M201" s="210"/>
      <c r="N201" s="36"/>
      <c r="O201" s="36">
        <v>16</v>
      </c>
      <c r="P201" s="31">
        <f t="shared" si="196"/>
        <v>14</v>
      </c>
      <c r="Q201" s="36">
        <v>0</v>
      </c>
      <c r="R201" s="167">
        <v>9</v>
      </c>
      <c r="S201" s="36">
        <v>2</v>
      </c>
      <c r="T201" s="34">
        <f t="shared" si="197"/>
        <v>617440</v>
      </c>
      <c r="U201" s="31">
        <f t="shared" si="198"/>
        <v>77180</v>
      </c>
      <c r="V201" s="34">
        <f t="shared" si="199"/>
        <v>540260</v>
      </c>
      <c r="W201" s="43">
        <v>38590</v>
      </c>
      <c r="X201" s="34">
        <f t="shared" si="200"/>
        <v>15085.056</v>
      </c>
      <c r="Y201" s="34">
        <f t="shared" si="201"/>
        <v>211190.78400000001</v>
      </c>
      <c r="Z201" s="34">
        <f t="shared" si="202"/>
        <v>108622.8</v>
      </c>
      <c r="AA201" s="48">
        <v>98748</v>
      </c>
      <c r="AB201" s="286">
        <f>((38590*0.18)+(38590*0.015)+2100+2200)*2</f>
        <v>23650.1</v>
      </c>
      <c r="AC201" s="204">
        <f t="shared" si="210"/>
        <v>0</v>
      </c>
      <c r="AD201" s="152">
        <v>0.08</v>
      </c>
      <c r="AE201" s="31">
        <f t="shared" ref="AE201:AE202" si="214">4150*(P201+S201)</f>
        <v>66400</v>
      </c>
      <c r="AF201" s="28">
        <f t="shared" si="204"/>
        <v>0.20290378706548701</v>
      </c>
      <c r="AG201" s="34">
        <f t="shared" si="205"/>
        <v>109620.83000000002</v>
      </c>
      <c r="AH201" s="34">
        <f t="shared" si="206"/>
        <v>21944.838599999992</v>
      </c>
      <c r="AI201" s="34">
        <f t="shared" si="207"/>
        <v>197503.54739999992</v>
      </c>
      <c r="AJ201" s="46">
        <f t="shared" si="208"/>
        <v>88880.74739999992</v>
      </c>
      <c r="AK201" s="40">
        <v>61</v>
      </c>
      <c r="AL201" s="41">
        <f t="shared" si="209"/>
        <v>78.567999999999998</v>
      </c>
      <c r="AM201" s="36">
        <v>29640</v>
      </c>
      <c r="AN201" s="284">
        <v>135</v>
      </c>
      <c r="AO201" s="26"/>
      <c r="AP201" s="26"/>
      <c r="AQ201" s="27"/>
      <c r="AR201" s="27"/>
      <c r="AS201" s="27"/>
      <c r="AT201" s="27"/>
      <c r="AU201" s="27"/>
      <c r="AV201" s="27"/>
      <c r="AW201" s="26"/>
      <c r="AX201" s="26"/>
      <c r="AY201" s="26"/>
      <c r="AZ201" s="26"/>
      <c r="BA201" s="26"/>
      <c r="BB201" s="26"/>
      <c r="BC201" s="26"/>
      <c r="BD201" s="26"/>
      <c r="BE201" s="26"/>
      <c r="BF201" s="26"/>
      <c r="BG201" s="26"/>
      <c r="BH201" s="26"/>
      <c r="BI201" s="26"/>
    </row>
    <row r="202" spans="1:61" ht="28.5" customHeight="1">
      <c r="A202" s="26"/>
      <c r="B202" s="324"/>
      <c r="C202" s="42" t="s">
        <v>113</v>
      </c>
      <c r="D202" s="28">
        <f t="shared" si="193"/>
        <v>-9.6249084249084293E-2</v>
      </c>
      <c r="E202" s="201">
        <v>0.316</v>
      </c>
      <c r="F202" s="30">
        <f t="shared" si="194"/>
        <v>0.4122490842490843</v>
      </c>
      <c r="G202" s="30">
        <f t="shared" si="195"/>
        <v>3.2407407407407406E-2</v>
      </c>
      <c r="H202" s="310"/>
      <c r="I202" s="48"/>
      <c r="J202" s="48"/>
      <c r="K202" s="210"/>
      <c r="L202" s="310"/>
      <c r="M202" s="210"/>
      <c r="N202" s="36"/>
      <c r="O202" s="36">
        <v>7</v>
      </c>
      <c r="P202" s="31">
        <f t="shared" si="196"/>
        <v>7</v>
      </c>
      <c r="Q202" s="36">
        <v>1</v>
      </c>
      <c r="R202" s="167">
        <v>7</v>
      </c>
      <c r="S202" s="36"/>
      <c r="T202" s="34">
        <f t="shared" si="197"/>
        <v>300300</v>
      </c>
      <c r="U202" s="31">
        <f t="shared" si="198"/>
        <v>0</v>
      </c>
      <c r="V202" s="34">
        <f t="shared" si="199"/>
        <v>300300</v>
      </c>
      <c r="W202" s="43">
        <v>42900</v>
      </c>
      <c r="X202" s="34">
        <f t="shared" si="200"/>
        <v>20278.272000000004</v>
      </c>
      <c r="Y202" s="34">
        <f t="shared" si="201"/>
        <v>141947.90400000004</v>
      </c>
      <c r="Z202" s="34">
        <f t="shared" si="202"/>
        <v>121488.40000000001</v>
      </c>
      <c r="AA202" s="48">
        <v>110444</v>
      </c>
      <c r="AB202" s="286"/>
      <c r="AC202" s="204">
        <f t="shared" si="210"/>
        <v>2310</v>
      </c>
      <c r="AD202" s="152">
        <v>7.8E-2</v>
      </c>
      <c r="AE202" s="31">
        <f t="shared" si="214"/>
        <v>29050</v>
      </c>
      <c r="AF202" s="28">
        <f t="shared" si="204"/>
        <v>0.17473659673659675</v>
      </c>
      <c r="AG202" s="34">
        <f t="shared" si="205"/>
        <v>52473.43</v>
      </c>
      <c r="AH202" s="34">
        <f t="shared" si="206"/>
        <v>10587.866599999998</v>
      </c>
      <c r="AI202" s="34">
        <f t="shared" si="207"/>
        <v>95290.79939999996</v>
      </c>
      <c r="AJ202" s="46">
        <f t="shared" si="208"/>
        <v>-26197.600600000049</v>
      </c>
      <c r="AK202" s="40">
        <v>82</v>
      </c>
      <c r="AL202" s="41">
        <f t="shared" si="209"/>
        <v>105.61600000000001</v>
      </c>
      <c r="AM202" s="36">
        <v>108343</v>
      </c>
      <c r="AN202" s="284">
        <v>216</v>
      </c>
      <c r="AO202" s="26"/>
      <c r="AP202" s="26"/>
      <c r="AQ202" s="27"/>
      <c r="AR202" s="27"/>
      <c r="AS202" s="27"/>
      <c r="AT202" s="27"/>
      <c r="AU202" s="27"/>
      <c r="AV202" s="27"/>
      <c r="AW202" s="26"/>
      <c r="AX202" s="26"/>
      <c r="AY202" s="26"/>
      <c r="AZ202" s="26"/>
      <c r="BA202" s="26"/>
      <c r="BB202" s="26"/>
      <c r="BC202" s="26"/>
      <c r="BD202" s="26"/>
      <c r="BE202" s="26"/>
      <c r="BF202" s="26"/>
      <c r="BG202" s="26"/>
      <c r="BH202" s="26"/>
      <c r="BI202" s="26"/>
    </row>
    <row r="203" spans="1:61" ht="28.5" customHeight="1">
      <c r="A203" s="26"/>
      <c r="B203" s="200"/>
      <c r="C203" s="42" t="s">
        <v>154</v>
      </c>
      <c r="D203" s="28">
        <f t="shared" si="193"/>
        <v>2.428320023661637E-2</v>
      </c>
      <c r="E203" s="201">
        <v>0.185</v>
      </c>
      <c r="F203" s="30">
        <f t="shared" si="194"/>
        <v>0.16071679976338363</v>
      </c>
      <c r="G203" s="30">
        <f t="shared" si="195"/>
        <v>5.6910569105691054E-2</v>
      </c>
      <c r="H203" s="48"/>
      <c r="I203" s="48"/>
      <c r="J203" s="48"/>
      <c r="K203" s="210"/>
      <c r="L203" s="210"/>
      <c r="M203" s="210"/>
      <c r="N203" s="36"/>
      <c r="O203" s="36">
        <v>69</v>
      </c>
      <c r="P203" s="31">
        <f t="shared" si="196"/>
        <v>69</v>
      </c>
      <c r="Q203" s="36">
        <v>4</v>
      </c>
      <c r="R203" s="167">
        <v>7</v>
      </c>
      <c r="S203" s="36"/>
      <c r="T203" s="34">
        <f t="shared" si="197"/>
        <v>676200</v>
      </c>
      <c r="U203" s="31">
        <f t="shared" si="198"/>
        <v>0</v>
      </c>
      <c r="V203" s="34">
        <f t="shared" si="199"/>
        <v>676200</v>
      </c>
      <c r="W203" s="43">
        <v>9800</v>
      </c>
      <c r="X203" s="34">
        <f t="shared" si="200"/>
        <v>4006.1952000000001</v>
      </c>
      <c r="Y203" s="34">
        <f t="shared" si="201"/>
        <v>276427.46880000003</v>
      </c>
      <c r="Z203" s="34">
        <f t="shared" si="202"/>
        <v>99436.700000000012</v>
      </c>
      <c r="AA203" s="48">
        <v>90397</v>
      </c>
      <c r="AB203" s="287"/>
      <c r="AC203" s="204">
        <f t="shared" si="210"/>
        <v>9240</v>
      </c>
      <c r="AD203" s="152">
        <v>0.108</v>
      </c>
      <c r="AE203" s="31">
        <f>2800*(P203+S203)</f>
        <v>193200</v>
      </c>
      <c r="AF203" s="28">
        <f t="shared" si="204"/>
        <v>0.39371428571428568</v>
      </c>
      <c r="AG203" s="34">
        <f t="shared" si="205"/>
        <v>266229.63</v>
      </c>
      <c r="AH203" s="34">
        <f t="shared" si="206"/>
        <v>13354.290119999991</v>
      </c>
      <c r="AI203" s="34">
        <f t="shared" si="207"/>
        <v>120188.61107999994</v>
      </c>
      <c r="AJ203" s="46">
        <f t="shared" si="208"/>
        <v>20751.911079999933</v>
      </c>
      <c r="AK203" s="40">
        <v>16.2</v>
      </c>
      <c r="AL203" s="41">
        <f t="shared" si="209"/>
        <v>20.865600000000001</v>
      </c>
      <c r="AM203" s="36">
        <v>68158</v>
      </c>
      <c r="AN203" s="284">
        <v>123</v>
      </c>
      <c r="AO203" s="26"/>
      <c r="AP203" s="26"/>
      <c r="AQ203" s="27"/>
      <c r="AR203" s="27"/>
      <c r="AS203" s="27"/>
      <c r="AT203" s="27"/>
      <c r="AU203" s="27"/>
      <c r="AV203" s="27"/>
      <c r="AW203" s="26"/>
      <c r="AX203" s="26"/>
      <c r="AY203" s="26"/>
      <c r="AZ203" s="26"/>
      <c r="BA203" s="26"/>
      <c r="BB203" s="26"/>
      <c r="BC203" s="26"/>
      <c r="BD203" s="26"/>
      <c r="BE203" s="26"/>
      <c r="BF203" s="26"/>
      <c r="BG203" s="26"/>
      <c r="BH203" s="26"/>
      <c r="BI203" s="26"/>
    </row>
    <row r="204" spans="1:61" ht="28.5" customHeight="1">
      <c r="A204" s="26"/>
      <c r="B204" s="200"/>
      <c r="C204" s="42" t="s">
        <v>114</v>
      </c>
      <c r="D204" s="28">
        <f t="shared" si="193"/>
        <v>2.4417105263157879E-2</v>
      </c>
      <c r="E204" s="201">
        <v>0.33</v>
      </c>
      <c r="F204" s="30">
        <f t="shared" si="194"/>
        <v>0.30558289473684214</v>
      </c>
      <c r="G204" s="30">
        <f t="shared" si="195"/>
        <v>8.8235294117647065E-2</v>
      </c>
      <c r="H204" s="48"/>
      <c r="I204" s="48"/>
      <c r="J204" s="48"/>
      <c r="K204" s="210"/>
      <c r="L204" s="210"/>
      <c r="M204" s="210"/>
      <c r="N204" s="36"/>
      <c r="O204" s="36">
        <v>8</v>
      </c>
      <c r="P204" s="31">
        <f t="shared" si="196"/>
        <v>8</v>
      </c>
      <c r="Q204" s="36">
        <v>7</v>
      </c>
      <c r="R204" s="167">
        <v>6</v>
      </c>
      <c r="S204" s="36"/>
      <c r="T204" s="34">
        <f t="shared" si="197"/>
        <v>152000</v>
      </c>
      <c r="U204" s="31">
        <f t="shared" si="198"/>
        <v>0</v>
      </c>
      <c r="V204" s="34">
        <f t="shared" si="199"/>
        <v>152000</v>
      </c>
      <c r="W204" s="43">
        <v>19000</v>
      </c>
      <c r="X204" s="34">
        <f t="shared" si="200"/>
        <v>7122.1247999999996</v>
      </c>
      <c r="Y204" s="34">
        <f t="shared" si="201"/>
        <v>56976.998399999997</v>
      </c>
      <c r="Z204" s="34">
        <f t="shared" si="202"/>
        <v>30278.600000000002</v>
      </c>
      <c r="AA204" s="48">
        <v>27526</v>
      </c>
      <c r="AB204" s="36"/>
      <c r="AC204" s="204">
        <f t="shared" si="210"/>
        <v>16170</v>
      </c>
      <c r="AD204" s="152">
        <v>0.08</v>
      </c>
      <c r="AE204" s="31">
        <f>3350*(P204+S204)</f>
        <v>26800</v>
      </c>
      <c r="AF204" s="28">
        <f t="shared" si="204"/>
        <v>0.25631578947368422</v>
      </c>
      <c r="AG204" s="34">
        <f t="shared" si="205"/>
        <v>38960.03</v>
      </c>
      <c r="AH204" s="34">
        <f t="shared" si="206"/>
        <v>5606.2971600000001</v>
      </c>
      <c r="AI204" s="34">
        <f t="shared" si="207"/>
        <v>50456.674440000003</v>
      </c>
      <c r="AJ204" s="46">
        <f t="shared" si="208"/>
        <v>20178.07444</v>
      </c>
      <c r="AK204" s="40">
        <v>28.8</v>
      </c>
      <c r="AL204" s="41">
        <f t="shared" si="209"/>
        <v>37.0944</v>
      </c>
      <c r="AM204" s="36">
        <v>38197</v>
      </c>
      <c r="AN204" s="284">
        <v>68</v>
      </c>
      <c r="AO204" s="26"/>
      <c r="AP204" s="26"/>
      <c r="AQ204" s="27"/>
      <c r="AR204" s="27"/>
      <c r="AS204" s="27"/>
      <c r="AT204" s="27"/>
      <c r="AU204" s="27"/>
      <c r="AV204" s="27"/>
      <c r="AW204" s="26"/>
      <c r="AX204" s="26"/>
      <c r="AY204" s="26"/>
      <c r="AZ204" s="26"/>
      <c r="BA204" s="26"/>
      <c r="BB204" s="26"/>
      <c r="BC204" s="26"/>
      <c r="BD204" s="26"/>
      <c r="BE204" s="26"/>
      <c r="BF204" s="26"/>
      <c r="BG204" s="26"/>
      <c r="BH204" s="26"/>
      <c r="BI204" s="26"/>
    </row>
    <row r="205" spans="1:61" ht="28.5" customHeight="1">
      <c r="A205" s="26"/>
      <c r="B205" s="326"/>
      <c r="C205" s="42" t="s">
        <v>115</v>
      </c>
      <c r="D205" s="28">
        <f t="shared" si="193"/>
        <v>-9.6981751824817553E-2</v>
      </c>
      <c r="E205" s="201">
        <v>0.437</v>
      </c>
      <c r="F205" s="30">
        <f t="shared" si="194"/>
        <v>0.53398175182481755</v>
      </c>
      <c r="G205" s="30">
        <f t="shared" si="195"/>
        <v>1.6949152542372881E-2</v>
      </c>
      <c r="H205" s="48"/>
      <c r="I205" s="48"/>
      <c r="J205" s="48"/>
      <c r="K205" s="210"/>
      <c r="L205" s="210"/>
      <c r="M205" s="210"/>
      <c r="N205" s="36"/>
      <c r="O205" s="36">
        <v>2</v>
      </c>
      <c r="P205" s="31">
        <f t="shared" si="196"/>
        <v>2</v>
      </c>
      <c r="Q205" s="36">
        <v>0</v>
      </c>
      <c r="R205" s="167">
        <v>1</v>
      </c>
      <c r="S205" s="36"/>
      <c r="T205" s="34">
        <f t="shared" si="197"/>
        <v>109600</v>
      </c>
      <c r="U205" s="31">
        <f t="shared" si="198"/>
        <v>0</v>
      </c>
      <c r="V205" s="34">
        <f t="shared" si="199"/>
        <v>109600</v>
      </c>
      <c r="W205" s="43">
        <v>54800</v>
      </c>
      <c r="X205" s="34">
        <f t="shared" si="200"/>
        <v>20030.976000000002</v>
      </c>
      <c r="Y205" s="34">
        <f t="shared" si="201"/>
        <v>40061.952000000005</v>
      </c>
      <c r="Z205" s="34">
        <f t="shared" si="202"/>
        <v>58524.4</v>
      </c>
      <c r="AA205" s="48">
        <v>53204</v>
      </c>
      <c r="AB205" s="36"/>
      <c r="AC205" s="204">
        <f t="shared" si="210"/>
        <v>0</v>
      </c>
      <c r="AD205" s="152">
        <v>7.8E-2</v>
      </c>
      <c r="AE205" s="31">
        <f t="shared" ref="AE205:AE206" si="215">4825*(P205+S205)</f>
        <v>9650</v>
      </c>
      <c r="AF205" s="28">
        <f t="shared" si="204"/>
        <v>0.16604744525547444</v>
      </c>
      <c r="AG205" s="34">
        <f t="shared" si="205"/>
        <v>18198.829999999998</v>
      </c>
      <c r="AH205" s="34">
        <f t="shared" si="206"/>
        <v>5133.9217999999992</v>
      </c>
      <c r="AI205" s="34">
        <f t="shared" si="207"/>
        <v>46205.296199999997</v>
      </c>
      <c r="AJ205" s="46">
        <f t="shared" si="208"/>
        <v>-12319.103800000004</v>
      </c>
      <c r="AK205" s="40">
        <v>81</v>
      </c>
      <c r="AL205" s="41">
        <f t="shared" si="209"/>
        <v>104.328</v>
      </c>
      <c r="AM205" s="36">
        <v>9916</v>
      </c>
      <c r="AN205" s="284">
        <v>59</v>
      </c>
      <c r="AO205" s="26"/>
      <c r="AP205" s="26"/>
      <c r="AQ205" s="27"/>
      <c r="AR205" s="27"/>
      <c r="AS205" s="27"/>
      <c r="AT205" s="27"/>
      <c r="AU205" s="27"/>
      <c r="AV205" s="27"/>
      <c r="AW205" s="26"/>
      <c r="AX205" s="26"/>
      <c r="AY205" s="26"/>
      <c r="AZ205" s="26"/>
      <c r="BA205" s="26"/>
      <c r="BB205" s="26"/>
      <c r="BC205" s="26"/>
      <c r="BD205" s="26"/>
      <c r="BE205" s="26"/>
      <c r="BF205" s="26"/>
      <c r="BG205" s="26"/>
      <c r="BH205" s="26"/>
      <c r="BI205" s="26"/>
    </row>
    <row r="206" spans="1:61" ht="28.5" customHeight="1">
      <c r="A206" s="26"/>
      <c r="B206" s="324"/>
      <c r="C206" s="42" t="s">
        <v>116</v>
      </c>
      <c r="D206" s="28">
        <f t="shared" si="193"/>
        <v>0.1907449845679012</v>
      </c>
      <c r="E206" s="201">
        <v>0.42499999999999999</v>
      </c>
      <c r="F206" s="30">
        <f t="shared" si="194"/>
        <v>0.23425501543209878</v>
      </c>
      <c r="G206" s="30">
        <f t="shared" si="195"/>
        <v>7.8947368421052627E-2</v>
      </c>
      <c r="H206" s="48"/>
      <c r="I206" s="48"/>
      <c r="J206" s="48"/>
      <c r="K206" s="210"/>
      <c r="L206" s="210"/>
      <c r="M206" s="210"/>
      <c r="N206" s="36"/>
      <c r="O206" s="36">
        <v>4</v>
      </c>
      <c r="P206" s="31">
        <f t="shared" si="196"/>
        <v>4</v>
      </c>
      <c r="Q206" s="36">
        <v>0</v>
      </c>
      <c r="R206" s="167">
        <v>6</v>
      </c>
      <c r="S206" s="36"/>
      <c r="T206" s="34">
        <f t="shared" si="197"/>
        <v>259200</v>
      </c>
      <c r="U206" s="31">
        <f t="shared" si="198"/>
        <v>0</v>
      </c>
      <c r="V206" s="34">
        <f t="shared" si="199"/>
        <v>259200</v>
      </c>
      <c r="W206" s="43">
        <v>64800</v>
      </c>
      <c r="X206" s="34">
        <f t="shared" si="200"/>
        <v>25224.192000000003</v>
      </c>
      <c r="Y206" s="34">
        <f t="shared" si="201"/>
        <v>100896.76800000001</v>
      </c>
      <c r="Z206" s="34">
        <f t="shared" si="202"/>
        <v>60718.9</v>
      </c>
      <c r="AA206" s="48">
        <v>55199</v>
      </c>
      <c r="AB206" s="36"/>
      <c r="AC206" s="204">
        <f t="shared" si="210"/>
        <v>0</v>
      </c>
      <c r="AD206" s="152">
        <v>7.8E-2</v>
      </c>
      <c r="AE206" s="31">
        <f t="shared" si="215"/>
        <v>19300</v>
      </c>
      <c r="AF206" s="28">
        <f t="shared" si="204"/>
        <v>0.15245987654320986</v>
      </c>
      <c r="AG206" s="34">
        <f t="shared" si="205"/>
        <v>39517.629999999997</v>
      </c>
      <c r="AH206" s="34">
        <f t="shared" si="206"/>
        <v>11878.560199999998</v>
      </c>
      <c r="AI206" s="34">
        <f t="shared" si="207"/>
        <v>106907.04179999998</v>
      </c>
      <c r="AJ206" s="46">
        <f t="shared" si="208"/>
        <v>46188.141799999976</v>
      </c>
      <c r="AK206" s="40">
        <v>102</v>
      </c>
      <c r="AL206" s="41">
        <f t="shared" si="209"/>
        <v>131.376</v>
      </c>
      <c r="AM206" s="36">
        <v>28878</v>
      </c>
      <c r="AN206" s="284">
        <v>76</v>
      </c>
      <c r="AO206" s="26"/>
      <c r="AP206" s="26"/>
      <c r="AQ206" s="27"/>
      <c r="AR206" s="27"/>
      <c r="AS206" s="27"/>
      <c r="AT206" s="27"/>
      <c r="AU206" s="27"/>
      <c r="AV206" s="27"/>
      <c r="AW206" s="26"/>
      <c r="AX206" s="26"/>
      <c r="AY206" s="26"/>
      <c r="AZ206" s="26"/>
      <c r="BA206" s="26"/>
      <c r="BB206" s="26"/>
      <c r="BC206" s="26"/>
      <c r="BD206" s="26"/>
      <c r="BE206" s="26"/>
      <c r="BF206" s="26"/>
      <c r="BG206" s="26"/>
      <c r="BH206" s="26"/>
      <c r="BI206" s="26"/>
    </row>
    <row r="207" spans="1:61" ht="28.5" customHeight="1">
      <c r="A207" s="26"/>
      <c r="B207" s="200"/>
      <c r="C207" s="42" t="s">
        <v>117</v>
      </c>
      <c r="D207" s="28">
        <f t="shared" si="193"/>
        <v>0.38777777777777778</v>
      </c>
      <c r="E207" s="297">
        <v>0.53900000000000003</v>
      </c>
      <c r="F207" s="30">
        <f t="shared" si="194"/>
        <v>0.15122222222222223</v>
      </c>
      <c r="G207" s="30">
        <f t="shared" si="195"/>
        <v>3.9401103230890466E-2</v>
      </c>
      <c r="H207" s="48"/>
      <c r="I207" s="48"/>
      <c r="J207" s="48"/>
      <c r="K207" s="210"/>
      <c r="L207" s="210"/>
      <c r="M207" s="210"/>
      <c r="N207" s="36"/>
      <c r="O207" s="36">
        <v>76</v>
      </c>
      <c r="P207" s="31">
        <f t="shared" si="196"/>
        <v>76</v>
      </c>
      <c r="Q207" s="36">
        <v>16</v>
      </c>
      <c r="R207" s="167">
        <v>50</v>
      </c>
      <c r="S207" s="36"/>
      <c r="T207" s="34">
        <f t="shared" si="197"/>
        <v>1504800</v>
      </c>
      <c r="U207" s="31">
        <f t="shared" si="198"/>
        <v>0</v>
      </c>
      <c r="V207" s="34">
        <f t="shared" si="199"/>
        <v>1504800</v>
      </c>
      <c r="W207" s="43">
        <v>19800</v>
      </c>
      <c r="X207" s="34">
        <f t="shared" si="200"/>
        <v>4451.3280000000004</v>
      </c>
      <c r="Y207" s="34">
        <f t="shared" si="201"/>
        <v>338300.92800000001</v>
      </c>
      <c r="Z207" s="34">
        <f t="shared" si="202"/>
        <v>190599.2</v>
      </c>
      <c r="AA207" s="48">
        <v>173272</v>
      </c>
      <c r="AB207" s="36"/>
      <c r="AC207" s="204">
        <f t="shared" si="210"/>
        <v>36960</v>
      </c>
      <c r="AD207" s="152">
        <v>7.8E-2</v>
      </c>
      <c r="AE207" s="31">
        <f t="shared" ref="AE207:AE209" si="216">1900*(P207+S207)</f>
        <v>144400</v>
      </c>
      <c r="AF207" s="28">
        <f t="shared" si="204"/>
        <v>0.17395959595959595</v>
      </c>
      <c r="AG207" s="34">
        <f t="shared" si="205"/>
        <v>261774.43</v>
      </c>
      <c r="AH207" s="34">
        <f t="shared" si="206"/>
        <v>90472.464199999988</v>
      </c>
      <c r="AI207" s="34">
        <f t="shared" si="207"/>
        <v>814252.17779999995</v>
      </c>
      <c r="AJ207" s="46">
        <f t="shared" si="208"/>
        <v>623652.97779999999</v>
      </c>
      <c r="AK207" s="40">
        <v>18</v>
      </c>
      <c r="AL207" s="41">
        <f t="shared" si="209"/>
        <v>23.184000000000001</v>
      </c>
      <c r="AM207" s="36">
        <v>262088</v>
      </c>
      <c r="AN207" s="284">
        <v>1269</v>
      </c>
      <c r="AO207" s="26"/>
      <c r="AP207" s="26"/>
      <c r="AQ207" s="27"/>
      <c r="AR207" s="27"/>
      <c r="AS207" s="27"/>
      <c r="AT207" s="27"/>
      <c r="AU207" s="27"/>
      <c r="AV207" s="27"/>
      <c r="AW207" s="26"/>
      <c r="AX207" s="26"/>
      <c r="AY207" s="26"/>
      <c r="AZ207" s="26"/>
      <c r="BA207" s="26"/>
      <c r="BB207" s="26"/>
      <c r="BC207" s="26"/>
      <c r="BD207" s="26"/>
      <c r="BE207" s="26"/>
      <c r="BF207" s="26"/>
      <c r="BG207" s="26"/>
      <c r="BH207" s="26"/>
      <c r="BI207" s="26"/>
    </row>
    <row r="208" spans="1:61" ht="28.5" customHeight="1">
      <c r="A208" s="26"/>
      <c r="B208" s="200"/>
      <c r="C208" s="42" t="s">
        <v>31</v>
      </c>
      <c r="D208" s="28">
        <f t="shared" si="193"/>
        <v>-0.51969444444444468</v>
      </c>
      <c r="E208" s="297">
        <v>0.40699999999999997</v>
      </c>
      <c r="F208" s="30">
        <f t="shared" si="194"/>
        <v>0.9266944444444446</v>
      </c>
      <c r="G208" s="30">
        <f t="shared" si="195"/>
        <v>8.5106382978723402E-2</v>
      </c>
      <c r="H208" s="48"/>
      <c r="I208" s="48"/>
      <c r="J208" s="48"/>
      <c r="K208" s="210"/>
      <c r="L208" s="210"/>
      <c r="M208" s="210"/>
      <c r="N208" s="36"/>
      <c r="O208" s="36">
        <v>10</v>
      </c>
      <c r="P208" s="31">
        <f t="shared" si="196"/>
        <v>2</v>
      </c>
      <c r="Q208" s="36">
        <v>0</v>
      </c>
      <c r="R208" s="167">
        <v>4</v>
      </c>
      <c r="S208" s="36">
        <v>8</v>
      </c>
      <c r="T208" s="34">
        <f t="shared" si="197"/>
        <v>198000</v>
      </c>
      <c r="U208" s="31">
        <f t="shared" si="198"/>
        <v>158400</v>
      </c>
      <c r="V208" s="34">
        <f t="shared" si="199"/>
        <v>39600</v>
      </c>
      <c r="W208" s="43">
        <v>19800</v>
      </c>
      <c r="X208" s="34">
        <f t="shared" si="200"/>
        <v>7418.88</v>
      </c>
      <c r="Y208" s="34">
        <f t="shared" si="201"/>
        <v>14837.76</v>
      </c>
      <c r="Z208" s="34">
        <f t="shared" si="202"/>
        <v>36697.100000000006</v>
      </c>
      <c r="AA208" s="48">
        <v>33361</v>
      </c>
      <c r="AB208" s="286">
        <f>((19800*0.1)+(19800*0.015)+2100+2200)*8</f>
        <v>52616</v>
      </c>
      <c r="AC208" s="204">
        <f t="shared" si="210"/>
        <v>0</v>
      </c>
      <c r="AD208" s="152">
        <v>0.08</v>
      </c>
      <c r="AE208" s="31">
        <f t="shared" si="216"/>
        <v>19000</v>
      </c>
      <c r="AF208" s="28">
        <f t="shared" si="204"/>
        <v>0.55979797979797974</v>
      </c>
      <c r="AG208" s="34">
        <f t="shared" si="205"/>
        <v>22168.029999999995</v>
      </c>
      <c r="AH208" s="34">
        <f t="shared" si="206"/>
        <v>259.42100000000028</v>
      </c>
      <c r="AI208" s="34">
        <f t="shared" si="207"/>
        <v>2334.7890000000043</v>
      </c>
      <c r="AJ208" s="46">
        <f t="shared" si="208"/>
        <v>-34362.311000000002</v>
      </c>
      <c r="AK208" s="40">
        <v>30</v>
      </c>
      <c r="AL208" s="41">
        <f t="shared" si="209"/>
        <v>38.64</v>
      </c>
      <c r="AM208" s="36">
        <v>39954</v>
      </c>
      <c r="AN208" s="284">
        <v>47</v>
      </c>
      <c r="AO208" s="26"/>
      <c r="AP208" s="26"/>
      <c r="AQ208" s="27"/>
      <c r="AR208" s="27"/>
      <c r="AS208" s="27"/>
      <c r="AT208" s="27"/>
      <c r="AU208" s="27"/>
      <c r="AV208" s="27"/>
      <c r="AW208" s="26"/>
      <c r="AX208" s="26"/>
      <c r="AY208" s="26"/>
      <c r="AZ208" s="26"/>
      <c r="BA208" s="26"/>
      <c r="BB208" s="26"/>
      <c r="BC208" s="26"/>
      <c r="BD208" s="26"/>
      <c r="BE208" s="26"/>
      <c r="BF208" s="26"/>
      <c r="BG208" s="26"/>
      <c r="BH208" s="26"/>
      <c r="BI208" s="26"/>
    </row>
    <row r="209" spans="1:61" ht="28.5" customHeight="1">
      <c r="A209" s="26"/>
      <c r="B209" s="200"/>
      <c r="C209" s="42" t="s">
        <v>118</v>
      </c>
      <c r="D209" s="28" t="e">
        <f t="shared" si="193"/>
        <v>#DIV/0!</v>
      </c>
      <c r="E209" s="297">
        <v>0.36799999999999999</v>
      </c>
      <c r="F209" s="30" t="e">
        <f t="shared" si="194"/>
        <v>#DIV/0!</v>
      </c>
      <c r="G209" s="30" t="e">
        <f t="shared" si="195"/>
        <v>#DIV/0!</v>
      </c>
      <c r="H209" s="48"/>
      <c r="I209" s="48"/>
      <c r="J209" s="48"/>
      <c r="K209" s="210"/>
      <c r="L209" s="210"/>
      <c r="M209" s="210"/>
      <c r="N209" s="36"/>
      <c r="O209" s="36">
        <v>0</v>
      </c>
      <c r="P209" s="31">
        <f t="shared" si="196"/>
        <v>0</v>
      </c>
      <c r="Q209" s="36">
        <v>0</v>
      </c>
      <c r="R209" s="167">
        <v>0</v>
      </c>
      <c r="S209" s="36"/>
      <c r="T209" s="34">
        <f t="shared" si="197"/>
        <v>0</v>
      </c>
      <c r="U209" s="31">
        <f t="shared" si="198"/>
        <v>0</v>
      </c>
      <c r="V209" s="34">
        <f t="shared" si="199"/>
        <v>0</v>
      </c>
      <c r="W209" s="43">
        <v>24800</v>
      </c>
      <c r="X209" s="34">
        <f t="shared" si="200"/>
        <v>10386.432000000001</v>
      </c>
      <c r="Y209" s="34">
        <f t="shared" si="201"/>
        <v>0</v>
      </c>
      <c r="Z209" s="34">
        <f t="shared" si="202"/>
        <v>0</v>
      </c>
      <c r="AA209" s="48">
        <v>0</v>
      </c>
      <c r="AB209" s="36"/>
      <c r="AC209" s="204">
        <f t="shared" si="210"/>
        <v>0</v>
      </c>
      <c r="AD209" s="152">
        <v>0.1</v>
      </c>
      <c r="AE209" s="31">
        <f t="shared" si="216"/>
        <v>0</v>
      </c>
      <c r="AF209" s="28" t="e">
        <f t="shared" si="204"/>
        <v>#DIV/0!</v>
      </c>
      <c r="AG209" s="34" t="e">
        <f t="shared" si="205"/>
        <v>#DIV/0!</v>
      </c>
      <c r="AH209" s="34" t="e">
        <f t="shared" si="206"/>
        <v>#DIV/0!</v>
      </c>
      <c r="AI209" s="34" t="e">
        <f t="shared" si="207"/>
        <v>#DIV/0!</v>
      </c>
      <c r="AJ209" s="46" t="e">
        <f t="shared" si="208"/>
        <v>#DIV/0!</v>
      </c>
      <c r="AK209" s="40">
        <v>42</v>
      </c>
      <c r="AL209" s="41">
        <f t="shared" si="209"/>
        <v>54.096000000000004</v>
      </c>
      <c r="AM209" s="36">
        <v>0</v>
      </c>
      <c r="AN209" s="284">
        <v>0</v>
      </c>
      <c r="AO209" s="26"/>
      <c r="AP209" s="26"/>
      <c r="AQ209" s="27"/>
      <c r="AR209" s="27"/>
      <c r="AS209" s="27"/>
      <c r="AT209" s="27"/>
      <c r="AU209" s="27"/>
      <c r="AV209" s="27"/>
      <c r="AW209" s="26"/>
      <c r="AX209" s="26"/>
      <c r="AY209" s="26"/>
      <c r="AZ209" s="26"/>
      <c r="BA209" s="26"/>
      <c r="BB209" s="26"/>
      <c r="BC209" s="26"/>
      <c r="BD209" s="26"/>
      <c r="BE209" s="26"/>
      <c r="BF209" s="26"/>
      <c r="BG209" s="26"/>
      <c r="BH209" s="26"/>
      <c r="BI209" s="26"/>
    </row>
    <row r="210" spans="1:61" ht="28.5" customHeight="1">
      <c r="A210" s="26"/>
      <c r="B210" s="200"/>
      <c r="C210" s="42" t="s">
        <v>119</v>
      </c>
      <c r="D210" s="28">
        <f t="shared" si="193"/>
        <v>0.34572750424448218</v>
      </c>
      <c r="E210" s="201">
        <v>0.41</v>
      </c>
      <c r="F210" s="30">
        <f t="shared" si="194"/>
        <v>6.4272495755517828E-2</v>
      </c>
      <c r="G210" s="30">
        <f t="shared" si="195"/>
        <v>9.6774193548387094E-2</v>
      </c>
      <c r="H210" s="48"/>
      <c r="I210" s="48"/>
      <c r="J210" s="48"/>
      <c r="K210" s="210"/>
      <c r="L210" s="210"/>
      <c r="M210" s="210"/>
      <c r="N210" s="36"/>
      <c r="O210" s="36">
        <v>19</v>
      </c>
      <c r="P210" s="31">
        <f t="shared" si="196"/>
        <v>19</v>
      </c>
      <c r="Q210" s="36">
        <v>1</v>
      </c>
      <c r="R210" s="167">
        <v>6</v>
      </c>
      <c r="S210" s="36"/>
      <c r="T210" s="34">
        <f t="shared" si="197"/>
        <v>471200</v>
      </c>
      <c r="U210" s="31">
        <f t="shared" si="198"/>
        <v>0</v>
      </c>
      <c r="V210" s="34">
        <f t="shared" si="199"/>
        <v>471200</v>
      </c>
      <c r="W210" s="43">
        <v>24800</v>
      </c>
      <c r="X210" s="34">
        <f t="shared" si="200"/>
        <v>7666.1760000000013</v>
      </c>
      <c r="Y210" s="34">
        <f t="shared" si="201"/>
        <v>145657.34400000001</v>
      </c>
      <c r="Z210" s="34">
        <f t="shared" si="202"/>
        <v>27975.200000000001</v>
      </c>
      <c r="AA210" s="48">
        <v>25432</v>
      </c>
      <c r="AB210" s="36"/>
      <c r="AC210" s="204">
        <f t="shared" si="210"/>
        <v>2310</v>
      </c>
      <c r="AD210" s="152">
        <v>0.108</v>
      </c>
      <c r="AE210" s="31">
        <f>3150*(P210+S210)</f>
        <v>59850</v>
      </c>
      <c r="AF210" s="28">
        <f t="shared" si="204"/>
        <v>0.23501612903225805</v>
      </c>
      <c r="AG210" s="34">
        <f t="shared" si="205"/>
        <v>110739.62999999999</v>
      </c>
      <c r="AH210" s="34">
        <f t="shared" si="206"/>
        <v>21480.302599999999</v>
      </c>
      <c r="AI210" s="34">
        <f t="shared" si="207"/>
        <v>193322.72340000002</v>
      </c>
      <c r="AJ210" s="46">
        <f t="shared" si="208"/>
        <v>165347.52340000001</v>
      </c>
      <c r="AK210" s="40">
        <v>31</v>
      </c>
      <c r="AL210" s="41">
        <f t="shared" si="209"/>
        <v>39.928000000000004</v>
      </c>
      <c r="AM210" s="36">
        <v>15849</v>
      </c>
      <c r="AN210" s="284">
        <v>62</v>
      </c>
      <c r="AO210" s="26"/>
      <c r="AP210" s="26"/>
      <c r="AQ210" s="27"/>
      <c r="AR210" s="27"/>
      <c r="AS210" s="27"/>
      <c r="AT210" s="27"/>
      <c r="AU210" s="27"/>
      <c r="AV210" s="27"/>
      <c r="AW210" s="26"/>
      <c r="AX210" s="26"/>
      <c r="AY210" s="26"/>
      <c r="AZ210" s="26"/>
      <c r="BA210" s="26"/>
      <c r="BB210" s="26"/>
      <c r="BC210" s="26"/>
      <c r="BD210" s="26"/>
      <c r="BE210" s="26"/>
      <c r="BF210" s="26"/>
      <c r="BG210" s="26"/>
      <c r="BH210" s="26"/>
      <c r="BI210" s="26"/>
    </row>
    <row r="211" spans="1:61" ht="28.5" customHeight="1">
      <c r="A211" s="26"/>
      <c r="B211" s="200"/>
      <c r="C211" s="239" t="s">
        <v>120</v>
      </c>
      <c r="D211" s="28">
        <f t="shared" si="193"/>
        <v>0.13891959798994974</v>
      </c>
      <c r="E211" s="201">
        <v>0.376</v>
      </c>
      <c r="F211" s="30">
        <f t="shared" si="194"/>
        <v>0.23708040201005026</v>
      </c>
      <c r="G211" s="30">
        <f t="shared" si="195"/>
        <v>0</v>
      </c>
      <c r="H211" s="48"/>
      <c r="I211" s="48"/>
      <c r="J211" s="48"/>
      <c r="K211" s="210"/>
      <c r="L211" s="210"/>
      <c r="M211" s="210"/>
      <c r="N211" s="36"/>
      <c r="O211" s="36">
        <v>3</v>
      </c>
      <c r="P211" s="31">
        <f t="shared" si="196"/>
        <v>3</v>
      </c>
      <c r="Q211" s="36">
        <v>0</v>
      </c>
      <c r="R211" s="167"/>
      <c r="S211" s="36"/>
      <c r="T211" s="34">
        <f t="shared" si="197"/>
        <v>119400</v>
      </c>
      <c r="U211" s="31">
        <f t="shared" si="198"/>
        <v>0</v>
      </c>
      <c r="V211" s="34">
        <f t="shared" si="199"/>
        <v>119400</v>
      </c>
      <c r="W211" s="43">
        <v>39800</v>
      </c>
      <c r="X211" s="34">
        <f t="shared" si="200"/>
        <v>7666.1760000000013</v>
      </c>
      <c r="Y211" s="34">
        <f t="shared" si="201"/>
        <v>22998.528000000006</v>
      </c>
      <c r="Z211" s="34">
        <f t="shared" si="202"/>
        <v>28307.4</v>
      </c>
      <c r="AA211" s="48">
        <v>25734</v>
      </c>
      <c r="AB211" s="286"/>
      <c r="AC211" s="204">
        <f t="shared" si="210"/>
        <v>0</v>
      </c>
      <c r="AD211" s="152">
        <v>0.108</v>
      </c>
      <c r="AE211" s="31">
        <f>3550*(P211+S211)</f>
        <v>10650</v>
      </c>
      <c r="AF211" s="28">
        <f t="shared" si="204"/>
        <v>0.1971959798994975</v>
      </c>
      <c r="AG211" s="34">
        <f t="shared" si="205"/>
        <v>23545.23</v>
      </c>
      <c r="AH211" s="34">
        <f t="shared" si="206"/>
        <v>7285.6241999999993</v>
      </c>
      <c r="AI211" s="34">
        <f t="shared" si="207"/>
        <v>65570.617800000007</v>
      </c>
      <c r="AJ211" s="46">
        <f t="shared" si="208"/>
        <v>37263.217800000006</v>
      </c>
      <c r="AK211" s="40">
        <v>31</v>
      </c>
      <c r="AL211" s="41">
        <f t="shared" si="209"/>
        <v>39.928000000000004</v>
      </c>
      <c r="AM211" s="36">
        <v>7590</v>
      </c>
      <c r="AN211" s="284">
        <v>44</v>
      </c>
      <c r="AO211" s="26"/>
      <c r="AP211" s="26"/>
      <c r="AQ211" s="27"/>
      <c r="AR211" s="27"/>
      <c r="AS211" s="27"/>
      <c r="AT211" s="27"/>
      <c r="AU211" s="27"/>
      <c r="AV211" s="27"/>
      <c r="AW211" s="26"/>
      <c r="AX211" s="26"/>
      <c r="AY211" s="26"/>
      <c r="AZ211" s="26"/>
      <c r="BA211" s="26"/>
      <c r="BB211" s="26"/>
      <c r="BC211" s="26"/>
      <c r="BD211" s="26"/>
      <c r="BE211" s="26"/>
      <c r="BF211" s="26"/>
      <c r="BG211" s="26"/>
      <c r="BH211" s="26"/>
      <c r="BI211" s="26"/>
    </row>
    <row r="212" spans="1:61" ht="28.5" customHeight="1">
      <c r="A212" s="26"/>
      <c r="B212" s="216"/>
      <c r="C212" s="217"/>
      <c r="D212" s="298">
        <f>AJ212/V212</f>
        <v>0.13945321831439947</v>
      </c>
      <c r="E212" s="298">
        <f>AI212/V212</f>
        <v>0.38632710368633177</v>
      </c>
      <c r="F212" s="52">
        <f>(Z212)/V212</f>
        <v>0.2251187868322129</v>
      </c>
      <c r="G212" s="219"/>
      <c r="H212" s="55"/>
      <c r="I212" s="55"/>
      <c r="J212" s="55"/>
      <c r="K212" s="55"/>
      <c r="L212" s="55"/>
      <c r="M212" s="55"/>
      <c r="N212" s="130"/>
      <c r="O212" s="130">
        <f t="shared" ref="O212:V212" si="217">SUM(O189:O211)</f>
        <v>426</v>
      </c>
      <c r="P212" s="130">
        <f t="shared" si="217"/>
        <v>406</v>
      </c>
      <c r="Q212" s="130">
        <f t="shared" si="217"/>
        <v>50</v>
      </c>
      <c r="R212" s="130">
        <f t="shared" si="217"/>
        <v>264</v>
      </c>
      <c r="S212" s="130">
        <f t="shared" si="217"/>
        <v>20</v>
      </c>
      <c r="T212" s="130">
        <f t="shared" si="217"/>
        <v>11229300</v>
      </c>
      <c r="U212" s="130">
        <f t="shared" si="217"/>
        <v>620380</v>
      </c>
      <c r="V212" s="130">
        <f t="shared" si="217"/>
        <v>10608920</v>
      </c>
      <c r="W212" s="55"/>
      <c r="X212" s="130">
        <f t="shared" ref="X212:AC212" si="218">SUM(X189:X211)</f>
        <v>338894.43839999987</v>
      </c>
      <c r="Y212" s="130">
        <f t="shared" si="218"/>
        <v>3796463.4624000001</v>
      </c>
      <c r="Z212" s="130">
        <f t="shared" si="218"/>
        <v>2388267.2000000002</v>
      </c>
      <c r="AA212" s="130">
        <f t="shared" si="218"/>
        <v>2171152</v>
      </c>
      <c r="AB212" s="130">
        <f t="shared" si="218"/>
        <v>230798.1</v>
      </c>
      <c r="AC212" s="130">
        <f t="shared" si="218"/>
        <v>113844</v>
      </c>
      <c r="AD212" s="154">
        <v>0.09</v>
      </c>
      <c r="AE212" s="130">
        <f>SUM(AE189:AE211)</f>
        <v>1303750</v>
      </c>
      <c r="AF212" s="53">
        <f t="shared" si="204"/>
        <v>0.21289186835229224</v>
      </c>
      <c r="AG212" s="56">
        <f t="shared" si="205"/>
        <v>2258552.83</v>
      </c>
      <c r="AH212" s="56">
        <f t="shared" si="206"/>
        <v>455390.37075999996</v>
      </c>
      <c r="AI212" s="56">
        <f t="shared" si="207"/>
        <v>4098513.3368399991</v>
      </c>
      <c r="AJ212" s="46">
        <f>AI212-Z212-AB212</f>
        <v>1479448.0368399988</v>
      </c>
      <c r="AK212" s="54"/>
      <c r="AL212" s="222"/>
      <c r="AM212" s="131">
        <f t="shared" ref="AM212:AN212" si="219">SUM(AM189:AM190)</f>
        <v>338108</v>
      </c>
      <c r="AN212" s="132">
        <f t="shared" si="219"/>
        <v>1318</v>
      </c>
      <c r="AO212" s="26"/>
      <c r="AP212" s="26"/>
      <c r="AQ212" s="27"/>
      <c r="AR212" s="27"/>
      <c r="AS212" s="27"/>
      <c r="AT212" s="27"/>
      <c r="AU212" s="27"/>
      <c r="AV212" s="27"/>
      <c r="AW212" s="26"/>
      <c r="AX212" s="26"/>
      <c r="AY212" s="26"/>
      <c r="AZ212" s="26"/>
      <c r="BA212" s="26"/>
      <c r="BB212" s="26"/>
      <c r="BC212" s="26"/>
      <c r="BD212" s="26"/>
      <c r="BE212" s="26"/>
      <c r="BF212" s="26"/>
      <c r="BG212" s="26"/>
      <c r="BH212" s="26"/>
      <c r="BI212" s="26"/>
    </row>
    <row r="213" spans="1:61" ht="28.5" customHeight="1">
      <c r="A213" s="1"/>
      <c r="B213" s="290"/>
      <c r="C213" s="291"/>
      <c r="D213" s="2"/>
      <c r="E213" s="2"/>
      <c r="F213" s="2"/>
      <c r="G213" s="2"/>
      <c r="H213" s="2"/>
      <c r="I213" s="2"/>
      <c r="J213" s="2"/>
      <c r="K213" s="2"/>
      <c r="L213" s="2"/>
      <c r="M213" s="2"/>
      <c r="N213" s="292"/>
      <c r="O213" s="292"/>
      <c r="P213" s="2"/>
      <c r="Q213" s="2"/>
      <c r="R213" s="2"/>
      <c r="S213" s="293"/>
      <c r="T213" s="2"/>
      <c r="U213" s="2"/>
      <c r="V213" s="2"/>
      <c r="W213" s="2"/>
      <c r="X213" s="2"/>
      <c r="Y213" s="2"/>
      <c r="Z213" s="2"/>
      <c r="AA213" s="2"/>
      <c r="AB213" s="2"/>
      <c r="AC213" s="2"/>
      <c r="AD213" s="2"/>
      <c r="AE213" s="2"/>
      <c r="AF213" s="1"/>
      <c r="AG213" s="1"/>
      <c r="AH213" s="1"/>
      <c r="AI213" s="1"/>
      <c r="AJ213" s="1"/>
      <c r="AK213" s="1"/>
      <c r="AL213" s="1"/>
      <c r="AM213" s="1"/>
      <c r="AN213" s="1"/>
      <c r="AO213" s="1"/>
      <c r="AP213" s="1"/>
      <c r="AQ213" s="1"/>
      <c r="AR213" s="1"/>
      <c r="AS213" s="1"/>
      <c r="AT213" s="7"/>
      <c r="AU213" s="7"/>
      <c r="AV213" s="7"/>
      <c r="AW213" s="47"/>
      <c r="AX213" s="47"/>
      <c r="AY213" s="47"/>
      <c r="AZ213" s="47"/>
      <c r="BA213" s="47"/>
      <c r="BB213" s="47"/>
      <c r="BC213" s="47"/>
      <c r="BD213" s="47"/>
      <c r="BE213" s="47"/>
      <c r="BF213" s="47"/>
      <c r="BG213" s="47"/>
      <c r="BH213" s="47"/>
      <c r="BI213" s="47"/>
    </row>
    <row r="214" spans="1:61" ht="28.5" customHeight="1">
      <c r="A214" s="26"/>
      <c r="B214" s="189"/>
      <c r="C214" s="134">
        <v>45878</v>
      </c>
      <c r="D214" s="190" t="s">
        <v>0</v>
      </c>
      <c r="E214" s="190" t="s">
        <v>1</v>
      </c>
      <c r="F214" s="190" t="s">
        <v>2</v>
      </c>
      <c r="G214" s="190" t="s">
        <v>3</v>
      </c>
      <c r="H214" s="191" t="s">
        <v>4</v>
      </c>
      <c r="I214" s="192" t="s">
        <v>5</v>
      </c>
      <c r="J214" s="192" t="s">
        <v>90</v>
      </c>
      <c r="K214" s="193"/>
      <c r="L214" s="193" t="s">
        <v>6</v>
      </c>
      <c r="M214" s="194" t="s">
        <v>7</v>
      </c>
      <c r="N214" s="123"/>
      <c r="O214" s="123" t="s">
        <v>8</v>
      </c>
      <c r="P214" s="123" t="s">
        <v>9</v>
      </c>
      <c r="Q214" s="15" t="s">
        <v>10</v>
      </c>
      <c r="R214" s="123" t="s">
        <v>92</v>
      </c>
      <c r="S214" s="196" t="s">
        <v>11</v>
      </c>
      <c r="T214" s="17" t="s">
        <v>12</v>
      </c>
      <c r="U214" s="17" t="s">
        <v>13</v>
      </c>
      <c r="V214" s="17" t="s">
        <v>14</v>
      </c>
      <c r="W214" s="17" t="s">
        <v>15</v>
      </c>
      <c r="X214" s="17" t="s">
        <v>16</v>
      </c>
      <c r="Y214" s="17" t="s">
        <v>17</v>
      </c>
      <c r="Z214" s="19" t="s">
        <v>18</v>
      </c>
      <c r="AA214" s="19" t="s">
        <v>19</v>
      </c>
      <c r="AB214" s="20" t="s">
        <v>20</v>
      </c>
      <c r="AC214" s="22" t="s">
        <v>93</v>
      </c>
      <c r="AD214" s="197" t="s">
        <v>21</v>
      </c>
      <c r="AE214" s="21" t="s">
        <v>22</v>
      </c>
      <c r="AF214" s="23" t="s">
        <v>23</v>
      </c>
      <c r="AG214" s="23" t="s">
        <v>21</v>
      </c>
      <c r="AH214" s="23" t="s">
        <v>24</v>
      </c>
      <c r="AI214" s="24" t="s">
        <v>26</v>
      </c>
      <c r="AJ214" s="23" t="s">
        <v>27</v>
      </c>
      <c r="AK214" s="21" t="s">
        <v>147</v>
      </c>
      <c r="AL214" s="282" t="s">
        <v>148</v>
      </c>
      <c r="AM214" s="124" t="s">
        <v>94</v>
      </c>
      <c r="AN214" s="125" t="s">
        <v>95</v>
      </c>
      <c r="AO214" s="26"/>
      <c r="AP214" s="26"/>
      <c r="AQ214" s="27"/>
      <c r="AR214" s="27"/>
      <c r="AS214" s="27"/>
      <c r="AT214" s="27"/>
      <c r="AU214" s="27"/>
      <c r="AV214" s="27"/>
      <c r="AW214" s="26"/>
      <c r="AX214" s="26"/>
      <c r="AY214" s="26"/>
      <c r="AZ214" s="26"/>
      <c r="BA214" s="26"/>
      <c r="BB214" s="26"/>
      <c r="BC214" s="26"/>
      <c r="BD214" s="26"/>
      <c r="BE214" s="26"/>
      <c r="BF214" s="26"/>
      <c r="BG214" s="26"/>
      <c r="BH214" s="26"/>
      <c r="BI214" s="26"/>
    </row>
    <row r="215" spans="1:61" ht="28.5" customHeight="1">
      <c r="A215" s="26"/>
      <c r="B215" s="200"/>
      <c r="C215" s="42" t="s">
        <v>107</v>
      </c>
      <c r="D215" s="28">
        <f t="shared" ref="D215:D237" si="220">E215-F215</f>
        <v>0.17113234287776338</v>
      </c>
      <c r="E215" s="201">
        <v>0.39700000000000002</v>
      </c>
      <c r="F215" s="30">
        <f t="shared" ref="F215:F237" si="221">(Z215+AC215)/V215</f>
        <v>0.22586765712223664</v>
      </c>
      <c r="G215" s="30">
        <f t="shared" ref="G215:G237" si="222">R215/AN215</f>
        <v>9.1856677524429969E-2</v>
      </c>
      <c r="H215" s="48"/>
      <c r="I215" s="48"/>
      <c r="J215" s="48"/>
      <c r="K215" s="48"/>
      <c r="L215" s="48"/>
      <c r="M215" s="48"/>
      <c r="N215" s="36"/>
      <c r="O215" s="36">
        <v>173</v>
      </c>
      <c r="P215" s="31">
        <f t="shared" ref="P215:P237" si="223">O215-S215</f>
        <v>173</v>
      </c>
      <c r="Q215" s="36">
        <v>12</v>
      </c>
      <c r="R215" s="167">
        <v>141</v>
      </c>
      <c r="S215" s="36"/>
      <c r="T215" s="34">
        <f t="shared" ref="T215:T237" si="224">W215*O215</f>
        <v>4544710</v>
      </c>
      <c r="U215" s="31">
        <f t="shared" ref="U215:U237" si="225">W215*S215</f>
        <v>0</v>
      </c>
      <c r="V215" s="34">
        <f t="shared" ref="V215:V237" si="226">T215-U215</f>
        <v>4544710</v>
      </c>
      <c r="W215" s="43">
        <v>26270</v>
      </c>
      <c r="X215" s="34">
        <f t="shared" ref="X215:X237" si="227">AL215*$A$2</f>
        <v>9891.84</v>
      </c>
      <c r="Y215" s="34">
        <f t="shared" ref="Y215:Y237" si="228">X215*P215</f>
        <v>1711288.3200000001</v>
      </c>
      <c r="Z215" s="34">
        <f t="shared" ref="Z215:Z237" si="229">AA215*1.1</f>
        <v>1000439.0000000001</v>
      </c>
      <c r="AA215" s="48">
        <v>909490</v>
      </c>
      <c r="AB215" s="36"/>
      <c r="AC215" s="204">
        <f t="shared" ref="AC215:AC216" si="230">(1072+1100)*Q215</f>
        <v>26064</v>
      </c>
      <c r="AD215" s="152">
        <v>0.1</v>
      </c>
      <c r="AE215" s="31">
        <f>3050*(P215+S215)</f>
        <v>527650</v>
      </c>
      <c r="AF215" s="28">
        <f t="shared" ref="AF215:AF238" si="231">AD215+(AE215/V215)</f>
        <v>0.2161020175104682</v>
      </c>
      <c r="AG215" s="34">
        <f t="shared" ref="AG215:AG238" si="232">V215*AF215+3%</f>
        <v>982121.03</v>
      </c>
      <c r="AH215" s="34">
        <f t="shared" ref="AH215:AH238" si="233">(V215)*10%-(Y215+AG215)*10%</f>
        <v>185130.065</v>
      </c>
      <c r="AI215" s="34">
        <f t="shared" ref="AI215:AI238" si="234">V215-(Y215+AG215+AH215)</f>
        <v>1666170.585</v>
      </c>
      <c r="AJ215" s="46">
        <f t="shared" ref="AJ215:AJ237" si="235">AI215-Z215</f>
        <v>665731.58499999985</v>
      </c>
      <c r="AK215" s="40">
        <v>40</v>
      </c>
      <c r="AL215" s="41">
        <f t="shared" ref="AL215:AL237" si="236">(AK215*1.15)*1.12</f>
        <v>51.52</v>
      </c>
      <c r="AM215" s="36">
        <v>403859</v>
      </c>
      <c r="AN215" s="284">
        <v>1535</v>
      </c>
      <c r="AO215" s="26"/>
      <c r="AP215" s="26"/>
      <c r="AQ215" s="27"/>
      <c r="AR215" s="27"/>
      <c r="AS215" s="27"/>
      <c r="AT215" s="27"/>
      <c r="AU215" s="27"/>
      <c r="AV215" s="27"/>
      <c r="AW215" s="26"/>
      <c r="AX215" s="26"/>
      <c r="AY215" s="26"/>
      <c r="AZ215" s="26"/>
      <c r="BA215" s="26"/>
      <c r="BB215" s="26"/>
      <c r="BC215" s="26"/>
      <c r="BD215" s="26"/>
      <c r="BE215" s="26"/>
      <c r="BF215" s="26"/>
      <c r="BG215" s="26"/>
      <c r="BH215" s="26"/>
      <c r="BI215" s="26"/>
    </row>
    <row r="216" spans="1:61" ht="28.5" customHeight="1">
      <c r="A216" s="26"/>
      <c r="B216" s="200"/>
      <c r="C216" s="42" t="s">
        <v>108</v>
      </c>
      <c r="D216" s="28">
        <f t="shared" si="220"/>
        <v>0.25876855895196504</v>
      </c>
      <c r="E216" s="201">
        <v>0.379</v>
      </c>
      <c r="F216" s="30">
        <f t="shared" si="221"/>
        <v>0.12023144104803495</v>
      </c>
      <c r="G216" s="30">
        <f t="shared" si="222"/>
        <v>7.6923076923076927E-2</v>
      </c>
      <c r="H216" s="48"/>
      <c r="I216" s="48"/>
      <c r="J216" s="48"/>
      <c r="K216" s="210"/>
      <c r="L216" s="210"/>
      <c r="M216" s="210"/>
      <c r="N216" s="36"/>
      <c r="O216" s="36">
        <v>2</v>
      </c>
      <c r="P216" s="31">
        <f t="shared" si="223"/>
        <v>2</v>
      </c>
      <c r="Q216" s="36">
        <v>0</v>
      </c>
      <c r="R216" s="167">
        <v>2</v>
      </c>
      <c r="S216" s="36"/>
      <c r="T216" s="34">
        <f t="shared" si="224"/>
        <v>45800</v>
      </c>
      <c r="U216" s="31">
        <f t="shared" si="225"/>
        <v>0</v>
      </c>
      <c r="V216" s="34">
        <f t="shared" si="226"/>
        <v>45800</v>
      </c>
      <c r="W216" s="43">
        <v>22900</v>
      </c>
      <c r="X216" s="34">
        <f t="shared" si="227"/>
        <v>7913.4719999999998</v>
      </c>
      <c r="Y216" s="34">
        <f t="shared" si="228"/>
        <v>15826.944</v>
      </c>
      <c r="Z216" s="34">
        <f t="shared" si="229"/>
        <v>5506.6</v>
      </c>
      <c r="AA216" s="48">
        <v>5006</v>
      </c>
      <c r="AB216" s="36"/>
      <c r="AC216" s="204">
        <f t="shared" si="230"/>
        <v>0</v>
      </c>
      <c r="AD216" s="152">
        <v>0.1</v>
      </c>
      <c r="AE216" s="31">
        <f>2950*(P216+S216)</f>
        <v>5900</v>
      </c>
      <c r="AF216" s="28">
        <f t="shared" si="231"/>
        <v>0.22882096069868996</v>
      </c>
      <c r="AG216" s="34">
        <f t="shared" si="232"/>
        <v>10480.030000000001</v>
      </c>
      <c r="AH216" s="34">
        <f t="shared" si="233"/>
        <v>1949.3025999999995</v>
      </c>
      <c r="AI216" s="34">
        <f t="shared" si="234"/>
        <v>17543.723399999999</v>
      </c>
      <c r="AJ216" s="46">
        <f t="shared" si="235"/>
        <v>12037.123399999999</v>
      </c>
      <c r="AK216" s="40">
        <v>32</v>
      </c>
      <c r="AL216" s="41">
        <f t="shared" si="236"/>
        <v>41.216000000000001</v>
      </c>
      <c r="AM216" s="36">
        <v>16306</v>
      </c>
      <c r="AN216" s="284">
        <v>26</v>
      </c>
      <c r="AO216" s="26"/>
      <c r="AP216" s="26"/>
      <c r="AQ216" s="27"/>
      <c r="AR216" s="27"/>
      <c r="AS216" s="27"/>
      <c r="AT216" s="27"/>
      <c r="AU216" s="27"/>
      <c r="AV216" s="27"/>
      <c r="AW216" s="26"/>
      <c r="AX216" s="26"/>
      <c r="AY216" s="26"/>
      <c r="AZ216" s="26"/>
      <c r="BA216" s="26"/>
      <c r="BB216" s="26"/>
      <c r="BC216" s="26"/>
      <c r="BD216" s="26"/>
      <c r="BE216" s="26"/>
      <c r="BF216" s="26"/>
      <c r="BG216" s="26"/>
      <c r="BH216" s="26"/>
      <c r="BI216" s="26"/>
    </row>
    <row r="217" spans="1:61" ht="28.5" customHeight="1">
      <c r="A217" s="336"/>
      <c r="B217" s="323"/>
      <c r="C217" s="42" t="s">
        <v>109</v>
      </c>
      <c r="D217" s="28">
        <f t="shared" si="220"/>
        <v>0.15971396396396392</v>
      </c>
      <c r="E217" s="201">
        <v>0.373</v>
      </c>
      <c r="F217" s="30">
        <f t="shared" si="221"/>
        <v>0.21328603603603608</v>
      </c>
      <c r="G217" s="30">
        <f t="shared" si="222"/>
        <v>3.2258064516129031E-2</v>
      </c>
      <c r="H217" s="48"/>
      <c r="I217" s="48"/>
      <c r="J217" s="48"/>
      <c r="K217" s="48"/>
      <c r="L217" s="334"/>
      <c r="M217" s="48"/>
      <c r="N217" s="36"/>
      <c r="O217" s="36">
        <v>2</v>
      </c>
      <c r="P217" s="31">
        <f t="shared" si="223"/>
        <v>2</v>
      </c>
      <c r="Q217" s="36">
        <v>0</v>
      </c>
      <c r="R217" s="167">
        <v>1</v>
      </c>
      <c r="S217" s="36"/>
      <c r="T217" s="34">
        <f t="shared" si="224"/>
        <v>88800</v>
      </c>
      <c r="U217" s="31">
        <f t="shared" si="225"/>
        <v>0</v>
      </c>
      <c r="V217" s="34">
        <f t="shared" si="226"/>
        <v>88800</v>
      </c>
      <c r="W217" s="43">
        <v>44400</v>
      </c>
      <c r="X217" s="34">
        <f t="shared" si="227"/>
        <v>16989.235200000003</v>
      </c>
      <c r="Y217" s="34">
        <f t="shared" si="228"/>
        <v>33978.470400000006</v>
      </c>
      <c r="Z217" s="34">
        <f t="shared" si="229"/>
        <v>18939.800000000003</v>
      </c>
      <c r="AA217" s="48">
        <v>17218</v>
      </c>
      <c r="AB217" s="36"/>
      <c r="AC217" s="204">
        <f t="shared" ref="AC217:AC237" si="237">(1210+1100)*Q217</f>
        <v>0</v>
      </c>
      <c r="AD217" s="152">
        <v>0.11</v>
      </c>
      <c r="AE217" s="31">
        <f t="shared" ref="AE217:AE218" si="238">4150*(P217+S217)</f>
        <v>8300</v>
      </c>
      <c r="AF217" s="28">
        <f t="shared" si="231"/>
        <v>0.20346846846846847</v>
      </c>
      <c r="AG217" s="34">
        <f t="shared" si="232"/>
        <v>18068.03</v>
      </c>
      <c r="AH217" s="34">
        <f t="shared" si="233"/>
        <v>3675.3499599999996</v>
      </c>
      <c r="AI217" s="34">
        <f t="shared" si="234"/>
        <v>33078.149639999996</v>
      </c>
      <c r="AJ217" s="46">
        <f t="shared" si="235"/>
        <v>14138.349639999993</v>
      </c>
      <c r="AK217" s="40">
        <v>68.7</v>
      </c>
      <c r="AL217" s="41">
        <f t="shared" si="236"/>
        <v>88.485600000000005</v>
      </c>
      <c r="AM217" s="36">
        <v>22548</v>
      </c>
      <c r="AN217" s="284">
        <v>31</v>
      </c>
      <c r="AO217" s="26"/>
      <c r="AP217" s="26"/>
      <c r="AQ217" s="27"/>
      <c r="AR217" s="27"/>
      <c r="AS217" s="27"/>
      <c r="AT217" s="27"/>
      <c r="AU217" s="27"/>
      <c r="AV217" s="27"/>
      <c r="AW217" s="26"/>
      <c r="AX217" s="26"/>
      <c r="AY217" s="26"/>
      <c r="AZ217" s="26"/>
      <c r="BA217" s="26"/>
      <c r="BB217" s="26"/>
      <c r="BC217" s="26"/>
      <c r="BD217" s="26"/>
      <c r="BE217" s="26"/>
      <c r="BF217" s="26"/>
      <c r="BG217" s="26"/>
      <c r="BH217" s="26"/>
      <c r="BI217" s="26"/>
    </row>
    <row r="218" spans="1:61" ht="28.5" customHeight="1">
      <c r="A218" s="311"/>
      <c r="B218" s="324"/>
      <c r="C218" s="42" t="s">
        <v>110</v>
      </c>
      <c r="D218" s="28">
        <f t="shared" si="220"/>
        <v>-0.14604594017094025</v>
      </c>
      <c r="E218" s="201">
        <v>0.29499999999999998</v>
      </c>
      <c r="F218" s="30">
        <f t="shared" si="221"/>
        <v>0.44104594017094023</v>
      </c>
      <c r="G218" s="30" t="e">
        <f t="shared" si="222"/>
        <v>#DIV/0!</v>
      </c>
      <c r="H218" s="48"/>
      <c r="I218" s="48"/>
      <c r="J218" s="48"/>
      <c r="K218" s="48"/>
      <c r="L218" s="310"/>
      <c r="M218" s="48"/>
      <c r="N218" s="36"/>
      <c r="O218" s="36">
        <v>6</v>
      </c>
      <c r="P218" s="31">
        <f t="shared" si="223"/>
        <v>6</v>
      </c>
      <c r="Q218" s="36">
        <v>1</v>
      </c>
      <c r="R218" s="167"/>
      <c r="S218" s="36"/>
      <c r="T218" s="34">
        <f t="shared" si="224"/>
        <v>280800</v>
      </c>
      <c r="U218" s="31">
        <f t="shared" si="225"/>
        <v>0</v>
      </c>
      <c r="V218" s="34">
        <f t="shared" si="226"/>
        <v>280800</v>
      </c>
      <c r="W218" s="43">
        <v>46800</v>
      </c>
      <c r="X218" s="34">
        <f t="shared" si="227"/>
        <v>22182.451200000003</v>
      </c>
      <c r="Y218" s="34">
        <f t="shared" si="228"/>
        <v>133094.7072</v>
      </c>
      <c r="Z218" s="34">
        <f t="shared" si="229"/>
        <v>121535.70000000001</v>
      </c>
      <c r="AA218" s="48">
        <v>110487</v>
      </c>
      <c r="AB218" s="36"/>
      <c r="AC218" s="204">
        <f t="shared" si="237"/>
        <v>2310</v>
      </c>
      <c r="AD218" s="152">
        <v>0.11</v>
      </c>
      <c r="AE218" s="31">
        <f t="shared" si="238"/>
        <v>24900</v>
      </c>
      <c r="AF218" s="28">
        <f t="shared" si="231"/>
        <v>0.19867521367521368</v>
      </c>
      <c r="AG218" s="34">
        <f t="shared" si="232"/>
        <v>55788.03</v>
      </c>
      <c r="AH218" s="34">
        <f t="shared" si="233"/>
        <v>9191.726279999999</v>
      </c>
      <c r="AI218" s="34">
        <f t="shared" si="234"/>
        <v>82725.536519999994</v>
      </c>
      <c r="AJ218" s="46">
        <f t="shared" si="235"/>
        <v>-38810.163480000017</v>
      </c>
      <c r="AK218" s="40">
        <v>89.7</v>
      </c>
      <c r="AL218" s="41">
        <f t="shared" si="236"/>
        <v>115.53360000000001</v>
      </c>
      <c r="AN218" s="284"/>
      <c r="AO218" s="26"/>
      <c r="AP218" s="26"/>
      <c r="AQ218" s="27"/>
      <c r="AR218" s="27"/>
      <c r="AS218" s="27"/>
      <c r="AT218" s="27"/>
      <c r="AU218" s="27"/>
      <c r="AV218" s="27"/>
      <c r="AW218" s="26"/>
      <c r="AX218" s="26"/>
      <c r="AY218" s="26"/>
      <c r="AZ218" s="26"/>
      <c r="BA218" s="26"/>
      <c r="BB218" s="26"/>
      <c r="BC218" s="26"/>
      <c r="BD218" s="26"/>
      <c r="BE218" s="26"/>
      <c r="BF218" s="26"/>
      <c r="BG218" s="26"/>
      <c r="BH218" s="26"/>
      <c r="BI218" s="26"/>
    </row>
    <row r="219" spans="1:61" ht="28.5" customHeight="1">
      <c r="A219" s="26"/>
      <c r="B219" s="323"/>
      <c r="C219" s="42" t="s">
        <v>32</v>
      </c>
      <c r="D219" s="28">
        <f t="shared" si="220"/>
        <v>4.2137681159420293E-2</v>
      </c>
      <c r="E219" s="201">
        <v>0.41</v>
      </c>
      <c r="F219" s="30">
        <f t="shared" si="221"/>
        <v>0.36786231884057968</v>
      </c>
      <c r="G219" s="30" t="e">
        <f t="shared" si="222"/>
        <v>#DIV/0!</v>
      </c>
      <c r="H219" s="33"/>
      <c r="I219" s="48"/>
      <c r="J219" s="48"/>
      <c r="K219" s="48"/>
      <c r="L219" s="334"/>
      <c r="M219" s="48"/>
      <c r="N219" s="36"/>
      <c r="O219" s="36">
        <v>11</v>
      </c>
      <c r="P219" s="31">
        <f t="shared" si="223"/>
        <v>6</v>
      </c>
      <c r="Q219" s="36">
        <v>0</v>
      </c>
      <c r="R219" s="167"/>
      <c r="S219" s="36">
        <v>5</v>
      </c>
      <c r="T219" s="34">
        <f t="shared" si="224"/>
        <v>657800</v>
      </c>
      <c r="U219" s="31">
        <f t="shared" si="225"/>
        <v>299000</v>
      </c>
      <c r="V219" s="34">
        <f t="shared" si="226"/>
        <v>358800</v>
      </c>
      <c r="W219" s="43">
        <v>59800</v>
      </c>
      <c r="X219" s="34">
        <f t="shared" si="227"/>
        <v>21143.807999999997</v>
      </c>
      <c r="Y219" s="34">
        <f t="shared" si="228"/>
        <v>126862.84799999998</v>
      </c>
      <c r="Z219" s="34">
        <f t="shared" si="229"/>
        <v>131989</v>
      </c>
      <c r="AA219" s="48">
        <v>119990</v>
      </c>
      <c r="AB219" s="287">
        <f>((59800*0.015)+(59800*0.19)+2100+4950)*5</f>
        <v>96545</v>
      </c>
      <c r="AC219" s="204">
        <f t="shared" si="237"/>
        <v>0</v>
      </c>
      <c r="AD219" s="152">
        <v>0.108</v>
      </c>
      <c r="AE219" s="31">
        <f t="shared" ref="AE219:AE220" si="239">4825*(P219+S219)</f>
        <v>53075</v>
      </c>
      <c r="AF219" s="28">
        <f t="shared" si="231"/>
        <v>0.25592363433667781</v>
      </c>
      <c r="AG219" s="34">
        <f t="shared" si="232"/>
        <v>91825.43</v>
      </c>
      <c r="AH219" s="34">
        <f t="shared" si="233"/>
        <v>14011.172200000001</v>
      </c>
      <c r="AI219" s="34">
        <f t="shared" si="234"/>
        <v>126100.54980000001</v>
      </c>
      <c r="AJ219" s="46">
        <f t="shared" si="235"/>
        <v>-5888.450199999992</v>
      </c>
      <c r="AK219" s="40">
        <v>85.5</v>
      </c>
      <c r="AL219" s="41">
        <f t="shared" si="236"/>
        <v>110.124</v>
      </c>
      <c r="AM219" s="36"/>
      <c r="AN219" s="284"/>
      <c r="AO219" s="26"/>
      <c r="AP219" s="26"/>
      <c r="AQ219" s="27"/>
      <c r="AR219" s="27"/>
      <c r="AS219" s="27"/>
      <c r="AT219" s="27"/>
      <c r="AU219" s="27"/>
      <c r="AV219" s="27"/>
      <c r="AW219" s="26"/>
      <c r="AX219" s="26"/>
      <c r="AY219" s="26"/>
      <c r="AZ219" s="26"/>
      <c r="BA219" s="26"/>
      <c r="BB219" s="26"/>
      <c r="BC219" s="26"/>
      <c r="BD219" s="26"/>
      <c r="BE219" s="26"/>
      <c r="BF219" s="26"/>
      <c r="BG219" s="26"/>
      <c r="BH219" s="26"/>
      <c r="BI219" s="26"/>
    </row>
    <row r="220" spans="1:61" ht="28.5" customHeight="1">
      <c r="A220" s="26"/>
      <c r="B220" s="333"/>
      <c r="C220" s="42" t="s">
        <v>33</v>
      </c>
      <c r="D220" s="28">
        <f t="shared" si="220"/>
        <v>0.18100859722023213</v>
      </c>
      <c r="E220" s="201">
        <v>0.40100000000000002</v>
      </c>
      <c r="F220" s="30">
        <f t="shared" si="221"/>
        <v>0.21999140277976789</v>
      </c>
      <c r="G220" s="30" t="e">
        <f t="shared" si="222"/>
        <v>#DIV/0!</v>
      </c>
      <c r="H220" s="48"/>
      <c r="I220" s="48"/>
      <c r="J220" s="48"/>
      <c r="K220" s="48"/>
      <c r="L220" s="310"/>
      <c r="M220" s="48"/>
      <c r="N220" s="36"/>
      <c r="O220" s="36">
        <v>11</v>
      </c>
      <c r="P220" s="31">
        <f t="shared" si="223"/>
        <v>11</v>
      </c>
      <c r="Q220" s="36">
        <v>6</v>
      </c>
      <c r="R220" s="167"/>
      <c r="S220" s="36"/>
      <c r="T220" s="34">
        <f t="shared" si="224"/>
        <v>767690</v>
      </c>
      <c r="U220" s="31">
        <f t="shared" si="225"/>
        <v>0</v>
      </c>
      <c r="V220" s="34">
        <f t="shared" si="226"/>
        <v>767690</v>
      </c>
      <c r="W220" s="43">
        <v>69790</v>
      </c>
      <c r="X220" s="34">
        <f t="shared" si="227"/>
        <v>26337.023999999998</v>
      </c>
      <c r="Y220" s="34">
        <f t="shared" si="228"/>
        <v>289707.26399999997</v>
      </c>
      <c r="Z220" s="34">
        <f t="shared" si="229"/>
        <v>155025.20000000001</v>
      </c>
      <c r="AA220" s="48">
        <v>140932</v>
      </c>
      <c r="AB220" s="36"/>
      <c r="AC220" s="204">
        <f t="shared" si="237"/>
        <v>13860</v>
      </c>
      <c r="AD220" s="152">
        <v>0.108</v>
      </c>
      <c r="AE220" s="31">
        <f t="shared" si="239"/>
        <v>53075</v>
      </c>
      <c r="AF220" s="28">
        <f t="shared" si="231"/>
        <v>0.17713597936667144</v>
      </c>
      <c r="AG220" s="34">
        <f t="shared" si="232"/>
        <v>135985.54999999999</v>
      </c>
      <c r="AH220" s="34">
        <f t="shared" si="233"/>
        <v>34199.7186</v>
      </c>
      <c r="AI220" s="34">
        <f t="shared" si="234"/>
        <v>307797.46740000002</v>
      </c>
      <c r="AJ220" s="46">
        <f t="shared" si="235"/>
        <v>152772.26740000001</v>
      </c>
      <c r="AK220" s="40">
        <v>106.5</v>
      </c>
      <c r="AL220" s="41">
        <f t="shared" si="236"/>
        <v>137.172</v>
      </c>
      <c r="AM220" s="36"/>
      <c r="AN220" s="284"/>
      <c r="AO220" s="26"/>
      <c r="AP220" s="26"/>
      <c r="AQ220" s="27"/>
      <c r="AR220" s="27"/>
      <c r="AS220" s="27"/>
      <c r="AT220" s="27"/>
      <c r="AU220" s="27"/>
      <c r="AV220" s="27"/>
      <c r="AW220" s="26"/>
      <c r="AX220" s="26"/>
      <c r="AY220" s="26"/>
      <c r="AZ220" s="26"/>
      <c r="BA220" s="26"/>
      <c r="BB220" s="26"/>
      <c r="BC220" s="26"/>
      <c r="BD220" s="26"/>
      <c r="BE220" s="26"/>
      <c r="BF220" s="26"/>
      <c r="BG220" s="26"/>
      <c r="BH220" s="26"/>
      <c r="BI220" s="26"/>
    </row>
    <row r="221" spans="1:61" ht="28.5" customHeight="1">
      <c r="A221" s="26"/>
      <c r="B221" s="333"/>
      <c r="C221" s="42" t="s">
        <v>149</v>
      </c>
      <c r="D221" s="28">
        <f t="shared" si="220"/>
        <v>7.2211604095563153E-2</v>
      </c>
      <c r="E221" s="201">
        <v>0.40100000000000002</v>
      </c>
      <c r="F221" s="30">
        <f t="shared" si="221"/>
        <v>0.32878839590443687</v>
      </c>
      <c r="G221" s="30" t="e">
        <f t="shared" si="222"/>
        <v>#DIV/0!</v>
      </c>
      <c r="H221" s="48"/>
      <c r="I221" s="48"/>
      <c r="J221" s="48"/>
      <c r="K221" s="48"/>
      <c r="L221" s="334"/>
      <c r="M221" s="48"/>
      <c r="N221" s="36"/>
      <c r="O221" s="36">
        <v>4</v>
      </c>
      <c r="P221" s="31">
        <f t="shared" si="223"/>
        <v>4</v>
      </c>
      <c r="Q221" s="36">
        <v>0</v>
      </c>
      <c r="R221" s="167"/>
      <c r="S221" s="36"/>
      <c r="T221" s="34">
        <f t="shared" si="224"/>
        <v>386760</v>
      </c>
      <c r="U221" s="31">
        <f t="shared" si="225"/>
        <v>0</v>
      </c>
      <c r="V221" s="34">
        <f t="shared" si="226"/>
        <v>386760</v>
      </c>
      <c r="W221" s="43">
        <v>96690</v>
      </c>
      <c r="X221" s="34">
        <f t="shared" si="227"/>
        <v>36723.455999999998</v>
      </c>
      <c r="Y221" s="34">
        <f t="shared" si="228"/>
        <v>146893.82399999999</v>
      </c>
      <c r="Z221" s="34">
        <f t="shared" si="229"/>
        <v>127162.20000000001</v>
      </c>
      <c r="AA221" s="48">
        <v>115602</v>
      </c>
      <c r="AB221" s="36"/>
      <c r="AC221" s="204">
        <f t="shared" si="237"/>
        <v>0</v>
      </c>
      <c r="AD221" s="152">
        <v>0.108</v>
      </c>
      <c r="AE221" s="31">
        <f t="shared" ref="AE221:AE222" si="240">6200*(P221+S221)</f>
        <v>24800</v>
      </c>
      <c r="AF221" s="28">
        <f t="shared" si="231"/>
        <v>0.17212245320095149</v>
      </c>
      <c r="AG221" s="34">
        <f t="shared" si="232"/>
        <v>66570.11</v>
      </c>
      <c r="AH221" s="34">
        <f t="shared" si="233"/>
        <v>17329.606599999999</v>
      </c>
      <c r="AI221" s="34">
        <f t="shared" si="234"/>
        <v>155966.45939999999</v>
      </c>
      <c r="AJ221" s="46">
        <f t="shared" si="235"/>
        <v>28804.259399999981</v>
      </c>
      <c r="AK221" s="40">
        <v>148.5</v>
      </c>
      <c r="AL221" s="41">
        <f t="shared" si="236"/>
        <v>191.268</v>
      </c>
      <c r="AM221" s="36"/>
      <c r="AN221" s="284"/>
      <c r="AO221" s="26"/>
      <c r="AP221" s="26"/>
      <c r="AQ221" s="27"/>
      <c r="AR221" s="27"/>
      <c r="AS221" s="27"/>
      <c r="AT221" s="27"/>
      <c r="AU221" s="27"/>
      <c r="AV221" s="27"/>
      <c r="AW221" s="26"/>
      <c r="AX221" s="26"/>
      <c r="AY221" s="26"/>
      <c r="AZ221" s="26"/>
      <c r="BA221" s="26"/>
      <c r="BB221" s="26"/>
      <c r="BC221" s="26"/>
      <c r="BD221" s="26"/>
      <c r="BE221" s="26"/>
      <c r="BF221" s="26"/>
      <c r="BG221" s="26"/>
      <c r="BH221" s="26"/>
      <c r="BI221" s="26"/>
    </row>
    <row r="222" spans="1:61" ht="28.5" customHeight="1">
      <c r="A222" s="26"/>
      <c r="B222" s="324"/>
      <c r="C222" s="42" t="s">
        <v>150</v>
      </c>
      <c r="D222" s="28">
        <f t="shared" si="220"/>
        <v>0.14769052073589023</v>
      </c>
      <c r="E222" s="201">
        <v>0.39600000000000002</v>
      </c>
      <c r="F222" s="30">
        <f t="shared" si="221"/>
        <v>0.24830947926410979</v>
      </c>
      <c r="G222" s="30" t="e">
        <f t="shared" si="222"/>
        <v>#DIV/0!</v>
      </c>
      <c r="H222" s="48"/>
      <c r="I222" s="283"/>
      <c r="J222" s="48"/>
      <c r="K222" s="48"/>
      <c r="L222" s="310"/>
      <c r="M222" s="48"/>
      <c r="N222" s="36"/>
      <c r="O222" s="36">
        <v>6</v>
      </c>
      <c r="P222" s="31">
        <f t="shared" si="223"/>
        <v>6</v>
      </c>
      <c r="Q222" s="36">
        <v>3</v>
      </c>
      <c r="R222" s="167"/>
      <c r="S222" s="36"/>
      <c r="T222" s="34">
        <f t="shared" si="224"/>
        <v>641400</v>
      </c>
      <c r="U222" s="31">
        <f t="shared" si="225"/>
        <v>0</v>
      </c>
      <c r="V222" s="34">
        <f t="shared" si="226"/>
        <v>641400</v>
      </c>
      <c r="W222" s="43">
        <v>106900</v>
      </c>
      <c r="X222" s="34">
        <f t="shared" si="227"/>
        <v>41916.671999999999</v>
      </c>
      <c r="Y222" s="34">
        <f t="shared" si="228"/>
        <v>251500.03200000001</v>
      </c>
      <c r="Z222" s="34">
        <f t="shared" si="229"/>
        <v>152335.70000000001</v>
      </c>
      <c r="AA222" s="48">
        <v>138487</v>
      </c>
      <c r="AB222" s="36"/>
      <c r="AC222" s="204">
        <f t="shared" si="237"/>
        <v>6930</v>
      </c>
      <c r="AD222" s="152">
        <v>0.108</v>
      </c>
      <c r="AE222" s="31">
        <f t="shared" si="240"/>
        <v>37200</v>
      </c>
      <c r="AF222" s="28">
        <f t="shared" si="231"/>
        <v>0.16599812909260991</v>
      </c>
      <c r="AG222" s="34">
        <f t="shared" si="232"/>
        <v>106471.23</v>
      </c>
      <c r="AH222" s="34">
        <f t="shared" si="233"/>
        <v>28342.873800000001</v>
      </c>
      <c r="AI222" s="34">
        <f t="shared" si="234"/>
        <v>255085.86420000001</v>
      </c>
      <c r="AJ222" s="46">
        <f t="shared" si="235"/>
        <v>102750.1642</v>
      </c>
      <c r="AK222" s="40">
        <v>169.5</v>
      </c>
      <c r="AL222" s="41">
        <f t="shared" si="236"/>
        <v>218.316</v>
      </c>
      <c r="AM222" s="36"/>
      <c r="AN222" s="284"/>
      <c r="AO222" s="26"/>
      <c r="AP222" s="26"/>
      <c r="AQ222" s="27"/>
      <c r="AR222" s="27"/>
      <c r="AS222" s="27"/>
      <c r="AT222" s="27"/>
      <c r="AU222" s="27"/>
      <c r="AV222" s="27"/>
      <c r="AW222" s="26"/>
      <c r="AX222" s="26"/>
      <c r="AY222" s="26"/>
      <c r="AZ222" s="26"/>
      <c r="BA222" s="26"/>
      <c r="BB222" s="26"/>
      <c r="BC222" s="26"/>
      <c r="BD222" s="26"/>
      <c r="BE222" s="26"/>
      <c r="BF222" s="26"/>
      <c r="BG222" s="26"/>
      <c r="BH222" s="26"/>
      <c r="BI222" s="26"/>
    </row>
    <row r="223" spans="1:61" ht="28.5" customHeight="1">
      <c r="A223" s="26"/>
      <c r="B223" s="200"/>
      <c r="C223" s="42" t="s">
        <v>111</v>
      </c>
      <c r="D223" s="28">
        <f t="shared" si="220"/>
        <v>1.1846153846153784E-2</v>
      </c>
      <c r="E223" s="201">
        <v>0.378</v>
      </c>
      <c r="F223" s="30">
        <f t="shared" si="221"/>
        <v>0.36615384615384622</v>
      </c>
      <c r="G223" s="30" t="e">
        <f t="shared" si="222"/>
        <v>#DIV/0!</v>
      </c>
      <c r="H223" s="48"/>
      <c r="I223" s="48"/>
      <c r="J223" s="48"/>
      <c r="K223" s="210"/>
      <c r="L223" s="210"/>
      <c r="M223" s="210"/>
      <c r="N223" s="36"/>
      <c r="O223" s="36">
        <v>9</v>
      </c>
      <c r="P223" s="31">
        <f t="shared" si="223"/>
        <v>4</v>
      </c>
      <c r="Q223" s="36">
        <v>0</v>
      </c>
      <c r="R223" s="167"/>
      <c r="S223" s="36">
        <v>5</v>
      </c>
      <c r="T223" s="34">
        <f t="shared" si="224"/>
        <v>154440</v>
      </c>
      <c r="U223" s="31">
        <f t="shared" si="225"/>
        <v>85800</v>
      </c>
      <c r="V223" s="34">
        <f t="shared" si="226"/>
        <v>68640</v>
      </c>
      <c r="W223" s="43">
        <v>17160</v>
      </c>
      <c r="X223" s="34">
        <f t="shared" si="227"/>
        <v>5687.8080000000009</v>
      </c>
      <c r="Y223" s="34">
        <f t="shared" si="228"/>
        <v>22751.232000000004</v>
      </c>
      <c r="Z223" s="34">
        <f t="shared" si="229"/>
        <v>25132.800000000003</v>
      </c>
      <c r="AA223" s="48">
        <v>22848</v>
      </c>
      <c r="AB223" s="287">
        <f>((17160*0.015)+(17160*0.25)+2100+4950)*5</f>
        <v>57987</v>
      </c>
      <c r="AC223" s="204">
        <f t="shared" si="237"/>
        <v>0</v>
      </c>
      <c r="AD223" s="152">
        <v>7.8E-2</v>
      </c>
      <c r="AE223" s="31">
        <f>2900*(P223+S223)</f>
        <v>26100</v>
      </c>
      <c r="AF223" s="28">
        <f t="shared" si="231"/>
        <v>0.45824475524475528</v>
      </c>
      <c r="AG223" s="34">
        <f t="shared" si="232"/>
        <v>31453.95</v>
      </c>
      <c r="AH223" s="34">
        <f t="shared" si="233"/>
        <v>1443.4817999999996</v>
      </c>
      <c r="AI223" s="34">
        <f t="shared" si="234"/>
        <v>12991.336199999998</v>
      </c>
      <c r="AJ223" s="46">
        <f t="shared" si="235"/>
        <v>-12141.463800000005</v>
      </c>
      <c r="AK223" s="40">
        <v>23</v>
      </c>
      <c r="AL223" s="41">
        <f t="shared" si="236"/>
        <v>29.624000000000002</v>
      </c>
      <c r="AM223" s="36"/>
      <c r="AN223" s="284"/>
      <c r="AO223" s="26"/>
      <c r="AP223" s="26"/>
      <c r="AQ223" s="27"/>
      <c r="AR223" s="27"/>
      <c r="AS223" s="27"/>
      <c r="AT223" s="27"/>
      <c r="AU223" s="27"/>
      <c r="AV223" s="27"/>
      <c r="AW223" s="26"/>
      <c r="AX223" s="26"/>
      <c r="AY223" s="26"/>
      <c r="AZ223" s="26"/>
      <c r="BA223" s="26"/>
      <c r="BB223" s="26"/>
      <c r="BC223" s="26"/>
      <c r="BD223" s="26"/>
      <c r="BE223" s="26"/>
      <c r="BF223" s="26"/>
      <c r="BG223" s="26"/>
      <c r="BH223" s="26"/>
      <c r="BI223" s="26"/>
    </row>
    <row r="224" spans="1:61" ht="28.5" customHeight="1">
      <c r="A224" s="26"/>
      <c r="B224" s="207"/>
      <c r="C224" s="42" t="s">
        <v>151</v>
      </c>
      <c r="D224" s="28">
        <f t="shared" si="220"/>
        <v>-7.7777777777776613E-4</v>
      </c>
      <c r="E224" s="201">
        <v>0.27700000000000002</v>
      </c>
      <c r="F224" s="30">
        <f t="shared" si="221"/>
        <v>0.27777777777777779</v>
      </c>
      <c r="G224" s="30" t="e">
        <f t="shared" si="222"/>
        <v>#DIV/0!</v>
      </c>
      <c r="H224" s="48"/>
      <c r="I224" s="48"/>
      <c r="J224" s="48"/>
      <c r="K224" s="210"/>
      <c r="L224" s="335"/>
      <c r="M224" s="210"/>
      <c r="N224" s="36"/>
      <c r="O224" s="36">
        <v>7</v>
      </c>
      <c r="P224" s="31">
        <f t="shared" si="223"/>
        <v>7</v>
      </c>
      <c r="Q224" s="36">
        <v>2</v>
      </c>
      <c r="R224" s="167"/>
      <c r="S224" s="36"/>
      <c r="T224" s="34">
        <f t="shared" si="224"/>
        <v>69300</v>
      </c>
      <c r="U224" s="31">
        <f t="shared" si="225"/>
        <v>0</v>
      </c>
      <c r="V224" s="34">
        <f t="shared" si="226"/>
        <v>69300</v>
      </c>
      <c r="W224" s="43">
        <v>9900</v>
      </c>
      <c r="X224" s="34">
        <f t="shared" si="227"/>
        <v>3462.1440000000002</v>
      </c>
      <c r="Y224" s="34">
        <f t="shared" si="228"/>
        <v>24235.008000000002</v>
      </c>
      <c r="Z224" s="34">
        <f t="shared" si="229"/>
        <v>14630.000000000002</v>
      </c>
      <c r="AA224" s="48">
        <v>13300</v>
      </c>
      <c r="AB224" s="287"/>
      <c r="AC224" s="204">
        <f t="shared" si="237"/>
        <v>4620</v>
      </c>
      <c r="AD224" s="152">
        <v>0.1</v>
      </c>
      <c r="AE224" s="31">
        <f>3275*(P224+S224)</f>
        <v>22925</v>
      </c>
      <c r="AF224" s="28">
        <f t="shared" si="231"/>
        <v>0.43080808080808086</v>
      </c>
      <c r="AG224" s="34">
        <f t="shared" si="232"/>
        <v>29855.030000000002</v>
      </c>
      <c r="AH224" s="34">
        <f t="shared" si="233"/>
        <v>1520.9961999999996</v>
      </c>
      <c r="AI224" s="34">
        <f t="shared" si="234"/>
        <v>13688.965799999998</v>
      </c>
      <c r="AJ224" s="46">
        <f t="shared" si="235"/>
        <v>-941.03420000000369</v>
      </c>
      <c r="AK224" s="40">
        <v>14</v>
      </c>
      <c r="AL224" s="41">
        <f t="shared" si="236"/>
        <v>18.032</v>
      </c>
      <c r="AM224" s="36"/>
      <c r="AN224" s="284"/>
      <c r="AO224" s="26"/>
      <c r="AP224" s="26"/>
      <c r="AQ224" s="27"/>
      <c r="AR224" s="27"/>
      <c r="AS224" s="27"/>
      <c r="AT224" s="27"/>
      <c r="AU224" s="27"/>
      <c r="AV224" s="27"/>
      <c r="AW224" s="26"/>
      <c r="AX224" s="26"/>
      <c r="AY224" s="26"/>
      <c r="AZ224" s="26"/>
      <c r="BA224" s="26"/>
      <c r="BB224" s="26"/>
      <c r="BC224" s="26"/>
      <c r="BD224" s="26"/>
      <c r="BE224" s="26"/>
      <c r="BF224" s="26"/>
      <c r="BG224" s="26"/>
      <c r="BH224" s="26"/>
      <c r="BI224" s="26"/>
    </row>
    <row r="225" spans="1:61" ht="28.5" customHeight="1">
      <c r="A225" s="26"/>
      <c r="B225" s="212"/>
      <c r="C225" s="42" t="s">
        <v>152</v>
      </c>
      <c r="D225" s="28">
        <f t="shared" si="220"/>
        <v>-0.14909082892416226</v>
      </c>
      <c r="E225" s="201">
        <v>0.34200000000000003</v>
      </c>
      <c r="F225" s="30">
        <f t="shared" si="221"/>
        <v>0.49109082892416228</v>
      </c>
      <c r="G225" s="30" t="e">
        <f t="shared" si="222"/>
        <v>#DIV/0!</v>
      </c>
      <c r="H225" s="48"/>
      <c r="I225" s="48"/>
      <c r="J225" s="48"/>
      <c r="K225" s="210"/>
      <c r="L225" s="310"/>
      <c r="M225" s="210"/>
      <c r="N225" s="36"/>
      <c r="O225" s="36">
        <v>6</v>
      </c>
      <c r="P225" s="31">
        <f t="shared" si="223"/>
        <v>6</v>
      </c>
      <c r="Q225" s="36">
        <v>1</v>
      </c>
      <c r="R225" s="167"/>
      <c r="S225" s="36"/>
      <c r="T225" s="34">
        <f t="shared" si="224"/>
        <v>113400</v>
      </c>
      <c r="U225" s="31">
        <f t="shared" si="225"/>
        <v>0</v>
      </c>
      <c r="V225" s="34">
        <f t="shared" si="226"/>
        <v>113400</v>
      </c>
      <c r="W225" s="43">
        <v>18900</v>
      </c>
      <c r="X225" s="34">
        <f t="shared" si="227"/>
        <v>6924.2880000000005</v>
      </c>
      <c r="Y225" s="34">
        <f t="shared" si="228"/>
        <v>41545.728000000003</v>
      </c>
      <c r="Z225" s="34">
        <f t="shared" si="229"/>
        <v>53379.700000000004</v>
      </c>
      <c r="AA225" s="48">
        <v>48527</v>
      </c>
      <c r="AB225" s="36"/>
      <c r="AC225" s="204">
        <f t="shared" si="237"/>
        <v>2310</v>
      </c>
      <c r="AD225" s="152">
        <v>0.1</v>
      </c>
      <c r="AE225" s="31">
        <f>3425*(P225+S225)</f>
        <v>20550</v>
      </c>
      <c r="AF225" s="28">
        <f t="shared" si="231"/>
        <v>0.28121693121693125</v>
      </c>
      <c r="AG225" s="34">
        <f t="shared" si="232"/>
        <v>31890.030000000002</v>
      </c>
      <c r="AH225" s="34">
        <f t="shared" si="233"/>
        <v>3996.4241999999995</v>
      </c>
      <c r="AI225" s="34">
        <f t="shared" si="234"/>
        <v>35967.817800000004</v>
      </c>
      <c r="AJ225" s="46">
        <f t="shared" si="235"/>
        <v>-17411.8822</v>
      </c>
      <c r="AK225" s="40">
        <v>28</v>
      </c>
      <c r="AL225" s="41">
        <f t="shared" si="236"/>
        <v>36.064</v>
      </c>
      <c r="AM225" s="36"/>
      <c r="AN225" s="284"/>
      <c r="AO225" s="26"/>
      <c r="AP225" s="26"/>
      <c r="AQ225" s="27"/>
      <c r="AR225" s="27"/>
      <c r="AS225" s="27"/>
      <c r="AT225" s="27"/>
      <c r="AU225" s="27"/>
      <c r="AV225" s="27"/>
      <c r="AW225" s="26"/>
      <c r="AX225" s="26"/>
      <c r="AY225" s="26"/>
      <c r="AZ225" s="26"/>
      <c r="BA225" s="26"/>
      <c r="BB225" s="26"/>
      <c r="BC225" s="26"/>
      <c r="BD225" s="26"/>
      <c r="BE225" s="26"/>
      <c r="BF225" s="26"/>
      <c r="BG225" s="26"/>
      <c r="BH225" s="26"/>
      <c r="BI225" s="26"/>
    </row>
    <row r="226" spans="1:61" ht="28.5" customHeight="1">
      <c r="A226" s="295"/>
      <c r="B226" s="296"/>
      <c r="C226" s="42" t="s">
        <v>153</v>
      </c>
      <c r="D226" s="28">
        <f t="shared" si="220"/>
        <v>0.35</v>
      </c>
      <c r="E226" s="201">
        <v>0.35</v>
      </c>
      <c r="F226" s="30">
        <f t="shared" si="221"/>
        <v>0</v>
      </c>
      <c r="G226" s="30" t="e">
        <f t="shared" si="222"/>
        <v>#DIV/0!</v>
      </c>
      <c r="H226" s="48"/>
      <c r="I226" s="48"/>
      <c r="J226" s="48"/>
      <c r="K226" s="26"/>
      <c r="L226" s="26"/>
      <c r="M226" s="210"/>
      <c r="N226" s="36"/>
      <c r="O226" s="36">
        <v>2</v>
      </c>
      <c r="P226" s="31">
        <f t="shared" si="223"/>
        <v>2</v>
      </c>
      <c r="Q226" s="36">
        <v>0</v>
      </c>
      <c r="R226" s="167"/>
      <c r="S226" s="36"/>
      <c r="T226" s="34">
        <f t="shared" si="224"/>
        <v>52020</v>
      </c>
      <c r="U226" s="31">
        <f t="shared" si="225"/>
        <v>0</v>
      </c>
      <c r="V226" s="34">
        <f t="shared" si="226"/>
        <v>52020</v>
      </c>
      <c r="W226" s="43">
        <v>26010</v>
      </c>
      <c r="X226" s="34">
        <f t="shared" si="227"/>
        <v>10386.432000000001</v>
      </c>
      <c r="Y226" s="34">
        <f t="shared" si="228"/>
        <v>20772.864000000001</v>
      </c>
      <c r="Z226" s="34">
        <f t="shared" si="229"/>
        <v>0</v>
      </c>
      <c r="AA226" s="48">
        <v>0</v>
      </c>
      <c r="AB226" s="36"/>
      <c r="AC226" s="204">
        <f t="shared" si="237"/>
        <v>0</v>
      </c>
      <c r="AD226" s="152">
        <v>0.1</v>
      </c>
      <c r="AE226" s="31">
        <f>5925*(P226+S226)</f>
        <v>11850</v>
      </c>
      <c r="AF226" s="28">
        <f t="shared" si="231"/>
        <v>0.32779700115340255</v>
      </c>
      <c r="AG226" s="34">
        <f t="shared" si="232"/>
        <v>17052.03</v>
      </c>
      <c r="AH226" s="34">
        <f t="shared" si="233"/>
        <v>1419.5105999999996</v>
      </c>
      <c r="AI226" s="34">
        <f t="shared" si="234"/>
        <v>12775.595399999998</v>
      </c>
      <c r="AJ226" s="46">
        <f t="shared" si="235"/>
        <v>12775.595399999998</v>
      </c>
      <c r="AK226" s="40">
        <v>42</v>
      </c>
      <c r="AL226" s="41">
        <f t="shared" si="236"/>
        <v>54.096000000000004</v>
      </c>
      <c r="AM226" s="36"/>
      <c r="AN226" s="284"/>
      <c r="AO226" s="26"/>
      <c r="AP226" s="26"/>
      <c r="AQ226" s="27"/>
      <c r="AR226" s="27"/>
      <c r="AS226" s="27"/>
      <c r="AT226" s="27"/>
      <c r="AU226" s="27"/>
      <c r="AV226" s="27"/>
      <c r="AW226" s="26"/>
      <c r="AX226" s="26"/>
      <c r="AY226" s="26"/>
      <c r="AZ226" s="26"/>
      <c r="BA226" s="26"/>
      <c r="BB226" s="26"/>
      <c r="BC226" s="26"/>
      <c r="BD226" s="26"/>
      <c r="BE226" s="26"/>
      <c r="BF226" s="26"/>
      <c r="BG226" s="26"/>
      <c r="BH226" s="26"/>
      <c r="BI226" s="26"/>
    </row>
    <row r="227" spans="1:61" ht="28.5" customHeight="1">
      <c r="A227" s="26"/>
      <c r="B227" s="323"/>
      <c r="C227" s="42" t="s">
        <v>112</v>
      </c>
      <c r="D227" s="28">
        <f t="shared" si="220"/>
        <v>0.10096061155739827</v>
      </c>
      <c r="E227" s="201">
        <v>0.38600000000000001</v>
      </c>
      <c r="F227" s="30">
        <f t="shared" si="221"/>
        <v>0.28503938844260174</v>
      </c>
      <c r="G227" s="30" t="e">
        <f t="shared" si="222"/>
        <v>#DIV/0!</v>
      </c>
      <c r="H227" s="334"/>
      <c r="I227" s="48"/>
      <c r="J227" s="48"/>
      <c r="K227" s="210"/>
      <c r="L227" s="335"/>
      <c r="M227" s="210"/>
      <c r="N227" s="36"/>
      <c r="O227" s="36">
        <v>12</v>
      </c>
      <c r="P227" s="31">
        <f t="shared" si="223"/>
        <v>10</v>
      </c>
      <c r="Q227" s="36">
        <v>1</v>
      </c>
      <c r="R227" s="167"/>
      <c r="S227" s="36">
        <v>2</v>
      </c>
      <c r="T227" s="34">
        <f t="shared" si="224"/>
        <v>463080</v>
      </c>
      <c r="U227" s="31">
        <f t="shared" si="225"/>
        <v>77180</v>
      </c>
      <c r="V227" s="34">
        <f t="shared" si="226"/>
        <v>385900</v>
      </c>
      <c r="W227" s="43">
        <v>38590</v>
      </c>
      <c r="X227" s="34">
        <f t="shared" si="227"/>
        <v>15085.056</v>
      </c>
      <c r="Y227" s="34">
        <f t="shared" si="228"/>
        <v>150850.56</v>
      </c>
      <c r="Z227" s="34">
        <f t="shared" si="229"/>
        <v>107686.70000000001</v>
      </c>
      <c r="AA227" s="48">
        <v>97897</v>
      </c>
      <c r="AB227" s="286">
        <f>((38590*0.18)+(38590*0.015)+2100+2200)*2</f>
        <v>23650.1</v>
      </c>
      <c r="AC227" s="204">
        <f t="shared" si="237"/>
        <v>2310</v>
      </c>
      <c r="AD227" s="152">
        <v>0.08</v>
      </c>
      <c r="AE227" s="31">
        <f t="shared" ref="AE227:AE228" si="241">4150*(P227+S227)</f>
        <v>49800</v>
      </c>
      <c r="AF227" s="28">
        <f t="shared" si="231"/>
        <v>0.20904897641876136</v>
      </c>
      <c r="AG227" s="34">
        <f t="shared" si="232"/>
        <v>80672.030000000013</v>
      </c>
      <c r="AH227" s="34">
        <f t="shared" si="233"/>
        <v>15437.740999999995</v>
      </c>
      <c r="AI227" s="34">
        <f t="shared" si="234"/>
        <v>138939.66899999999</v>
      </c>
      <c r="AJ227" s="46">
        <f t="shared" si="235"/>
        <v>31252.968999999983</v>
      </c>
      <c r="AK227" s="40">
        <v>61</v>
      </c>
      <c r="AL227" s="41">
        <f t="shared" si="236"/>
        <v>78.567999999999998</v>
      </c>
      <c r="AM227" s="36"/>
      <c r="AN227" s="284"/>
      <c r="AO227" s="26"/>
      <c r="AP227" s="26"/>
      <c r="AQ227" s="27"/>
      <c r="AR227" s="27"/>
      <c r="AS227" s="27"/>
      <c r="AT227" s="27"/>
      <c r="AU227" s="27"/>
      <c r="AV227" s="27"/>
      <c r="AW227" s="26"/>
      <c r="AX227" s="26"/>
      <c r="AY227" s="26"/>
      <c r="AZ227" s="26"/>
      <c r="BA227" s="26"/>
      <c r="BB227" s="26"/>
      <c r="BC227" s="26"/>
      <c r="BD227" s="26"/>
      <c r="BE227" s="26"/>
      <c r="BF227" s="26"/>
      <c r="BG227" s="26"/>
      <c r="BH227" s="26"/>
      <c r="BI227" s="26"/>
    </row>
    <row r="228" spans="1:61" ht="28.5" customHeight="1">
      <c r="A228" s="26"/>
      <c r="B228" s="324"/>
      <c r="C228" s="42" t="s">
        <v>113</v>
      </c>
      <c r="D228" s="28">
        <f t="shared" si="220"/>
        <v>-0.3457564102564103</v>
      </c>
      <c r="E228" s="201">
        <v>0.316</v>
      </c>
      <c r="F228" s="30">
        <f t="shared" si="221"/>
        <v>0.6617564102564103</v>
      </c>
      <c r="G228" s="30" t="e">
        <f t="shared" si="222"/>
        <v>#DIV/0!</v>
      </c>
      <c r="H228" s="310"/>
      <c r="I228" s="48"/>
      <c r="J228" s="48"/>
      <c r="K228" s="210"/>
      <c r="L228" s="310"/>
      <c r="M228" s="210"/>
      <c r="N228" s="36"/>
      <c r="O228" s="36">
        <v>4</v>
      </c>
      <c r="P228" s="31">
        <f t="shared" si="223"/>
        <v>4</v>
      </c>
      <c r="Q228" s="36">
        <v>2</v>
      </c>
      <c r="R228" s="167"/>
      <c r="S228" s="36"/>
      <c r="T228" s="34">
        <f t="shared" si="224"/>
        <v>171600</v>
      </c>
      <c r="U228" s="31">
        <f t="shared" si="225"/>
        <v>0</v>
      </c>
      <c r="V228" s="34">
        <f t="shared" si="226"/>
        <v>171600</v>
      </c>
      <c r="W228" s="43">
        <v>42900</v>
      </c>
      <c r="X228" s="34">
        <f t="shared" si="227"/>
        <v>20278.272000000004</v>
      </c>
      <c r="Y228" s="34">
        <f t="shared" si="228"/>
        <v>81113.088000000018</v>
      </c>
      <c r="Z228" s="34">
        <f t="shared" si="229"/>
        <v>108937.40000000001</v>
      </c>
      <c r="AA228" s="48">
        <v>99034</v>
      </c>
      <c r="AB228" s="286"/>
      <c r="AC228" s="204">
        <f t="shared" si="237"/>
        <v>4620</v>
      </c>
      <c r="AD228" s="152">
        <v>7.8E-2</v>
      </c>
      <c r="AE228" s="31">
        <f t="shared" si="241"/>
        <v>16600</v>
      </c>
      <c r="AF228" s="28">
        <f t="shared" si="231"/>
        <v>0.17473659673659675</v>
      </c>
      <c r="AG228" s="34">
        <f t="shared" si="232"/>
        <v>29984.83</v>
      </c>
      <c r="AH228" s="34">
        <f t="shared" si="233"/>
        <v>6050.2081999999973</v>
      </c>
      <c r="AI228" s="34">
        <f t="shared" si="234"/>
        <v>54451.873799999987</v>
      </c>
      <c r="AJ228" s="46">
        <f t="shared" si="235"/>
        <v>-54485.526200000022</v>
      </c>
      <c r="AK228" s="40">
        <v>82</v>
      </c>
      <c r="AL228" s="41">
        <f t="shared" si="236"/>
        <v>105.61600000000001</v>
      </c>
      <c r="AM228" s="36"/>
      <c r="AN228" s="284"/>
      <c r="AO228" s="26"/>
      <c r="AP228" s="26"/>
      <c r="AQ228" s="27"/>
      <c r="AR228" s="27"/>
      <c r="AS228" s="27"/>
      <c r="AT228" s="27"/>
      <c r="AU228" s="27"/>
      <c r="AV228" s="27"/>
      <c r="AW228" s="26"/>
      <c r="AX228" s="26"/>
      <c r="AY228" s="26"/>
      <c r="AZ228" s="26"/>
      <c r="BA228" s="26"/>
      <c r="BB228" s="26"/>
      <c r="BC228" s="26"/>
      <c r="BD228" s="26"/>
      <c r="BE228" s="26"/>
      <c r="BF228" s="26"/>
      <c r="BG228" s="26"/>
      <c r="BH228" s="26"/>
      <c r="BI228" s="26"/>
    </row>
    <row r="229" spans="1:61" ht="28.5" customHeight="1">
      <c r="A229" s="26"/>
      <c r="B229" s="200"/>
      <c r="C229" s="42" t="s">
        <v>154</v>
      </c>
      <c r="D229" s="28">
        <f t="shared" si="220"/>
        <v>-3.2509285714285721</v>
      </c>
      <c r="E229" s="201">
        <v>0.185</v>
      </c>
      <c r="F229" s="30">
        <f t="shared" si="221"/>
        <v>3.4359285714285721</v>
      </c>
      <c r="G229" s="30" t="e">
        <f t="shared" si="222"/>
        <v>#DIV/0!</v>
      </c>
      <c r="H229" s="48"/>
      <c r="I229" s="48"/>
      <c r="J229" s="48"/>
      <c r="K229" s="210"/>
      <c r="L229" s="210"/>
      <c r="M229" s="210"/>
      <c r="N229" s="36"/>
      <c r="O229" s="36">
        <v>2</v>
      </c>
      <c r="P229" s="31">
        <f t="shared" si="223"/>
        <v>2</v>
      </c>
      <c r="Q229" s="36">
        <v>4</v>
      </c>
      <c r="R229" s="167"/>
      <c r="S229" s="36"/>
      <c r="T229" s="34">
        <f t="shared" si="224"/>
        <v>19600</v>
      </c>
      <c r="U229" s="31">
        <f t="shared" si="225"/>
        <v>0</v>
      </c>
      <c r="V229" s="34">
        <f t="shared" si="226"/>
        <v>19600</v>
      </c>
      <c r="W229" s="43">
        <v>9800</v>
      </c>
      <c r="X229" s="34">
        <f t="shared" si="227"/>
        <v>4006.1952000000001</v>
      </c>
      <c r="Y229" s="34">
        <f t="shared" si="228"/>
        <v>8012.3904000000002</v>
      </c>
      <c r="Z229" s="34">
        <f t="shared" si="229"/>
        <v>58104.200000000004</v>
      </c>
      <c r="AA229" s="48">
        <v>52822</v>
      </c>
      <c r="AB229" s="287"/>
      <c r="AC229" s="204">
        <f t="shared" si="237"/>
        <v>9240</v>
      </c>
      <c r="AD229" s="152">
        <v>0.108</v>
      </c>
      <c r="AE229" s="31">
        <f>2800*(P229+S229)</f>
        <v>5600</v>
      </c>
      <c r="AF229" s="28">
        <f t="shared" si="231"/>
        <v>0.39371428571428568</v>
      </c>
      <c r="AG229" s="34">
        <f t="shared" si="232"/>
        <v>7716.829999999999</v>
      </c>
      <c r="AH229" s="34">
        <f t="shared" si="233"/>
        <v>387.07796000000008</v>
      </c>
      <c r="AI229" s="34">
        <f t="shared" si="234"/>
        <v>3483.7016400000011</v>
      </c>
      <c r="AJ229" s="46">
        <f t="shared" si="235"/>
        <v>-54620.498360000005</v>
      </c>
      <c r="AK229" s="40">
        <v>16.2</v>
      </c>
      <c r="AL229" s="41">
        <f t="shared" si="236"/>
        <v>20.865600000000001</v>
      </c>
      <c r="AM229" s="36"/>
      <c r="AN229" s="284"/>
      <c r="AO229" s="26"/>
      <c r="AP229" s="26"/>
      <c r="AQ229" s="27"/>
      <c r="AR229" s="27"/>
      <c r="AS229" s="27"/>
      <c r="AT229" s="27"/>
      <c r="AU229" s="27"/>
      <c r="AV229" s="27"/>
      <c r="AW229" s="26"/>
      <c r="AX229" s="26"/>
      <c r="AY229" s="26"/>
      <c r="AZ229" s="26"/>
      <c r="BA229" s="26"/>
      <c r="BB229" s="26"/>
      <c r="BC229" s="26"/>
      <c r="BD229" s="26"/>
      <c r="BE229" s="26"/>
      <c r="BF229" s="26"/>
      <c r="BG229" s="26"/>
      <c r="BH229" s="26"/>
      <c r="BI229" s="26"/>
    </row>
    <row r="230" spans="1:61" ht="28.5" customHeight="1">
      <c r="A230" s="26"/>
      <c r="B230" s="200"/>
      <c r="C230" s="42" t="s">
        <v>114</v>
      </c>
      <c r="D230" s="28">
        <f t="shared" si="220"/>
        <v>0.20319605263157894</v>
      </c>
      <c r="E230" s="201">
        <v>0.33</v>
      </c>
      <c r="F230" s="30">
        <f t="shared" si="221"/>
        <v>0.12680394736842107</v>
      </c>
      <c r="G230" s="30" t="e">
        <f t="shared" si="222"/>
        <v>#DIV/0!</v>
      </c>
      <c r="H230" s="48"/>
      <c r="I230" s="48"/>
      <c r="J230" s="48"/>
      <c r="K230" s="210"/>
      <c r="L230" s="210"/>
      <c r="M230" s="210"/>
      <c r="N230" s="36"/>
      <c r="O230" s="36">
        <v>24</v>
      </c>
      <c r="P230" s="31">
        <f t="shared" si="223"/>
        <v>24</v>
      </c>
      <c r="Q230" s="36">
        <v>2</v>
      </c>
      <c r="R230" s="167"/>
      <c r="S230" s="36"/>
      <c r="T230" s="34">
        <f t="shared" si="224"/>
        <v>456000</v>
      </c>
      <c r="U230" s="31">
        <f t="shared" si="225"/>
        <v>0</v>
      </c>
      <c r="V230" s="34">
        <f t="shared" si="226"/>
        <v>456000</v>
      </c>
      <c r="W230" s="43">
        <v>19000</v>
      </c>
      <c r="X230" s="34">
        <f t="shared" si="227"/>
        <v>7122.1247999999996</v>
      </c>
      <c r="Y230" s="34">
        <f t="shared" si="228"/>
        <v>170930.9952</v>
      </c>
      <c r="Z230" s="34">
        <f t="shared" si="229"/>
        <v>53202.600000000006</v>
      </c>
      <c r="AA230" s="48">
        <v>48366</v>
      </c>
      <c r="AB230" s="36"/>
      <c r="AC230" s="204">
        <f t="shared" si="237"/>
        <v>4620</v>
      </c>
      <c r="AD230" s="152">
        <v>0.08</v>
      </c>
      <c r="AE230" s="31">
        <f>3350*(P230+S230)</f>
        <v>80400</v>
      </c>
      <c r="AF230" s="28">
        <f t="shared" si="231"/>
        <v>0.25631578947368422</v>
      </c>
      <c r="AG230" s="34">
        <f t="shared" si="232"/>
        <v>116880.03</v>
      </c>
      <c r="AH230" s="34">
        <f t="shared" si="233"/>
        <v>16818.897479999996</v>
      </c>
      <c r="AI230" s="34">
        <f t="shared" si="234"/>
        <v>151370.07731999998</v>
      </c>
      <c r="AJ230" s="46">
        <f t="shared" si="235"/>
        <v>98167.477319999976</v>
      </c>
      <c r="AK230" s="40">
        <v>28.8</v>
      </c>
      <c r="AL230" s="41">
        <f t="shared" si="236"/>
        <v>37.0944</v>
      </c>
      <c r="AM230" s="36"/>
      <c r="AN230" s="284"/>
      <c r="AO230" s="26"/>
      <c r="AP230" s="26"/>
      <c r="AQ230" s="27"/>
      <c r="AR230" s="27"/>
      <c r="AS230" s="27"/>
      <c r="AT230" s="27"/>
      <c r="AU230" s="27"/>
      <c r="AV230" s="27"/>
      <c r="AW230" s="26"/>
      <c r="AX230" s="26"/>
      <c r="AY230" s="26"/>
      <c r="AZ230" s="26"/>
      <c r="BA230" s="26"/>
      <c r="BB230" s="26"/>
      <c r="BC230" s="26"/>
      <c r="BD230" s="26"/>
      <c r="BE230" s="26"/>
      <c r="BF230" s="26"/>
      <c r="BG230" s="26"/>
      <c r="BH230" s="26"/>
      <c r="BI230" s="26"/>
    </row>
    <row r="231" spans="1:61" ht="28.5" customHeight="1">
      <c r="A231" s="26"/>
      <c r="B231" s="326"/>
      <c r="C231" s="42" t="s">
        <v>115</v>
      </c>
      <c r="D231" s="28">
        <f t="shared" si="220"/>
        <v>-0.2503594890510949</v>
      </c>
      <c r="E231" s="201">
        <v>0.437</v>
      </c>
      <c r="F231" s="30">
        <f t="shared" si="221"/>
        <v>0.6873594890510949</v>
      </c>
      <c r="G231" s="30" t="e">
        <f t="shared" si="222"/>
        <v>#DIV/0!</v>
      </c>
      <c r="H231" s="48"/>
      <c r="I231" s="48"/>
      <c r="J231" s="48"/>
      <c r="K231" s="210"/>
      <c r="L231" s="210"/>
      <c r="M231" s="210"/>
      <c r="N231" s="36"/>
      <c r="O231" s="36">
        <v>1</v>
      </c>
      <c r="P231" s="31">
        <f t="shared" si="223"/>
        <v>1</v>
      </c>
      <c r="Q231" s="36">
        <v>0</v>
      </c>
      <c r="R231" s="167"/>
      <c r="S231" s="36"/>
      <c r="T231" s="34">
        <f t="shared" si="224"/>
        <v>54800</v>
      </c>
      <c r="U231" s="31">
        <f t="shared" si="225"/>
        <v>0</v>
      </c>
      <c r="V231" s="34">
        <f t="shared" si="226"/>
        <v>54800</v>
      </c>
      <c r="W231" s="43">
        <v>54800</v>
      </c>
      <c r="X231" s="34">
        <f t="shared" si="227"/>
        <v>20030.976000000002</v>
      </c>
      <c r="Y231" s="34">
        <f t="shared" si="228"/>
        <v>20030.976000000002</v>
      </c>
      <c r="Z231" s="34">
        <f t="shared" si="229"/>
        <v>37667.300000000003</v>
      </c>
      <c r="AA231" s="48">
        <v>34243</v>
      </c>
      <c r="AB231" s="36"/>
      <c r="AC231" s="204">
        <f t="shared" si="237"/>
        <v>0</v>
      </c>
      <c r="AD231" s="152">
        <v>7.8E-2</v>
      </c>
      <c r="AE231" s="31">
        <f t="shared" ref="AE231:AE232" si="242">4825*(P231+S231)</f>
        <v>4825</v>
      </c>
      <c r="AF231" s="28">
        <f t="shared" si="231"/>
        <v>0.16604744525547444</v>
      </c>
      <c r="AG231" s="34">
        <f t="shared" si="232"/>
        <v>9099.43</v>
      </c>
      <c r="AH231" s="34">
        <f t="shared" si="233"/>
        <v>2566.9593999999997</v>
      </c>
      <c r="AI231" s="34">
        <f t="shared" si="234"/>
        <v>23102.634599999998</v>
      </c>
      <c r="AJ231" s="46">
        <f t="shared" si="235"/>
        <v>-14564.665400000005</v>
      </c>
      <c r="AK231" s="40">
        <v>81</v>
      </c>
      <c r="AL231" s="41">
        <f t="shared" si="236"/>
        <v>104.328</v>
      </c>
      <c r="AM231" s="36"/>
      <c r="AN231" s="284"/>
      <c r="AO231" s="26"/>
      <c r="AP231" s="26"/>
      <c r="AQ231" s="27"/>
      <c r="AR231" s="27"/>
      <c r="AS231" s="27"/>
      <c r="AT231" s="27"/>
      <c r="AU231" s="27"/>
      <c r="AV231" s="27"/>
      <c r="AW231" s="26"/>
      <c r="AX231" s="26"/>
      <c r="AY231" s="26"/>
      <c r="AZ231" s="26"/>
      <c r="BA231" s="26"/>
      <c r="BB231" s="26"/>
      <c r="BC231" s="26"/>
      <c r="BD231" s="26"/>
      <c r="BE231" s="26"/>
      <c r="BF231" s="26"/>
      <c r="BG231" s="26"/>
      <c r="BH231" s="26"/>
      <c r="BI231" s="26"/>
    </row>
    <row r="232" spans="1:61" ht="28.5" customHeight="1">
      <c r="A232" s="26"/>
      <c r="B232" s="324"/>
      <c r="C232" s="42" t="s">
        <v>116</v>
      </c>
      <c r="D232" s="28">
        <f t="shared" si="220"/>
        <v>0.20502546296296295</v>
      </c>
      <c r="E232" s="201">
        <v>0.42499999999999999</v>
      </c>
      <c r="F232" s="30">
        <f t="shared" si="221"/>
        <v>0.21997453703703704</v>
      </c>
      <c r="G232" s="30" t="e">
        <f t="shared" si="222"/>
        <v>#DIV/0!</v>
      </c>
      <c r="H232" s="48"/>
      <c r="I232" s="48"/>
      <c r="J232" s="48"/>
      <c r="K232" s="210"/>
      <c r="L232" s="210"/>
      <c r="M232" s="210"/>
      <c r="N232" s="36"/>
      <c r="O232" s="36">
        <v>4</v>
      </c>
      <c r="P232" s="31">
        <f t="shared" si="223"/>
        <v>4</v>
      </c>
      <c r="Q232" s="36">
        <v>1</v>
      </c>
      <c r="R232" s="167"/>
      <c r="S232" s="36"/>
      <c r="T232" s="34">
        <f t="shared" si="224"/>
        <v>259200</v>
      </c>
      <c r="U232" s="31">
        <f t="shared" si="225"/>
        <v>0</v>
      </c>
      <c r="V232" s="34">
        <f t="shared" si="226"/>
        <v>259200</v>
      </c>
      <c r="W232" s="43">
        <v>64800</v>
      </c>
      <c r="X232" s="34">
        <f t="shared" si="227"/>
        <v>25224.192000000003</v>
      </c>
      <c r="Y232" s="34">
        <f t="shared" si="228"/>
        <v>100896.76800000001</v>
      </c>
      <c r="Z232" s="34">
        <f t="shared" si="229"/>
        <v>54707.4</v>
      </c>
      <c r="AA232" s="48">
        <v>49734</v>
      </c>
      <c r="AB232" s="36"/>
      <c r="AC232" s="204">
        <f t="shared" si="237"/>
        <v>2310</v>
      </c>
      <c r="AD232" s="152">
        <v>7.8E-2</v>
      </c>
      <c r="AE232" s="31">
        <f t="shared" si="242"/>
        <v>19300</v>
      </c>
      <c r="AF232" s="28">
        <f t="shared" si="231"/>
        <v>0.15245987654320986</v>
      </c>
      <c r="AG232" s="34">
        <f t="shared" si="232"/>
        <v>39517.629999999997</v>
      </c>
      <c r="AH232" s="34">
        <f t="shared" si="233"/>
        <v>11878.560199999998</v>
      </c>
      <c r="AI232" s="34">
        <f t="shared" si="234"/>
        <v>106907.04179999998</v>
      </c>
      <c r="AJ232" s="46">
        <f t="shared" si="235"/>
        <v>52199.641799999976</v>
      </c>
      <c r="AK232" s="40">
        <v>102</v>
      </c>
      <c r="AL232" s="41">
        <f t="shared" si="236"/>
        <v>131.376</v>
      </c>
      <c r="AM232" s="36"/>
      <c r="AN232" s="284"/>
      <c r="AO232" s="26"/>
      <c r="AP232" s="26"/>
      <c r="AQ232" s="27"/>
      <c r="AR232" s="27"/>
      <c r="AS232" s="27"/>
      <c r="AT232" s="27"/>
      <c r="AU232" s="27"/>
      <c r="AV232" s="27"/>
      <c r="AW232" s="26"/>
      <c r="AX232" s="26"/>
      <c r="AY232" s="26"/>
      <c r="AZ232" s="26"/>
      <c r="BA232" s="26"/>
      <c r="BB232" s="26"/>
      <c r="BC232" s="26"/>
      <c r="BD232" s="26"/>
      <c r="BE232" s="26"/>
      <c r="BF232" s="26"/>
      <c r="BG232" s="26"/>
      <c r="BH232" s="26"/>
      <c r="BI232" s="26"/>
    </row>
    <row r="233" spans="1:61" ht="28.5" customHeight="1">
      <c r="A233" s="26"/>
      <c r="B233" s="200"/>
      <c r="C233" s="42" t="s">
        <v>117</v>
      </c>
      <c r="D233" s="28">
        <f t="shared" si="220"/>
        <v>0.34833982683982689</v>
      </c>
      <c r="E233" s="297">
        <v>0.53900000000000003</v>
      </c>
      <c r="F233" s="30">
        <f t="shared" si="221"/>
        <v>0.19066017316017317</v>
      </c>
      <c r="G233" s="30" t="e">
        <f t="shared" si="222"/>
        <v>#DIV/0!</v>
      </c>
      <c r="H233" s="48"/>
      <c r="I233" s="48"/>
      <c r="J233" s="48"/>
      <c r="K233" s="210"/>
      <c r="L233" s="210"/>
      <c r="M233" s="210"/>
      <c r="N233" s="36"/>
      <c r="O233" s="36">
        <v>77</v>
      </c>
      <c r="P233" s="31">
        <f t="shared" si="223"/>
        <v>77</v>
      </c>
      <c r="Q233" s="36">
        <v>23</v>
      </c>
      <c r="R233" s="167"/>
      <c r="S233" s="36"/>
      <c r="T233" s="34">
        <f t="shared" si="224"/>
        <v>1524600</v>
      </c>
      <c r="U233" s="31">
        <f t="shared" si="225"/>
        <v>0</v>
      </c>
      <c r="V233" s="34">
        <f t="shared" si="226"/>
        <v>1524600</v>
      </c>
      <c r="W233" s="43">
        <v>19800</v>
      </c>
      <c r="X233" s="34">
        <f t="shared" si="227"/>
        <v>4451.3280000000004</v>
      </c>
      <c r="Y233" s="34">
        <f t="shared" si="228"/>
        <v>342752.25600000005</v>
      </c>
      <c r="Z233" s="34">
        <f t="shared" si="229"/>
        <v>237550.50000000003</v>
      </c>
      <c r="AA233" s="48">
        <v>215955</v>
      </c>
      <c r="AB233" s="36"/>
      <c r="AC233" s="204">
        <f t="shared" si="237"/>
        <v>53130</v>
      </c>
      <c r="AD233" s="152">
        <v>7.8E-2</v>
      </c>
      <c r="AE233" s="31">
        <f t="shared" ref="AE233:AE235" si="243">1900*(P233+S233)</f>
        <v>146300</v>
      </c>
      <c r="AF233" s="28">
        <f t="shared" si="231"/>
        <v>0.17395959595959595</v>
      </c>
      <c r="AG233" s="34">
        <f t="shared" si="232"/>
        <v>265218.83</v>
      </c>
      <c r="AH233" s="34">
        <f t="shared" si="233"/>
        <v>91662.891399999993</v>
      </c>
      <c r="AI233" s="34">
        <f t="shared" si="234"/>
        <v>824966.02259999991</v>
      </c>
      <c r="AJ233" s="46">
        <f t="shared" si="235"/>
        <v>587415.52259999991</v>
      </c>
      <c r="AK233" s="40">
        <v>18</v>
      </c>
      <c r="AL233" s="41">
        <f t="shared" si="236"/>
        <v>23.184000000000001</v>
      </c>
      <c r="AM233" s="36"/>
      <c r="AN233" s="284"/>
      <c r="AO233" s="26"/>
      <c r="AP233" s="26"/>
      <c r="AQ233" s="27"/>
      <c r="AR233" s="27"/>
      <c r="AS233" s="27"/>
      <c r="AT233" s="27"/>
      <c r="AU233" s="27"/>
      <c r="AV233" s="27"/>
      <c r="AW233" s="26"/>
      <c r="AX233" s="26"/>
      <c r="AY233" s="26"/>
      <c r="AZ233" s="26"/>
      <c r="BA233" s="26"/>
      <c r="BB233" s="26"/>
      <c r="BC233" s="26"/>
      <c r="BD233" s="26"/>
      <c r="BE233" s="26"/>
      <c r="BF233" s="26"/>
      <c r="BG233" s="26"/>
      <c r="BH233" s="26"/>
      <c r="BI233" s="26"/>
    </row>
    <row r="234" spans="1:61" ht="28.5" customHeight="1">
      <c r="A234" s="26"/>
      <c r="B234" s="200"/>
      <c r="C234" s="42" t="s">
        <v>31</v>
      </c>
      <c r="D234" s="28">
        <f t="shared" si="220"/>
        <v>-1.7281666666666666</v>
      </c>
      <c r="E234" s="297">
        <v>0.40699999999999997</v>
      </c>
      <c r="F234" s="30">
        <f t="shared" si="221"/>
        <v>2.1351666666666667</v>
      </c>
      <c r="G234" s="30" t="e">
        <f t="shared" si="222"/>
        <v>#DIV/0!</v>
      </c>
      <c r="H234" s="48"/>
      <c r="I234" s="48"/>
      <c r="J234" s="48"/>
      <c r="K234" s="210"/>
      <c r="L234" s="210"/>
      <c r="M234" s="210"/>
      <c r="N234" s="36"/>
      <c r="O234" s="36">
        <v>9</v>
      </c>
      <c r="P234" s="31">
        <f t="shared" si="223"/>
        <v>1</v>
      </c>
      <c r="Q234" s="36">
        <v>0</v>
      </c>
      <c r="R234" s="167"/>
      <c r="S234" s="36">
        <v>8</v>
      </c>
      <c r="T234" s="34">
        <f t="shared" si="224"/>
        <v>178200</v>
      </c>
      <c r="U234" s="31">
        <f t="shared" si="225"/>
        <v>158400</v>
      </c>
      <c r="V234" s="34">
        <f t="shared" si="226"/>
        <v>19800</v>
      </c>
      <c r="W234" s="43">
        <v>19800</v>
      </c>
      <c r="X234" s="34">
        <f t="shared" si="227"/>
        <v>7418.88</v>
      </c>
      <c r="Y234" s="34">
        <f t="shared" si="228"/>
        <v>7418.88</v>
      </c>
      <c r="Z234" s="34">
        <f t="shared" si="229"/>
        <v>42276.3</v>
      </c>
      <c r="AA234" s="48">
        <v>38433</v>
      </c>
      <c r="AB234" s="286">
        <f>((19800*0.1)+(19800*0.015)+2100+2200)*8</f>
        <v>52616</v>
      </c>
      <c r="AC234" s="204">
        <f t="shared" si="237"/>
        <v>0</v>
      </c>
      <c r="AD234" s="152">
        <v>0.08</v>
      </c>
      <c r="AE234" s="31">
        <f t="shared" si="243"/>
        <v>17100</v>
      </c>
      <c r="AF234" s="28">
        <f t="shared" si="231"/>
        <v>0.94363636363636361</v>
      </c>
      <c r="AG234" s="34">
        <f t="shared" si="232"/>
        <v>18684.03</v>
      </c>
      <c r="AH234" s="34">
        <f t="shared" si="233"/>
        <v>-630.29100000000017</v>
      </c>
      <c r="AI234" s="34">
        <f t="shared" si="234"/>
        <v>-5672.6189999999988</v>
      </c>
      <c r="AJ234" s="46">
        <f t="shared" si="235"/>
        <v>-47948.919000000002</v>
      </c>
      <c r="AK234" s="40">
        <v>30</v>
      </c>
      <c r="AL234" s="41">
        <f t="shared" si="236"/>
        <v>38.64</v>
      </c>
      <c r="AM234" s="36"/>
      <c r="AN234" s="284"/>
      <c r="AO234" s="26"/>
      <c r="AP234" s="26"/>
      <c r="AQ234" s="27"/>
      <c r="AR234" s="27"/>
      <c r="AS234" s="27"/>
      <c r="AT234" s="27"/>
      <c r="AU234" s="27"/>
      <c r="AV234" s="27"/>
      <c r="AW234" s="26"/>
      <c r="AX234" s="26"/>
      <c r="AY234" s="26"/>
      <c r="AZ234" s="26"/>
      <c r="BA234" s="26"/>
      <c r="BB234" s="26"/>
      <c r="BC234" s="26"/>
      <c r="BD234" s="26"/>
      <c r="BE234" s="26"/>
      <c r="BF234" s="26"/>
      <c r="BG234" s="26"/>
      <c r="BH234" s="26"/>
      <c r="BI234" s="26"/>
    </row>
    <row r="235" spans="1:61" ht="28.5" customHeight="1">
      <c r="A235" s="26"/>
      <c r="B235" s="200"/>
      <c r="C235" s="42" t="s">
        <v>118</v>
      </c>
      <c r="D235" s="28" t="e">
        <f t="shared" si="220"/>
        <v>#DIV/0!</v>
      </c>
      <c r="E235" s="297">
        <v>0.36799999999999999</v>
      </c>
      <c r="F235" s="30" t="e">
        <f t="shared" si="221"/>
        <v>#DIV/0!</v>
      </c>
      <c r="G235" s="30" t="e">
        <f t="shared" si="222"/>
        <v>#DIV/0!</v>
      </c>
      <c r="H235" s="48"/>
      <c r="I235" s="48"/>
      <c r="J235" s="48"/>
      <c r="K235" s="210"/>
      <c r="L235" s="210"/>
      <c r="M235" s="210"/>
      <c r="N235" s="36"/>
      <c r="O235" s="36">
        <v>0</v>
      </c>
      <c r="P235" s="31">
        <f t="shared" si="223"/>
        <v>0</v>
      </c>
      <c r="Q235" s="36">
        <v>0</v>
      </c>
      <c r="R235" s="167"/>
      <c r="S235" s="36"/>
      <c r="T235" s="34">
        <f t="shared" si="224"/>
        <v>0</v>
      </c>
      <c r="U235" s="31">
        <f t="shared" si="225"/>
        <v>0</v>
      </c>
      <c r="V235" s="34">
        <f t="shared" si="226"/>
        <v>0</v>
      </c>
      <c r="W235" s="43">
        <v>24800</v>
      </c>
      <c r="X235" s="34">
        <f t="shared" si="227"/>
        <v>10386.432000000001</v>
      </c>
      <c r="Y235" s="34">
        <f t="shared" si="228"/>
        <v>0</v>
      </c>
      <c r="Z235" s="34">
        <f t="shared" si="229"/>
        <v>0</v>
      </c>
      <c r="AA235" s="48">
        <v>0</v>
      </c>
      <c r="AB235" s="36"/>
      <c r="AC235" s="204">
        <f t="shared" si="237"/>
        <v>0</v>
      </c>
      <c r="AD235" s="152">
        <v>0.1</v>
      </c>
      <c r="AE235" s="31">
        <f t="shared" si="243"/>
        <v>0</v>
      </c>
      <c r="AF235" s="28" t="e">
        <f t="shared" si="231"/>
        <v>#DIV/0!</v>
      </c>
      <c r="AG235" s="34" t="e">
        <f t="shared" si="232"/>
        <v>#DIV/0!</v>
      </c>
      <c r="AH235" s="34" t="e">
        <f t="shared" si="233"/>
        <v>#DIV/0!</v>
      </c>
      <c r="AI235" s="34" t="e">
        <f t="shared" si="234"/>
        <v>#DIV/0!</v>
      </c>
      <c r="AJ235" s="46" t="e">
        <f t="shared" si="235"/>
        <v>#DIV/0!</v>
      </c>
      <c r="AK235" s="40">
        <v>42</v>
      </c>
      <c r="AL235" s="41">
        <f t="shared" si="236"/>
        <v>54.096000000000004</v>
      </c>
      <c r="AM235" s="36"/>
      <c r="AN235" s="284"/>
      <c r="AO235" s="26"/>
      <c r="AP235" s="26"/>
      <c r="AQ235" s="27"/>
      <c r="AR235" s="27"/>
      <c r="AS235" s="27"/>
      <c r="AT235" s="27"/>
      <c r="AU235" s="27"/>
      <c r="AV235" s="27"/>
      <c r="AW235" s="26"/>
      <c r="AX235" s="26"/>
      <c r="AY235" s="26"/>
      <c r="AZ235" s="26"/>
      <c r="BA235" s="26"/>
      <c r="BB235" s="26"/>
      <c r="BC235" s="26"/>
      <c r="BD235" s="26"/>
      <c r="BE235" s="26"/>
      <c r="BF235" s="26"/>
      <c r="BG235" s="26"/>
      <c r="BH235" s="26"/>
      <c r="BI235" s="26"/>
    </row>
    <row r="236" spans="1:61" ht="28.5" customHeight="1">
      <c r="A236" s="26"/>
      <c r="B236" s="200"/>
      <c r="C236" s="42" t="s">
        <v>119</v>
      </c>
      <c r="D236" s="28">
        <f t="shared" si="220"/>
        <v>0.30978830645161287</v>
      </c>
      <c r="E236" s="201">
        <v>0.41</v>
      </c>
      <c r="F236" s="30">
        <f t="shared" si="221"/>
        <v>0.1002116935483871</v>
      </c>
      <c r="G236" s="30" t="e">
        <f t="shared" si="222"/>
        <v>#DIV/0!</v>
      </c>
      <c r="H236" s="48"/>
      <c r="I236" s="48"/>
      <c r="J236" s="48"/>
      <c r="K236" s="210"/>
      <c r="L236" s="210"/>
      <c r="M236" s="210"/>
      <c r="N236" s="36"/>
      <c r="O236" s="36">
        <v>22</v>
      </c>
      <c r="P236" s="31">
        <f t="shared" si="223"/>
        <v>22</v>
      </c>
      <c r="Q236" s="36">
        <v>2</v>
      </c>
      <c r="R236" s="167"/>
      <c r="S236" s="36"/>
      <c r="T236" s="34">
        <f t="shared" si="224"/>
        <v>545600</v>
      </c>
      <c r="U236" s="31">
        <f t="shared" si="225"/>
        <v>0</v>
      </c>
      <c r="V236" s="34">
        <f t="shared" si="226"/>
        <v>545600</v>
      </c>
      <c r="W236" s="43">
        <v>24800</v>
      </c>
      <c r="X236" s="34">
        <f t="shared" si="227"/>
        <v>7666.1760000000013</v>
      </c>
      <c r="Y236" s="34">
        <f t="shared" si="228"/>
        <v>168655.87200000003</v>
      </c>
      <c r="Z236" s="34">
        <f t="shared" si="229"/>
        <v>50055.500000000007</v>
      </c>
      <c r="AA236" s="48">
        <v>45505</v>
      </c>
      <c r="AB236" s="36"/>
      <c r="AC236" s="204">
        <f t="shared" si="237"/>
        <v>4620</v>
      </c>
      <c r="AD236" s="152">
        <v>0.108</v>
      </c>
      <c r="AE236" s="31">
        <f>3150*(P236+S236)</f>
        <v>69300</v>
      </c>
      <c r="AF236" s="28">
        <f t="shared" si="231"/>
        <v>0.23501612903225805</v>
      </c>
      <c r="AG236" s="34">
        <f t="shared" si="232"/>
        <v>128224.82999999999</v>
      </c>
      <c r="AH236" s="34">
        <f t="shared" si="233"/>
        <v>24871.929799999994</v>
      </c>
      <c r="AI236" s="34">
        <f t="shared" si="234"/>
        <v>223847.36819999997</v>
      </c>
      <c r="AJ236" s="46">
        <f t="shared" si="235"/>
        <v>173791.86819999997</v>
      </c>
      <c r="AK236" s="40">
        <v>31</v>
      </c>
      <c r="AL236" s="41">
        <f t="shared" si="236"/>
        <v>39.928000000000004</v>
      </c>
      <c r="AM236" s="36"/>
      <c r="AN236" s="284"/>
      <c r="AO236" s="26"/>
      <c r="AP236" s="26"/>
      <c r="AQ236" s="27"/>
      <c r="AR236" s="27"/>
      <c r="AS236" s="27"/>
      <c r="AT236" s="27"/>
      <c r="AU236" s="27"/>
      <c r="AV236" s="27"/>
      <c r="AW236" s="26"/>
      <c r="AX236" s="26"/>
      <c r="AY236" s="26"/>
      <c r="AZ236" s="26"/>
      <c r="BA236" s="26"/>
      <c r="BB236" s="26"/>
      <c r="BC236" s="26"/>
      <c r="BD236" s="26"/>
      <c r="BE236" s="26"/>
      <c r="BF236" s="26"/>
      <c r="BG236" s="26"/>
      <c r="BH236" s="26"/>
      <c r="BI236" s="26"/>
    </row>
    <row r="237" spans="1:61" ht="28.5" customHeight="1">
      <c r="A237" s="26"/>
      <c r="B237" s="200"/>
      <c r="C237" s="239" t="s">
        <v>120</v>
      </c>
      <c r="D237" s="28">
        <f t="shared" si="220"/>
        <v>-0.39234170854271366</v>
      </c>
      <c r="E237" s="201">
        <v>0.376</v>
      </c>
      <c r="F237" s="30">
        <f t="shared" si="221"/>
        <v>0.76834170854271366</v>
      </c>
      <c r="G237" s="30">
        <f t="shared" si="222"/>
        <v>0</v>
      </c>
      <c r="H237" s="48"/>
      <c r="I237" s="48"/>
      <c r="J237" s="48"/>
      <c r="K237" s="210"/>
      <c r="L237" s="210"/>
      <c r="M237" s="210"/>
      <c r="N237" s="36"/>
      <c r="O237" s="36">
        <v>2</v>
      </c>
      <c r="P237" s="31">
        <f t="shared" si="223"/>
        <v>2</v>
      </c>
      <c r="Q237" s="36">
        <v>0</v>
      </c>
      <c r="R237" s="167"/>
      <c r="S237" s="36"/>
      <c r="T237" s="34">
        <f t="shared" si="224"/>
        <v>79600</v>
      </c>
      <c r="U237" s="31">
        <f t="shared" si="225"/>
        <v>0</v>
      </c>
      <c r="V237" s="34">
        <f t="shared" si="226"/>
        <v>79600</v>
      </c>
      <c r="W237" s="43">
        <v>39800</v>
      </c>
      <c r="X237" s="34">
        <f t="shared" si="227"/>
        <v>7666.1760000000013</v>
      </c>
      <c r="Y237" s="34">
        <f t="shared" si="228"/>
        <v>15332.352000000003</v>
      </c>
      <c r="Z237" s="34">
        <f t="shared" si="229"/>
        <v>61160.000000000007</v>
      </c>
      <c r="AA237" s="48">
        <v>55600</v>
      </c>
      <c r="AB237" s="286"/>
      <c r="AC237" s="204">
        <f t="shared" si="237"/>
        <v>0</v>
      </c>
      <c r="AD237" s="152">
        <v>0.108</v>
      </c>
      <c r="AE237" s="31">
        <f>3550*(P237+S237)</f>
        <v>7100</v>
      </c>
      <c r="AF237" s="28">
        <f t="shared" si="231"/>
        <v>0.1971959798994975</v>
      </c>
      <c r="AG237" s="34">
        <f t="shared" si="232"/>
        <v>15696.830000000002</v>
      </c>
      <c r="AH237" s="34">
        <f t="shared" si="233"/>
        <v>4857.0817999999999</v>
      </c>
      <c r="AI237" s="34">
        <f t="shared" si="234"/>
        <v>43713.736199999999</v>
      </c>
      <c r="AJ237" s="46">
        <f t="shared" si="235"/>
        <v>-17446.263800000008</v>
      </c>
      <c r="AK237" s="40">
        <v>31</v>
      </c>
      <c r="AL237" s="41">
        <f t="shared" si="236"/>
        <v>39.928000000000004</v>
      </c>
      <c r="AM237" s="36">
        <v>7590</v>
      </c>
      <c r="AN237" s="284">
        <v>44</v>
      </c>
      <c r="AO237" s="26"/>
      <c r="AP237" s="26"/>
      <c r="AQ237" s="27"/>
      <c r="AR237" s="27"/>
      <c r="AS237" s="27"/>
      <c r="AT237" s="27"/>
      <c r="AU237" s="27"/>
      <c r="AV237" s="27"/>
      <c r="AW237" s="26"/>
      <c r="AX237" s="26"/>
      <c r="AY237" s="26"/>
      <c r="AZ237" s="26"/>
      <c r="BA237" s="26"/>
      <c r="BB237" s="26"/>
      <c r="BC237" s="26"/>
      <c r="BD237" s="26"/>
      <c r="BE237" s="26"/>
      <c r="BF237" s="26"/>
      <c r="BG237" s="26"/>
      <c r="BH237" s="26"/>
      <c r="BI237" s="26"/>
    </row>
    <row r="238" spans="1:61" ht="28.5" customHeight="1">
      <c r="A238" s="26"/>
      <c r="B238" s="216"/>
      <c r="C238" s="217"/>
      <c r="D238" s="298">
        <f>AJ238/V238</f>
        <v>0.13735979300253698</v>
      </c>
      <c r="E238" s="298">
        <f>AI238/V238</f>
        <v>0.39783245739024514</v>
      </c>
      <c r="F238" s="52">
        <f>(Z238)/V238</f>
        <v>0.23936595206871253</v>
      </c>
      <c r="G238" s="219"/>
      <c r="H238" s="55"/>
      <c r="I238" s="55"/>
      <c r="J238" s="55"/>
      <c r="K238" s="55"/>
      <c r="L238" s="55"/>
      <c r="M238" s="55"/>
      <c r="N238" s="130"/>
      <c r="O238" s="130">
        <f t="shared" ref="O238:V238" si="244">SUM(O215:O237)</f>
        <v>396</v>
      </c>
      <c r="P238" s="130">
        <f t="shared" si="244"/>
        <v>376</v>
      </c>
      <c r="Q238" s="130">
        <f t="shared" si="244"/>
        <v>60</v>
      </c>
      <c r="R238" s="130">
        <f t="shared" si="244"/>
        <v>144</v>
      </c>
      <c r="S238" s="130">
        <f t="shared" si="244"/>
        <v>20</v>
      </c>
      <c r="T238" s="130">
        <f t="shared" si="244"/>
        <v>11555200</v>
      </c>
      <c r="U238" s="130">
        <f t="shared" si="244"/>
        <v>620380</v>
      </c>
      <c r="V238" s="130">
        <f t="shared" si="244"/>
        <v>10934820</v>
      </c>
      <c r="W238" s="55"/>
      <c r="X238" s="130">
        <f t="shared" ref="X238:AC238" si="245">SUM(X215:X237)</f>
        <v>338894.43839999987</v>
      </c>
      <c r="Y238" s="130">
        <f t="shared" si="245"/>
        <v>3884451.3791999999</v>
      </c>
      <c r="Z238" s="130">
        <f t="shared" si="245"/>
        <v>2617423.5999999992</v>
      </c>
      <c r="AA238" s="130">
        <f t="shared" si="245"/>
        <v>2379476</v>
      </c>
      <c r="AB238" s="130">
        <f t="shared" si="245"/>
        <v>230798.1</v>
      </c>
      <c r="AC238" s="130">
        <f t="shared" si="245"/>
        <v>136944</v>
      </c>
      <c r="AD238" s="154">
        <v>0.09</v>
      </c>
      <c r="AE238" s="130">
        <f>SUM(AE215:AE237)</f>
        <v>1232650</v>
      </c>
      <c r="AF238" s="53">
        <f t="shared" si="231"/>
        <v>0.20272704991943169</v>
      </c>
      <c r="AG238" s="56">
        <f t="shared" si="232"/>
        <v>2216783.8299999996</v>
      </c>
      <c r="AH238" s="56">
        <f t="shared" si="233"/>
        <v>483358.47908000008</v>
      </c>
      <c r="AI238" s="56">
        <f t="shared" si="234"/>
        <v>4350226.3117200006</v>
      </c>
      <c r="AJ238" s="46">
        <f>AI238-Z238-AB238</f>
        <v>1502004.6117200013</v>
      </c>
      <c r="AK238" s="54"/>
      <c r="AL238" s="222"/>
      <c r="AM238" s="131">
        <f t="shared" ref="AM238:AN238" si="246">SUM(AM215:AM216)</f>
        <v>420165</v>
      </c>
      <c r="AN238" s="132">
        <f t="shared" si="246"/>
        <v>1561</v>
      </c>
      <c r="AO238" s="26"/>
      <c r="AP238" s="26"/>
      <c r="AQ238" s="27"/>
      <c r="AR238" s="27"/>
      <c r="AS238" s="27"/>
      <c r="AT238" s="27"/>
      <c r="AU238" s="27"/>
      <c r="AV238" s="27"/>
      <c r="AW238" s="26"/>
      <c r="AX238" s="26"/>
      <c r="AY238" s="26"/>
      <c r="AZ238" s="26"/>
      <c r="BA238" s="26"/>
      <c r="BB238" s="26"/>
      <c r="BC238" s="26"/>
      <c r="BD238" s="26"/>
      <c r="BE238" s="26"/>
      <c r="BF238" s="26"/>
      <c r="BG238" s="26"/>
      <c r="BH238" s="26"/>
      <c r="BI238" s="26"/>
    </row>
    <row r="239" spans="1:61" ht="28.5" customHeight="1">
      <c r="A239" s="1"/>
      <c r="B239" s="290"/>
      <c r="C239" s="291"/>
      <c r="D239" s="2"/>
      <c r="E239" s="2"/>
      <c r="F239" s="2"/>
      <c r="G239" s="2"/>
      <c r="H239" s="2"/>
      <c r="I239" s="2"/>
      <c r="J239" s="2"/>
      <c r="K239" s="2"/>
      <c r="L239" s="2"/>
      <c r="M239" s="2"/>
      <c r="N239" s="292"/>
      <c r="O239" s="292"/>
      <c r="P239" s="2"/>
      <c r="Q239" s="2"/>
      <c r="R239" s="2"/>
      <c r="S239" s="293"/>
      <c r="T239" s="2"/>
      <c r="U239" s="2"/>
      <c r="V239" s="2"/>
      <c r="W239" s="2"/>
      <c r="X239" s="2"/>
      <c r="Y239" s="2"/>
      <c r="Z239" s="2"/>
      <c r="AA239" s="2"/>
      <c r="AB239" s="2"/>
      <c r="AC239" s="2"/>
      <c r="AD239" s="2"/>
      <c r="AE239" s="2"/>
      <c r="AF239" s="1"/>
      <c r="AG239" s="1"/>
      <c r="AH239" s="1"/>
      <c r="AI239" s="1"/>
      <c r="AJ239" s="1"/>
      <c r="AK239" s="1"/>
      <c r="AL239" s="1"/>
      <c r="AM239" s="1"/>
      <c r="AN239" s="1"/>
      <c r="AO239" s="1"/>
      <c r="AP239" s="1"/>
      <c r="AQ239" s="1"/>
      <c r="AR239" s="1"/>
      <c r="AS239" s="1"/>
      <c r="AT239" s="7"/>
      <c r="AU239" s="7"/>
      <c r="AV239" s="7"/>
      <c r="AW239" s="47"/>
      <c r="AX239" s="47"/>
      <c r="AY239" s="47"/>
      <c r="AZ239" s="47"/>
      <c r="BA239" s="47"/>
      <c r="BB239" s="47"/>
      <c r="BC239" s="47"/>
      <c r="BD239" s="47"/>
      <c r="BE239" s="47"/>
      <c r="BF239" s="47"/>
      <c r="BG239" s="47"/>
      <c r="BH239" s="47"/>
      <c r="BI239" s="47"/>
    </row>
    <row r="240" spans="1:61" ht="28.5" customHeight="1">
      <c r="A240" s="26"/>
      <c r="B240" s="189"/>
      <c r="C240" s="134">
        <v>45879</v>
      </c>
      <c r="D240" s="190" t="s">
        <v>0</v>
      </c>
      <c r="E240" s="190" t="s">
        <v>1</v>
      </c>
      <c r="F240" s="190" t="s">
        <v>2</v>
      </c>
      <c r="G240" s="190" t="s">
        <v>3</v>
      </c>
      <c r="H240" s="191" t="s">
        <v>4</v>
      </c>
      <c r="I240" s="192" t="s">
        <v>5</v>
      </c>
      <c r="J240" s="192" t="s">
        <v>90</v>
      </c>
      <c r="K240" s="193"/>
      <c r="L240" s="193" t="s">
        <v>6</v>
      </c>
      <c r="M240" s="194" t="s">
        <v>7</v>
      </c>
      <c r="N240" s="123"/>
      <c r="O240" s="123" t="s">
        <v>8</v>
      </c>
      <c r="P240" s="123" t="s">
        <v>9</v>
      </c>
      <c r="Q240" s="15" t="s">
        <v>10</v>
      </c>
      <c r="R240" s="123" t="s">
        <v>92</v>
      </c>
      <c r="S240" s="196" t="s">
        <v>11</v>
      </c>
      <c r="T240" s="17" t="s">
        <v>12</v>
      </c>
      <c r="U240" s="17" t="s">
        <v>13</v>
      </c>
      <c r="V240" s="17" t="s">
        <v>14</v>
      </c>
      <c r="W240" s="17" t="s">
        <v>15</v>
      </c>
      <c r="X240" s="17" t="s">
        <v>16</v>
      </c>
      <c r="Y240" s="17" t="s">
        <v>17</v>
      </c>
      <c r="Z240" s="19" t="s">
        <v>18</v>
      </c>
      <c r="AA240" s="19" t="s">
        <v>19</v>
      </c>
      <c r="AB240" s="20" t="s">
        <v>20</v>
      </c>
      <c r="AC240" s="22" t="s">
        <v>93</v>
      </c>
      <c r="AD240" s="197" t="s">
        <v>21</v>
      </c>
      <c r="AE240" s="21" t="s">
        <v>22</v>
      </c>
      <c r="AF240" s="23" t="s">
        <v>23</v>
      </c>
      <c r="AG240" s="23" t="s">
        <v>21</v>
      </c>
      <c r="AH240" s="23" t="s">
        <v>24</v>
      </c>
      <c r="AI240" s="24" t="s">
        <v>26</v>
      </c>
      <c r="AJ240" s="23" t="s">
        <v>27</v>
      </c>
      <c r="AK240" s="21" t="s">
        <v>147</v>
      </c>
      <c r="AL240" s="282" t="s">
        <v>148</v>
      </c>
      <c r="AM240" s="124" t="s">
        <v>94</v>
      </c>
      <c r="AN240" s="125" t="s">
        <v>95</v>
      </c>
      <c r="AO240" s="26"/>
      <c r="AP240" s="26"/>
      <c r="AQ240" s="27"/>
      <c r="AR240" s="27"/>
      <c r="AS240" s="27"/>
      <c r="AT240" s="27"/>
      <c r="AU240" s="27"/>
      <c r="AV240" s="27"/>
      <c r="AW240" s="26"/>
      <c r="AX240" s="26"/>
      <c r="AY240" s="26"/>
      <c r="AZ240" s="26"/>
      <c r="BA240" s="26"/>
      <c r="BB240" s="26"/>
      <c r="BC240" s="26"/>
      <c r="BD240" s="26"/>
      <c r="BE240" s="26"/>
      <c r="BF240" s="26"/>
      <c r="BG240" s="26"/>
      <c r="BH240" s="26"/>
      <c r="BI240" s="26"/>
    </row>
    <row r="241" spans="1:61" ht="28.5" customHeight="1">
      <c r="A241" s="26"/>
      <c r="B241" s="200"/>
      <c r="C241" s="42" t="s">
        <v>107</v>
      </c>
      <c r="D241" s="28">
        <f t="shared" ref="D241:D263" si="247">E241-F241</f>
        <v>0.13020332870524193</v>
      </c>
      <c r="E241" s="201">
        <v>0.39700000000000002</v>
      </c>
      <c r="F241" s="30">
        <f t="shared" ref="F241:F263" si="248">(Z241+AC241)/V241</f>
        <v>0.26679667129475809</v>
      </c>
      <c r="G241" s="30" t="e">
        <f t="shared" ref="G241:G263" si="249">R241/AN241</f>
        <v>#DIV/0!</v>
      </c>
      <c r="H241" s="48"/>
      <c r="I241" s="48"/>
      <c r="J241" s="48"/>
      <c r="K241" s="48"/>
      <c r="L241" s="48"/>
      <c r="M241" s="48"/>
      <c r="N241" s="36"/>
      <c r="O241" s="36">
        <v>173</v>
      </c>
      <c r="P241" s="31">
        <f t="shared" ref="P241:P263" si="250">O241-S241</f>
        <v>173</v>
      </c>
      <c r="Q241" s="36">
        <v>11</v>
      </c>
      <c r="R241" s="167"/>
      <c r="S241" s="36"/>
      <c r="T241" s="34">
        <f t="shared" ref="T241:T263" si="251">W241*O241</f>
        <v>4544710</v>
      </c>
      <c r="U241" s="31">
        <f t="shared" ref="U241:U263" si="252">W241*S241</f>
        <v>0</v>
      </c>
      <c r="V241" s="34">
        <f t="shared" ref="V241:V263" si="253">T241-U241</f>
        <v>4544710</v>
      </c>
      <c r="W241" s="43">
        <v>26270</v>
      </c>
      <c r="X241" s="34">
        <f t="shared" ref="X241:X263" si="254">AL241*$A$2</f>
        <v>9891.84</v>
      </c>
      <c r="Y241" s="34">
        <f t="shared" ref="Y241:Y263" si="255">X241*P241</f>
        <v>1711288.3200000001</v>
      </c>
      <c r="Z241" s="34">
        <f t="shared" ref="Z241:Z263" si="256">AA241*1.1</f>
        <v>1188621.5</v>
      </c>
      <c r="AA241" s="48">
        <v>1080565</v>
      </c>
      <c r="AB241" s="36"/>
      <c r="AC241" s="204">
        <f t="shared" ref="AC241:AC242" si="257">(1072+1100)*Q241</f>
        <v>23892</v>
      </c>
      <c r="AD241" s="152">
        <v>0.1</v>
      </c>
      <c r="AE241" s="31">
        <f>3050*(P241+S241)</f>
        <v>527650</v>
      </c>
      <c r="AF241" s="28">
        <f t="shared" ref="AF241:AF264" si="258">AD241+(AE241/V241)</f>
        <v>0.2161020175104682</v>
      </c>
      <c r="AG241" s="34">
        <f t="shared" ref="AG241:AG264" si="259">V241*AF241+3%</f>
        <v>982121.03</v>
      </c>
      <c r="AH241" s="34">
        <f t="shared" ref="AH241:AH264" si="260">(V241)*10%-(Y241+AG241)*10%</f>
        <v>185130.065</v>
      </c>
      <c r="AI241" s="34">
        <f t="shared" ref="AI241:AI264" si="261">V241-(Y241+AG241+AH241)</f>
        <v>1666170.585</v>
      </c>
      <c r="AJ241" s="46">
        <f t="shared" ref="AJ241:AJ263" si="262">AI241-Z241</f>
        <v>477549.08499999996</v>
      </c>
      <c r="AK241" s="40">
        <v>40</v>
      </c>
      <c r="AL241" s="41">
        <f t="shared" ref="AL241:AL263" si="263">(AK241*1.15)*1.12</f>
        <v>51.52</v>
      </c>
      <c r="AM241" s="36"/>
      <c r="AN241" s="284"/>
      <c r="AO241" s="26"/>
      <c r="AP241" s="26"/>
      <c r="AQ241" s="27"/>
      <c r="AR241" s="27"/>
      <c r="AS241" s="27"/>
      <c r="AT241" s="27"/>
      <c r="AU241" s="27"/>
      <c r="AV241" s="27"/>
      <c r="AW241" s="26"/>
      <c r="AX241" s="26"/>
      <c r="AY241" s="26"/>
      <c r="AZ241" s="26"/>
      <c r="BA241" s="26"/>
      <c r="BB241" s="26"/>
      <c r="BC241" s="26"/>
      <c r="BD241" s="26"/>
      <c r="BE241" s="26"/>
      <c r="BF241" s="26"/>
      <c r="BG241" s="26"/>
      <c r="BH241" s="26"/>
      <c r="BI241" s="26"/>
    </row>
    <row r="242" spans="1:61" ht="28.5" customHeight="1">
      <c r="A242" s="26"/>
      <c r="B242" s="200"/>
      <c r="C242" s="42" t="s">
        <v>108</v>
      </c>
      <c r="D242" s="28">
        <f t="shared" si="247"/>
        <v>0.33261026200873361</v>
      </c>
      <c r="E242" s="201">
        <v>0.379</v>
      </c>
      <c r="F242" s="30">
        <f t="shared" si="248"/>
        <v>4.6389737991266375E-2</v>
      </c>
      <c r="G242" s="30" t="e">
        <f t="shared" si="249"/>
        <v>#DIV/0!</v>
      </c>
      <c r="H242" s="48"/>
      <c r="I242" s="48"/>
      <c r="J242" s="48"/>
      <c r="K242" s="210"/>
      <c r="L242" s="210"/>
      <c r="M242" s="210"/>
      <c r="N242" s="36"/>
      <c r="O242" s="36">
        <v>4</v>
      </c>
      <c r="P242" s="31">
        <f t="shared" si="250"/>
        <v>4</v>
      </c>
      <c r="Q242" s="36">
        <v>0</v>
      </c>
      <c r="R242" s="167"/>
      <c r="S242" s="36"/>
      <c r="T242" s="34">
        <f t="shared" si="251"/>
        <v>91600</v>
      </c>
      <c r="U242" s="31">
        <f t="shared" si="252"/>
        <v>0</v>
      </c>
      <c r="V242" s="34">
        <f t="shared" si="253"/>
        <v>91600</v>
      </c>
      <c r="W242" s="43">
        <v>22900</v>
      </c>
      <c r="X242" s="34">
        <f t="shared" si="254"/>
        <v>7913.4719999999998</v>
      </c>
      <c r="Y242" s="34">
        <f t="shared" si="255"/>
        <v>31653.887999999999</v>
      </c>
      <c r="Z242" s="34">
        <f t="shared" si="256"/>
        <v>4249.3</v>
      </c>
      <c r="AA242" s="48">
        <v>3863</v>
      </c>
      <c r="AB242" s="36"/>
      <c r="AC242" s="204">
        <f t="shared" si="257"/>
        <v>0</v>
      </c>
      <c r="AD242" s="152">
        <v>0.1</v>
      </c>
      <c r="AE242" s="31">
        <f>2950*(P242+S242)</f>
        <v>11800</v>
      </c>
      <c r="AF242" s="28">
        <f t="shared" si="258"/>
        <v>0.22882096069868996</v>
      </c>
      <c r="AG242" s="34">
        <f t="shared" si="259"/>
        <v>20960.03</v>
      </c>
      <c r="AH242" s="34">
        <f t="shared" si="260"/>
        <v>3898.6081999999997</v>
      </c>
      <c r="AI242" s="34">
        <f t="shared" si="261"/>
        <v>35087.4738</v>
      </c>
      <c r="AJ242" s="46">
        <f t="shared" si="262"/>
        <v>30838.1738</v>
      </c>
      <c r="AK242" s="40">
        <v>32</v>
      </c>
      <c r="AL242" s="41">
        <f t="shared" si="263"/>
        <v>41.216000000000001</v>
      </c>
      <c r="AM242" s="36"/>
      <c r="AN242" s="284"/>
      <c r="AO242" s="26"/>
      <c r="AP242" s="26"/>
      <c r="AQ242" s="27"/>
      <c r="AR242" s="27"/>
      <c r="AS242" s="27"/>
      <c r="AT242" s="27"/>
      <c r="AU242" s="27"/>
      <c r="AV242" s="27"/>
      <c r="AW242" s="26"/>
      <c r="AX242" s="26"/>
      <c r="AY242" s="26"/>
      <c r="AZ242" s="26"/>
      <c r="BA242" s="26"/>
      <c r="BB242" s="26"/>
      <c r="BC242" s="26"/>
      <c r="BD242" s="26"/>
      <c r="BE242" s="26"/>
      <c r="BF242" s="26"/>
      <c r="BG242" s="26"/>
      <c r="BH242" s="26"/>
      <c r="BI242" s="26"/>
    </row>
    <row r="243" spans="1:61" ht="28.5" customHeight="1">
      <c r="A243" s="336"/>
      <c r="B243" s="323"/>
      <c r="C243" s="42" t="s">
        <v>109</v>
      </c>
      <c r="D243" s="28" t="e">
        <f t="shared" si="247"/>
        <v>#DIV/0!</v>
      </c>
      <c r="E243" s="201">
        <v>0.373</v>
      </c>
      <c r="F243" s="30" t="e">
        <f t="shared" si="248"/>
        <v>#DIV/0!</v>
      </c>
      <c r="G243" s="30" t="e">
        <f t="shared" si="249"/>
        <v>#DIV/0!</v>
      </c>
      <c r="H243" s="48"/>
      <c r="I243" s="48"/>
      <c r="J243" s="48"/>
      <c r="K243" s="48"/>
      <c r="L243" s="334"/>
      <c r="M243" s="48"/>
      <c r="N243" s="36"/>
      <c r="O243" s="36">
        <v>0</v>
      </c>
      <c r="P243" s="31">
        <f t="shared" si="250"/>
        <v>0</v>
      </c>
      <c r="Q243" s="36">
        <v>0</v>
      </c>
      <c r="R243" s="167"/>
      <c r="S243" s="36"/>
      <c r="T243" s="34">
        <f t="shared" si="251"/>
        <v>0</v>
      </c>
      <c r="U243" s="31">
        <f t="shared" si="252"/>
        <v>0</v>
      </c>
      <c r="V243" s="34">
        <f t="shared" si="253"/>
        <v>0</v>
      </c>
      <c r="W243" s="43">
        <v>44400</v>
      </c>
      <c r="X243" s="34">
        <f t="shared" si="254"/>
        <v>16989.235200000003</v>
      </c>
      <c r="Y243" s="34">
        <f t="shared" si="255"/>
        <v>0</v>
      </c>
      <c r="Z243" s="34">
        <f t="shared" si="256"/>
        <v>18266.600000000002</v>
      </c>
      <c r="AA243" s="48">
        <v>16606</v>
      </c>
      <c r="AB243" s="36"/>
      <c r="AC243" s="204">
        <f t="shared" ref="AC243:AC263" si="264">(1210+1100)*Q243</f>
        <v>0</v>
      </c>
      <c r="AD243" s="152">
        <v>0.11</v>
      </c>
      <c r="AE243" s="31">
        <f t="shared" ref="AE243:AE244" si="265">4150*(P243+S243)</f>
        <v>0</v>
      </c>
      <c r="AF243" s="28" t="e">
        <f t="shared" si="258"/>
        <v>#DIV/0!</v>
      </c>
      <c r="AG243" s="34" t="e">
        <f t="shared" si="259"/>
        <v>#DIV/0!</v>
      </c>
      <c r="AH243" s="34" t="e">
        <f t="shared" si="260"/>
        <v>#DIV/0!</v>
      </c>
      <c r="AI243" s="34" t="e">
        <f t="shared" si="261"/>
        <v>#DIV/0!</v>
      </c>
      <c r="AJ243" s="46" t="e">
        <f t="shared" si="262"/>
        <v>#DIV/0!</v>
      </c>
      <c r="AK243" s="40">
        <v>68.7</v>
      </c>
      <c r="AL243" s="41">
        <f t="shared" si="263"/>
        <v>88.485600000000005</v>
      </c>
      <c r="AM243" s="36"/>
      <c r="AN243" s="284"/>
      <c r="AO243" s="26"/>
      <c r="AP243" s="26"/>
      <c r="AQ243" s="27"/>
      <c r="AR243" s="27"/>
      <c r="AS243" s="27"/>
      <c r="AT243" s="27"/>
      <c r="AU243" s="27"/>
      <c r="AV243" s="27"/>
      <c r="AW243" s="26"/>
      <c r="AX243" s="26"/>
      <c r="AY243" s="26"/>
      <c r="AZ243" s="26"/>
      <c r="BA243" s="26"/>
      <c r="BB243" s="26"/>
      <c r="BC243" s="26"/>
      <c r="BD243" s="26"/>
      <c r="BE243" s="26"/>
      <c r="BF243" s="26"/>
      <c r="BG243" s="26"/>
      <c r="BH243" s="26"/>
      <c r="BI243" s="26"/>
    </row>
    <row r="244" spans="1:61" ht="28.5" customHeight="1">
      <c r="A244" s="311"/>
      <c r="B244" s="324"/>
      <c r="C244" s="42" t="s">
        <v>110</v>
      </c>
      <c r="D244" s="28">
        <f t="shared" si="247"/>
        <v>-0.10510933048433052</v>
      </c>
      <c r="E244" s="201">
        <v>0.29499999999999998</v>
      </c>
      <c r="F244" s="30">
        <f t="shared" si="248"/>
        <v>0.40010933048433051</v>
      </c>
      <c r="G244" s="30" t="e">
        <f t="shared" si="249"/>
        <v>#DIV/0!</v>
      </c>
      <c r="H244" s="48"/>
      <c r="I244" s="48"/>
      <c r="J244" s="48"/>
      <c r="K244" s="48"/>
      <c r="L244" s="310"/>
      <c r="M244" s="48"/>
      <c r="N244" s="36"/>
      <c r="O244" s="36">
        <v>6</v>
      </c>
      <c r="P244" s="31">
        <f t="shared" si="250"/>
        <v>6</v>
      </c>
      <c r="Q244" s="36">
        <v>1</v>
      </c>
      <c r="R244" s="167"/>
      <c r="S244" s="36"/>
      <c r="T244" s="34">
        <f t="shared" si="251"/>
        <v>280800</v>
      </c>
      <c r="U244" s="31">
        <f t="shared" si="252"/>
        <v>0</v>
      </c>
      <c r="V244" s="34">
        <f t="shared" si="253"/>
        <v>280800</v>
      </c>
      <c r="W244" s="43">
        <v>46800</v>
      </c>
      <c r="X244" s="34">
        <f t="shared" si="254"/>
        <v>22182.451200000003</v>
      </c>
      <c r="Y244" s="34">
        <f t="shared" si="255"/>
        <v>133094.7072</v>
      </c>
      <c r="Z244" s="34">
        <f t="shared" si="256"/>
        <v>110040.70000000001</v>
      </c>
      <c r="AA244" s="48">
        <v>100037</v>
      </c>
      <c r="AB244" s="36"/>
      <c r="AC244" s="204">
        <f t="shared" si="264"/>
        <v>2310</v>
      </c>
      <c r="AD244" s="152">
        <v>0.11</v>
      </c>
      <c r="AE244" s="31">
        <f t="shared" si="265"/>
        <v>24900</v>
      </c>
      <c r="AF244" s="28">
        <f t="shared" si="258"/>
        <v>0.19867521367521368</v>
      </c>
      <c r="AG244" s="34">
        <f t="shared" si="259"/>
        <v>55788.03</v>
      </c>
      <c r="AH244" s="34">
        <f t="shared" si="260"/>
        <v>9191.726279999999</v>
      </c>
      <c r="AI244" s="34">
        <f t="shared" si="261"/>
        <v>82725.536519999994</v>
      </c>
      <c r="AJ244" s="46">
        <f t="shared" si="262"/>
        <v>-27315.163480000017</v>
      </c>
      <c r="AK244" s="40">
        <v>89.7</v>
      </c>
      <c r="AL244" s="41">
        <f t="shared" si="263"/>
        <v>115.53360000000001</v>
      </c>
      <c r="AM244" s="36"/>
      <c r="AN244" s="284"/>
      <c r="AO244" s="26"/>
      <c r="AP244" s="26"/>
      <c r="AQ244" s="27"/>
      <c r="AR244" s="27"/>
      <c r="AS244" s="27"/>
      <c r="AT244" s="27"/>
      <c r="AU244" s="27"/>
      <c r="AV244" s="27"/>
      <c r="AW244" s="26"/>
      <c r="AX244" s="26"/>
      <c r="AY244" s="26"/>
      <c r="AZ244" s="26"/>
      <c r="BA244" s="26"/>
      <c r="BB244" s="26"/>
      <c r="BC244" s="26"/>
      <c r="BD244" s="26"/>
      <c r="BE244" s="26"/>
      <c r="BF244" s="26"/>
      <c r="BG244" s="26"/>
      <c r="BH244" s="26"/>
      <c r="BI244" s="26"/>
    </row>
    <row r="245" spans="1:61" ht="28.5" customHeight="1">
      <c r="A245" s="26"/>
      <c r="B245" s="323"/>
      <c r="C245" s="42" t="s">
        <v>32</v>
      </c>
      <c r="D245" s="28">
        <f t="shared" si="247"/>
        <v>-1.9910535117056927E-2</v>
      </c>
      <c r="E245" s="201">
        <v>0.41</v>
      </c>
      <c r="F245" s="30">
        <f t="shared" si="248"/>
        <v>0.4299105351170569</v>
      </c>
      <c r="G245" s="30" t="e">
        <f t="shared" si="249"/>
        <v>#DIV/0!</v>
      </c>
      <c r="H245" s="33"/>
      <c r="I245" s="48"/>
      <c r="J245" s="48"/>
      <c r="K245" s="48"/>
      <c r="L245" s="334"/>
      <c r="M245" s="48"/>
      <c r="N245" s="36"/>
      <c r="O245" s="36">
        <v>11</v>
      </c>
      <c r="P245" s="31">
        <f t="shared" si="250"/>
        <v>6</v>
      </c>
      <c r="Q245" s="36">
        <v>3</v>
      </c>
      <c r="R245" s="167"/>
      <c r="S245" s="36">
        <v>5</v>
      </c>
      <c r="T245" s="34">
        <f t="shared" si="251"/>
        <v>657800</v>
      </c>
      <c r="U245" s="31">
        <f t="shared" si="252"/>
        <v>299000</v>
      </c>
      <c r="V245" s="34">
        <f t="shared" si="253"/>
        <v>358800</v>
      </c>
      <c r="W245" s="43">
        <v>59800</v>
      </c>
      <c r="X245" s="34">
        <f t="shared" si="254"/>
        <v>21143.807999999997</v>
      </c>
      <c r="Y245" s="34">
        <f t="shared" si="255"/>
        <v>126862.84799999998</v>
      </c>
      <c r="Z245" s="34">
        <f t="shared" si="256"/>
        <v>147321.90000000002</v>
      </c>
      <c r="AA245" s="48">
        <f>23910+110019</f>
        <v>133929</v>
      </c>
      <c r="AB245" s="287">
        <f>((59800*0.015)+(59800*0.19)+2100+4950)*5</f>
        <v>96545</v>
      </c>
      <c r="AC245" s="204">
        <f t="shared" si="264"/>
        <v>6930</v>
      </c>
      <c r="AD245" s="152">
        <v>0.108</v>
      </c>
      <c r="AE245" s="31">
        <f t="shared" ref="AE245:AE246" si="266">4825*(P245+S245)</f>
        <v>53075</v>
      </c>
      <c r="AF245" s="28">
        <f t="shared" si="258"/>
        <v>0.25592363433667781</v>
      </c>
      <c r="AG245" s="34">
        <f t="shared" si="259"/>
        <v>91825.43</v>
      </c>
      <c r="AH245" s="34">
        <f t="shared" si="260"/>
        <v>14011.172200000001</v>
      </c>
      <c r="AI245" s="34">
        <f t="shared" si="261"/>
        <v>126100.54980000001</v>
      </c>
      <c r="AJ245" s="46">
        <f t="shared" si="262"/>
        <v>-21221.350200000015</v>
      </c>
      <c r="AK245" s="40">
        <v>85.5</v>
      </c>
      <c r="AL245" s="41">
        <f t="shared" si="263"/>
        <v>110.124</v>
      </c>
      <c r="AM245" s="36"/>
      <c r="AN245" s="284"/>
      <c r="AO245" s="26"/>
      <c r="AP245" s="26"/>
      <c r="AQ245" s="27"/>
      <c r="AR245" s="27"/>
      <c r="AS245" s="27"/>
      <c r="AT245" s="27"/>
      <c r="AU245" s="27"/>
      <c r="AV245" s="27"/>
      <c r="AW245" s="26"/>
      <c r="AX245" s="26"/>
      <c r="AY245" s="26"/>
      <c r="AZ245" s="26"/>
      <c r="BA245" s="26"/>
      <c r="BB245" s="26"/>
      <c r="BC245" s="26"/>
      <c r="BD245" s="26"/>
      <c r="BE245" s="26"/>
      <c r="BF245" s="26"/>
      <c r="BG245" s="26"/>
      <c r="BH245" s="26"/>
      <c r="BI245" s="26"/>
    </row>
    <row r="246" spans="1:61" ht="28.5" customHeight="1">
      <c r="A246" s="26"/>
      <c r="B246" s="333"/>
      <c r="C246" s="42" t="s">
        <v>33</v>
      </c>
      <c r="D246" s="28">
        <f t="shared" si="247"/>
        <v>0.23335707121364094</v>
      </c>
      <c r="E246" s="201">
        <v>0.40100000000000002</v>
      </c>
      <c r="F246" s="30">
        <f t="shared" si="248"/>
        <v>0.16764292878635909</v>
      </c>
      <c r="G246" s="30" t="e">
        <f t="shared" si="249"/>
        <v>#DIV/0!</v>
      </c>
      <c r="H246" s="48"/>
      <c r="I246" s="48"/>
      <c r="J246" s="48"/>
      <c r="K246" s="48"/>
      <c r="L246" s="310"/>
      <c r="M246" s="48"/>
      <c r="N246" s="36"/>
      <c r="O246" s="36">
        <v>11</v>
      </c>
      <c r="P246" s="31">
        <f t="shared" si="250"/>
        <v>11</v>
      </c>
      <c r="Q246" s="36">
        <v>2</v>
      </c>
      <c r="R246" s="167"/>
      <c r="S246" s="36"/>
      <c r="T246" s="34">
        <f t="shared" si="251"/>
        <v>767690</v>
      </c>
      <c r="U246" s="31">
        <f t="shared" si="252"/>
        <v>0</v>
      </c>
      <c r="V246" s="34">
        <f t="shared" si="253"/>
        <v>767690</v>
      </c>
      <c r="W246" s="43">
        <v>69790</v>
      </c>
      <c r="X246" s="34">
        <f t="shared" si="254"/>
        <v>26337.023999999998</v>
      </c>
      <c r="Y246" s="34">
        <f t="shared" si="255"/>
        <v>289707.26399999997</v>
      </c>
      <c r="Z246" s="34">
        <f t="shared" si="256"/>
        <v>124077.8</v>
      </c>
      <c r="AA246" s="48">
        <v>112798</v>
      </c>
      <c r="AB246" s="36"/>
      <c r="AC246" s="204">
        <f t="shared" si="264"/>
        <v>4620</v>
      </c>
      <c r="AD246" s="152">
        <v>0.108</v>
      </c>
      <c r="AE246" s="31">
        <f t="shared" si="266"/>
        <v>53075</v>
      </c>
      <c r="AF246" s="28">
        <f t="shared" si="258"/>
        <v>0.17713597936667144</v>
      </c>
      <c r="AG246" s="34">
        <f t="shared" si="259"/>
        <v>135985.54999999999</v>
      </c>
      <c r="AH246" s="34">
        <f t="shared" si="260"/>
        <v>34199.7186</v>
      </c>
      <c r="AI246" s="34">
        <f t="shared" si="261"/>
        <v>307797.46740000002</v>
      </c>
      <c r="AJ246" s="46">
        <f t="shared" si="262"/>
        <v>183719.66740000003</v>
      </c>
      <c r="AK246" s="40">
        <v>106.5</v>
      </c>
      <c r="AL246" s="41">
        <f t="shared" si="263"/>
        <v>137.172</v>
      </c>
      <c r="AM246" s="36"/>
      <c r="AN246" s="284"/>
      <c r="AO246" s="26"/>
      <c r="AP246" s="26"/>
      <c r="AQ246" s="27"/>
      <c r="AR246" s="27"/>
      <c r="AS246" s="27"/>
      <c r="AT246" s="27"/>
      <c r="AU246" s="27"/>
      <c r="AV246" s="27"/>
      <c r="AW246" s="26"/>
      <c r="AX246" s="26"/>
      <c r="AY246" s="26"/>
      <c r="AZ246" s="26"/>
      <c r="BA246" s="26"/>
      <c r="BB246" s="26"/>
      <c r="BC246" s="26"/>
      <c r="BD246" s="26"/>
      <c r="BE246" s="26"/>
      <c r="BF246" s="26"/>
      <c r="BG246" s="26"/>
      <c r="BH246" s="26"/>
      <c r="BI246" s="26"/>
    </row>
    <row r="247" spans="1:61" ht="28.5" customHeight="1">
      <c r="A247" s="26"/>
      <c r="B247" s="333"/>
      <c r="C247" s="42" t="s">
        <v>149</v>
      </c>
      <c r="D247" s="28">
        <f t="shared" si="247"/>
        <v>-0.36318657565415258</v>
      </c>
      <c r="E247" s="201">
        <v>0.40100000000000002</v>
      </c>
      <c r="F247" s="30">
        <f t="shared" si="248"/>
        <v>0.7641865756541526</v>
      </c>
      <c r="G247" s="30" t="e">
        <f t="shared" si="249"/>
        <v>#DIV/0!</v>
      </c>
      <c r="H247" s="48"/>
      <c r="I247" s="48"/>
      <c r="J247" s="48"/>
      <c r="K247" s="48"/>
      <c r="L247" s="334"/>
      <c r="M247" s="48"/>
      <c r="N247" s="36"/>
      <c r="O247" s="36">
        <v>2</v>
      </c>
      <c r="P247" s="31">
        <f t="shared" si="250"/>
        <v>2</v>
      </c>
      <c r="Q247" s="36">
        <v>1</v>
      </c>
      <c r="R247" s="167"/>
      <c r="S247" s="36"/>
      <c r="T247" s="34">
        <f t="shared" si="251"/>
        <v>193380</v>
      </c>
      <c r="U247" s="31">
        <f t="shared" si="252"/>
        <v>0</v>
      </c>
      <c r="V247" s="34">
        <f t="shared" si="253"/>
        <v>193380</v>
      </c>
      <c r="W247" s="43">
        <v>96690</v>
      </c>
      <c r="X247" s="34">
        <f t="shared" si="254"/>
        <v>36723.455999999998</v>
      </c>
      <c r="Y247" s="34">
        <f t="shared" si="255"/>
        <v>73446.911999999997</v>
      </c>
      <c r="Z247" s="34">
        <f t="shared" si="256"/>
        <v>145468.40000000002</v>
      </c>
      <c r="AA247" s="48">
        <v>132244</v>
      </c>
      <c r="AB247" s="36"/>
      <c r="AC247" s="204">
        <f t="shared" si="264"/>
        <v>2310</v>
      </c>
      <c r="AD247" s="152">
        <v>0.108</v>
      </c>
      <c r="AE247" s="31">
        <f t="shared" ref="AE247:AE248" si="267">6200*(P247+S247)</f>
        <v>12400</v>
      </c>
      <c r="AF247" s="28">
        <f t="shared" si="258"/>
        <v>0.17212245320095149</v>
      </c>
      <c r="AG247" s="34">
        <f t="shared" si="259"/>
        <v>33285.07</v>
      </c>
      <c r="AH247" s="34">
        <f t="shared" si="260"/>
        <v>8664.8018000000011</v>
      </c>
      <c r="AI247" s="34">
        <f t="shared" si="261"/>
        <v>77983.21620000001</v>
      </c>
      <c r="AJ247" s="46">
        <f t="shared" si="262"/>
        <v>-67485.183800000013</v>
      </c>
      <c r="AK247" s="40">
        <v>148.5</v>
      </c>
      <c r="AL247" s="41">
        <f t="shared" si="263"/>
        <v>191.268</v>
      </c>
      <c r="AM247" s="36"/>
      <c r="AN247" s="284"/>
      <c r="AO247" s="26"/>
      <c r="AP247" s="26"/>
      <c r="AQ247" s="27"/>
      <c r="AR247" s="27"/>
      <c r="AS247" s="27"/>
      <c r="AT247" s="27"/>
      <c r="AU247" s="27"/>
      <c r="AV247" s="27"/>
      <c r="AW247" s="26"/>
      <c r="AX247" s="26"/>
      <c r="AY247" s="26"/>
      <c r="AZ247" s="26"/>
      <c r="BA247" s="26"/>
      <c r="BB247" s="26"/>
      <c r="BC247" s="26"/>
      <c r="BD247" s="26"/>
      <c r="BE247" s="26"/>
      <c r="BF247" s="26"/>
      <c r="BG247" s="26"/>
      <c r="BH247" s="26"/>
      <c r="BI247" s="26"/>
    </row>
    <row r="248" spans="1:61" ht="28.5" customHeight="1">
      <c r="A248" s="26"/>
      <c r="B248" s="324"/>
      <c r="C248" s="42" t="s">
        <v>150</v>
      </c>
      <c r="D248" s="28">
        <f t="shared" si="247"/>
        <v>-0.33245930776426569</v>
      </c>
      <c r="E248" s="201">
        <v>0.39600000000000002</v>
      </c>
      <c r="F248" s="30">
        <f t="shared" si="248"/>
        <v>0.72845930776426571</v>
      </c>
      <c r="G248" s="30" t="e">
        <f t="shared" si="249"/>
        <v>#DIV/0!</v>
      </c>
      <c r="H248" s="48"/>
      <c r="I248" s="283"/>
      <c r="J248" s="48"/>
      <c r="K248" s="48"/>
      <c r="L248" s="310"/>
      <c r="M248" s="48"/>
      <c r="N248" s="36"/>
      <c r="O248" s="36">
        <v>2</v>
      </c>
      <c r="P248" s="31">
        <f t="shared" si="250"/>
        <v>2</v>
      </c>
      <c r="Q248" s="36">
        <v>1</v>
      </c>
      <c r="R248" s="167"/>
      <c r="S248" s="36"/>
      <c r="T248" s="34">
        <f t="shared" si="251"/>
        <v>213800</v>
      </c>
      <c r="U248" s="31">
        <f t="shared" si="252"/>
        <v>0</v>
      </c>
      <c r="V248" s="34">
        <f t="shared" si="253"/>
        <v>213800</v>
      </c>
      <c r="W248" s="43">
        <v>106900</v>
      </c>
      <c r="X248" s="34">
        <f t="shared" si="254"/>
        <v>41916.671999999999</v>
      </c>
      <c r="Y248" s="34">
        <f t="shared" si="255"/>
        <v>83833.343999999997</v>
      </c>
      <c r="Z248" s="34">
        <f t="shared" si="256"/>
        <v>153434.6</v>
      </c>
      <c r="AA248" s="48">
        <v>139486</v>
      </c>
      <c r="AB248" s="36"/>
      <c r="AC248" s="204">
        <f t="shared" si="264"/>
        <v>2310</v>
      </c>
      <c r="AD248" s="152">
        <v>0.108</v>
      </c>
      <c r="AE248" s="31">
        <f t="shared" si="267"/>
        <v>12400</v>
      </c>
      <c r="AF248" s="28">
        <f t="shared" si="258"/>
        <v>0.16599812909260991</v>
      </c>
      <c r="AG248" s="34">
        <f t="shared" si="259"/>
        <v>35490.43</v>
      </c>
      <c r="AH248" s="34">
        <f t="shared" si="260"/>
        <v>9447.6225999999988</v>
      </c>
      <c r="AI248" s="34">
        <f t="shared" si="261"/>
        <v>85028.603399999993</v>
      </c>
      <c r="AJ248" s="46">
        <f t="shared" si="262"/>
        <v>-68405.996600000013</v>
      </c>
      <c r="AK248" s="40">
        <v>169.5</v>
      </c>
      <c r="AL248" s="41">
        <f t="shared" si="263"/>
        <v>218.316</v>
      </c>
      <c r="AM248" s="36"/>
      <c r="AN248" s="284"/>
      <c r="AO248" s="26"/>
      <c r="AP248" s="26"/>
      <c r="AQ248" s="27"/>
      <c r="AR248" s="27"/>
      <c r="AS248" s="27"/>
      <c r="AT248" s="27"/>
      <c r="AU248" s="27"/>
      <c r="AV248" s="27"/>
      <c r="AW248" s="26"/>
      <c r="AX248" s="26"/>
      <c r="AY248" s="26"/>
      <c r="AZ248" s="26"/>
      <c r="BA248" s="26"/>
      <c r="BB248" s="26"/>
      <c r="BC248" s="26"/>
      <c r="BD248" s="26"/>
      <c r="BE248" s="26"/>
      <c r="BF248" s="26"/>
      <c r="BG248" s="26"/>
      <c r="BH248" s="26"/>
      <c r="BI248" s="26"/>
    </row>
    <row r="249" spans="1:61" ht="28.5" customHeight="1">
      <c r="A249" s="26"/>
      <c r="B249" s="200"/>
      <c r="C249" s="42" t="s">
        <v>111</v>
      </c>
      <c r="D249" s="28">
        <f t="shared" si="247"/>
        <v>0.11953846153846148</v>
      </c>
      <c r="E249" s="201">
        <v>0.378</v>
      </c>
      <c r="F249" s="30">
        <f t="shared" si="248"/>
        <v>0.25846153846153852</v>
      </c>
      <c r="G249" s="30" t="e">
        <f t="shared" si="249"/>
        <v>#DIV/0!</v>
      </c>
      <c r="H249" s="48"/>
      <c r="I249" s="48"/>
      <c r="J249" s="48"/>
      <c r="K249" s="210"/>
      <c r="L249" s="210"/>
      <c r="M249" s="210"/>
      <c r="N249" s="36"/>
      <c r="O249" s="36">
        <v>9</v>
      </c>
      <c r="P249" s="31">
        <f t="shared" si="250"/>
        <v>4</v>
      </c>
      <c r="Q249" s="36">
        <v>1</v>
      </c>
      <c r="R249" s="167"/>
      <c r="S249" s="36">
        <v>5</v>
      </c>
      <c r="T249" s="34">
        <f t="shared" si="251"/>
        <v>154440</v>
      </c>
      <c r="U249" s="31">
        <f t="shared" si="252"/>
        <v>85800</v>
      </c>
      <c r="V249" s="34">
        <f t="shared" si="253"/>
        <v>68640</v>
      </c>
      <c r="W249" s="43">
        <v>17160</v>
      </c>
      <c r="X249" s="34">
        <f t="shared" si="254"/>
        <v>5687.8080000000009</v>
      </c>
      <c r="Y249" s="34">
        <f t="shared" si="255"/>
        <v>22751.232000000004</v>
      </c>
      <c r="Z249" s="34">
        <f t="shared" si="256"/>
        <v>15430.800000000001</v>
      </c>
      <c r="AA249" s="48">
        <v>14028</v>
      </c>
      <c r="AB249" s="287">
        <f>((17160*0.015)+(17160*0.25)+2100+4950)*5</f>
        <v>57987</v>
      </c>
      <c r="AC249" s="204">
        <f t="shared" si="264"/>
        <v>2310</v>
      </c>
      <c r="AD249" s="152">
        <v>7.8E-2</v>
      </c>
      <c r="AE249" s="31">
        <f>2900*(P249+S249)</f>
        <v>26100</v>
      </c>
      <c r="AF249" s="28">
        <f t="shared" si="258"/>
        <v>0.45824475524475528</v>
      </c>
      <c r="AG249" s="34">
        <f t="shared" si="259"/>
        <v>31453.95</v>
      </c>
      <c r="AH249" s="34">
        <f t="shared" si="260"/>
        <v>1443.4817999999996</v>
      </c>
      <c r="AI249" s="34">
        <f t="shared" si="261"/>
        <v>12991.336199999998</v>
      </c>
      <c r="AJ249" s="46">
        <f t="shared" si="262"/>
        <v>-2439.4638000000032</v>
      </c>
      <c r="AK249" s="40">
        <v>23</v>
      </c>
      <c r="AL249" s="41">
        <f t="shared" si="263"/>
        <v>29.624000000000002</v>
      </c>
      <c r="AM249" s="36"/>
      <c r="AN249" s="284"/>
      <c r="AO249" s="26"/>
      <c r="AP249" s="26"/>
      <c r="AQ249" s="27"/>
      <c r="AR249" s="27"/>
      <c r="AS249" s="27"/>
      <c r="AT249" s="27"/>
      <c r="AU249" s="27"/>
      <c r="AV249" s="27"/>
      <c r="AW249" s="26"/>
      <c r="AX249" s="26"/>
      <c r="AY249" s="26"/>
      <c r="AZ249" s="26"/>
      <c r="BA249" s="26"/>
      <c r="BB249" s="26"/>
      <c r="BC249" s="26"/>
      <c r="BD249" s="26"/>
      <c r="BE249" s="26"/>
      <c r="BF249" s="26"/>
      <c r="BG249" s="26"/>
      <c r="BH249" s="26"/>
      <c r="BI249" s="26"/>
    </row>
    <row r="250" spans="1:61" ht="28.5" customHeight="1">
      <c r="A250" s="26"/>
      <c r="B250" s="207"/>
      <c r="C250" s="42" t="s">
        <v>151</v>
      </c>
      <c r="D250" s="28">
        <f t="shared" si="247"/>
        <v>2.4500000000000022E-2</v>
      </c>
      <c r="E250" s="201">
        <v>0.27700000000000002</v>
      </c>
      <c r="F250" s="30">
        <f t="shared" si="248"/>
        <v>0.2525</v>
      </c>
      <c r="G250" s="30" t="e">
        <f t="shared" si="249"/>
        <v>#DIV/0!</v>
      </c>
      <c r="H250" s="48"/>
      <c r="I250" s="48"/>
      <c r="J250" s="48"/>
      <c r="K250" s="210"/>
      <c r="L250" s="335"/>
      <c r="M250" s="210"/>
      <c r="N250" s="36"/>
      <c r="O250" s="36">
        <v>8</v>
      </c>
      <c r="P250" s="31">
        <f t="shared" si="250"/>
        <v>8</v>
      </c>
      <c r="Q250" s="36">
        <v>1</v>
      </c>
      <c r="R250" s="167"/>
      <c r="S250" s="36"/>
      <c r="T250" s="34">
        <f t="shared" si="251"/>
        <v>79200</v>
      </c>
      <c r="U250" s="31">
        <f t="shared" si="252"/>
        <v>0</v>
      </c>
      <c r="V250" s="34">
        <f t="shared" si="253"/>
        <v>79200</v>
      </c>
      <c r="W250" s="43">
        <v>9900</v>
      </c>
      <c r="X250" s="34">
        <f t="shared" si="254"/>
        <v>3462.1440000000002</v>
      </c>
      <c r="Y250" s="34">
        <f t="shared" si="255"/>
        <v>27697.152000000002</v>
      </c>
      <c r="Z250" s="34">
        <f t="shared" si="256"/>
        <v>17688</v>
      </c>
      <c r="AA250" s="48">
        <v>16080</v>
      </c>
      <c r="AB250" s="287"/>
      <c r="AC250" s="204">
        <f t="shared" si="264"/>
        <v>2310</v>
      </c>
      <c r="AD250" s="152">
        <v>0.1</v>
      </c>
      <c r="AE250" s="31">
        <f>3275*(P250+S250)</f>
        <v>26200</v>
      </c>
      <c r="AF250" s="28">
        <f t="shared" si="258"/>
        <v>0.43080808080808086</v>
      </c>
      <c r="AG250" s="34">
        <f t="shared" si="259"/>
        <v>34120.030000000006</v>
      </c>
      <c r="AH250" s="34">
        <f t="shared" si="260"/>
        <v>1738.2817999999988</v>
      </c>
      <c r="AI250" s="34">
        <f t="shared" si="261"/>
        <v>15644.536199999995</v>
      </c>
      <c r="AJ250" s="46">
        <f t="shared" si="262"/>
        <v>-2043.463800000005</v>
      </c>
      <c r="AK250" s="40">
        <v>14</v>
      </c>
      <c r="AL250" s="41">
        <f t="shared" si="263"/>
        <v>18.032</v>
      </c>
      <c r="AM250" s="36"/>
      <c r="AN250" s="284"/>
      <c r="AO250" s="26"/>
      <c r="AP250" s="26"/>
      <c r="AQ250" s="27"/>
      <c r="AR250" s="27"/>
      <c r="AS250" s="27"/>
      <c r="AT250" s="27"/>
      <c r="AU250" s="27"/>
      <c r="AV250" s="27"/>
      <c r="AW250" s="26"/>
      <c r="AX250" s="26"/>
      <c r="AY250" s="26"/>
      <c r="AZ250" s="26"/>
      <c r="BA250" s="26"/>
      <c r="BB250" s="26"/>
      <c r="BC250" s="26"/>
      <c r="BD250" s="26"/>
      <c r="BE250" s="26"/>
      <c r="BF250" s="26"/>
      <c r="BG250" s="26"/>
      <c r="BH250" s="26"/>
      <c r="BI250" s="26"/>
    </row>
    <row r="251" spans="1:61" ht="28.5" customHeight="1">
      <c r="A251" s="26"/>
      <c r="B251" s="212"/>
      <c r="C251" s="42" t="s">
        <v>152</v>
      </c>
      <c r="D251" s="28">
        <f t="shared" si="247"/>
        <v>9.5111111111111091E-2</v>
      </c>
      <c r="E251" s="201">
        <v>0.34200000000000003</v>
      </c>
      <c r="F251" s="30">
        <f t="shared" si="248"/>
        <v>0.24688888888888894</v>
      </c>
      <c r="G251" s="30" t="e">
        <f t="shared" si="249"/>
        <v>#DIV/0!</v>
      </c>
      <c r="H251" s="48"/>
      <c r="I251" s="48"/>
      <c r="J251" s="48"/>
      <c r="K251" s="210"/>
      <c r="L251" s="310"/>
      <c r="M251" s="210"/>
      <c r="N251" s="36"/>
      <c r="O251" s="36">
        <v>5</v>
      </c>
      <c r="P251" s="31">
        <f t="shared" si="250"/>
        <v>5</v>
      </c>
      <c r="Q251" s="36">
        <v>0</v>
      </c>
      <c r="R251" s="167"/>
      <c r="S251" s="36"/>
      <c r="T251" s="34">
        <f t="shared" si="251"/>
        <v>94500</v>
      </c>
      <c r="U251" s="31">
        <f t="shared" si="252"/>
        <v>0</v>
      </c>
      <c r="V251" s="34">
        <f t="shared" si="253"/>
        <v>94500</v>
      </c>
      <c r="W251" s="43">
        <v>18900</v>
      </c>
      <c r="X251" s="34">
        <f t="shared" si="254"/>
        <v>6924.2880000000005</v>
      </c>
      <c r="Y251" s="34">
        <f t="shared" si="255"/>
        <v>34621.440000000002</v>
      </c>
      <c r="Z251" s="34">
        <f t="shared" si="256"/>
        <v>23331.000000000004</v>
      </c>
      <c r="AA251" s="48">
        <v>21210</v>
      </c>
      <c r="AB251" s="36"/>
      <c r="AC251" s="204">
        <f t="shared" si="264"/>
        <v>0</v>
      </c>
      <c r="AD251" s="152">
        <v>0.1</v>
      </c>
      <c r="AE251" s="31">
        <f>3425*(P251+S251)</f>
        <v>17125</v>
      </c>
      <c r="AF251" s="28">
        <f t="shared" si="258"/>
        <v>0.28121693121693125</v>
      </c>
      <c r="AG251" s="34">
        <f t="shared" si="259"/>
        <v>26575.030000000002</v>
      </c>
      <c r="AH251" s="34">
        <f t="shared" si="260"/>
        <v>3330.3529999999992</v>
      </c>
      <c r="AI251" s="34">
        <f t="shared" si="261"/>
        <v>29973.176999999996</v>
      </c>
      <c r="AJ251" s="46">
        <f t="shared" si="262"/>
        <v>6642.1769999999924</v>
      </c>
      <c r="AK251" s="40">
        <v>28</v>
      </c>
      <c r="AL251" s="41">
        <f t="shared" si="263"/>
        <v>36.064</v>
      </c>
      <c r="AM251" s="36"/>
      <c r="AN251" s="284"/>
      <c r="AO251" s="26"/>
      <c r="AP251" s="26"/>
      <c r="AQ251" s="27"/>
      <c r="AR251" s="27"/>
      <c r="AS251" s="27"/>
      <c r="AT251" s="27"/>
      <c r="AU251" s="27"/>
      <c r="AV251" s="27"/>
      <c r="AW251" s="26"/>
      <c r="AX251" s="26"/>
      <c r="AY251" s="26"/>
      <c r="AZ251" s="26"/>
      <c r="BA251" s="26"/>
      <c r="BB251" s="26"/>
      <c r="BC251" s="26"/>
      <c r="BD251" s="26"/>
      <c r="BE251" s="26"/>
      <c r="BF251" s="26"/>
      <c r="BG251" s="26"/>
      <c r="BH251" s="26"/>
      <c r="BI251" s="26"/>
    </row>
    <row r="252" spans="1:61" ht="28.5" customHeight="1">
      <c r="A252" s="295"/>
      <c r="B252" s="296"/>
      <c r="C252" s="42" t="s">
        <v>153</v>
      </c>
      <c r="D252" s="28" t="e">
        <f t="shared" si="247"/>
        <v>#DIV/0!</v>
      </c>
      <c r="E252" s="201">
        <v>0.35</v>
      </c>
      <c r="F252" s="30" t="e">
        <f t="shared" si="248"/>
        <v>#DIV/0!</v>
      </c>
      <c r="G252" s="30" t="e">
        <f t="shared" si="249"/>
        <v>#DIV/0!</v>
      </c>
      <c r="H252" s="48"/>
      <c r="I252" s="48"/>
      <c r="J252" s="48"/>
      <c r="K252" s="26"/>
      <c r="L252" s="26"/>
      <c r="M252" s="210"/>
      <c r="N252" s="36"/>
      <c r="O252" s="36">
        <v>0</v>
      </c>
      <c r="P252" s="31">
        <f t="shared" si="250"/>
        <v>0</v>
      </c>
      <c r="Q252" s="36">
        <v>0</v>
      </c>
      <c r="R252" s="167"/>
      <c r="S252" s="36"/>
      <c r="T252" s="34">
        <f t="shared" si="251"/>
        <v>0</v>
      </c>
      <c r="U252" s="31">
        <f t="shared" si="252"/>
        <v>0</v>
      </c>
      <c r="V252" s="34">
        <f t="shared" si="253"/>
        <v>0</v>
      </c>
      <c r="W252" s="43">
        <v>26010</v>
      </c>
      <c r="X252" s="34">
        <f t="shared" si="254"/>
        <v>10386.432000000001</v>
      </c>
      <c r="Y252" s="34">
        <f t="shared" si="255"/>
        <v>0</v>
      </c>
      <c r="Z252" s="34">
        <f t="shared" si="256"/>
        <v>0</v>
      </c>
      <c r="AA252" s="48">
        <v>0</v>
      </c>
      <c r="AB252" s="36"/>
      <c r="AC252" s="204">
        <f t="shared" si="264"/>
        <v>0</v>
      </c>
      <c r="AD252" s="152">
        <v>0.1</v>
      </c>
      <c r="AE252" s="31">
        <f>5925*(P252+S252)</f>
        <v>0</v>
      </c>
      <c r="AF252" s="28" t="e">
        <f t="shared" si="258"/>
        <v>#DIV/0!</v>
      </c>
      <c r="AG252" s="34" t="e">
        <f t="shared" si="259"/>
        <v>#DIV/0!</v>
      </c>
      <c r="AH252" s="34" t="e">
        <f t="shared" si="260"/>
        <v>#DIV/0!</v>
      </c>
      <c r="AI252" s="34" t="e">
        <f t="shared" si="261"/>
        <v>#DIV/0!</v>
      </c>
      <c r="AJ252" s="46" t="e">
        <f t="shared" si="262"/>
        <v>#DIV/0!</v>
      </c>
      <c r="AK252" s="40">
        <v>42</v>
      </c>
      <c r="AL252" s="41">
        <f t="shared" si="263"/>
        <v>54.096000000000004</v>
      </c>
      <c r="AM252" s="36"/>
      <c r="AN252" s="284"/>
      <c r="AO252" s="26"/>
      <c r="AP252" s="26"/>
      <c r="AQ252" s="27"/>
      <c r="AR252" s="27"/>
      <c r="AS252" s="27"/>
      <c r="AT252" s="27"/>
      <c r="AU252" s="27"/>
      <c r="AV252" s="27"/>
      <c r="AW252" s="26"/>
      <c r="AX252" s="26"/>
      <c r="AY252" s="26"/>
      <c r="AZ252" s="26"/>
      <c r="BA252" s="26"/>
      <c r="BB252" s="26"/>
      <c r="BC252" s="26"/>
      <c r="BD252" s="26"/>
      <c r="BE252" s="26"/>
      <c r="BF252" s="26"/>
      <c r="BG252" s="26"/>
      <c r="BH252" s="26"/>
      <c r="BI252" s="26"/>
    </row>
    <row r="253" spans="1:61" ht="28.5" customHeight="1">
      <c r="A253" s="26"/>
      <c r="B253" s="323"/>
      <c r="C253" s="42" t="s">
        <v>112</v>
      </c>
      <c r="D253" s="28">
        <f t="shared" si="247"/>
        <v>-3.6797356828193906E-2</v>
      </c>
      <c r="E253" s="201">
        <v>0.38600000000000001</v>
      </c>
      <c r="F253" s="30">
        <f t="shared" si="248"/>
        <v>0.42279735682819392</v>
      </c>
      <c r="G253" s="30" t="e">
        <f t="shared" si="249"/>
        <v>#DIV/0!</v>
      </c>
      <c r="H253" s="334"/>
      <c r="I253" s="48"/>
      <c r="J253" s="48"/>
      <c r="K253" s="210"/>
      <c r="L253" s="335"/>
      <c r="M253" s="210"/>
      <c r="N253" s="36"/>
      <c r="O253" s="36">
        <v>8</v>
      </c>
      <c r="P253" s="31">
        <f t="shared" si="250"/>
        <v>6</v>
      </c>
      <c r="Q253" s="36">
        <v>3</v>
      </c>
      <c r="R253" s="167"/>
      <c r="S253" s="36">
        <v>2</v>
      </c>
      <c r="T253" s="34">
        <f t="shared" si="251"/>
        <v>308720</v>
      </c>
      <c r="U253" s="31">
        <f t="shared" si="252"/>
        <v>77180</v>
      </c>
      <c r="V253" s="34">
        <f t="shared" si="253"/>
        <v>231540</v>
      </c>
      <c r="W253" s="43">
        <v>38590</v>
      </c>
      <c r="X253" s="34">
        <f t="shared" si="254"/>
        <v>15085.056</v>
      </c>
      <c r="Y253" s="34">
        <f t="shared" si="255"/>
        <v>90510.33600000001</v>
      </c>
      <c r="Z253" s="34">
        <f t="shared" si="256"/>
        <v>90964.500000000015</v>
      </c>
      <c r="AA253" s="48">
        <v>82695</v>
      </c>
      <c r="AB253" s="286">
        <f>((38590*0.18)+(38590*0.015)+2100+2200)*2</f>
        <v>23650.1</v>
      </c>
      <c r="AC253" s="204">
        <f t="shared" si="264"/>
        <v>6930</v>
      </c>
      <c r="AD253" s="152">
        <v>0.08</v>
      </c>
      <c r="AE253" s="31">
        <f t="shared" ref="AE253:AE254" si="268">4150*(P253+S253)</f>
        <v>33200</v>
      </c>
      <c r="AF253" s="28">
        <f t="shared" si="258"/>
        <v>0.22338775157640151</v>
      </c>
      <c r="AG253" s="34">
        <f t="shared" si="259"/>
        <v>51723.23</v>
      </c>
      <c r="AH253" s="34">
        <f t="shared" si="260"/>
        <v>8930.6433999999972</v>
      </c>
      <c r="AI253" s="34">
        <f t="shared" si="261"/>
        <v>80375.790599999978</v>
      </c>
      <c r="AJ253" s="46">
        <f t="shared" si="262"/>
        <v>-10588.709400000036</v>
      </c>
      <c r="AK253" s="40">
        <v>61</v>
      </c>
      <c r="AL253" s="41">
        <f t="shared" si="263"/>
        <v>78.567999999999998</v>
      </c>
      <c r="AM253" s="36"/>
      <c r="AN253" s="284"/>
      <c r="AO253" s="26"/>
      <c r="AP253" s="26"/>
      <c r="AQ253" s="27"/>
      <c r="AR253" s="27"/>
      <c r="AS253" s="27"/>
      <c r="AT253" s="27"/>
      <c r="AU253" s="27"/>
      <c r="AV253" s="27"/>
      <c r="AW253" s="26"/>
      <c r="AX253" s="26"/>
      <c r="AY253" s="26"/>
      <c r="AZ253" s="26"/>
      <c r="BA253" s="26"/>
      <c r="BB253" s="26"/>
      <c r="BC253" s="26"/>
      <c r="BD253" s="26"/>
      <c r="BE253" s="26"/>
      <c r="BF253" s="26"/>
      <c r="BG253" s="26"/>
      <c r="BH253" s="26"/>
      <c r="BI253" s="26"/>
    </row>
    <row r="254" spans="1:61" ht="28.5" customHeight="1">
      <c r="A254" s="26"/>
      <c r="B254" s="324"/>
      <c r="C254" s="42" t="s">
        <v>113</v>
      </c>
      <c r="D254" s="28">
        <f t="shared" si="247"/>
        <v>6.5801282051281995E-2</v>
      </c>
      <c r="E254" s="201">
        <v>0.316</v>
      </c>
      <c r="F254" s="30">
        <f t="shared" si="248"/>
        <v>0.25019871794871801</v>
      </c>
      <c r="G254" s="30" t="e">
        <f t="shared" si="249"/>
        <v>#DIV/0!</v>
      </c>
      <c r="H254" s="310"/>
      <c r="I254" s="48"/>
      <c r="J254" s="48"/>
      <c r="K254" s="210"/>
      <c r="L254" s="310"/>
      <c r="M254" s="210"/>
      <c r="N254" s="36"/>
      <c r="O254" s="36">
        <v>8</v>
      </c>
      <c r="P254" s="31">
        <f t="shared" si="250"/>
        <v>8</v>
      </c>
      <c r="Q254" s="36">
        <v>1</v>
      </c>
      <c r="R254" s="167"/>
      <c r="S254" s="36"/>
      <c r="T254" s="34">
        <f t="shared" si="251"/>
        <v>343200</v>
      </c>
      <c r="U254" s="31">
        <f t="shared" si="252"/>
        <v>0</v>
      </c>
      <c r="V254" s="34">
        <f t="shared" si="253"/>
        <v>343200</v>
      </c>
      <c r="W254" s="43">
        <v>42900</v>
      </c>
      <c r="X254" s="34">
        <f t="shared" si="254"/>
        <v>20278.272000000004</v>
      </c>
      <c r="Y254" s="34">
        <f t="shared" si="255"/>
        <v>162226.17600000004</v>
      </c>
      <c r="Z254" s="34">
        <f t="shared" si="256"/>
        <v>83558.200000000012</v>
      </c>
      <c r="AA254" s="48">
        <v>75962</v>
      </c>
      <c r="AB254" s="286"/>
      <c r="AC254" s="204">
        <f t="shared" si="264"/>
        <v>2310</v>
      </c>
      <c r="AD254" s="152">
        <v>7.8E-2</v>
      </c>
      <c r="AE254" s="31">
        <f t="shared" si="268"/>
        <v>33200</v>
      </c>
      <c r="AF254" s="28">
        <f t="shared" si="258"/>
        <v>0.17473659673659675</v>
      </c>
      <c r="AG254" s="34">
        <f t="shared" si="259"/>
        <v>59969.630000000005</v>
      </c>
      <c r="AH254" s="34">
        <f t="shared" si="260"/>
        <v>12100.419399999995</v>
      </c>
      <c r="AI254" s="34">
        <f t="shared" si="261"/>
        <v>108903.77459999998</v>
      </c>
      <c r="AJ254" s="46">
        <f t="shared" si="262"/>
        <v>25345.574599999964</v>
      </c>
      <c r="AK254" s="40">
        <v>82</v>
      </c>
      <c r="AL254" s="41">
        <f t="shared" si="263"/>
        <v>105.61600000000001</v>
      </c>
      <c r="AM254" s="36"/>
      <c r="AN254" s="284"/>
      <c r="AO254" s="26"/>
      <c r="AP254" s="26"/>
      <c r="AQ254" s="27"/>
      <c r="AR254" s="27"/>
      <c r="AS254" s="27"/>
      <c r="AT254" s="27"/>
      <c r="AU254" s="27"/>
      <c r="AV254" s="27"/>
      <c r="AW254" s="26"/>
      <c r="AX254" s="26"/>
      <c r="AY254" s="26"/>
      <c r="AZ254" s="26"/>
      <c r="BA254" s="26"/>
      <c r="BB254" s="26"/>
      <c r="BC254" s="26"/>
      <c r="BD254" s="26"/>
      <c r="BE254" s="26"/>
      <c r="BF254" s="26"/>
      <c r="BG254" s="26"/>
      <c r="BH254" s="26"/>
      <c r="BI254" s="26"/>
    </row>
    <row r="255" spans="1:61" ht="28.5" customHeight="1">
      <c r="A255" s="26"/>
      <c r="B255" s="200"/>
      <c r="C255" s="42" t="s">
        <v>154</v>
      </c>
      <c r="D255" s="28">
        <f t="shared" si="247"/>
        <v>-3.5061173469387761</v>
      </c>
      <c r="E255" s="201">
        <v>0.185</v>
      </c>
      <c r="F255" s="30">
        <f t="shared" si="248"/>
        <v>3.6911173469387761</v>
      </c>
      <c r="G255" s="30" t="e">
        <f t="shared" si="249"/>
        <v>#DIV/0!</v>
      </c>
      <c r="H255" s="48"/>
      <c r="I255" s="48"/>
      <c r="J255" s="48"/>
      <c r="K255" s="210"/>
      <c r="L255" s="210"/>
      <c r="M255" s="210"/>
      <c r="N255" s="36"/>
      <c r="O255" s="36">
        <v>2</v>
      </c>
      <c r="P255" s="31">
        <f t="shared" si="250"/>
        <v>2</v>
      </c>
      <c r="Q255" s="36">
        <v>3</v>
      </c>
      <c r="R255" s="167"/>
      <c r="S255" s="36"/>
      <c r="T255" s="34">
        <f t="shared" si="251"/>
        <v>19600</v>
      </c>
      <c r="U255" s="31">
        <f t="shared" si="252"/>
        <v>0</v>
      </c>
      <c r="V255" s="34">
        <f t="shared" si="253"/>
        <v>19600</v>
      </c>
      <c r="W255" s="43">
        <v>9800</v>
      </c>
      <c r="X255" s="34">
        <f t="shared" si="254"/>
        <v>4006.1952000000001</v>
      </c>
      <c r="Y255" s="34">
        <f t="shared" si="255"/>
        <v>8012.3904000000002</v>
      </c>
      <c r="Z255" s="34">
        <f t="shared" si="256"/>
        <v>65415.900000000009</v>
      </c>
      <c r="AA255" s="48">
        <v>59469</v>
      </c>
      <c r="AB255" s="287"/>
      <c r="AC255" s="204">
        <f t="shared" si="264"/>
        <v>6930</v>
      </c>
      <c r="AD255" s="152">
        <v>0.108</v>
      </c>
      <c r="AE255" s="31">
        <f>2800*(P255+S255)</f>
        <v>5600</v>
      </c>
      <c r="AF255" s="28">
        <f t="shared" si="258"/>
        <v>0.39371428571428568</v>
      </c>
      <c r="AG255" s="34">
        <f t="shared" si="259"/>
        <v>7716.829999999999</v>
      </c>
      <c r="AH255" s="34">
        <f t="shared" si="260"/>
        <v>387.07796000000008</v>
      </c>
      <c r="AI255" s="34">
        <f t="shared" si="261"/>
        <v>3483.7016400000011</v>
      </c>
      <c r="AJ255" s="46">
        <f t="shared" si="262"/>
        <v>-61932.198360000009</v>
      </c>
      <c r="AK255" s="40">
        <v>16.2</v>
      </c>
      <c r="AL255" s="41">
        <f t="shared" si="263"/>
        <v>20.865600000000001</v>
      </c>
      <c r="AM255" s="36"/>
      <c r="AN255" s="284"/>
      <c r="AO255" s="26"/>
      <c r="AP255" s="26"/>
      <c r="AQ255" s="27"/>
      <c r="AR255" s="27"/>
      <c r="AS255" s="27"/>
      <c r="AT255" s="27"/>
      <c r="AU255" s="27"/>
      <c r="AV255" s="27"/>
      <c r="AW255" s="26"/>
      <c r="AX255" s="26"/>
      <c r="AY255" s="26"/>
      <c r="AZ255" s="26"/>
      <c r="BA255" s="26"/>
      <c r="BB255" s="26"/>
      <c r="BC255" s="26"/>
      <c r="BD255" s="26"/>
      <c r="BE255" s="26"/>
      <c r="BF255" s="26"/>
      <c r="BG255" s="26"/>
      <c r="BH255" s="26"/>
      <c r="BI255" s="26"/>
    </row>
    <row r="256" spans="1:61" ht="28.5" customHeight="1">
      <c r="A256" s="26"/>
      <c r="B256" s="200"/>
      <c r="C256" s="42" t="s">
        <v>114</v>
      </c>
      <c r="D256" s="28">
        <f t="shared" si="247"/>
        <v>-9.1060150375940063E-3</v>
      </c>
      <c r="E256" s="201">
        <v>0.33</v>
      </c>
      <c r="F256" s="30">
        <f t="shared" si="248"/>
        <v>0.33910601503759402</v>
      </c>
      <c r="G256" s="30" t="e">
        <f t="shared" si="249"/>
        <v>#DIV/0!</v>
      </c>
      <c r="H256" s="48"/>
      <c r="I256" s="48"/>
      <c r="J256" s="48"/>
      <c r="K256" s="210"/>
      <c r="L256" s="210"/>
      <c r="M256" s="210"/>
      <c r="N256" s="36"/>
      <c r="O256" s="36">
        <v>7</v>
      </c>
      <c r="P256" s="31">
        <f t="shared" si="250"/>
        <v>7</v>
      </c>
      <c r="Q256" s="36">
        <v>4</v>
      </c>
      <c r="R256" s="167"/>
      <c r="S256" s="36"/>
      <c r="T256" s="34">
        <f t="shared" si="251"/>
        <v>133000</v>
      </c>
      <c r="U256" s="31">
        <f t="shared" si="252"/>
        <v>0</v>
      </c>
      <c r="V256" s="34">
        <f t="shared" si="253"/>
        <v>133000</v>
      </c>
      <c r="W256" s="43">
        <v>19000</v>
      </c>
      <c r="X256" s="34">
        <f t="shared" si="254"/>
        <v>7122.1247999999996</v>
      </c>
      <c r="Y256" s="34">
        <f t="shared" si="255"/>
        <v>49854.873599999999</v>
      </c>
      <c r="Z256" s="34">
        <f t="shared" si="256"/>
        <v>35861.100000000006</v>
      </c>
      <c r="AA256" s="48">
        <v>32601</v>
      </c>
      <c r="AB256" s="36"/>
      <c r="AC256" s="204">
        <f t="shared" si="264"/>
        <v>9240</v>
      </c>
      <c r="AD256" s="152">
        <v>0.08</v>
      </c>
      <c r="AE256" s="31">
        <f>3350*(P256+S256)</f>
        <v>23450</v>
      </c>
      <c r="AF256" s="28">
        <f t="shared" si="258"/>
        <v>0.25631578947368422</v>
      </c>
      <c r="AG256" s="34">
        <f t="shared" si="259"/>
        <v>34090.03</v>
      </c>
      <c r="AH256" s="34">
        <f t="shared" si="260"/>
        <v>4905.5096400000002</v>
      </c>
      <c r="AI256" s="34">
        <f t="shared" si="261"/>
        <v>44149.586760000006</v>
      </c>
      <c r="AJ256" s="46">
        <f t="shared" si="262"/>
        <v>8288.4867599999998</v>
      </c>
      <c r="AK256" s="40">
        <v>28.8</v>
      </c>
      <c r="AL256" s="41">
        <f t="shared" si="263"/>
        <v>37.0944</v>
      </c>
      <c r="AM256" s="36"/>
      <c r="AN256" s="284"/>
      <c r="AO256" s="26"/>
      <c r="AP256" s="26"/>
      <c r="AQ256" s="27"/>
      <c r="AR256" s="27"/>
      <c r="AS256" s="27"/>
      <c r="AT256" s="27"/>
      <c r="AU256" s="27"/>
      <c r="AV256" s="27"/>
      <c r="AW256" s="26"/>
      <c r="AX256" s="26"/>
      <c r="AY256" s="26"/>
      <c r="AZ256" s="26"/>
      <c r="BA256" s="26"/>
      <c r="BB256" s="26"/>
      <c r="BC256" s="26"/>
      <c r="BD256" s="26"/>
      <c r="BE256" s="26"/>
      <c r="BF256" s="26"/>
      <c r="BG256" s="26"/>
      <c r="BH256" s="26"/>
      <c r="BI256" s="26"/>
    </row>
    <row r="257" spans="1:61" ht="28.5" customHeight="1">
      <c r="A257" s="26"/>
      <c r="B257" s="326"/>
      <c r="C257" s="42" t="s">
        <v>115</v>
      </c>
      <c r="D257" s="28">
        <f t="shared" si="247"/>
        <v>0.23429790145985399</v>
      </c>
      <c r="E257" s="201">
        <v>0.437</v>
      </c>
      <c r="F257" s="30">
        <f t="shared" si="248"/>
        <v>0.20270209854014601</v>
      </c>
      <c r="G257" s="30" t="e">
        <f t="shared" si="249"/>
        <v>#DIV/0!</v>
      </c>
      <c r="H257" s="48"/>
      <c r="I257" s="48"/>
      <c r="J257" s="48"/>
      <c r="K257" s="210"/>
      <c r="L257" s="210"/>
      <c r="M257" s="210"/>
      <c r="N257" s="36"/>
      <c r="O257" s="36">
        <v>4</v>
      </c>
      <c r="P257" s="31">
        <f t="shared" si="250"/>
        <v>4</v>
      </c>
      <c r="Q257" s="36">
        <v>1</v>
      </c>
      <c r="R257" s="167"/>
      <c r="S257" s="36"/>
      <c r="T257" s="34">
        <f t="shared" si="251"/>
        <v>219200</v>
      </c>
      <c r="U257" s="31">
        <f t="shared" si="252"/>
        <v>0</v>
      </c>
      <c r="V257" s="34">
        <f t="shared" si="253"/>
        <v>219200</v>
      </c>
      <c r="W257" s="43">
        <v>54800</v>
      </c>
      <c r="X257" s="34">
        <f t="shared" si="254"/>
        <v>20030.976000000002</v>
      </c>
      <c r="Y257" s="34">
        <f t="shared" si="255"/>
        <v>80123.90400000001</v>
      </c>
      <c r="Z257" s="34">
        <f t="shared" si="256"/>
        <v>42122.3</v>
      </c>
      <c r="AA257" s="48">
        <v>38293</v>
      </c>
      <c r="AB257" s="36"/>
      <c r="AC257" s="204">
        <f t="shared" si="264"/>
        <v>2310</v>
      </c>
      <c r="AD257" s="152">
        <v>7.8E-2</v>
      </c>
      <c r="AE257" s="31">
        <f t="shared" ref="AE257:AE258" si="269">4825*(P257+S257)</f>
        <v>19300</v>
      </c>
      <c r="AF257" s="28">
        <f t="shared" si="258"/>
        <v>0.16604744525547444</v>
      </c>
      <c r="AG257" s="34">
        <f t="shared" si="259"/>
        <v>36397.629999999997</v>
      </c>
      <c r="AH257" s="34">
        <f t="shared" si="260"/>
        <v>10267.846599999997</v>
      </c>
      <c r="AI257" s="34">
        <f t="shared" si="261"/>
        <v>92410.619399999996</v>
      </c>
      <c r="AJ257" s="46">
        <f t="shared" si="262"/>
        <v>50288.319399999993</v>
      </c>
      <c r="AK257" s="40">
        <v>81</v>
      </c>
      <c r="AL257" s="41">
        <f t="shared" si="263"/>
        <v>104.328</v>
      </c>
      <c r="AM257" s="36"/>
      <c r="AN257" s="284"/>
      <c r="AO257" s="26"/>
      <c r="AP257" s="26"/>
      <c r="AQ257" s="27"/>
      <c r="AR257" s="27"/>
      <c r="AS257" s="27"/>
      <c r="AT257" s="27"/>
      <c r="AU257" s="27"/>
      <c r="AV257" s="27"/>
      <c r="AW257" s="26"/>
      <c r="AX257" s="26"/>
      <c r="AY257" s="26"/>
      <c r="AZ257" s="26"/>
      <c r="BA257" s="26"/>
      <c r="BB257" s="26"/>
      <c r="BC257" s="26"/>
      <c r="BD257" s="26"/>
      <c r="BE257" s="26"/>
      <c r="BF257" s="26"/>
      <c r="BG257" s="26"/>
      <c r="BH257" s="26"/>
      <c r="BI257" s="26"/>
    </row>
    <row r="258" spans="1:61" ht="28.5" customHeight="1">
      <c r="A258" s="26"/>
      <c r="B258" s="324"/>
      <c r="C258" s="42" t="s">
        <v>116</v>
      </c>
      <c r="D258" s="28">
        <f t="shared" si="247"/>
        <v>0.15485918209876542</v>
      </c>
      <c r="E258" s="201">
        <v>0.42499999999999999</v>
      </c>
      <c r="F258" s="30">
        <f t="shared" si="248"/>
        <v>0.27014081790123456</v>
      </c>
      <c r="G258" s="30" t="e">
        <f t="shared" si="249"/>
        <v>#DIV/0!</v>
      </c>
      <c r="H258" s="48"/>
      <c r="I258" s="48"/>
      <c r="J258" s="48"/>
      <c r="K258" s="210"/>
      <c r="L258" s="210"/>
      <c r="M258" s="210"/>
      <c r="N258" s="36"/>
      <c r="O258" s="36">
        <v>4</v>
      </c>
      <c r="P258" s="31">
        <f t="shared" si="250"/>
        <v>4</v>
      </c>
      <c r="Q258" s="36">
        <v>0</v>
      </c>
      <c r="R258" s="167"/>
      <c r="S258" s="36"/>
      <c r="T258" s="34">
        <f t="shared" si="251"/>
        <v>259200</v>
      </c>
      <c r="U258" s="31">
        <f t="shared" si="252"/>
        <v>0</v>
      </c>
      <c r="V258" s="34">
        <f t="shared" si="253"/>
        <v>259200</v>
      </c>
      <c r="W258" s="43">
        <v>64800</v>
      </c>
      <c r="X258" s="34">
        <f t="shared" si="254"/>
        <v>25224.192000000003</v>
      </c>
      <c r="Y258" s="34">
        <f t="shared" si="255"/>
        <v>100896.76800000001</v>
      </c>
      <c r="Z258" s="34">
        <f t="shared" si="256"/>
        <v>70020.5</v>
      </c>
      <c r="AA258" s="48">
        <v>63655</v>
      </c>
      <c r="AB258" s="36"/>
      <c r="AC258" s="204">
        <f t="shared" si="264"/>
        <v>0</v>
      </c>
      <c r="AD258" s="152">
        <v>7.8E-2</v>
      </c>
      <c r="AE258" s="31">
        <f t="shared" si="269"/>
        <v>19300</v>
      </c>
      <c r="AF258" s="28">
        <f t="shared" si="258"/>
        <v>0.15245987654320986</v>
      </c>
      <c r="AG258" s="34">
        <f t="shared" si="259"/>
        <v>39517.629999999997</v>
      </c>
      <c r="AH258" s="34">
        <f t="shared" si="260"/>
        <v>11878.560199999998</v>
      </c>
      <c r="AI258" s="34">
        <f t="shared" si="261"/>
        <v>106907.04179999998</v>
      </c>
      <c r="AJ258" s="46">
        <f t="shared" si="262"/>
        <v>36886.541799999977</v>
      </c>
      <c r="AK258" s="40">
        <v>102</v>
      </c>
      <c r="AL258" s="41">
        <f t="shared" si="263"/>
        <v>131.376</v>
      </c>
      <c r="AM258" s="36"/>
      <c r="AN258" s="284"/>
      <c r="AO258" s="26"/>
      <c r="AP258" s="26"/>
      <c r="AQ258" s="27"/>
      <c r="AR258" s="27"/>
      <c r="AS258" s="27"/>
      <c r="AT258" s="27"/>
      <c r="AU258" s="27"/>
      <c r="AV258" s="27"/>
      <c r="AW258" s="26"/>
      <c r="AX258" s="26"/>
      <c r="AY258" s="26"/>
      <c r="AZ258" s="26"/>
      <c r="BA258" s="26"/>
      <c r="BB258" s="26"/>
      <c r="BC258" s="26"/>
      <c r="BD258" s="26"/>
      <c r="BE258" s="26"/>
      <c r="BF258" s="26"/>
      <c r="BG258" s="26"/>
      <c r="BH258" s="26"/>
      <c r="BI258" s="26"/>
    </row>
    <row r="259" spans="1:61" ht="28.5" customHeight="1">
      <c r="A259" s="26"/>
      <c r="B259" s="200"/>
      <c r="C259" s="42" t="s">
        <v>117</v>
      </c>
      <c r="D259" s="28">
        <f t="shared" si="247"/>
        <v>0.34383083645443197</v>
      </c>
      <c r="E259" s="297">
        <v>0.53900000000000003</v>
      </c>
      <c r="F259" s="30">
        <f t="shared" si="248"/>
        <v>0.19516916354556807</v>
      </c>
      <c r="G259" s="30" t="e">
        <f t="shared" si="249"/>
        <v>#DIV/0!</v>
      </c>
      <c r="H259" s="48"/>
      <c r="I259" s="48"/>
      <c r="J259" s="48"/>
      <c r="K259" s="210"/>
      <c r="L259" s="210"/>
      <c r="M259" s="210"/>
      <c r="N259" s="36"/>
      <c r="O259" s="36">
        <v>89</v>
      </c>
      <c r="P259" s="31">
        <f t="shared" si="250"/>
        <v>89</v>
      </c>
      <c r="Q259" s="36">
        <v>17</v>
      </c>
      <c r="R259" s="167"/>
      <c r="S259" s="36"/>
      <c r="T259" s="34">
        <f t="shared" si="251"/>
        <v>1762200</v>
      </c>
      <c r="U259" s="31">
        <f t="shared" si="252"/>
        <v>0</v>
      </c>
      <c r="V259" s="34">
        <f t="shared" si="253"/>
        <v>1762200</v>
      </c>
      <c r="W259" s="43">
        <v>19800</v>
      </c>
      <c r="X259" s="34">
        <f t="shared" si="254"/>
        <v>4451.3280000000004</v>
      </c>
      <c r="Y259" s="34">
        <f t="shared" si="255"/>
        <v>396168.19200000004</v>
      </c>
      <c r="Z259" s="34">
        <f t="shared" si="256"/>
        <v>304657.10000000003</v>
      </c>
      <c r="AA259" s="48">
        <v>276961</v>
      </c>
      <c r="AB259" s="36"/>
      <c r="AC259" s="204">
        <f t="shared" si="264"/>
        <v>39270</v>
      </c>
      <c r="AD259" s="152">
        <v>7.8E-2</v>
      </c>
      <c r="AE259" s="31">
        <f t="shared" ref="AE259:AE261" si="270">1900*(P259+S259)</f>
        <v>169100</v>
      </c>
      <c r="AF259" s="28">
        <f t="shared" si="258"/>
        <v>0.17395959595959595</v>
      </c>
      <c r="AG259" s="34">
        <f t="shared" si="259"/>
        <v>306551.63</v>
      </c>
      <c r="AH259" s="34">
        <f t="shared" si="260"/>
        <v>105948.01779999999</v>
      </c>
      <c r="AI259" s="34">
        <f t="shared" si="261"/>
        <v>953532.16019999993</v>
      </c>
      <c r="AJ259" s="46">
        <f t="shared" si="262"/>
        <v>648875.06019999995</v>
      </c>
      <c r="AK259" s="40">
        <v>18</v>
      </c>
      <c r="AL259" s="41">
        <f t="shared" si="263"/>
        <v>23.184000000000001</v>
      </c>
      <c r="AM259" s="36"/>
      <c r="AN259" s="284"/>
      <c r="AO259" s="26"/>
      <c r="AP259" s="26"/>
      <c r="AQ259" s="27"/>
      <c r="AR259" s="27"/>
      <c r="AS259" s="27"/>
      <c r="AT259" s="27"/>
      <c r="AU259" s="27"/>
      <c r="AV259" s="27"/>
      <c r="AW259" s="26"/>
      <c r="AX259" s="26"/>
      <c r="AY259" s="26"/>
      <c r="AZ259" s="26"/>
      <c r="BA259" s="26"/>
      <c r="BB259" s="26"/>
      <c r="BC259" s="26"/>
      <c r="BD259" s="26"/>
      <c r="BE259" s="26"/>
      <c r="BF259" s="26"/>
      <c r="BG259" s="26"/>
      <c r="BH259" s="26"/>
      <c r="BI259" s="26"/>
    </row>
    <row r="260" spans="1:61" ht="28.5" customHeight="1">
      <c r="A260" s="26"/>
      <c r="B260" s="200"/>
      <c r="C260" s="42" t="s">
        <v>31</v>
      </c>
      <c r="D260" s="28">
        <f t="shared" si="247"/>
        <v>-0.20322222222222236</v>
      </c>
      <c r="E260" s="297">
        <v>0.40699999999999997</v>
      </c>
      <c r="F260" s="30">
        <f t="shared" si="248"/>
        <v>0.61022222222222233</v>
      </c>
      <c r="G260" s="30" t="e">
        <f t="shared" si="249"/>
        <v>#DIV/0!</v>
      </c>
      <c r="H260" s="48"/>
      <c r="I260" s="48"/>
      <c r="J260" s="48"/>
      <c r="K260" s="210"/>
      <c r="L260" s="210"/>
      <c r="M260" s="210"/>
      <c r="N260" s="36"/>
      <c r="O260" s="36">
        <v>11</v>
      </c>
      <c r="P260" s="31">
        <f t="shared" si="250"/>
        <v>3</v>
      </c>
      <c r="Q260" s="36">
        <v>1</v>
      </c>
      <c r="R260" s="167"/>
      <c r="S260" s="36">
        <v>8</v>
      </c>
      <c r="T260" s="34">
        <f t="shared" si="251"/>
        <v>217800</v>
      </c>
      <c r="U260" s="31">
        <f t="shared" si="252"/>
        <v>158400</v>
      </c>
      <c r="V260" s="34">
        <f t="shared" si="253"/>
        <v>59400</v>
      </c>
      <c r="W260" s="43">
        <v>19800</v>
      </c>
      <c r="X260" s="34">
        <f t="shared" si="254"/>
        <v>7418.88</v>
      </c>
      <c r="Y260" s="34">
        <f t="shared" si="255"/>
        <v>22256.639999999999</v>
      </c>
      <c r="Z260" s="34">
        <f t="shared" si="256"/>
        <v>33937.200000000004</v>
      </c>
      <c r="AA260" s="48">
        <v>30852</v>
      </c>
      <c r="AB260" s="286">
        <f>((19800*0.1)+(19800*0.015)+2100+2200)*8</f>
        <v>52616</v>
      </c>
      <c r="AC260" s="204">
        <f t="shared" si="264"/>
        <v>2310</v>
      </c>
      <c r="AD260" s="152">
        <v>0.08</v>
      </c>
      <c r="AE260" s="31">
        <f t="shared" si="270"/>
        <v>20900</v>
      </c>
      <c r="AF260" s="28">
        <f t="shared" si="258"/>
        <v>0.43185185185185188</v>
      </c>
      <c r="AG260" s="34">
        <f t="shared" si="259"/>
        <v>25652.03</v>
      </c>
      <c r="AH260" s="34">
        <f t="shared" si="260"/>
        <v>1149.1329999999998</v>
      </c>
      <c r="AI260" s="34">
        <f t="shared" si="261"/>
        <v>10342.197</v>
      </c>
      <c r="AJ260" s="46">
        <f t="shared" si="262"/>
        <v>-23595.003000000004</v>
      </c>
      <c r="AK260" s="40">
        <v>30</v>
      </c>
      <c r="AL260" s="41">
        <f t="shared" si="263"/>
        <v>38.64</v>
      </c>
      <c r="AM260" s="36"/>
      <c r="AN260" s="284"/>
      <c r="AO260" s="26"/>
      <c r="AP260" s="26"/>
      <c r="AQ260" s="27"/>
      <c r="AR260" s="27"/>
      <c r="AS260" s="27"/>
      <c r="AT260" s="27"/>
      <c r="AU260" s="27"/>
      <c r="AV260" s="27"/>
      <c r="AW260" s="26"/>
      <c r="AX260" s="26"/>
      <c r="AY260" s="26"/>
      <c r="AZ260" s="26"/>
      <c r="BA260" s="26"/>
      <c r="BB260" s="26"/>
      <c r="BC260" s="26"/>
      <c r="BD260" s="26"/>
      <c r="BE260" s="26"/>
      <c r="BF260" s="26"/>
      <c r="BG260" s="26"/>
      <c r="BH260" s="26"/>
      <c r="BI260" s="26"/>
    </row>
    <row r="261" spans="1:61" ht="28.5" customHeight="1">
      <c r="A261" s="26"/>
      <c r="B261" s="200"/>
      <c r="C261" s="42" t="s">
        <v>118</v>
      </c>
      <c r="D261" s="28" t="e">
        <f t="shared" si="247"/>
        <v>#DIV/0!</v>
      </c>
      <c r="E261" s="297">
        <v>0.36799999999999999</v>
      </c>
      <c r="F261" s="30" t="e">
        <f t="shared" si="248"/>
        <v>#DIV/0!</v>
      </c>
      <c r="G261" s="30" t="e">
        <f t="shared" si="249"/>
        <v>#DIV/0!</v>
      </c>
      <c r="H261" s="48"/>
      <c r="I261" s="48"/>
      <c r="J261" s="48"/>
      <c r="K261" s="210"/>
      <c r="L261" s="210"/>
      <c r="M261" s="210"/>
      <c r="N261" s="36"/>
      <c r="O261" s="36">
        <v>0</v>
      </c>
      <c r="P261" s="31">
        <f t="shared" si="250"/>
        <v>0</v>
      </c>
      <c r="Q261" s="36">
        <v>0</v>
      </c>
      <c r="R261" s="167"/>
      <c r="S261" s="36"/>
      <c r="T261" s="34">
        <f t="shared" si="251"/>
        <v>0</v>
      </c>
      <c r="U261" s="31">
        <f t="shared" si="252"/>
        <v>0</v>
      </c>
      <c r="V261" s="34">
        <f t="shared" si="253"/>
        <v>0</v>
      </c>
      <c r="W261" s="43">
        <v>24800</v>
      </c>
      <c r="X261" s="34">
        <f t="shared" si="254"/>
        <v>10386.432000000001</v>
      </c>
      <c r="Y261" s="34">
        <f t="shared" si="255"/>
        <v>0</v>
      </c>
      <c r="Z261" s="34">
        <f t="shared" si="256"/>
        <v>0</v>
      </c>
      <c r="AA261" s="48">
        <v>0</v>
      </c>
      <c r="AB261" s="36"/>
      <c r="AC261" s="204">
        <f t="shared" si="264"/>
        <v>0</v>
      </c>
      <c r="AD261" s="152">
        <v>0.1</v>
      </c>
      <c r="AE261" s="31">
        <f t="shared" si="270"/>
        <v>0</v>
      </c>
      <c r="AF261" s="28" t="e">
        <f t="shared" si="258"/>
        <v>#DIV/0!</v>
      </c>
      <c r="AG261" s="34" t="e">
        <f t="shared" si="259"/>
        <v>#DIV/0!</v>
      </c>
      <c r="AH261" s="34" t="e">
        <f t="shared" si="260"/>
        <v>#DIV/0!</v>
      </c>
      <c r="AI261" s="34" t="e">
        <f t="shared" si="261"/>
        <v>#DIV/0!</v>
      </c>
      <c r="AJ261" s="46" t="e">
        <f t="shared" si="262"/>
        <v>#DIV/0!</v>
      </c>
      <c r="AK261" s="40">
        <v>42</v>
      </c>
      <c r="AL261" s="41">
        <f t="shared" si="263"/>
        <v>54.096000000000004</v>
      </c>
      <c r="AM261" s="36"/>
      <c r="AN261" s="284"/>
      <c r="AO261" s="26"/>
      <c r="AP261" s="26"/>
      <c r="AQ261" s="27"/>
      <c r="AR261" s="27"/>
      <c r="AS261" s="27"/>
      <c r="AT261" s="27"/>
      <c r="AU261" s="27"/>
      <c r="AV261" s="27"/>
      <c r="AW261" s="26"/>
      <c r="AX261" s="26"/>
      <c r="AY261" s="26"/>
      <c r="AZ261" s="26"/>
      <c r="BA261" s="26"/>
      <c r="BB261" s="26"/>
      <c r="BC261" s="26"/>
      <c r="BD261" s="26"/>
      <c r="BE261" s="26"/>
      <c r="BF261" s="26"/>
      <c r="BG261" s="26"/>
      <c r="BH261" s="26"/>
      <c r="BI261" s="26"/>
    </row>
    <row r="262" spans="1:61" ht="28.5" customHeight="1">
      <c r="A262" s="26"/>
      <c r="B262" s="200"/>
      <c r="C262" s="42" t="s">
        <v>119</v>
      </c>
      <c r="D262" s="28">
        <f t="shared" si="247"/>
        <v>0.28654495967741933</v>
      </c>
      <c r="E262" s="201">
        <v>0.41</v>
      </c>
      <c r="F262" s="30">
        <f t="shared" si="248"/>
        <v>0.12345504032258066</v>
      </c>
      <c r="G262" s="30" t="e">
        <f t="shared" si="249"/>
        <v>#DIV/0!</v>
      </c>
      <c r="H262" s="48"/>
      <c r="I262" s="48"/>
      <c r="J262" s="48"/>
      <c r="K262" s="210"/>
      <c r="L262" s="210"/>
      <c r="M262" s="210"/>
      <c r="N262" s="36"/>
      <c r="O262" s="36">
        <v>20</v>
      </c>
      <c r="P262" s="31">
        <f t="shared" si="250"/>
        <v>20</v>
      </c>
      <c r="Q262" s="36">
        <v>2</v>
      </c>
      <c r="R262" s="167"/>
      <c r="S262" s="36"/>
      <c r="T262" s="34">
        <f t="shared" si="251"/>
        <v>496000</v>
      </c>
      <c r="U262" s="31">
        <f t="shared" si="252"/>
        <v>0</v>
      </c>
      <c r="V262" s="34">
        <f t="shared" si="253"/>
        <v>496000</v>
      </c>
      <c r="W262" s="43">
        <v>24800</v>
      </c>
      <c r="X262" s="34">
        <f t="shared" si="254"/>
        <v>7666.1760000000013</v>
      </c>
      <c r="Y262" s="34">
        <f t="shared" si="255"/>
        <v>153323.52000000002</v>
      </c>
      <c r="Z262" s="34">
        <f t="shared" si="256"/>
        <v>56613.700000000004</v>
      </c>
      <c r="AA262" s="48">
        <v>51467</v>
      </c>
      <c r="AB262" s="36"/>
      <c r="AC262" s="204">
        <f t="shared" si="264"/>
        <v>4620</v>
      </c>
      <c r="AD262" s="152">
        <v>0.108</v>
      </c>
      <c r="AE262" s="31">
        <f>3150*(P262+S262)</f>
        <v>63000</v>
      </c>
      <c r="AF262" s="28">
        <f t="shared" si="258"/>
        <v>0.23501612903225805</v>
      </c>
      <c r="AG262" s="34">
        <f t="shared" si="259"/>
        <v>116568.02999999998</v>
      </c>
      <c r="AH262" s="34">
        <f t="shared" si="260"/>
        <v>22610.845000000001</v>
      </c>
      <c r="AI262" s="34">
        <f t="shared" si="261"/>
        <v>203497.60499999998</v>
      </c>
      <c r="AJ262" s="46">
        <f t="shared" si="262"/>
        <v>146883.90499999997</v>
      </c>
      <c r="AK262" s="40">
        <v>31</v>
      </c>
      <c r="AL262" s="41">
        <f t="shared" si="263"/>
        <v>39.928000000000004</v>
      </c>
      <c r="AM262" s="36"/>
      <c r="AN262" s="284"/>
      <c r="AO262" s="26"/>
      <c r="AP262" s="26"/>
      <c r="AQ262" s="27"/>
      <c r="AR262" s="27"/>
      <c r="AS262" s="27"/>
      <c r="AT262" s="27"/>
      <c r="AU262" s="27"/>
      <c r="AV262" s="27"/>
      <c r="AW262" s="26"/>
      <c r="AX262" s="26"/>
      <c r="AY262" s="26"/>
      <c r="AZ262" s="26"/>
      <c r="BA262" s="26"/>
      <c r="BB262" s="26"/>
      <c r="BC262" s="26"/>
      <c r="BD262" s="26"/>
      <c r="BE262" s="26"/>
      <c r="BF262" s="26"/>
      <c r="BG262" s="26"/>
      <c r="BH262" s="26"/>
      <c r="BI262" s="26"/>
    </row>
    <row r="263" spans="1:61" ht="28.5" customHeight="1">
      <c r="A263" s="26"/>
      <c r="B263" s="200"/>
      <c r="C263" s="239" t="s">
        <v>120</v>
      </c>
      <c r="D263" s="28">
        <f t="shared" si="247"/>
        <v>-0.12455527638190955</v>
      </c>
      <c r="E263" s="201">
        <v>0.376</v>
      </c>
      <c r="F263" s="30">
        <f t="shared" si="248"/>
        <v>0.50055527638190955</v>
      </c>
      <c r="G263" s="30">
        <f t="shared" si="249"/>
        <v>0</v>
      </c>
      <c r="H263" s="48"/>
      <c r="I263" s="48"/>
      <c r="J263" s="48"/>
      <c r="K263" s="210"/>
      <c r="L263" s="210"/>
      <c r="M263" s="210"/>
      <c r="N263" s="36"/>
      <c r="O263" s="36">
        <v>3</v>
      </c>
      <c r="P263" s="31">
        <f t="shared" si="250"/>
        <v>3</v>
      </c>
      <c r="Q263" s="36">
        <v>2</v>
      </c>
      <c r="R263" s="167"/>
      <c r="S263" s="36"/>
      <c r="T263" s="34">
        <f t="shared" si="251"/>
        <v>119400</v>
      </c>
      <c r="U263" s="31">
        <f t="shared" si="252"/>
        <v>0</v>
      </c>
      <c r="V263" s="34">
        <f t="shared" si="253"/>
        <v>119400</v>
      </c>
      <c r="W263" s="43">
        <v>39800</v>
      </c>
      <c r="X263" s="34">
        <f t="shared" si="254"/>
        <v>7666.1760000000013</v>
      </c>
      <c r="Y263" s="34">
        <f t="shared" si="255"/>
        <v>22998.528000000006</v>
      </c>
      <c r="Z263" s="34">
        <f t="shared" si="256"/>
        <v>55146.3</v>
      </c>
      <c r="AA263" s="48">
        <v>50133</v>
      </c>
      <c r="AB263" s="286"/>
      <c r="AC263" s="204">
        <f t="shared" si="264"/>
        <v>4620</v>
      </c>
      <c r="AD263" s="152">
        <v>0.108</v>
      </c>
      <c r="AE263" s="31">
        <f>3550*(P263+S263)</f>
        <v>10650</v>
      </c>
      <c r="AF263" s="28">
        <f t="shared" si="258"/>
        <v>0.1971959798994975</v>
      </c>
      <c r="AG263" s="34">
        <f t="shared" si="259"/>
        <v>23545.23</v>
      </c>
      <c r="AH263" s="34">
        <f t="shared" si="260"/>
        <v>7285.6241999999993</v>
      </c>
      <c r="AI263" s="34">
        <f t="shared" si="261"/>
        <v>65570.617800000007</v>
      </c>
      <c r="AJ263" s="46">
        <f t="shared" si="262"/>
        <v>10424.317800000004</v>
      </c>
      <c r="AK263" s="40">
        <v>31</v>
      </c>
      <c r="AL263" s="41">
        <f t="shared" si="263"/>
        <v>39.928000000000004</v>
      </c>
      <c r="AM263" s="36">
        <v>7590</v>
      </c>
      <c r="AN263" s="284">
        <v>44</v>
      </c>
      <c r="AO263" s="26"/>
      <c r="AP263" s="26"/>
      <c r="AQ263" s="27"/>
      <c r="AR263" s="27"/>
      <c r="AS263" s="27"/>
      <c r="AT263" s="27"/>
      <c r="AU263" s="27"/>
      <c r="AV263" s="27"/>
      <c r="AW263" s="26"/>
      <c r="AX263" s="26"/>
      <c r="AY263" s="26"/>
      <c r="AZ263" s="26"/>
      <c r="BA263" s="26"/>
      <c r="BB263" s="26"/>
      <c r="BC263" s="26"/>
      <c r="BD263" s="26"/>
      <c r="BE263" s="26"/>
      <c r="BF263" s="26"/>
      <c r="BG263" s="26"/>
      <c r="BH263" s="26"/>
      <c r="BI263" s="26"/>
    </row>
    <row r="264" spans="1:61" ht="28.5" customHeight="1">
      <c r="A264" s="26"/>
      <c r="B264" s="216"/>
      <c r="C264" s="217"/>
      <c r="D264" s="298">
        <f>AJ264/V264</f>
        <v>0.11055352155698703</v>
      </c>
      <c r="E264" s="298">
        <f>AI264/V264</f>
        <v>0.40245235726103107</v>
      </c>
      <c r="F264" s="52">
        <f>(Z264)/V264</f>
        <v>0.26956899571008125</v>
      </c>
      <c r="G264" s="219"/>
      <c r="H264" s="55"/>
      <c r="I264" s="55"/>
      <c r="J264" s="55"/>
      <c r="K264" s="55"/>
      <c r="L264" s="55"/>
      <c r="M264" s="55"/>
      <c r="N264" s="130"/>
      <c r="O264" s="130">
        <f t="shared" ref="O264:V264" si="271">SUM(O241:O263)</f>
        <v>387</v>
      </c>
      <c r="P264" s="130">
        <f t="shared" si="271"/>
        <v>367</v>
      </c>
      <c r="Q264" s="130">
        <f t="shared" si="271"/>
        <v>55</v>
      </c>
      <c r="R264" s="130">
        <f t="shared" si="271"/>
        <v>0</v>
      </c>
      <c r="S264" s="130">
        <f t="shared" si="271"/>
        <v>20</v>
      </c>
      <c r="T264" s="130">
        <f t="shared" si="271"/>
        <v>10956240</v>
      </c>
      <c r="U264" s="130">
        <f t="shared" si="271"/>
        <v>620380</v>
      </c>
      <c r="V264" s="130">
        <f t="shared" si="271"/>
        <v>10335860</v>
      </c>
      <c r="W264" s="55"/>
      <c r="X264" s="130">
        <f t="shared" ref="X264:AC264" si="272">SUM(X241:X263)</f>
        <v>338894.43839999987</v>
      </c>
      <c r="Y264" s="130">
        <f t="shared" si="272"/>
        <v>3621328.4352000002</v>
      </c>
      <c r="Z264" s="130">
        <f t="shared" si="272"/>
        <v>2786227.4000000004</v>
      </c>
      <c r="AA264" s="130">
        <f t="shared" si="272"/>
        <v>2532934</v>
      </c>
      <c r="AB264" s="130">
        <f t="shared" si="272"/>
        <v>230798.1</v>
      </c>
      <c r="AC264" s="130">
        <f t="shared" si="272"/>
        <v>125532</v>
      </c>
      <c r="AD264" s="154">
        <v>0.09</v>
      </c>
      <c r="AE264" s="130">
        <f>SUM(AE241:AE263)</f>
        <v>1162425</v>
      </c>
      <c r="AF264" s="53">
        <f t="shared" si="258"/>
        <v>0.20246524236976893</v>
      </c>
      <c r="AG264" s="56">
        <f t="shared" si="259"/>
        <v>2092652.43</v>
      </c>
      <c r="AH264" s="56">
        <f t="shared" si="260"/>
        <v>462187.91347999999</v>
      </c>
      <c r="AI264" s="56">
        <f t="shared" si="261"/>
        <v>4159691.2213200005</v>
      </c>
      <c r="AJ264" s="46">
        <f>AI264-Z264-AB264</f>
        <v>1142665.72132</v>
      </c>
      <c r="AK264" s="54"/>
      <c r="AL264" s="222"/>
      <c r="AM264" s="131">
        <f t="shared" ref="AM264:AN264" si="273">SUM(AM241:AM242)</f>
        <v>0</v>
      </c>
      <c r="AN264" s="132">
        <f t="shared" si="273"/>
        <v>0</v>
      </c>
      <c r="AO264" s="26"/>
      <c r="AP264" s="26"/>
      <c r="AQ264" s="27"/>
      <c r="AR264" s="27"/>
      <c r="AS264" s="27"/>
      <c r="AT264" s="27"/>
      <c r="AU264" s="27"/>
      <c r="AV264" s="27"/>
      <c r="AW264" s="26"/>
      <c r="AX264" s="26"/>
      <c r="AY264" s="26"/>
      <c r="AZ264" s="26"/>
      <c r="BA264" s="26"/>
      <c r="BB264" s="26"/>
      <c r="BC264" s="26"/>
      <c r="BD264" s="26"/>
      <c r="BE264" s="26"/>
      <c r="BF264" s="26"/>
      <c r="BG264" s="26"/>
      <c r="BH264" s="26"/>
      <c r="BI264" s="26"/>
    </row>
    <row r="265" spans="1:61" ht="28.5" customHeight="1">
      <c r="A265" s="1"/>
      <c r="B265" s="290"/>
      <c r="C265" s="291"/>
      <c r="D265" s="2"/>
      <c r="E265" s="2"/>
      <c r="F265" s="2"/>
      <c r="G265" s="2"/>
      <c r="H265" s="2"/>
      <c r="I265" s="2"/>
      <c r="J265" s="2"/>
      <c r="K265" s="2"/>
      <c r="L265" s="2"/>
      <c r="M265" s="2"/>
      <c r="N265" s="292"/>
      <c r="O265" s="292"/>
      <c r="P265" s="2"/>
      <c r="Q265" s="2"/>
      <c r="R265" s="2"/>
      <c r="S265" s="293"/>
      <c r="T265" s="2"/>
      <c r="U265" s="2"/>
      <c r="V265" s="2"/>
      <c r="W265" s="2"/>
      <c r="X265" s="2"/>
      <c r="Y265" s="2"/>
      <c r="Z265" s="2"/>
      <c r="AA265" s="2"/>
      <c r="AB265" s="2"/>
      <c r="AC265" s="2"/>
      <c r="AD265" s="2"/>
      <c r="AE265" s="2"/>
      <c r="AF265" s="1"/>
      <c r="AG265" s="1"/>
      <c r="AH265" s="1"/>
      <c r="AI265" s="1"/>
      <c r="AJ265" s="1"/>
      <c r="AK265" s="1"/>
      <c r="AL265" s="1"/>
      <c r="AM265" s="1"/>
      <c r="AN265" s="1"/>
      <c r="AO265" s="1"/>
      <c r="AP265" s="1"/>
      <c r="AQ265" s="1"/>
      <c r="AR265" s="1"/>
      <c r="AS265" s="1"/>
      <c r="AT265" s="7"/>
      <c r="AU265" s="7"/>
      <c r="AV265" s="7"/>
      <c r="AW265" s="47"/>
      <c r="AX265" s="47"/>
      <c r="AY265" s="47"/>
      <c r="AZ265" s="47"/>
      <c r="BA265" s="47"/>
      <c r="BB265" s="47"/>
      <c r="BC265" s="47"/>
      <c r="BD265" s="47"/>
      <c r="BE265" s="47"/>
      <c r="BF265" s="47"/>
      <c r="BG265" s="47"/>
      <c r="BH265" s="47"/>
      <c r="BI265" s="47"/>
    </row>
    <row r="266" spans="1:61" ht="28.5" customHeight="1">
      <c r="A266" s="26"/>
      <c r="B266" s="189"/>
      <c r="C266" s="134">
        <v>45880</v>
      </c>
      <c r="D266" s="190" t="s">
        <v>0</v>
      </c>
      <c r="E266" s="190" t="s">
        <v>1</v>
      </c>
      <c r="F266" s="190" t="s">
        <v>2</v>
      </c>
      <c r="G266" s="190" t="s">
        <v>3</v>
      </c>
      <c r="H266" s="191" t="s">
        <v>4</v>
      </c>
      <c r="I266" s="192" t="s">
        <v>5</v>
      </c>
      <c r="J266" s="192" t="s">
        <v>90</v>
      </c>
      <c r="K266" s="193"/>
      <c r="L266" s="193" t="s">
        <v>6</v>
      </c>
      <c r="M266" s="194" t="s">
        <v>7</v>
      </c>
      <c r="N266" s="123"/>
      <c r="O266" s="123" t="s">
        <v>8</v>
      </c>
      <c r="P266" s="123" t="s">
        <v>9</v>
      </c>
      <c r="Q266" s="15" t="s">
        <v>10</v>
      </c>
      <c r="R266" s="123" t="s">
        <v>92</v>
      </c>
      <c r="S266" s="196" t="s">
        <v>11</v>
      </c>
      <c r="T266" s="17" t="s">
        <v>12</v>
      </c>
      <c r="U266" s="17" t="s">
        <v>13</v>
      </c>
      <c r="V266" s="17" t="s">
        <v>14</v>
      </c>
      <c r="W266" s="17" t="s">
        <v>15</v>
      </c>
      <c r="X266" s="17" t="s">
        <v>16</v>
      </c>
      <c r="Y266" s="17" t="s">
        <v>17</v>
      </c>
      <c r="Z266" s="19" t="s">
        <v>18</v>
      </c>
      <c r="AA266" s="19" t="s">
        <v>19</v>
      </c>
      <c r="AB266" s="20" t="s">
        <v>20</v>
      </c>
      <c r="AC266" s="22" t="s">
        <v>93</v>
      </c>
      <c r="AD266" s="197" t="s">
        <v>21</v>
      </c>
      <c r="AE266" s="21" t="s">
        <v>22</v>
      </c>
      <c r="AF266" s="23" t="s">
        <v>23</v>
      </c>
      <c r="AG266" s="23" t="s">
        <v>21</v>
      </c>
      <c r="AH266" s="23" t="s">
        <v>24</v>
      </c>
      <c r="AI266" s="24" t="s">
        <v>26</v>
      </c>
      <c r="AJ266" s="23" t="s">
        <v>27</v>
      </c>
      <c r="AK266" s="21" t="s">
        <v>147</v>
      </c>
      <c r="AL266" s="282" t="s">
        <v>148</v>
      </c>
      <c r="AM266" s="124" t="s">
        <v>94</v>
      </c>
      <c r="AN266" s="125" t="s">
        <v>95</v>
      </c>
      <c r="AO266" s="26"/>
      <c r="AP266" s="26"/>
      <c r="AQ266" s="27"/>
      <c r="AR266" s="27"/>
      <c r="AS266" s="27"/>
      <c r="AT266" s="27"/>
      <c r="AU266" s="27"/>
      <c r="AV266" s="27"/>
      <c r="AW266" s="26"/>
      <c r="AX266" s="26"/>
      <c r="AY266" s="26"/>
      <c r="AZ266" s="26"/>
      <c r="BA266" s="26"/>
      <c r="BB266" s="26"/>
      <c r="BC266" s="26"/>
      <c r="BD266" s="26"/>
      <c r="BE266" s="26"/>
      <c r="BF266" s="26"/>
      <c r="BG266" s="26"/>
      <c r="BH266" s="26"/>
      <c r="BI266" s="26"/>
    </row>
    <row r="267" spans="1:61" ht="28.5" customHeight="1">
      <c r="A267" s="26"/>
      <c r="B267" s="200"/>
      <c r="C267" s="42" t="s">
        <v>107</v>
      </c>
      <c r="D267" s="28">
        <f t="shared" ref="D267:D289" si="274">E267-F267</f>
        <v>0.18823359645783663</v>
      </c>
      <c r="E267" s="166">
        <v>0.39700000000000002</v>
      </c>
      <c r="F267" s="30">
        <f t="shared" ref="F267:F289" si="275">(Z267+AC267)/V267</f>
        <v>0.20876640354216339</v>
      </c>
      <c r="G267" s="30">
        <f t="shared" ref="G267:G289" si="276">R267/AN267</f>
        <v>8.8495575221238937E-2</v>
      </c>
      <c r="H267" s="48"/>
      <c r="I267" s="48"/>
      <c r="J267" s="48"/>
      <c r="K267" s="48"/>
      <c r="L267" s="48"/>
      <c r="M267" s="48"/>
      <c r="N267" s="36"/>
      <c r="O267" s="36">
        <v>152</v>
      </c>
      <c r="P267" s="31">
        <f t="shared" ref="P267:P289" si="277">O267-S267</f>
        <v>152</v>
      </c>
      <c r="Q267" s="36">
        <v>14</v>
      </c>
      <c r="R267" s="167">
        <v>110</v>
      </c>
      <c r="S267" s="36"/>
      <c r="T267" s="34">
        <f t="shared" ref="T267:T289" si="278">W267*O267</f>
        <v>3993040</v>
      </c>
      <c r="U267" s="31">
        <f t="shared" ref="U267:U289" si="279">W267*S267</f>
        <v>0</v>
      </c>
      <c r="V267" s="34">
        <f t="shared" ref="V267:V289" si="280">T267-U267</f>
        <v>3993040</v>
      </c>
      <c r="W267" s="43">
        <v>26270</v>
      </c>
      <c r="X267" s="34">
        <f t="shared" ref="X267:X289" si="281">AL267*$A$2</f>
        <v>9891.84</v>
      </c>
      <c r="Y267" s="34">
        <f t="shared" ref="Y267:Y289" si="282">X267*P267</f>
        <v>1503559.6799999999</v>
      </c>
      <c r="Z267" s="34">
        <f t="shared" ref="Z267:Z289" si="283">AA267*1.1</f>
        <v>803204.60000000009</v>
      </c>
      <c r="AA267" s="48">
        <v>730186</v>
      </c>
      <c r="AB267" s="36"/>
      <c r="AC267" s="204">
        <f t="shared" ref="AC267:AC268" si="284">(1072+1100)*Q267</f>
        <v>30408</v>
      </c>
      <c r="AD267" s="149">
        <v>0.1</v>
      </c>
      <c r="AE267" s="31">
        <f>3050*(P267+S267)</f>
        <v>463600</v>
      </c>
      <c r="AF267" s="28">
        <f t="shared" ref="AF267:AF290" si="285">AD267+(AE267/V267)</f>
        <v>0.2161020175104682</v>
      </c>
      <c r="AG267" s="34">
        <f t="shared" ref="AG267:AG290" si="286">V267*AF267+3%</f>
        <v>862904.03</v>
      </c>
      <c r="AH267" s="34">
        <f t="shared" ref="AH267:AH290" si="287">(V267)*10%-(Y267+AG267)*10%</f>
        <v>162657.62899999999</v>
      </c>
      <c r="AI267" s="34">
        <f t="shared" ref="AI267:AI290" si="288">V267-(Y267+AG267+AH267)</f>
        <v>1463918.6609999998</v>
      </c>
      <c r="AJ267" s="46">
        <f t="shared" ref="AJ267:AJ289" si="289">AI267-Z267</f>
        <v>660714.06099999975</v>
      </c>
      <c r="AK267" s="40">
        <v>40</v>
      </c>
      <c r="AL267" s="41">
        <f t="shared" ref="AL267:AL289" si="290">(AK267*1.15)*1.12</f>
        <v>51.52</v>
      </c>
      <c r="AM267" s="36">
        <v>425451</v>
      </c>
      <c r="AN267" s="284">
        <v>1243</v>
      </c>
      <c r="AO267" s="26"/>
      <c r="AP267" s="26"/>
      <c r="AQ267" s="27"/>
      <c r="AR267" s="27"/>
      <c r="AS267" s="27"/>
      <c r="AT267" s="27"/>
      <c r="AU267" s="27"/>
      <c r="AV267" s="27"/>
      <c r="AW267" s="26"/>
      <c r="AX267" s="26"/>
      <c r="AY267" s="26"/>
      <c r="AZ267" s="26"/>
      <c r="BA267" s="26"/>
      <c r="BB267" s="26"/>
      <c r="BC267" s="26"/>
      <c r="BD267" s="26"/>
      <c r="BE267" s="26"/>
      <c r="BF267" s="26"/>
      <c r="BG267" s="26"/>
      <c r="BH267" s="26"/>
      <c r="BI267" s="26"/>
    </row>
    <row r="268" spans="1:61" ht="28.5" customHeight="1">
      <c r="A268" s="26"/>
      <c r="B268" s="200"/>
      <c r="C268" s="42" t="s">
        <v>108</v>
      </c>
      <c r="D268" s="28" t="e">
        <f t="shared" si="274"/>
        <v>#DIV/0!</v>
      </c>
      <c r="E268" s="166">
        <v>0.41199999999999998</v>
      </c>
      <c r="F268" s="30" t="e">
        <f t="shared" si="275"/>
        <v>#DIV/0!</v>
      </c>
      <c r="G268" s="30">
        <f t="shared" si="276"/>
        <v>0.1111111111111111</v>
      </c>
      <c r="H268" s="48"/>
      <c r="I268" s="48"/>
      <c r="J268" s="48"/>
      <c r="K268" s="210"/>
      <c r="L268" s="210"/>
      <c r="M268" s="210"/>
      <c r="N268" s="36"/>
      <c r="O268" s="36">
        <v>0</v>
      </c>
      <c r="P268" s="31">
        <f t="shared" si="277"/>
        <v>0</v>
      </c>
      <c r="Q268" s="36">
        <v>1</v>
      </c>
      <c r="R268" s="167">
        <v>1</v>
      </c>
      <c r="S268" s="36"/>
      <c r="T268" s="34">
        <f t="shared" si="278"/>
        <v>0</v>
      </c>
      <c r="U268" s="31">
        <f t="shared" si="279"/>
        <v>0</v>
      </c>
      <c r="V268" s="34">
        <f t="shared" si="280"/>
        <v>0</v>
      </c>
      <c r="W268" s="43">
        <v>22900</v>
      </c>
      <c r="X268" s="34">
        <f t="shared" si="281"/>
        <v>7913.4719999999998</v>
      </c>
      <c r="Y268" s="34">
        <f t="shared" si="282"/>
        <v>0</v>
      </c>
      <c r="Z268" s="34">
        <f t="shared" si="283"/>
        <v>2293.5</v>
      </c>
      <c r="AA268" s="48">
        <v>2085</v>
      </c>
      <c r="AB268" s="36"/>
      <c r="AC268" s="204">
        <f t="shared" si="284"/>
        <v>2172</v>
      </c>
      <c r="AD268" s="149">
        <v>0.1</v>
      </c>
      <c r="AE268" s="31">
        <f>2950*(P268+S268)</f>
        <v>0</v>
      </c>
      <c r="AF268" s="28" t="e">
        <f t="shared" si="285"/>
        <v>#DIV/0!</v>
      </c>
      <c r="AG268" s="34" t="e">
        <f t="shared" si="286"/>
        <v>#DIV/0!</v>
      </c>
      <c r="AH268" s="34" t="e">
        <f t="shared" si="287"/>
        <v>#DIV/0!</v>
      </c>
      <c r="AI268" s="34" t="e">
        <f t="shared" si="288"/>
        <v>#DIV/0!</v>
      </c>
      <c r="AJ268" s="46" t="e">
        <f t="shared" si="289"/>
        <v>#DIV/0!</v>
      </c>
      <c r="AK268" s="40">
        <v>32</v>
      </c>
      <c r="AL268" s="41">
        <f t="shared" si="290"/>
        <v>41.216000000000001</v>
      </c>
      <c r="AM268" s="36">
        <v>19842</v>
      </c>
      <c r="AN268" s="284">
        <v>9</v>
      </c>
      <c r="AO268" s="26"/>
      <c r="AP268" s="26"/>
      <c r="AQ268" s="27"/>
      <c r="AR268" s="27"/>
      <c r="AS268" s="27"/>
      <c r="AT268" s="27"/>
      <c r="AU268" s="27"/>
      <c r="AV268" s="27"/>
      <c r="AW268" s="26"/>
      <c r="AX268" s="26"/>
      <c r="AY268" s="26"/>
      <c r="AZ268" s="26"/>
      <c r="BA268" s="26"/>
      <c r="BB268" s="26"/>
      <c r="BC268" s="26"/>
      <c r="BD268" s="26"/>
      <c r="BE268" s="26"/>
      <c r="BF268" s="26"/>
      <c r="BG268" s="26"/>
      <c r="BH268" s="26"/>
      <c r="BI268" s="26"/>
    </row>
    <row r="269" spans="1:61" ht="28.5" customHeight="1">
      <c r="A269" s="336"/>
      <c r="B269" s="323" t="s">
        <v>159</v>
      </c>
      <c r="C269" s="42" t="s">
        <v>109</v>
      </c>
      <c r="D269" s="28">
        <f t="shared" si="274"/>
        <v>0.2329966216216216</v>
      </c>
      <c r="E269" s="166">
        <v>0.34399999999999997</v>
      </c>
      <c r="F269" s="30">
        <f t="shared" si="275"/>
        <v>0.11100337837837838</v>
      </c>
      <c r="G269" s="30">
        <f t="shared" si="276"/>
        <v>0</v>
      </c>
      <c r="H269" s="48"/>
      <c r="I269" s="48"/>
      <c r="J269" s="48"/>
      <c r="K269" s="48"/>
      <c r="L269" s="334"/>
      <c r="M269" s="48"/>
      <c r="N269" s="36"/>
      <c r="O269" s="36">
        <v>2</v>
      </c>
      <c r="P269" s="31">
        <f t="shared" si="277"/>
        <v>2</v>
      </c>
      <c r="Q269" s="36">
        <v>0</v>
      </c>
      <c r="R269" s="167">
        <v>0</v>
      </c>
      <c r="S269" s="36"/>
      <c r="T269" s="34">
        <f t="shared" si="278"/>
        <v>88800</v>
      </c>
      <c r="U269" s="31">
        <f t="shared" si="279"/>
        <v>0</v>
      </c>
      <c r="V269" s="34">
        <f t="shared" si="280"/>
        <v>88800</v>
      </c>
      <c r="W269" s="43">
        <v>44400</v>
      </c>
      <c r="X269" s="34">
        <f t="shared" si="281"/>
        <v>16989.235200000003</v>
      </c>
      <c r="Y269" s="34">
        <f t="shared" si="282"/>
        <v>33978.470400000006</v>
      </c>
      <c r="Z269" s="34">
        <f t="shared" si="283"/>
        <v>9857.1</v>
      </c>
      <c r="AA269" s="48">
        <v>8961</v>
      </c>
      <c r="AB269" s="36"/>
      <c r="AC269" s="204">
        <f t="shared" ref="AC269:AC289" si="291">(1210+1100)*Q269</f>
        <v>0</v>
      </c>
      <c r="AD269" s="149">
        <v>0.11</v>
      </c>
      <c r="AE269" s="31">
        <f t="shared" ref="AE269:AE270" si="292">4150*(P269+S269)</f>
        <v>8300</v>
      </c>
      <c r="AF269" s="28">
        <f t="shared" si="285"/>
        <v>0.20346846846846847</v>
      </c>
      <c r="AG269" s="34">
        <f t="shared" si="286"/>
        <v>18068.03</v>
      </c>
      <c r="AH269" s="34">
        <f t="shared" si="287"/>
        <v>3675.3499599999996</v>
      </c>
      <c r="AI269" s="34">
        <f t="shared" si="288"/>
        <v>33078.149639999996</v>
      </c>
      <c r="AJ269" s="46">
        <f t="shared" si="289"/>
        <v>23221.049639999997</v>
      </c>
      <c r="AK269" s="40">
        <v>68.7</v>
      </c>
      <c r="AL269" s="41">
        <f t="shared" si="290"/>
        <v>88.485600000000005</v>
      </c>
      <c r="AM269" s="36">
        <v>31879</v>
      </c>
      <c r="AN269" s="284">
        <v>33</v>
      </c>
      <c r="AO269" s="26"/>
      <c r="AP269" s="26"/>
      <c r="AQ269" s="27"/>
      <c r="AR269" s="27"/>
      <c r="AS269" s="27"/>
      <c r="AT269" s="27"/>
      <c r="AU269" s="27"/>
      <c r="AV269" s="27"/>
      <c r="AW269" s="26"/>
      <c r="AX269" s="26"/>
      <c r="AY269" s="26"/>
      <c r="AZ269" s="26"/>
      <c r="BA269" s="26"/>
      <c r="BB269" s="26"/>
      <c r="BC269" s="26"/>
      <c r="BD269" s="26"/>
      <c r="BE269" s="26"/>
      <c r="BF269" s="26"/>
      <c r="BG269" s="26"/>
      <c r="BH269" s="26"/>
      <c r="BI269" s="26"/>
    </row>
    <row r="270" spans="1:61" ht="28.5" customHeight="1">
      <c r="A270" s="311"/>
      <c r="B270" s="324"/>
      <c r="C270" s="42" t="s">
        <v>110</v>
      </c>
      <c r="D270" s="28">
        <f t="shared" si="274"/>
        <v>7.4282585470085455E-2</v>
      </c>
      <c r="E270" s="166">
        <v>0.26700000000000002</v>
      </c>
      <c r="F270" s="30">
        <f t="shared" si="275"/>
        <v>0.19271741452991456</v>
      </c>
      <c r="G270" s="30">
        <f t="shared" si="276"/>
        <v>3.1496062992125984E-2</v>
      </c>
      <c r="H270" s="48"/>
      <c r="I270" s="48"/>
      <c r="J270" s="48"/>
      <c r="K270" s="48"/>
      <c r="L270" s="310"/>
      <c r="M270" s="48"/>
      <c r="N270" s="36"/>
      <c r="O270" s="36">
        <v>8</v>
      </c>
      <c r="P270" s="31">
        <f t="shared" si="277"/>
        <v>8</v>
      </c>
      <c r="Q270" s="36">
        <v>1</v>
      </c>
      <c r="R270" s="167">
        <v>4</v>
      </c>
      <c r="S270" s="36"/>
      <c r="T270" s="34">
        <f t="shared" si="278"/>
        <v>374400</v>
      </c>
      <c r="U270" s="31">
        <f t="shared" si="279"/>
        <v>0</v>
      </c>
      <c r="V270" s="34">
        <f t="shared" si="280"/>
        <v>374400</v>
      </c>
      <c r="W270" s="43">
        <v>46800</v>
      </c>
      <c r="X270" s="34">
        <f t="shared" si="281"/>
        <v>22182.451200000003</v>
      </c>
      <c r="Y270" s="34">
        <f t="shared" si="282"/>
        <v>177459.60960000003</v>
      </c>
      <c r="Z270" s="34">
        <f t="shared" si="283"/>
        <v>69843.400000000009</v>
      </c>
      <c r="AA270" s="48">
        <v>63494</v>
      </c>
      <c r="AB270" s="36"/>
      <c r="AC270" s="204">
        <f t="shared" si="291"/>
        <v>2310</v>
      </c>
      <c r="AD270" s="149">
        <v>0.11</v>
      </c>
      <c r="AE270" s="31">
        <f t="shared" si="292"/>
        <v>33200</v>
      </c>
      <c r="AF270" s="28">
        <f t="shared" si="285"/>
        <v>0.19867521367521368</v>
      </c>
      <c r="AG270" s="34">
        <f t="shared" si="286"/>
        <v>74384.03</v>
      </c>
      <c r="AH270" s="34">
        <f t="shared" si="287"/>
        <v>12255.636039999998</v>
      </c>
      <c r="AI270" s="34">
        <f t="shared" si="288"/>
        <v>110300.72435999999</v>
      </c>
      <c r="AJ270" s="46">
        <f t="shared" si="289"/>
        <v>40457.324359999984</v>
      </c>
      <c r="AK270" s="40">
        <v>89.7</v>
      </c>
      <c r="AL270" s="41">
        <f t="shared" si="290"/>
        <v>115.53360000000001</v>
      </c>
      <c r="AM270" s="36">
        <v>86194</v>
      </c>
      <c r="AN270" s="284">
        <v>127</v>
      </c>
      <c r="AO270" s="26"/>
      <c r="AP270" s="26"/>
      <c r="AQ270" s="27"/>
      <c r="AR270" s="27"/>
      <c r="AS270" s="27"/>
      <c r="AT270" s="27"/>
      <c r="AU270" s="27"/>
      <c r="AV270" s="27"/>
      <c r="AW270" s="26"/>
      <c r="AX270" s="26"/>
      <c r="AY270" s="26"/>
      <c r="AZ270" s="26"/>
      <c r="BA270" s="26"/>
      <c r="BB270" s="26"/>
      <c r="BC270" s="26"/>
      <c r="BD270" s="26"/>
      <c r="BE270" s="26"/>
      <c r="BF270" s="26"/>
      <c r="BG270" s="26"/>
      <c r="BH270" s="26"/>
      <c r="BI270" s="26"/>
    </row>
    <row r="271" spans="1:61" ht="28.5" customHeight="1">
      <c r="A271" s="26"/>
      <c r="B271" s="323"/>
      <c r="C271" s="42" t="s">
        <v>32</v>
      </c>
      <c r="D271" s="28">
        <f t="shared" si="274"/>
        <v>0.12454143441099963</v>
      </c>
      <c r="E271" s="166">
        <v>0.39500000000000002</v>
      </c>
      <c r="F271" s="30">
        <f t="shared" si="275"/>
        <v>0.27045856558900039</v>
      </c>
      <c r="G271" s="30">
        <f t="shared" si="276"/>
        <v>2.2624434389140271E-2</v>
      </c>
      <c r="H271" s="33"/>
      <c r="I271" s="48"/>
      <c r="J271" s="48"/>
      <c r="K271" s="48"/>
      <c r="L271" s="334"/>
      <c r="M271" s="48"/>
      <c r="N271" s="36"/>
      <c r="O271" s="36">
        <v>17</v>
      </c>
      <c r="P271" s="31">
        <f t="shared" si="277"/>
        <v>9</v>
      </c>
      <c r="Q271" s="36">
        <v>2</v>
      </c>
      <c r="R271" s="167">
        <v>5</v>
      </c>
      <c r="S271" s="36">
        <v>8</v>
      </c>
      <c r="T271" s="34">
        <f t="shared" si="278"/>
        <v>1016600</v>
      </c>
      <c r="U271" s="31">
        <f t="shared" si="279"/>
        <v>478400</v>
      </c>
      <c r="V271" s="34">
        <f t="shared" si="280"/>
        <v>538200</v>
      </c>
      <c r="W271" s="43">
        <v>59800</v>
      </c>
      <c r="X271" s="34">
        <f t="shared" si="281"/>
        <v>21143.807999999997</v>
      </c>
      <c r="Y271" s="34">
        <f t="shared" si="282"/>
        <v>190294.27199999997</v>
      </c>
      <c r="Z271" s="34">
        <f t="shared" si="283"/>
        <v>140940.80000000002</v>
      </c>
      <c r="AA271" s="48">
        <f>113839+14289</f>
        <v>128128</v>
      </c>
      <c r="AB271" s="287">
        <f>((59800*0.015)+(59800*0.19)+2100+4950)*8</f>
        <v>154472</v>
      </c>
      <c r="AC271" s="204">
        <f t="shared" si="291"/>
        <v>4620</v>
      </c>
      <c r="AD271" s="149">
        <v>0.108</v>
      </c>
      <c r="AE271" s="31">
        <f t="shared" ref="AE271:AE272" si="293">4825*(P271+S271)</f>
        <v>82025</v>
      </c>
      <c r="AF271" s="28">
        <f t="shared" si="285"/>
        <v>0.26040616871051653</v>
      </c>
      <c r="AG271" s="34">
        <f t="shared" si="286"/>
        <v>140150.63</v>
      </c>
      <c r="AH271" s="34">
        <f t="shared" si="287"/>
        <v>20775.5098</v>
      </c>
      <c r="AI271" s="34">
        <f t="shared" si="288"/>
        <v>186979.5882</v>
      </c>
      <c r="AJ271" s="46">
        <f t="shared" si="289"/>
        <v>46038.788199999981</v>
      </c>
      <c r="AK271" s="40">
        <v>85.5</v>
      </c>
      <c r="AL271" s="41">
        <f t="shared" si="290"/>
        <v>110.124</v>
      </c>
      <c r="AM271" s="36">
        <f>42821+4919</f>
        <v>47740</v>
      </c>
      <c r="AN271" s="284">
        <f>191+30</f>
        <v>221</v>
      </c>
      <c r="AO271" s="26"/>
      <c r="AP271" s="26"/>
      <c r="AQ271" s="27"/>
      <c r="AR271" s="27"/>
      <c r="AS271" s="27"/>
      <c r="AT271" s="27"/>
      <c r="AU271" s="27"/>
      <c r="AV271" s="27"/>
      <c r="AW271" s="26"/>
      <c r="AX271" s="26"/>
      <c r="AY271" s="26"/>
      <c r="AZ271" s="26"/>
      <c r="BA271" s="26"/>
      <c r="BB271" s="26"/>
      <c r="BC271" s="26"/>
      <c r="BD271" s="26"/>
      <c r="BE271" s="26"/>
      <c r="BF271" s="26"/>
      <c r="BG271" s="26"/>
      <c r="BH271" s="26"/>
      <c r="BI271" s="26"/>
    </row>
    <row r="272" spans="1:61" ht="28.5" customHeight="1">
      <c r="A272" s="26"/>
      <c r="B272" s="333"/>
      <c r="C272" s="42" t="s">
        <v>33</v>
      </c>
      <c r="D272" s="28">
        <f t="shared" si="274"/>
        <v>0.20934392974842897</v>
      </c>
      <c r="E272" s="166">
        <v>0.39300000000000002</v>
      </c>
      <c r="F272" s="30">
        <f t="shared" si="275"/>
        <v>0.18365607025157105</v>
      </c>
      <c r="G272" s="30">
        <f t="shared" si="276"/>
        <v>2.6143790849673203E-2</v>
      </c>
      <c r="H272" s="48"/>
      <c r="I272" s="48"/>
      <c r="J272" s="48"/>
      <c r="K272" s="48"/>
      <c r="L272" s="310"/>
      <c r="M272" s="48"/>
      <c r="N272" s="36"/>
      <c r="O272" s="36">
        <v>14</v>
      </c>
      <c r="P272" s="31">
        <f t="shared" si="277"/>
        <v>14</v>
      </c>
      <c r="Q272" s="36">
        <v>2</v>
      </c>
      <c r="R272" s="167">
        <v>8</v>
      </c>
      <c r="S272" s="36"/>
      <c r="T272" s="34">
        <f t="shared" si="278"/>
        <v>977060</v>
      </c>
      <c r="U272" s="31">
        <f t="shared" si="279"/>
        <v>0</v>
      </c>
      <c r="V272" s="34">
        <f t="shared" si="280"/>
        <v>977060</v>
      </c>
      <c r="W272" s="43">
        <v>69790</v>
      </c>
      <c r="X272" s="34">
        <f t="shared" si="281"/>
        <v>26337.023999999998</v>
      </c>
      <c r="Y272" s="34">
        <f t="shared" si="282"/>
        <v>368718.33599999995</v>
      </c>
      <c r="Z272" s="34">
        <f t="shared" si="283"/>
        <v>174823</v>
      </c>
      <c r="AA272" s="48">
        <v>158930</v>
      </c>
      <c r="AB272" s="36"/>
      <c r="AC272" s="204">
        <f t="shared" si="291"/>
        <v>4620</v>
      </c>
      <c r="AD272" s="149">
        <v>0.108</v>
      </c>
      <c r="AE272" s="31">
        <f t="shared" si="293"/>
        <v>67550</v>
      </c>
      <c r="AF272" s="28">
        <f t="shared" si="285"/>
        <v>0.17713597936667144</v>
      </c>
      <c r="AG272" s="34">
        <f t="shared" si="286"/>
        <v>173072.51</v>
      </c>
      <c r="AH272" s="34">
        <f t="shared" si="287"/>
        <v>43526.915400000005</v>
      </c>
      <c r="AI272" s="34">
        <f t="shared" si="288"/>
        <v>391742.23860000004</v>
      </c>
      <c r="AJ272" s="46">
        <f t="shared" si="289"/>
        <v>216919.23860000004</v>
      </c>
      <c r="AK272" s="40">
        <v>106.5</v>
      </c>
      <c r="AL272" s="41">
        <f t="shared" si="290"/>
        <v>137.172</v>
      </c>
      <c r="AM272" s="36">
        <v>74103</v>
      </c>
      <c r="AN272" s="284">
        <v>306</v>
      </c>
      <c r="AO272" s="26"/>
      <c r="AP272" s="26"/>
      <c r="AQ272" s="27"/>
      <c r="AR272" s="27"/>
      <c r="AS272" s="27"/>
      <c r="AT272" s="27"/>
      <c r="AU272" s="27"/>
      <c r="AV272" s="27"/>
      <c r="AW272" s="26"/>
      <c r="AX272" s="26"/>
      <c r="AY272" s="26"/>
      <c r="AZ272" s="26"/>
      <c r="BA272" s="26"/>
      <c r="BB272" s="26"/>
      <c r="BC272" s="26"/>
      <c r="BD272" s="26"/>
      <c r="BE272" s="26"/>
      <c r="BF272" s="26"/>
      <c r="BG272" s="26"/>
      <c r="BH272" s="26"/>
      <c r="BI272" s="26"/>
    </row>
    <row r="273" spans="1:61" ht="28.5" customHeight="1">
      <c r="A273" s="26"/>
      <c r="B273" s="333"/>
      <c r="C273" s="42" t="s">
        <v>149</v>
      </c>
      <c r="D273" s="28">
        <f t="shared" si="274"/>
        <v>0.10795866514979147</v>
      </c>
      <c r="E273" s="166">
        <v>0.40100000000000002</v>
      </c>
      <c r="F273" s="30">
        <f t="shared" si="275"/>
        <v>0.29304133485020856</v>
      </c>
      <c r="G273" s="30">
        <f t="shared" si="276"/>
        <v>4.0540540540540543E-2</v>
      </c>
      <c r="H273" s="48"/>
      <c r="I273" s="48"/>
      <c r="J273" s="48"/>
      <c r="K273" s="48"/>
      <c r="L273" s="334"/>
      <c r="M273" s="48"/>
      <c r="N273" s="36"/>
      <c r="O273" s="36">
        <v>3</v>
      </c>
      <c r="P273" s="31">
        <f t="shared" si="277"/>
        <v>3</v>
      </c>
      <c r="Q273" s="36">
        <v>1</v>
      </c>
      <c r="R273" s="167">
        <v>3</v>
      </c>
      <c r="S273" s="36"/>
      <c r="T273" s="34">
        <f t="shared" si="278"/>
        <v>290070</v>
      </c>
      <c r="U273" s="31">
        <f t="shared" si="279"/>
        <v>0</v>
      </c>
      <c r="V273" s="34">
        <f t="shared" si="280"/>
        <v>290070</v>
      </c>
      <c r="W273" s="43">
        <v>96690</v>
      </c>
      <c r="X273" s="34">
        <f t="shared" si="281"/>
        <v>36723.455999999998</v>
      </c>
      <c r="Y273" s="34">
        <f t="shared" si="282"/>
        <v>110170.36799999999</v>
      </c>
      <c r="Z273" s="34">
        <f t="shared" si="283"/>
        <v>82692.5</v>
      </c>
      <c r="AA273" s="48">
        <v>75175</v>
      </c>
      <c r="AB273" s="36"/>
      <c r="AC273" s="204">
        <f t="shared" si="291"/>
        <v>2310</v>
      </c>
      <c r="AD273" s="149">
        <v>0.108</v>
      </c>
      <c r="AE273" s="31">
        <f t="shared" ref="AE273:AE274" si="294">6200*(P273+S273)</f>
        <v>18600</v>
      </c>
      <c r="AF273" s="28">
        <f t="shared" si="285"/>
        <v>0.17212245320095149</v>
      </c>
      <c r="AG273" s="34">
        <f t="shared" si="286"/>
        <v>49927.59</v>
      </c>
      <c r="AH273" s="34">
        <f t="shared" si="287"/>
        <v>12997.2042</v>
      </c>
      <c r="AI273" s="34">
        <f t="shared" si="288"/>
        <v>116974.83780000001</v>
      </c>
      <c r="AJ273" s="46">
        <f t="shared" si="289"/>
        <v>34282.337800000008</v>
      </c>
      <c r="AK273" s="40">
        <v>148.5</v>
      </c>
      <c r="AL273" s="41">
        <f t="shared" si="290"/>
        <v>191.268</v>
      </c>
      <c r="AM273" s="36">
        <v>13992</v>
      </c>
      <c r="AN273" s="284">
        <v>74</v>
      </c>
      <c r="AO273" s="26"/>
      <c r="AP273" s="26"/>
      <c r="AQ273" s="27"/>
      <c r="AR273" s="27"/>
      <c r="AS273" s="27"/>
      <c r="AT273" s="27"/>
      <c r="AU273" s="27"/>
      <c r="AV273" s="27"/>
      <c r="AW273" s="26"/>
      <c r="AX273" s="26"/>
      <c r="AY273" s="26"/>
      <c r="AZ273" s="26"/>
      <c r="BA273" s="26"/>
      <c r="BB273" s="26"/>
      <c r="BC273" s="26"/>
      <c r="BD273" s="26"/>
      <c r="BE273" s="26"/>
      <c r="BF273" s="26"/>
      <c r="BG273" s="26"/>
      <c r="BH273" s="26"/>
      <c r="BI273" s="26"/>
    </row>
    <row r="274" spans="1:61" ht="28.5" customHeight="1">
      <c r="A274" s="26"/>
      <c r="B274" s="324"/>
      <c r="C274" s="42" t="s">
        <v>150</v>
      </c>
      <c r="D274" s="28">
        <f t="shared" si="274"/>
        <v>0.16926110851262863</v>
      </c>
      <c r="E274" s="166">
        <v>0.4</v>
      </c>
      <c r="F274" s="30">
        <f t="shared" si="275"/>
        <v>0.23073889148737139</v>
      </c>
      <c r="G274" s="30">
        <f t="shared" si="276"/>
        <v>2.6490066225165563E-2</v>
      </c>
      <c r="H274" s="48"/>
      <c r="I274" s="283"/>
      <c r="J274" s="48"/>
      <c r="K274" s="48"/>
      <c r="L274" s="310"/>
      <c r="M274" s="48"/>
      <c r="N274" s="36"/>
      <c r="O274" s="36">
        <v>8</v>
      </c>
      <c r="P274" s="31">
        <f t="shared" si="277"/>
        <v>8</v>
      </c>
      <c r="Q274" s="36">
        <v>2</v>
      </c>
      <c r="R274" s="167">
        <v>4</v>
      </c>
      <c r="S274" s="36"/>
      <c r="T274" s="34">
        <f t="shared" si="278"/>
        <v>855200</v>
      </c>
      <c r="U274" s="31">
        <f t="shared" si="279"/>
        <v>0</v>
      </c>
      <c r="V274" s="34">
        <f t="shared" si="280"/>
        <v>855200</v>
      </c>
      <c r="W274" s="43">
        <v>106900</v>
      </c>
      <c r="X274" s="34">
        <f t="shared" si="281"/>
        <v>41916.671999999999</v>
      </c>
      <c r="Y274" s="34">
        <f t="shared" si="282"/>
        <v>335333.37599999999</v>
      </c>
      <c r="Z274" s="34">
        <f t="shared" si="283"/>
        <v>192707.90000000002</v>
      </c>
      <c r="AA274" s="48">
        <v>175189</v>
      </c>
      <c r="AB274" s="36"/>
      <c r="AC274" s="204">
        <f t="shared" si="291"/>
        <v>4620</v>
      </c>
      <c r="AD274" s="149">
        <v>0.108</v>
      </c>
      <c r="AE274" s="31">
        <f t="shared" si="294"/>
        <v>49600</v>
      </c>
      <c r="AF274" s="28">
        <f t="shared" si="285"/>
        <v>0.16599812909260991</v>
      </c>
      <c r="AG274" s="34">
        <f t="shared" si="286"/>
        <v>141961.63</v>
      </c>
      <c r="AH274" s="34">
        <f t="shared" si="287"/>
        <v>37790.499400000001</v>
      </c>
      <c r="AI274" s="34">
        <f t="shared" si="288"/>
        <v>340114.49459999998</v>
      </c>
      <c r="AJ274" s="46">
        <f t="shared" si="289"/>
        <v>147406.59459999995</v>
      </c>
      <c r="AK274" s="40">
        <v>169.5</v>
      </c>
      <c r="AL274" s="41">
        <f t="shared" si="290"/>
        <v>218.316</v>
      </c>
      <c r="AM274" s="36">
        <v>23492</v>
      </c>
      <c r="AN274" s="284">
        <v>151</v>
      </c>
      <c r="AO274" s="26"/>
      <c r="AP274" s="26"/>
      <c r="AQ274" s="27"/>
      <c r="AR274" s="27"/>
      <c r="AS274" s="27"/>
      <c r="AT274" s="27"/>
      <c r="AU274" s="27"/>
      <c r="AV274" s="27"/>
      <c r="AW274" s="26"/>
      <c r="AX274" s="26"/>
      <c r="AY274" s="26"/>
      <c r="AZ274" s="26"/>
      <c r="BA274" s="26"/>
      <c r="BB274" s="26"/>
      <c r="BC274" s="26"/>
      <c r="BD274" s="26"/>
      <c r="BE274" s="26"/>
      <c r="BF274" s="26"/>
      <c r="BG274" s="26"/>
      <c r="BH274" s="26"/>
      <c r="BI274" s="26"/>
    </row>
    <row r="275" spans="1:61" ht="28.5" customHeight="1">
      <c r="A275" s="26"/>
      <c r="B275" s="200"/>
      <c r="C275" s="42" t="s">
        <v>111</v>
      </c>
      <c r="D275" s="28">
        <f t="shared" si="274"/>
        <v>0.20730288461538457</v>
      </c>
      <c r="E275" s="166">
        <v>0.41799999999999998</v>
      </c>
      <c r="F275" s="30">
        <f t="shared" si="275"/>
        <v>0.21069711538461541</v>
      </c>
      <c r="G275" s="30">
        <f t="shared" si="276"/>
        <v>0.13333333333333333</v>
      </c>
      <c r="H275" s="48"/>
      <c r="I275" s="48"/>
      <c r="J275" s="48"/>
      <c r="K275" s="210"/>
      <c r="L275" s="210"/>
      <c r="M275" s="210"/>
      <c r="N275" s="36"/>
      <c r="O275" s="36">
        <v>13</v>
      </c>
      <c r="P275" s="31">
        <f t="shared" si="277"/>
        <v>8</v>
      </c>
      <c r="Q275" s="36">
        <v>1</v>
      </c>
      <c r="R275" s="167">
        <v>10</v>
      </c>
      <c r="S275" s="36">
        <v>5</v>
      </c>
      <c r="T275" s="34">
        <f t="shared" si="278"/>
        <v>223080</v>
      </c>
      <c r="U275" s="31">
        <f t="shared" si="279"/>
        <v>85800</v>
      </c>
      <c r="V275" s="34">
        <f t="shared" si="280"/>
        <v>137280</v>
      </c>
      <c r="W275" s="43">
        <v>17160</v>
      </c>
      <c r="X275" s="34">
        <f t="shared" si="281"/>
        <v>5687.8080000000009</v>
      </c>
      <c r="Y275" s="34">
        <f t="shared" si="282"/>
        <v>45502.464000000007</v>
      </c>
      <c r="Z275" s="34">
        <f t="shared" si="283"/>
        <v>26614.500000000004</v>
      </c>
      <c r="AA275" s="48">
        <v>24195</v>
      </c>
      <c r="AB275" s="287">
        <f>((17160*0.015)+(17160*0.25)+2100+4950)*5</f>
        <v>57987</v>
      </c>
      <c r="AC275" s="204">
        <f t="shared" si="291"/>
        <v>2310</v>
      </c>
      <c r="AD275" s="149">
        <v>7.8E-2</v>
      </c>
      <c r="AE275" s="31">
        <f>2900*(P275+S275)</f>
        <v>37700</v>
      </c>
      <c r="AF275" s="28">
        <f t="shared" si="285"/>
        <v>0.35262121212121211</v>
      </c>
      <c r="AG275" s="34">
        <f t="shared" si="286"/>
        <v>48407.869999999995</v>
      </c>
      <c r="AH275" s="34">
        <f t="shared" si="287"/>
        <v>4336.9665999999997</v>
      </c>
      <c r="AI275" s="34">
        <f t="shared" si="288"/>
        <v>39032.699399999998</v>
      </c>
      <c r="AJ275" s="46">
        <f t="shared" si="289"/>
        <v>12418.199399999994</v>
      </c>
      <c r="AK275" s="40">
        <v>23</v>
      </c>
      <c r="AL275" s="41">
        <f t="shared" si="290"/>
        <v>29.624000000000002</v>
      </c>
      <c r="AM275" s="36">
        <v>25779</v>
      </c>
      <c r="AN275" s="284">
        <v>75</v>
      </c>
      <c r="AO275" s="26"/>
      <c r="AP275" s="26"/>
      <c r="AQ275" s="27"/>
      <c r="AR275" s="27"/>
      <c r="AS275" s="27"/>
      <c r="AT275" s="27"/>
      <c r="AU275" s="27"/>
      <c r="AV275" s="27"/>
      <c r="AW275" s="26"/>
      <c r="AX275" s="26"/>
      <c r="AY275" s="26"/>
      <c r="AZ275" s="26"/>
      <c r="BA275" s="26"/>
      <c r="BB275" s="26"/>
      <c r="BC275" s="26"/>
      <c r="BD275" s="26"/>
      <c r="BE275" s="26"/>
      <c r="BF275" s="26"/>
      <c r="BG275" s="26"/>
      <c r="BH275" s="26"/>
      <c r="BI275" s="26"/>
    </row>
    <row r="276" spans="1:61" ht="28.5" customHeight="1">
      <c r="A276" s="26"/>
      <c r="B276" s="207"/>
      <c r="C276" s="42" t="s">
        <v>151</v>
      </c>
      <c r="D276" s="28">
        <f t="shared" si="274"/>
        <v>-0.13303286637931033</v>
      </c>
      <c r="E276" s="303">
        <v>0.27600000000000002</v>
      </c>
      <c r="F276" s="30">
        <f t="shared" si="275"/>
        <v>0.40903286637931036</v>
      </c>
      <c r="G276" s="30">
        <f t="shared" si="276"/>
        <v>0.1111111111111111</v>
      </c>
      <c r="H276" s="48"/>
      <c r="I276" s="48"/>
      <c r="J276" s="48"/>
      <c r="K276" s="210"/>
      <c r="L276" s="335"/>
      <c r="M276" s="210"/>
      <c r="N276" s="36"/>
      <c r="O276" s="36">
        <v>4</v>
      </c>
      <c r="P276" s="31">
        <f t="shared" si="277"/>
        <v>4</v>
      </c>
      <c r="Q276" s="36">
        <v>2</v>
      </c>
      <c r="R276" s="167">
        <v>3</v>
      </c>
      <c r="S276" s="36"/>
      <c r="T276" s="34">
        <f t="shared" si="278"/>
        <v>37120</v>
      </c>
      <c r="U276" s="31">
        <f t="shared" si="279"/>
        <v>0</v>
      </c>
      <c r="V276" s="34">
        <f t="shared" si="280"/>
        <v>37120</v>
      </c>
      <c r="W276" s="43">
        <v>9280</v>
      </c>
      <c r="X276" s="34">
        <f t="shared" si="281"/>
        <v>3462.1440000000002</v>
      </c>
      <c r="Y276" s="34">
        <f t="shared" si="282"/>
        <v>13848.576000000001</v>
      </c>
      <c r="Z276" s="34">
        <f t="shared" si="283"/>
        <v>10563.300000000001</v>
      </c>
      <c r="AA276" s="48">
        <v>9603</v>
      </c>
      <c r="AB276" s="287"/>
      <c r="AC276" s="204">
        <f t="shared" si="291"/>
        <v>4620</v>
      </c>
      <c r="AD276" s="149">
        <v>0.1</v>
      </c>
      <c r="AE276" s="31">
        <f t="shared" ref="AE276:AE277" si="295">1900*(P276+S276)</f>
        <v>7600</v>
      </c>
      <c r="AF276" s="28">
        <f t="shared" si="285"/>
        <v>0.30474137931034484</v>
      </c>
      <c r="AG276" s="34">
        <f t="shared" si="286"/>
        <v>11312.03</v>
      </c>
      <c r="AH276" s="34">
        <f t="shared" si="287"/>
        <v>1195.9393999999998</v>
      </c>
      <c r="AI276" s="34">
        <f t="shared" si="288"/>
        <v>10763.454600000001</v>
      </c>
      <c r="AJ276" s="46">
        <f t="shared" si="289"/>
        <v>200.15459999999985</v>
      </c>
      <c r="AK276" s="40">
        <v>14</v>
      </c>
      <c r="AL276" s="41">
        <f t="shared" si="290"/>
        <v>18.032</v>
      </c>
      <c r="AM276" s="36">
        <v>24282</v>
      </c>
      <c r="AN276" s="284">
        <v>27</v>
      </c>
      <c r="AO276" s="26"/>
      <c r="AP276" s="26"/>
      <c r="AQ276" s="27"/>
      <c r="AR276" s="27"/>
      <c r="AS276" s="27"/>
      <c r="AT276" s="27"/>
      <c r="AU276" s="27"/>
      <c r="AV276" s="27"/>
      <c r="AW276" s="26"/>
      <c r="AX276" s="26"/>
      <c r="AY276" s="26"/>
      <c r="AZ276" s="26"/>
      <c r="BA276" s="26"/>
      <c r="BB276" s="26"/>
      <c r="BC276" s="26"/>
      <c r="BD276" s="26"/>
      <c r="BE276" s="26"/>
      <c r="BF276" s="26"/>
      <c r="BG276" s="26"/>
      <c r="BH276" s="26"/>
      <c r="BI276" s="26"/>
    </row>
    <row r="277" spans="1:61" ht="28.5" customHeight="1">
      <c r="A277" s="26"/>
      <c r="B277" s="212" t="s">
        <v>160</v>
      </c>
      <c r="C277" s="42" t="s">
        <v>152</v>
      </c>
      <c r="D277" s="28">
        <f t="shared" si="274"/>
        <v>0.14293243967828417</v>
      </c>
      <c r="E277" s="303">
        <v>0.39700000000000002</v>
      </c>
      <c r="F277" s="30">
        <f t="shared" si="275"/>
        <v>0.25406756032171585</v>
      </c>
      <c r="G277" s="30">
        <f t="shared" si="276"/>
        <v>8.3333333333333329E-2</v>
      </c>
      <c r="H277" s="48"/>
      <c r="I277" s="48"/>
      <c r="J277" s="48"/>
      <c r="K277" s="210"/>
      <c r="L277" s="310"/>
      <c r="M277" s="210"/>
      <c r="N277" s="36"/>
      <c r="O277" s="36">
        <v>5</v>
      </c>
      <c r="P277" s="31">
        <f t="shared" si="277"/>
        <v>5</v>
      </c>
      <c r="Q277" s="36">
        <v>0</v>
      </c>
      <c r="R277" s="167">
        <v>4</v>
      </c>
      <c r="S277" s="36"/>
      <c r="T277" s="34">
        <f t="shared" si="278"/>
        <v>93250</v>
      </c>
      <c r="U277" s="31">
        <f t="shared" si="279"/>
        <v>0</v>
      </c>
      <c r="V277" s="34">
        <f t="shared" si="280"/>
        <v>93250</v>
      </c>
      <c r="W277" s="43">
        <v>18650</v>
      </c>
      <c r="X277" s="34">
        <f t="shared" si="281"/>
        <v>6924.2880000000005</v>
      </c>
      <c r="Y277" s="34">
        <f t="shared" si="282"/>
        <v>34621.440000000002</v>
      </c>
      <c r="Z277" s="34">
        <f t="shared" si="283"/>
        <v>23691.800000000003</v>
      </c>
      <c r="AA277" s="48">
        <v>21538</v>
      </c>
      <c r="AB277" s="36"/>
      <c r="AC277" s="204">
        <f t="shared" si="291"/>
        <v>0</v>
      </c>
      <c r="AD277" s="149">
        <v>0.1</v>
      </c>
      <c r="AE277" s="31">
        <f t="shared" si="295"/>
        <v>9500</v>
      </c>
      <c r="AF277" s="28">
        <f t="shared" si="285"/>
        <v>0.20187667560321715</v>
      </c>
      <c r="AG277" s="34">
        <f t="shared" si="286"/>
        <v>18825.03</v>
      </c>
      <c r="AH277" s="34">
        <f t="shared" si="287"/>
        <v>3980.3529999999992</v>
      </c>
      <c r="AI277" s="34">
        <f t="shared" si="288"/>
        <v>35823.176999999996</v>
      </c>
      <c r="AJ277" s="46">
        <f t="shared" si="289"/>
        <v>12131.376999999993</v>
      </c>
      <c r="AK277" s="40">
        <v>28</v>
      </c>
      <c r="AL277" s="41">
        <f t="shared" si="290"/>
        <v>36.064</v>
      </c>
      <c r="AM277" s="36">
        <v>37262</v>
      </c>
      <c r="AN277" s="284">
        <v>48</v>
      </c>
      <c r="AO277" s="26"/>
      <c r="AP277" s="26"/>
      <c r="AQ277" s="27"/>
      <c r="AR277" s="27"/>
      <c r="AS277" s="27"/>
      <c r="AT277" s="27"/>
      <c r="AU277" s="27"/>
      <c r="AV277" s="27"/>
      <c r="AW277" s="26"/>
      <c r="AX277" s="26"/>
      <c r="AY277" s="26"/>
      <c r="AZ277" s="26"/>
      <c r="BA277" s="26"/>
      <c r="BB277" s="26"/>
      <c r="BC277" s="26"/>
      <c r="BD277" s="26"/>
      <c r="BE277" s="26"/>
      <c r="BF277" s="26"/>
      <c r="BG277" s="26"/>
      <c r="BH277" s="26"/>
      <c r="BI277" s="26"/>
    </row>
    <row r="278" spans="1:61" ht="28.5" customHeight="1">
      <c r="A278" s="295"/>
      <c r="B278" s="296"/>
      <c r="C278" s="42" t="s">
        <v>153</v>
      </c>
      <c r="D278" s="28" t="e">
        <f t="shared" si="274"/>
        <v>#DIV/0!</v>
      </c>
      <c r="E278" s="166">
        <v>0.35</v>
      </c>
      <c r="F278" s="30" t="e">
        <f t="shared" si="275"/>
        <v>#DIV/0!</v>
      </c>
      <c r="G278" s="30" t="e">
        <f t="shared" si="276"/>
        <v>#DIV/0!</v>
      </c>
      <c r="H278" s="48"/>
      <c r="I278" s="48"/>
      <c r="J278" s="48"/>
      <c r="K278" s="26"/>
      <c r="L278" s="26"/>
      <c r="M278" s="210"/>
      <c r="N278" s="36"/>
      <c r="O278" s="36">
        <v>0</v>
      </c>
      <c r="P278" s="31">
        <f t="shared" si="277"/>
        <v>0</v>
      </c>
      <c r="Q278" s="36">
        <v>0</v>
      </c>
      <c r="R278" s="167">
        <v>0</v>
      </c>
      <c r="S278" s="36"/>
      <c r="T278" s="34">
        <f t="shared" si="278"/>
        <v>0</v>
      </c>
      <c r="U278" s="31">
        <f t="shared" si="279"/>
        <v>0</v>
      </c>
      <c r="V278" s="34">
        <f t="shared" si="280"/>
        <v>0</v>
      </c>
      <c r="W278" s="43">
        <v>26010</v>
      </c>
      <c r="X278" s="34">
        <f t="shared" si="281"/>
        <v>10386.432000000001</v>
      </c>
      <c r="Y278" s="34">
        <f t="shared" si="282"/>
        <v>0</v>
      </c>
      <c r="Z278" s="34">
        <f t="shared" si="283"/>
        <v>0</v>
      </c>
      <c r="AA278" s="48">
        <v>0</v>
      </c>
      <c r="AB278" s="36"/>
      <c r="AC278" s="204">
        <f t="shared" si="291"/>
        <v>0</v>
      </c>
      <c r="AD278" s="149">
        <v>0.1</v>
      </c>
      <c r="AE278" s="31">
        <f>5925*(P278+S278)</f>
        <v>0</v>
      </c>
      <c r="AF278" s="28" t="e">
        <f t="shared" si="285"/>
        <v>#DIV/0!</v>
      </c>
      <c r="AG278" s="34" t="e">
        <f t="shared" si="286"/>
        <v>#DIV/0!</v>
      </c>
      <c r="AH278" s="34" t="e">
        <f t="shared" si="287"/>
        <v>#DIV/0!</v>
      </c>
      <c r="AI278" s="34" t="e">
        <f t="shared" si="288"/>
        <v>#DIV/0!</v>
      </c>
      <c r="AJ278" s="46" t="e">
        <f t="shared" si="289"/>
        <v>#DIV/0!</v>
      </c>
      <c r="AK278" s="40">
        <v>42</v>
      </c>
      <c r="AL278" s="41">
        <f t="shared" si="290"/>
        <v>54.096000000000004</v>
      </c>
      <c r="AM278" s="36">
        <v>0</v>
      </c>
      <c r="AN278" s="284">
        <v>0</v>
      </c>
      <c r="AO278" s="26"/>
      <c r="AP278" s="26"/>
      <c r="AQ278" s="27"/>
      <c r="AR278" s="27"/>
      <c r="AS278" s="27"/>
      <c r="AT278" s="27"/>
      <c r="AU278" s="27"/>
      <c r="AV278" s="27"/>
      <c r="AW278" s="26"/>
      <c r="AX278" s="26"/>
      <c r="AY278" s="26"/>
      <c r="AZ278" s="26"/>
      <c r="BA278" s="26"/>
      <c r="BB278" s="26"/>
      <c r="BC278" s="26"/>
      <c r="BD278" s="26"/>
      <c r="BE278" s="26"/>
      <c r="BF278" s="26"/>
      <c r="BG278" s="26"/>
      <c r="BH278" s="26"/>
      <c r="BI278" s="26"/>
    </row>
    <row r="279" spans="1:61" ht="28.5" customHeight="1">
      <c r="A279" s="26"/>
      <c r="B279" s="323" t="s">
        <v>161</v>
      </c>
      <c r="C279" s="42" t="s">
        <v>112</v>
      </c>
      <c r="D279" s="28">
        <f t="shared" si="274"/>
        <v>0.14546000074038426</v>
      </c>
      <c r="E279" s="166">
        <v>0.39200000000000002</v>
      </c>
      <c r="F279" s="30">
        <f t="shared" si="275"/>
        <v>0.24653999925961576</v>
      </c>
      <c r="G279" s="30">
        <f t="shared" si="276"/>
        <v>5.7324840764331211E-2</v>
      </c>
      <c r="H279" s="334"/>
      <c r="I279" s="48"/>
      <c r="J279" s="48"/>
      <c r="K279" s="210"/>
      <c r="L279" s="335"/>
      <c r="M279" s="210"/>
      <c r="N279" s="36"/>
      <c r="O279" s="36">
        <v>14</v>
      </c>
      <c r="P279" s="31">
        <f t="shared" si="277"/>
        <v>14</v>
      </c>
      <c r="Q279" s="36">
        <v>1</v>
      </c>
      <c r="R279" s="167">
        <v>9</v>
      </c>
      <c r="S279" s="36"/>
      <c r="T279" s="34">
        <f t="shared" si="278"/>
        <v>540260</v>
      </c>
      <c r="U279" s="31">
        <f t="shared" si="279"/>
        <v>0</v>
      </c>
      <c r="V279" s="34">
        <f t="shared" si="280"/>
        <v>540260</v>
      </c>
      <c r="W279" s="43">
        <v>38590</v>
      </c>
      <c r="X279" s="34">
        <f t="shared" si="281"/>
        <v>15085.056</v>
      </c>
      <c r="Y279" s="34">
        <f t="shared" si="282"/>
        <v>211190.78400000001</v>
      </c>
      <c r="Z279" s="34">
        <f t="shared" si="283"/>
        <v>130885.70000000001</v>
      </c>
      <c r="AA279" s="48">
        <v>118987</v>
      </c>
      <c r="AB279" s="286"/>
      <c r="AC279" s="204">
        <f t="shared" si="291"/>
        <v>2310</v>
      </c>
      <c r="AD279" s="149">
        <v>0.08</v>
      </c>
      <c r="AE279" s="31">
        <f t="shared" ref="AE279:AE280" si="296">4150*(P279+S279)</f>
        <v>58100</v>
      </c>
      <c r="AF279" s="28">
        <f t="shared" si="285"/>
        <v>0.18754081368230113</v>
      </c>
      <c r="AG279" s="34">
        <f t="shared" si="286"/>
        <v>101320.83</v>
      </c>
      <c r="AH279" s="34">
        <f t="shared" si="287"/>
        <v>22774.838599999999</v>
      </c>
      <c r="AI279" s="34">
        <f t="shared" si="288"/>
        <v>204973.54739999998</v>
      </c>
      <c r="AJ279" s="46">
        <f t="shared" si="289"/>
        <v>74087.84739999997</v>
      </c>
      <c r="AK279" s="40">
        <v>61</v>
      </c>
      <c r="AL279" s="41">
        <f t="shared" si="290"/>
        <v>78.567999999999998</v>
      </c>
      <c r="AM279" s="36">
        <v>35786</v>
      </c>
      <c r="AN279" s="284">
        <v>157</v>
      </c>
      <c r="AO279" s="26"/>
      <c r="AP279" s="26"/>
      <c r="AQ279" s="27"/>
      <c r="AR279" s="27"/>
      <c r="AS279" s="27"/>
      <c r="AT279" s="27"/>
      <c r="AU279" s="27"/>
      <c r="AV279" s="27"/>
      <c r="AW279" s="26"/>
      <c r="AX279" s="26"/>
      <c r="AY279" s="26"/>
      <c r="AZ279" s="26"/>
      <c r="BA279" s="26"/>
      <c r="BB279" s="26"/>
      <c r="BC279" s="26"/>
      <c r="BD279" s="26"/>
      <c r="BE279" s="26"/>
      <c r="BF279" s="26"/>
      <c r="BG279" s="26"/>
      <c r="BH279" s="26"/>
      <c r="BI279" s="26"/>
    </row>
    <row r="280" spans="1:61" ht="28.5" customHeight="1">
      <c r="A280" s="26"/>
      <c r="B280" s="324"/>
      <c r="C280" s="42" t="s">
        <v>113</v>
      </c>
      <c r="D280" s="28">
        <f t="shared" si="274"/>
        <v>0.1240673076923077</v>
      </c>
      <c r="E280" s="166">
        <v>0.33900000000000002</v>
      </c>
      <c r="F280" s="30">
        <f t="shared" si="275"/>
        <v>0.21493269230769232</v>
      </c>
      <c r="G280" s="30">
        <f t="shared" si="276"/>
        <v>4.4303797468354431E-2</v>
      </c>
      <c r="H280" s="310"/>
      <c r="I280" s="48"/>
      <c r="J280" s="48"/>
      <c r="K280" s="210"/>
      <c r="L280" s="310"/>
      <c r="M280" s="210"/>
      <c r="N280" s="36"/>
      <c r="O280" s="36">
        <v>8</v>
      </c>
      <c r="P280" s="31">
        <f t="shared" si="277"/>
        <v>8</v>
      </c>
      <c r="Q280" s="36">
        <v>1</v>
      </c>
      <c r="R280" s="167">
        <v>7</v>
      </c>
      <c r="S280" s="36"/>
      <c r="T280" s="34">
        <f t="shared" si="278"/>
        <v>343200</v>
      </c>
      <c r="U280" s="31">
        <f t="shared" si="279"/>
        <v>0</v>
      </c>
      <c r="V280" s="34">
        <f t="shared" si="280"/>
        <v>343200</v>
      </c>
      <c r="W280" s="43">
        <v>42900</v>
      </c>
      <c r="X280" s="34">
        <f t="shared" si="281"/>
        <v>20278.272000000004</v>
      </c>
      <c r="Y280" s="34">
        <f t="shared" si="282"/>
        <v>162226.17600000004</v>
      </c>
      <c r="Z280" s="34">
        <f t="shared" si="283"/>
        <v>71454.900000000009</v>
      </c>
      <c r="AA280" s="48">
        <v>64959</v>
      </c>
      <c r="AB280" s="36"/>
      <c r="AC280" s="204">
        <f t="shared" si="291"/>
        <v>2310</v>
      </c>
      <c r="AD280" s="149">
        <v>7.8E-2</v>
      </c>
      <c r="AE280" s="31">
        <f t="shared" si="296"/>
        <v>33200</v>
      </c>
      <c r="AF280" s="28">
        <f t="shared" si="285"/>
        <v>0.17473659673659675</v>
      </c>
      <c r="AG280" s="34">
        <f t="shared" si="286"/>
        <v>59969.630000000005</v>
      </c>
      <c r="AH280" s="34">
        <f t="shared" si="287"/>
        <v>12100.419399999995</v>
      </c>
      <c r="AI280" s="34">
        <f t="shared" si="288"/>
        <v>108903.77459999998</v>
      </c>
      <c r="AJ280" s="46">
        <f t="shared" si="289"/>
        <v>37448.874599999966</v>
      </c>
      <c r="AK280" s="40">
        <v>82</v>
      </c>
      <c r="AL280" s="41">
        <f t="shared" si="290"/>
        <v>105.61600000000001</v>
      </c>
      <c r="AM280" s="36">
        <v>99371</v>
      </c>
      <c r="AN280" s="284">
        <v>158</v>
      </c>
      <c r="AO280" s="26"/>
      <c r="AP280" s="26"/>
      <c r="AQ280" s="27"/>
      <c r="AR280" s="27"/>
      <c r="AS280" s="27"/>
      <c r="AT280" s="27"/>
      <c r="AU280" s="27"/>
      <c r="AV280" s="27"/>
      <c r="AW280" s="26"/>
      <c r="AX280" s="26"/>
      <c r="AY280" s="26"/>
      <c r="AZ280" s="26"/>
      <c r="BA280" s="26"/>
      <c r="BB280" s="26"/>
      <c r="BC280" s="26"/>
      <c r="BD280" s="26"/>
      <c r="BE280" s="26"/>
      <c r="BF280" s="26"/>
      <c r="BG280" s="26"/>
      <c r="BH280" s="26"/>
      <c r="BI280" s="26"/>
    </row>
    <row r="281" spans="1:61" ht="28.5" customHeight="1">
      <c r="A281" s="26"/>
      <c r="B281" s="200"/>
      <c r="C281" s="42" t="s">
        <v>154</v>
      </c>
      <c r="D281" s="28">
        <f t="shared" si="274"/>
        <v>-1.4394279661016951</v>
      </c>
      <c r="E281" s="303">
        <v>0.41299999999999998</v>
      </c>
      <c r="F281" s="30">
        <f t="shared" si="275"/>
        <v>1.8524279661016951</v>
      </c>
      <c r="G281" s="30">
        <f t="shared" si="276"/>
        <v>4.2553191489361701E-2</v>
      </c>
      <c r="H281" s="48"/>
      <c r="I281" s="48"/>
      <c r="J281" s="48"/>
      <c r="K281" s="210"/>
      <c r="L281" s="210"/>
      <c r="M281" s="210"/>
      <c r="N281" s="36"/>
      <c r="O281" s="36">
        <v>2</v>
      </c>
      <c r="P281" s="31">
        <f t="shared" si="277"/>
        <v>2</v>
      </c>
      <c r="Q281" s="36">
        <v>0</v>
      </c>
      <c r="R281" s="167">
        <v>2</v>
      </c>
      <c r="S281" s="36"/>
      <c r="T281" s="34">
        <f t="shared" si="278"/>
        <v>23600</v>
      </c>
      <c r="U281" s="31">
        <f t="shared" si="279"/>
        <v>0</v>
      </c>
      <c r="V281" s="34">
        <f t="shared" si="280"/>
        <v>23600</v>
      </c>
      <c r="W281" s="43">
        <v>11800</v>
      </c>
      <c r="X281" s="34">
        <f t="shared" si="281"/>
        <v>4006.1952000000001</v>
      </c>
      <c r="Y281" s="34">
        <f t="shared" si="282"/>
        <v>8012.3904000000002</v>
      </c>
      <c r="Z281" s="34">
        <f t="shared" si="283"/>
        <v>43717.3</v>
      </c>
      <c r="AA281" s="48">
        <v>39743</v>
      </c>
      <c r="AB281" s="287"/>
      <c r="AC281" s="204">
        <f t="shared" si="291"/>
        <v>0</v>
      </c>
      <c r="AD281" s="149">
        <v>0.108</v>
      </c>
      <c r="AE281" s="31">
        <f>1900*(P281+S281)</f>
        <v>3800</v>
      </c>
      <c r="AF281" s="28">
        <f t="shared" si="285"/>
        <v>0.26901694915254237</v>
      </c>
      <c r="AG281" s="34">
        <f t="shared" si="286"/>
        <v>6348.83</v>
      </c>
      <c r="AH281" s="34">
        <f t="shared" si="287"/>
        <v>923.8779599999998</v>
      </c>
      <c r="AI281" s="34">
        <f t="shared" si="288"/>
        <v>8314.90164</v>
      </c>
      <c r="AJ281" s="46">
        <f t="shared" si="289"/>
        <v>-35402.398360000007</v>
      </c>
      <c r="AK281" s="40">
        <v>16.2</v>
      </c>
      <c r="AL281" s="41">
        <f t="shared" si="290"/>
        <v>20.865600000000001</v>
      </c>
      <c r="AM281" s="36">
        <v>105936</v>
      </c>
      <c r="AN281" s="284">
        <v>47</v>
      </c>
      <c r="AO281" s="26"/>
      <c r="AP281" s="26"/>
      <c r="AQ281" s="27"/>
      <c r="AR281" s="27"/>
      <c r="AS281" s="27"/>
      <c r="AT281" s="27"/>
      <c r="AU281" s="27"/>
      <c r="AV281" s="27"/>
      <c r="AW281" s="26"/>
      <c r="AX281" s="26"/>
      <c r="AY281" s="26"/>
      <c r="AZ281" s="26"/>
      <c r="BA281" s="26"/>
      <c r="BB281" s="26"/>
      <c r="BC281" s="26"/>
      <c r="BD281" s="26"/>
      <c r="BE281" s="26"/>
      <c r="BF281" s="26"/>
      <c r="BG281" s="26"/>
      <c r="BH281" s="26"/>
      <c r="BI281" s="26"/>
    </row>
    <row r="282" spans="1:61" ht="28.5" customHeight="1">
      <c r="A282" s="26"/>
      <c r="B282" s="200"/>
      <c r="C282" s="42" t="s">
        <v>114</v>
      </c>
      <c r="D282" s="28">
        <f t="shared" si="274"/>
        <v>0.16493771929824558</v>
      </c>
      <c r="E282" s="166">
        <v>0.35599999999999998</v>
      </c>
      <c r="F282" s="30">
        <f t="shared" si="275"/>
        <v>0.19106228070175441</v>
      </c>
      <c r="G282" s="30">
        <f t="shared" si="276"/>
        <v>6.6666666666666666E-2</v>
      </c>
      <c r="H282" s="48"/>
      <c r="I282" s="48"/>
      <c r="J282" s="48"/>
      <c r="K282" s="210"/>
      <c r="L282" s="210"/>
      <c r="M282" s="210"/>
      <c r="N282" s="36"/>
      <c r="O282" s="36">
        <v>12</v>
      </c>
      <c r="P282" s="31">
        <f t="shared" si="277"/>
        <v>12</v>
      </c>
      <c r="Q282" s="36">
        <v>3</v>
      </c>
      <c r="R282" s="167">
        <v>4</v>
      </c>
      <c r="S282" s="36"/>
      <c r="T282" s="34">
        <f t="shared" si="278"/>
        <v>228000</v>
      </c>
      <c r="U282" s="31">
        <f t="shared" si="279"/>
        <v>0</v>
      </c>
      <c r="V282" s="34">
        <f t="shared" si="280"/>
        <v>228000</v>
      </c>
      <c r="W282" s="43">
        <v>19000</v>
      </c>
      <c r="X282" s="34">
        <f t="shared" si="281"/>
        <v>7122.1247999999996</v>
      </c>
      <c r="Y282" s="34">
        <f t="shared" si="282"/>
        <v>85465.497600000002</v>
      </c>
      <c r="Z282" s="34">
        <f t="shared" si="283"/>
        <v>36632.200000000004</v>
      </c>
      <c r="AA282" s="48">
        <v>33302</v>
      </c>
      <c r="AB282" s="36"/>
      <c r="AC282" s="204">
        <f t="shared" si="291"/>
        <v>6930</v>
      </c>
      <c r="AD282" s="149">
        <v>0.08</v>
      </c>
      <c r="AE282" s="31">
        <f>3350*(P282+S282)</f>
        <v>40200</v>
      </c>
      <c r="AF282" s="28">
        <f t="shared" si="285"/>
        <v>0.25631578947368422</v>
      </c>
      <c r="AG282" s="34">
        <f t="shared" si="286"/>
        <v>58440.03</v>
      </c>
      <c r="AH282" s="34">
        <f t="shared" si="287"/>
        <v>8409.4472399999995</v>
      </c>
      <c r="AI282" s="34">
        <f t="shared" si="288"/>
        <v>75685.02515999999</v>
      </c>
      <c r="AJ282" s="46">
        <f t="shared" si="289"/>
        <v>39052.825159999986</v>
      </c>
      <c r="AK282" s="40">
        <v>28.8</v>
      </c>
      <c r="AL282" s="41">
        <f t="shared" si="290"/>
        <v>37.0944</v>
      </c>
      <c r="AM282" s="36">
        <v>43976</v>
      </c>
      <c r="AN282" s="284">
        <v>60</v>
      </c>
      <c r="AO282" s="26"/>
      <c r="AP282" s="26"/>
      <c r="AQ282" s="27"/>
      <c r="AR282" s="27"/>
      <c r="AS282" s="27"/>
      <c r="AT282" s="27"/>
      <c r="AU282" s="27"/>
      <c r="AV282" s="27"/>
      <c r="AW282" s="26"/>
      <c r="AX282" s="26"/>
      <c r="AY282" s="26"/>
      <c r="AZ282" s="26"/>
      <c r="BA282" s="26"/>
      <c r="BB282" s="26"/>
      <c r="BC282" s="26"/>
      <c r="BD282" s="26"/>
      <c r="BE282" s="26"/>
      <c r="BF282" s="26"/>
      <c r="BG282" s="26"/>
      <c r="BH282" s="26"/>
      <c r="BI282" s="26"/>
    </row>
    <row r="283" spans="1:61" ht="28.5" customHeight="1">
      <c r="A283" s="26"/>
      <c r="B283" s="326"/>
      <c r="C283" s="42" t="s">
        <v>115</v>
      </c>
      <c r="D283" s="28">
        <f t="shared" si="274"/>
        <v>9.9440693430656868E-2</v>
      </c>
      <c r="E283" s="166">
        <v>0.443</v>
      </c>
      <c r="F283" s="30">
        <f t="shared" si="275"/>
        <v>0.34355930656934314</v>
      </c>
      <c r="G283" s="30">
        <f t="shared" si="276"/>
        <v>1.6949152542372881E-2</v>
      </c>
      <c r="H283" s="48"/>
      <c r="I283" s="48"/>
      <c r="J283" s="48"/>
      <c r="K283" s="210"/>
      <c r="L283" s="210"/>
      <c r="M283" s="210"/>
      <c r="N283" s="36"/>
      <c r="O283" s="36">
        <v>2</v>
      </c>
      <c r="P283" s="31">
        <f t="shared" si="277"/>
        <v>2</v>
      </c>
      <c r="Q283" s="36">
        <v>1</v>
      </c>
      <c r="R283" s="167">
        <v>1</v>
      </c>
      <c r="S283" s="36"/>
      <c r="T283" s="34">
        <f t="shared" si="278"/>
        <v>109600</v>
      </c>
      <c r="U283" s="31">
        <f t="shared" si="279"/>
        <v>0</v>
      </c>
      <c r="V283" s="34">
        <f t="shared" si="280"/>
        <v>109600</v>
      </c>
      <c r="W283" s="43">
        <v>54800</v>
      </c>
      <c r="X283" s="34">
        <f t="shared" si="281"/>
        <v>20030.976000000002</v>
      </c>
      <c r="Y283" s="34">
        <f t="shared" si="282"/>
        <v>40061.952000000005</v>
      </c>
      <c r="Z283" s="34">
        <f t="shared" si="283"/>
        <v>35344.100000000006</v>
      </c>
      <c r="AA283" s="48">
        <v>32131</v>
      </c>
      <c r="AB283" s="36"/>
      <c r="AC283" s="204">
        <f t="shared" si="291"/>
        <v>2310</v>
      </c>
      <c r="AD283" s="149">
        <v>7.8E-2</v>
      </c>
      <c r="AE283" s="31">
        <f t="shared" ref="AE283:AE284" si="297">4825*(P283+S283)</f>
        <v>9650</v>
      </c>
      <c r="AF283" s="28">
        <f t="shared" si="285"/>
        <v>0.16604744525547444</v>
      </c>
      <c r="AG283" s="34">
        <f t="shared" si="286"/>
        <v>18198.829999999998</v>
      </c>
      <c r="AH283" s="34">
        <f t="shared" si="287"/>
        <v>5133.9217999999992</v>
      </c>
      <c r="AI283" s="34">
        <f t="shared" si="288"/>
        <v>46205.296199999997</v>
      </c>
      <c r="AJ283" s="46">
        <f t="shared" si="289"/>
        <v>10861.196199999991</v>
      </c>
      <c r="AK283" s="40">
        <v>81</v>
      </c>
      <c r="AL283" s="41">
        <f t="shared" si="290"/>
        <v>104.328</v>
      </c>
      <c r="AM283" s="36">
        <v>12960</v>
      </c>
      <c r="AN283" s="284">
        <v>59</v>
      </c>
      <c r="AO283" s="26"/>
      <c r="AP283" s="26"/>
      <c r="AQ283" s="27"/>
      <c r="AR283" s="27"/>
      <c r="AS283" s="27"/>
      <c r="AT283" s="27"/>
      <c r="AU283" s="27"/>
      <c r="AV283" s="27"/>
      <c r="AW283" s="26"/>
      <c r="AX283" s="26"/>
      <c r="AY283" s="26"/>
      <c r="AZ283" s="26"/>
      <c r="BA283" s="26"/>
      <c r="BB283" s="26"/>
      <c r="BC283" s="26"/>
      <c r="BD283" s="26"/>
      <c r="BE283" s="26"/>
      <c r="BF283" s="26"/>
      <c r="BG283" s="26"/>
      <c r="BH283" s="26"/>
      <c r="BI283" s="26"/>
    </row>
    <row r="284" spans="1:61" ht="28.5" customHeight="1">
      <c r="A284" s="26"/>
      <c r="B284" s="324"/>
      <c r="C284" s="42" t="s">
        <v>116</v>
      </c>
      <c r="D284" s="28">
        <f t="shared" si="274"/>
        <v>0.25726671810699586</v>
      </c>
      <c r="E284" s="166">
        <v>0.438</v>
      </c>
      <c r="F284" s="30">
        <f t="shared" si="275"/>
        <v>0.18073328189300414</v>
      </c>
      <c r="G284" s="30">
        <f t="shared" si="276"/>
        <v>4.3478260869565216E-2</v>
      </c>
      <c r="H284" s="48"/>
      <c r="I284" s="48"/>
      <c r="J284" s="48"/>
      <c r="K284" s="210"/>
      <c r="L284" s="210"/>
      <c r="M284" s="210"/>
      <c r="N284" s="36"/>
      <c r="O284" s="36">
        <v>6</v>
      </c>
      <c r="P284" s="31">
        <f t="shared" si="277"/>
        <v>6</v>
      </c>
      <c r="Q284" s="36">
        <v>0</v>
      </c>
      <c r="R284" s="167">
        <v>5</v>
      </c>
      <c r="S284" s="36"/>
      <c r="T284" s="34">
        <f t="shared" si="278"/>
        <v>388800</v>
      </c>
      <c r="U284" s="31">
        <f t="shared" si="279"/>
        <v>0</v>
      </c>
      <c r="V284" s="34">
        <f t="shared" si="280"/>
        <v>388800</v>
      </c>
      <c r="W284" s="43">
        <v>64800</v>
      </c>
      <c r="X284" s="34">
        <f t="shared" si="281"/>
        <v>25224.192000000003</v>
      </c>
      <c r="Y284" s="34">
        <f t="shared" si="282"/>
        <v>151345.152</v>
      </c>
      <c r="Z284" s="34">
        <f t="shared" si="283"/>
        <v>70269.100000000006</v>
      </c>
      <c r="AA284" s="48">
        <v>63881</v>
      </c>
      <c r="AB284" s="36"/>
      <c r="AC284" s="204">
        <f t="shared" si="291"/>
        <v>0</v>
      </c>
      <c r="AD284" s="149">
        <v>7.8E-2</v>
      </c>
      <c r="AE284" s="31">
        <f t="shared" si="297"/>
        <v>28950</v>
      </c>
      <c r="AF284" s="28">
        <f t="shared" si="285"/>
        <v>0.15245987654320986</v>
      </c>
      <c r="AG284" s="34">
        <f t="shared" si="286"/>
        <v>59276.429999999993</v>
      </c>
      <c r="AH284" s="34">
        <f t="shared" si="287"/>
        <v>17817.841799999998</v>
      </c>
      <c r="AI284" s="34">
        <f t="shared" si="288"/>
        <v>160360.57620000001</v>
      </c>
      <c r="AJ284" s="46">
        <f t="shared" si="289"/>
        <v>90091.476200000005</v>
      </c>
      <c r="AK284" s="40">
        <v>102</v>
      </c>
      <c r="AL284" s="41">
        <f t="shared" si="290"/>
        <v>131.376</v>
      </c>
      <c r="AM284" s="36">
        <v>45461</v>
      </c>
      <c r="AN284" s="284">
        <v>115</v>
      </c>
      <c r="AO284" s="26"/>
      <c r="AP284" s="26"/>
      <c r="AQ284" s="27"/>
      <c r="AR284" s="27"/>
      <c r="AS284" s="27"/>
      <c r="AT284" s="27"/>
      <c r="AU284" s="27"/>
      <c r="AV284" s="27"/>
      <c r="AW284" s="26"/>
      <c r="AX284" s="26"/>
      <c r="AY284" s="26"/>
      <c r="AZ284" s="26"/>
      <c r="BA284" s="26"/>
      <c r="BB284" s="26"/>
      <c r="BC284" s="26"/>
      <c r="BD284" s="26"/>
      <c r="BE284" s="26"/>
      <c r="BF284" s="26"/>
      <c r="BG284" s="26"/>
      <c r="BH284" s="26"/>
      <c r="BI284" s="26"/>
    </row>
    <row r="285" spans="1:61" ht="28.5" customHeight="1">
      <c r="A285" s="26"/>
      <c r="B285" s="200"/>
      <c r="C285" s="42" t="s">
        <v>117</v>
      </c>
      <c r="D285" s="28">
        <f t="shared" si="274"/>
        <v>0.36597800435801509</v>
      </c>
      <c r="E285" s="303">
        <v>0.51100000000000001</v>
      </c>
      <c r="F285" s="30">
        <f t="shared" si="275"/>
        <v>0.14502199564198495</v>
      </c>
      <c r="G285" s="30">
        <f t="shared" si="276"/>
        <v>4.6486486486486484E-2</v>
      </c>
      <c r="H285" s="48"/>
      <c r="I285" s="48"/>
      <c r="J285" s="48"/>
      <c r="K285" s="210"/>
      <c r="L285" s="210"/>
      <c r="M285" s="210"/>
      <c r="N285" s="36"/>
      <c r="O285" s="36">
        <v>65</v>
      </c>
      <c r="P285" s="31">
        <f t="shared" si="277"/>
        <v>65</v>
      </c>
      <c r="Q285" s="36">
        <v>18</v>
      </c>
      <c r="R285" s="167">
        <v>43</v>
      </c>
      <c r="S285" s="36"/>
      <c r="T285" s="34">
        <f t="shared" si="278"/>
        <v>1216150</v>
      </c>
      <c r="U285" s="31">
        <f t="shared" si="279"/>
        <v>0</v>
      </c>
      <c r="V285" s="34">
        <f t="shared" si="280"/>
        <v>1216150</v>
      </c>
      <c r="W285" s="43">
        <v>18710</v>
      </c>
      <c r="X285" s="34">
        <f t="shared" si="281"/>
        <v>4451.3280000000004</v>
      </c>
      <c r="Y285" s="34">
        <f t="shared" si="282"/>
        <v>289336.32000000001</v>
      </c>
      <c r="Z285" s="34">
        <f t="shared" si="283"/>
        <v>134788.5</v>
      </c>
      <c r="AA285" s="48">
        <v>122535</v>
      </c>
      <c r="AB285" s="36"/>
      <c r="AC285" s="204">
        <f t="shared" si="291"/>
        <v>41580</v>
      </c>
      <c r="AD285" s="149">
        <v>7.8E-2</v>
      </c>
      <c r="AE285" s="31">
        <f t="shared" ref="AE285:AE287" si="298">1900*(P285+S285)</f>
        <v>123500</v>
      </c>
      <c r="AF285" s="28">
        <f t="shared" si="285"/>
        <v>0.17954997327632283</v>
      </c>
      <c r="AG285" s="34">
        <f t="shared" si="286"/>
        <v>218359.73</v>
      </c>
      <c r="AH285" s="34">
        <f t="shared" si="287"/>
        <v>70845.39499999999</v>
      </c>
      <c r="AI285" s="34">
        <f t="shared" si="288"/>
        <v>637608.55499999993</v>
      </c>
      <c r="AJ285" s="46">
        <f t="shared" si="289"/>
        <v>502820.05499999993</v>
      </c>
      <c r="AK285" s="40">
        <v>18</v>
      </c>
      <c r="AL285" s="41">
        <f t="shared" si="290"/>
        <v>23.184000000000001</v>
      </c>
      <c r="AM285" s="36">
        <v>121805</v>
      </c>
      <c r="AN285" s="284">
        <v>925</v>
      </c>
      <c r="AO285" s="26"/>
      <c r="AP285" s="26"/>
      <c r="AQ285" s="27"/>
      <c r="AR285" s="27"/>
      <c r="AS285" s="27"/>
      <c r="AT285" s="27"/>
      <c r="AU285" s="27"/>
      <c r="AV285" s="27"/>
      <c r="AW285" s="26"/>
      <c r="AX285" s="26"/>
      <c r="AY285" s="26"/>
      <c r="AZ285" s="26"/>
      <c r="BA285" s="26"/>
      <c r="BB285" s="26"/>
      <c r="BC285" s="26"/>
      <c r="BD285" s="26"/>
      <c r="BE285" s="26"/>
      <c r="BF285" s="26"/>
      <c r="BG285" s="26"/>
      <c r="BH285" s="26"/>
      <c r="BI285" s="26"/>
    </row>
    <row r="286" spans="1:61" ht="28.5" customHeight="1">
      <c r="A286" s="26"/>
      <c r="B286" s="200"/>
      <c r="C286" s="42" t="s">
        <v>31</v>
      </c>
      <c r="D286" s="28" t="e">
        <f t="shared" si="274"/>
        <v>#DIV/0!</v>
      </c>
      <c r="E286" s="303">
        <v>0.44700000000000001</v>
      </c>
      <c r="F286" s="30" t="e">
        <f t="shared" si="275"/>
        <v>#DIV/0!</v>
      </c>
      <c r="G286" s="30">
        <f t="shared" si="276"/>
        <v>1.4084507042253521E-2</v>
      </c>
      <c r="H286" s="48"/>
      <c r="I286" s="48"/>
      <c r="J286" s="48"/>
      <c r="K286" s="210"/>
      <c r="L286" s="210"/>
      <c r="M286" s="210"/>
      <c r="N286" s="36"/>
      <c r="O286" s="36">
        <v>8</v>
      </c>
      <c r="P286" s="31">
        <f t="shared" si="277"/>
        <v>0</v>
      </c>
      <c r="Q286" s="36">
        <v>1</v>
      </c>
      <c r="R286" s="167">
        <v>1</v>
      </c>
      <c r="S286" s="36">
        <v>8</v>
      </c>
      <c r="T286" s="34">
        <f t="shared" si="278"/>
        <v>158400</v>
      </c>
      <c r="U286" s="31">
        <f t="shared" si="279"/>
        <v>158400</v>
      </c>
      <c r="V286" s="34">
        <f t="shared" si="280"/>
        <v>0</v>
      </c>
      <c r="W286" s="43">
        <v>19800</v>
      </c>
      <c r="X286" s="34">
        <f t="shared" si="281"/>
        <v>7418.88</v>
      </c>
      <c r="Y286" s="34">
        <f t="shared" si="282"/>
        <v>0</v>
      </c>
      <c r="Z286" s="34">
        <f t="shared" si="283"/>
        <v>42445.700000000004</v>
      </c>
      <c r="AA286" s="48">
        <v>38587</v>
      </c>
      <c r="AB286" s="286">
        <f>((19800*0.1)+(19800*0.015)+2100+2200)*8</f>
        <v>52616</v>
      </c>
      <c r="AC286" s="204">
        <f t="shared" si="291"/>
        <v>2310</v>
      </c>
      <c r="AD286" s="149">
        <v>0.08</v>
      </c>
      <c r="AE286" s="31">
        <f t="shared" si="298"/>
        <v>15200</v>
      </c>
      <c r="AF286" s="28" t="e">
        <f t="shared" si="285"/>
        <v>#DIV/0!</v>
      </c>
      <c r="AG286" s="34" t="e">
        <f t="shared" si="286"/>
        <v>#DIV/0!</v>
      </c>
      <c r="AH286" s="34" t="e">
        <f t="shared" si="287"/>
        <v>#DIV/0!</v>
      </c>
      <c r="AI286" s="34" t="e">
        <f t="shared" si="288"/>
        <v>#DIV/0!</v>
      </c>
      <c r="AJ286" s="46" t="e">
        <f t="shared" si="289"/>
        <v>#DIV/0!</v>
      </c>
      <c r="AK286" s="40">
        <v>30</v>
      </c>
      <c r="AL286" s="41">
        <f t="shared" si="290"/>
        <v>38.64</v>
      </c>
      <c r="AM286" s="36">
        <v>106489</v>
      </c>
      <c r="AN286" s="284">
        <v>71</v>
      </c>
      <c r="AO286" s="26"/>
      <c r="AP286" s="26"/>
      <c r="AQ286" s="27"/>
      <c r="AR286" s="27"/>
      <c r="AS286" s="27"/>
      <c r="AT286" s="27"/>
      <c r="AU286" s="27"/>
      <c r="AV286" s="27"/>
      <c r="AW286" s="26"/>
      <c r="AX286" s="26"/>
      <c r="AY286" s="26"/>
      <c r="AZ286" s="26"/>
      <c r="BA286" s="26"/>
      <c r="BB286" s="26"/>
      <c r="BC286" s="26"/>
      <c r="BD286" s="26"/>
      <c r="BE286" s="26"/>
      <c r="BF286" s="26"/>
      <c r="BG286" s="26"/>
      <c r="BH286" s="26"/>
      <c r="BI286" s="26"/>
    </row>
    <row r="287" spans="1:61" ht="28.5" customHeight="1">
      <c r="A287" s="26"/>
      <c r="B287" s="200"/>
      <c r="C287" s="42" t="s">
        <v>118</v>
      </c>
      <c r="D287" s="28">
        <f t="shared" si="274"/>
        <v>0.45914516129032257</v>
      </c>
      <c r="E287" s="303">
        <v>0.36599999999999999</v>
      </c>
      <c r="F287" s="30">
        <f t="shared" si="275"/>
        <v>-9.3145161290322576E-2</v>
      </c>
      <c r="G287" s="30" t="e">
        <f t="shared" si="276"/>
        <v>#DIV/0!</v>
      </c>
      <c r="H287" s="48"/>
      <c r="I287" s="48"/>
      <c r="J287" s="48"/>
      <c r="K287" s="210"/>
      <c r="L287" s="210"/>
      <c r="M287" s="210"/>
      <c r="N287" s="36"/>
      <c r="O287" s="36">
        <v>-4</v>
      </c>
      <c r="P287" s="31">
        <f t="shared" si="277"/>
        <v>-4</v>
      </c>
      <c r="Q287" s="36">
        <v>4</v>
      </c>
      <c r="R287" s="167">
        <v>0</v>
      </c>
      <c r="S287" s="36"/>
      <c r="T287" s="34">
        <f t="shared" si="278"/>
        <v>-99200</v>
      </c>
      <c r="U287" s="31">
        <f t="shared" si="279"/>
        <v>0</v>
      </c>
      <c r="V287" s="34">
        <f t="shared" si="280"/>
        <v>-99200</v>
      </c>
      <c r="W287" s="43">
        <v>24800</v>
      </c>
      <c r="X287" s="34">
        <f t="shared" si="281"/>
        <v>10386.432000000001</v>
      </c>
      <c r="Y287" s="34">
        <f t="shared" si="282"/>
        <v>-41545.728000000003</v>
      </c>
      <c r="Z287" s="34">
        <f t="shared" si="283"/>
        <v>0</v>
      </c>
      <c r="AA287" s="48">
        <v>0</v>
      </c>
      <c r="AB287" s="36"/>
      <c r="AC287" s="204">
        <f t="shared" si="291"/>
        <v>9240</v>
      </c>
      <c r="AD287" s="149">
        <v>0.1</v>
      </c>
      <c r="AE287" s="31">
        <f t="shared" si="298"/>
        <v>-7600</v>
      </c>
      <c r="AF287" s="28">
        <f t="shared" si="285"/>
        <v>0.17661290322580647</v>
      </c>
      <c r="AG287" s="34">
        <f t="shared" si="286"/>
        <v>-17519.970000000005</v>
      </c>
      <c r="AH287" s="34">
        <f t="shared" si="287"/>
        <v>-4013.4301999999989</v>
      </c>
      <c r="AI287" s="34">
        <f t="shared" si="288"/>
        <v>-36120.871799999994</v>
      </c>
      <c r="AJ287" s="46">
        <f t="shared" si="289"/>
        <v>-36120.871799999994</v>
      </c>
      <c r="AK287" s="40">
        <v>42</v>
      </c>
      <c r="AL287" s="41">
        <f t="shared" si="290"/>
        <v>54.096000000000004</v>
      </c>
      <c r="AM287" s="36">
        <v>0</v>
      </c>
      <c r="AN287" s="284">
        <v>0</v>
      </c>
      <c r="AO287" s="26"/>
      <c r="AP287" s="26"/>
      <c r="AQ287" s="27"/>
      <c r="AR287" s="27"/>
      <c r="AS287" s="27"/>
      <c r="AT287" s="27"/>
      <c r="AU287" s="27"/>
      <c r="AV287" s="27"/>
      <c r="AW287" s="26"/>
      <c r="AX287" s="26"/>
      <c r="AY287" s="26"/>
      <c r="AZ287" s="26"/>
      <c r="BA287" s="26"/>
      <c r="BB287" s="26"/>
      <c r="BC287" s="26"/>
      <c r="BD287" s="26"/>
      <c r="BE287" s="26"/>
      <c r="BF287" s="26"/>
      <c r="BG287" s="26"/>
      <c r="BH287" s="26"/>
      <c r="BI287" s="26"/>
    </row>
    <row r="288" spans="1:61" ht="28.5" customHeight="1">
      <c r="A288" s="26"/>
      <c r="B288" s="200"/>
      <c r="C288" s="42" t="s">
        <v>119</v>
      </c>
      <c r="D288" s="28">
        <f t="shared" si="274"/>
        <v>0.35199919354838705</v>
      </c>
      <c r="E288" s="166">
        <v>0.433</v>
      </c>
      <c r="F288" s="30">
        <f t="shared" si="275"/>
        <v>8.1000806451612922E-2</v>
      </c>
      <c r="G288" s="30">
        <f t="shared" si="276"/>
        <v>0.1417910447761194</v>
      </c>
      <c r="H288" s="48"/>
      <c r="I288" s="48"/>
      <c r="J288" s="48"/>
      <c r="K288" s="210"/>
      <c r="L288" s="210"/>
      <c r="M288" s="210"/>
      <c r="N288" s="36"/>
      <c r="O288" s="36">
        <v>35</v>
      </c>
      <c r="P288" s="31">
        <f t="shared" si="277"/>
        <v>35</v>
      </c>
      <c r="Q288" s="36">
        <v>4</v>
      </c>
      <c r="R288" s="167">
        <v>19</v>
      </c>
      <c r="S288" s="36"/>
      <c r="T288" s="34">
        <f t="shared" si="278"/>
        <v>868000</v>
      </c>
      <c r="U288" s="31">
        <f t="shared" si="279"/>
        <v>0</v>
      </c>
      <c r="V288" s="34">
        <f t="shared" si="280"/>
        <v>868000</v>
      </c>
      <c r="W288" s="43">
        <v>24800</v>
      </c>
      <c r="X288" s="34">
        <f t="shared" si="281"/>
        <v>7666.1760000000013</v>
      </c>
      <c r="Y288" s="34">
        <f t="shared" si="282"/>
        <v>268316.16000000003</v>
      </c>
      <c r="Z288" s="34">
        <f t="shared" si="283"/>
        <v>61068.700000000004</v>
      </c>
      <c r="AA288" s="48">
        <v>55517</v>
      </c>
      <c r="AB288" s="36"/>
      <c r="AC288" s="204">
        <f t="shared" si="291"/>
        <v>9240</v>
      </c>
      <c r="AD288" s="149">
        <v>0.108</v>
      </c>
      <c r="AE288" s="31">
        <f>3150*(P288+S288)</f>
        <v>110250</v>
      </c>
      <c r="AF288" s="28">
        <f t="shared" si="285"/>
        <v>0.23501612903225805</v>
      </c>
      <c r="AG288" s="34">
        <f t="shared" si="286"/>
        <v>203994.02999999997</v>
      </c>
      <c r="AH288" s="34">
        <f t="shared" si="287"/>
        <v>39568.981</v>
      </c>
      <c r="AI288" s="34">
        <f t="shared" si="288"/>
        <v>356120.82900000003</v>
      </c>
      <c r="AJ288" s="46">
        <f t="shared" si="289"/>
        <v>295052.12900000002</v>
      </c>
      <c r="AK288" s="40">
        <v>31</v>
      </c>
      <c r="AL288" s="41">
        <f t="shared" si="290"/>
        <v>39.928000000000004</v>
      </c>
      <c r="AM288" s="36">
        <v>27500</v>
      </c>
      <c r="AN288" s="284">
        <v>134</v>
      </c>
      <c r="AO288" s="26"/>
      <c r="AP288" s="26"/>
      <c r="AQ288" s="27"/>
      <c r="AR288" s="27"/>
      <c r="AS288" s="27"/>
      <c r="AT288" s="27"/>
      <c r="AU288" s="27"/>
      <c r="AV288" s="27"/>
      <c r="AW288" s="26"/>
      <c r="AX288" s="26"/>
      <c r="AY288" s="26"/>
      <c r="AZ288" s="26"/>
      <c r="BA288" s="26"/>
      <c r="BB288" s="26"/>
      <c r="BC288" s="26"/>
      <c r="BD288" s="26"/>
      <c r="BE288" s="26"/>
      <c r="BF288" s="26"/>
      <c r="BG288" s="26"/>
      <c r="BH288" s="26"/>
      <c r="BI288" s="26"/>
    </row>
    <row r="289" spans="1:61" ht="28.5" customHeight="1">
      <c r="A289" s="26"/>
      <c r="B289" s="200"/>
      <c r="C289" s="239" t="s">
        <v>120</v>
      </c>
      <c r="D289" s="28" t="e">
        <f t="shared" si="274"/>
        <v>#DIV/0!</v>
      </c>
      <c r="E289" s="166">
        <v>0.41199999999999998</v>
      </c>
      <c r="F289" s="30" t="e">
        <f t="shared" si="275"/>
        <v>#DIV/0!</v>
      </c>
      <c r="G289" s="30">
        <f t="shared" si="276"/>
        <v>0</v>
      </c>
      <c r="H289" s="48"/>
      <c r="I289" s="48"/>
      <c r="J289" s="48"/>
      <c r="K289" s="210"/>
      <c r="L289" s="210"/>
      <c r="M289" s="210"/>
      <c r="N289" s="36"/>
      <c r="O289" s="36">
        <v>0</v>
      </c>
      <c r="P289" s="31">
        <f t="shared" si="277"/>
        <v>0</v>
      </c>
      <c r="Q289" s="36">
        <v>0</v>
      </c>
      <c r="R289" s="167"/>
      <c r="S289" s="36"/>
      <c r="T289" s="34">
        <f t="shared" si="278"/>
        <v>0</v>
      </c>
      <c r="U289" s="31">
        <f t="shared" si="279"/>
        <v>0</v>
      </c>
      <c r="V289" s="34">
        <f t="shared" si="280"/>
        <v>0</v>
      </c>
      <c r="W289" s="43">
        <v>39800</v>
      </c>
      <c r="X289" s="34">
        <f t="shared" si="281"/>
        <v>7666.1760000000013</v>
      </c>
      <c r="Y289" s="34">
        <f t="shared" si="282"/>
        <v>0</v>
      </c>
      <c r="Z289" s="34">
        <f t="shared" si="283"/>
        <v>40924.400000000001</v>
      </c>
      <c r="AA289" s="48">
        <v>37204</v>
      </c>
      <c r="AB289" s="286"/>
      <c r="AC289" s="204">
        <f t="shared" si="291"/>
        <v>0</v>
      </c>
      <c r="AD289" s="152">
        <v>0.108</v>
      </c>
      <c r="AE289" s="31">
        <f>3550*(P289+S289)</f>
        <v>0</v>
      </c>
      <c r="AF289" s="28" t="e">
        <f t="shared" si="285"/>
        <v>#DIV/0!</v>
      </c>
      <c r="AG289" s="34" t="e">
        <f t="shared" si="286"/>
        <v>#DIV/0!</v>
      </c>
      <c r="AH289" s="34" t="e">
        <f t="shared" si="287"/>
        <v>#DIV/0!</v>
      </c>
      <c r="AI289" s="34" t="e">
        <f t="shared" si="288"/>
        <v>#DIV/0!</v>
      </c>
      <c r="AJ289" s="46" t="e">
        <f t="shared" si="289"/>
        <v>#DIV/0!</v>
      </c>
      <c r="AK289" s="40">
        <v>31</v>
      </c>
      <c r="AL289" s="41">
        <f t="shared" si="290"/>
        <v>39.928000000000004</v>
      </c>
      <c r="AM289" s="36">
        <v>7590</v>
      </c>
      <c r="AN289" s="284">
        <v>44</v>
      </c>
      <c r="AO289" s="26"/>
      <c r="AP289" s="26"/>
      <c r="AQ289" s="27"/>
      <c r="AR289" s="27"/>
      <c r="AS289" s="27"/>
      <c r="AT289" s="27"/>
      <c r="AU289" s="27"/>
      <c r="AV289" s="27"/>
      <c r="AW289" s="26"/>
      <c r="AX289" s="26"/>
      <c r="AY289" s="26"/>
      <c r="AZ289" s="26"/>
      <c r="BA289" s="26"/>
      <c r="BB289" s="26"/>
      <c r="BC289" s="26"/>
      <c r="BD289" s="26"/>
      <c r="BE289" s="26"/>
      <c r="BF289" s="26"/>
      <c r="BG289" s="26"/>
      <c r="BH289" s="26"/>
      <c r="BI289" s="26"/>
    </row>
    <row r="290" spans="1:61" ht="28.5" customHeight="1">
      <c r="A290" s="26"/>
      <c r="B290" s="216"/>
      <c r="C290" s="217"/>
      <c r="D290" s="298">
        <f>AJ290/V290</f>
        <v>0.17075075017972649</v>
      </c>
      <c r="E290" s="298">
        <f>AI290/V290</f>
        <v>0.3952237266775912</v>
      </c>
      <c r="F290" s="52">
        <f>(Z290)/V290</f>
        <v>0.20038144731855353</v>
      </c>
      <c r="G290" s="219"/>
      <c r="H290" s="55"/>
      <c r="I290" s="55"/>
      <c r="J290" s="55"/>
      <c r="K290" s="55"/>
      <c r="L290" s="55"/>
      <c r="M290" s="55"/>
      <c r="N290" s="130"/>
      <c r="O290" s="130">
        <f t="shared" ref="O290:V290" si="299">SUM(O267:O289)</f>
        <v>374</v>
      </c>
      <c r="P290" s="130">
        <f t="shared" si="299"/>
        <v>353</v>
      </c>
      <c r="Q290" s="130">
        <f t="shared" si="299"/>
        <v>59</v>
      </c>
      <c r="R290" s="130">
        <f t="shared" si="299"/>
        <v>243</v>
      </c>
      <c r="S290" s="130">
        <f t="shared" si="299"/>
        <v>21</v>
      </c>
      <c r="T290" s="130">
        <f t="shared" si="299"/>
        <v>11725430</v>
      </c>
      <c r="U290" s="130">
        <f t="shared" si="299"/>
        <v>722600</v>
      </c>
      <c r="V290" s="130">
        <f t="shared" si="299"/>
        <v>11002830</v>
      </c>
      <c r="W290" s="55"/>
      <c r="X290" s="130">
        <f t="shared" ref="X290:AC290" si="300">SUM(X267:X289)</f>
        <v>338894.43839999987</v>
      </c>
      <c r="Y290" s="130">
        <f t="shared" si="300"/>
        <v>3987895.2959999996</v>
      </c>
      <c r="Z290" s="130">
        <f t="shared" si="300"/>
        <v>2204763.0000000005</v>
      </c>
      <c r="AA290" s="130">
        <f t="shared" si="300"/>
        <v>2004330</v>
      </c>
      <c r="AB290" s="130">
        <f t="shared" si="300"/>
        <v>265075</v>
      </c>
      <c r="AC290" s="130">
        <f t="shared" si="300"/>
        <v>134220</v>
      </c>
      <c r="AD290" s="154">
        <v>0.09</v>
      </c>
      <c r="AE290" s="130">
        <f>SUM(AE267:AE289)</f>
        <v>1192925</v>
      </c>
      <c r="AF290" s="53">
        <f t="shared" si="285"/>
        <v>0.19841983380639344</v>
      </c>
      <c r="AG290" s="56">
        <f t="shared" si="286"/>
        <v>2183179.73</v>
      </c>
      <c r="AH290" s="56">
        <f t="shared" si="287"/>
        <v>483175.49739999999</v>
      </c>
      <c r="AI290" s="56">
        <f t="shared" si="288"/>
        <v>4348579.4766000006</v>
      </c>
      <c r="AJ290" s="46">
        <f>AI290-Z290-AB290</f>
        <v>1878741.4766000002</v>
      </c>
      <c r="AK290" s="54"/>
      <c r="AL290" s="222"/>
      <c r="AM290" s="131">
        <f t="shared" ref="AM290:AN290" si="301">SUM(AM267:AM268)</f>
        <v>445293</v>
      </c>
      <c r="AN290" s="132">
        <f t="shared" si="301"/>
        <v>1252</v>
      </c>
      <c r="AO290" s="26"/>
      <c r="AP290" s="26"/>
      <c r="AQ290" s="27"/>
      <c r="AR290" s="27"/>
      <c r="AS290" s="27"/>
      <c r="AT290" s="27"/>
      <c r="AU290" s="27"/>
      <c r="AV290" s="27"/>
      <c r="AW290" s="26"/>
      <c r="AX290" s="26"/>
      <c r="AY290" s="26"/>
      <c r="AZ290" s="26"/>
      <c r="BA290" s="26"/>
      <c r="BB290" s="26"/>
      <c r="BC290" s="26"/>
      <c r="BD290" s="26"/>
      <c r="BE290" s="26"/>
      <c r="BF290" s="26"/>
      <c r="BG290" s="26"/>
      <c r="BH290" s="26"/>
      <c r="BI290" s="26"/>
    </row>
    <row r="291" spans="1:61" ht="28.5" customHeight="1">
      <c r="A291" s="1"/>
      <c r="B291" s="290"/>
      <c r="C291" s="291"/>
      <c r="D291" s="2"/>
      <c r="E291" s="2"/>
      <c r="F291" s="2"/>
      <c r="G291" s="2"/>
      <c r="H291" s="2"/>
      <c r="I291" s="2"/>
      <c r="J291" s="2"/>
      <c r="K291" s="2"/>
      <c r="L291" s="2"/>
      <c r="M291" s="2"/>
      <c r="N291" s="292"/>
      <c r="O291" s="292"/>
      <c r="P291" s="2"/>
      <c r="Q291" s="2"/>
      <c r="R291" s="2"/>
      <c r="S291" s="293"/>
      <c r="T291" s="2"/>
      <c r="U291" s="2"/>
      <c r="V291" s="2"/>
      <c r="W291" s="2"/>
      <c r="X291" s="2"/>
      <c r="Y291" s="2"/>
      <c r="Z291" s="2"/>
      <c r="AA291" s="2"/>
      <c r="AB291" s="2"/>
      <c r="AC291" s="2"/>
      <c r="AD291" s="2"/>
      <c r="AE291" s="2"/>
      <c r="AF291" s="1"/>
      <c r="AG291" s="1"/>
      <c r="AH291" s="1"/>
      <c r="AI291" s="1"/>
      <c r="AJ291" s="1"/>
      <c r="AK291" s="1"/>
      <c r="AL291" s="1"/>
      <c r="AM291" s="1"/>
      <c r="AN291" s="1"/>
      <c r="AO291" s="1"/>
      <c r="AP291" s="1"/>
      <c r="AQ291" s="1"/>
      <c r="AR291" s="1"/>
      <c r="AS291" s="1"/>
      <c r="AT291" s="7"/>
      <c r="AU291" s="7"/>
      <c r="AV291" s="7"/>
      <c r="AW291" s="47"/>
      <c r="AX291" s="47"/>
      <c r="AY291" s="47"/>
      <c r="AZ291" s="47"/>
      <c r="BA291" s="47"/>
      <c r="BB291" s="47"/>
      <c r="BC291" s="47"/>
      <c r="BD291" s="47"/>
      <c r="BE291" s="47"/>
      <c r="BF291" s="47"/>
      <c r="BG291" s="47"/>
      <c r="BH291" s="47"/>
      <c r="BI291" s="47"/>
    </row>
    <row r="292" spans="1:61" ht="28.5" customHeight="1">
      <c r="A292" s="26"/>
      <c r="B292" s="189"/>
      <c r="C292" s="134">
        <v>45881</v>
      </c>
      <c r="D292" s="190" t="s">
        <v>0</v>
      </c>
      <c r="E292" s="190" t="s">
        <v>1</v>
      </c>
      <c r="F292" s="190" t="s">
        <v>2</v>
      </c>
      <c r="G292" s="190" t="s">
        <v>3</v>
      </c>
      <c r="H292" s="191" t="s">
        <v>4</v>
      </c>
      <c r="I292" s="192" t="s">
        <v>5</v>
      </c>
      <c r="J292" s="192" t="s">
        <v>90</v>
      </c>
      <c r="K292" s="193"/>
      <c r="L292" s="193" t="s">
        <v>6</v>
      </c>
      <c r="M292" s="194" t="s">
        <v>7</v>
      </c>
      <c r="N292" s="123"/>
      <c r="O292" s="123" t="s">
        <v>8</v>
      </c>
      <c r="P292" s="123" t="s">
        <v>9</v>
      </c>
      <c r="Q292" s="15" t="s">
        <v>10</v>
      </c>
      <c r="R292" s="123" t="s">
        <v>92</v>
      </c>
      <c r="S292" s="196" t="s">
        <v>11</v>
      </c>
      <c r="T292" s="17" t="s">
        <v>12</v>
      </c>
      <c r="U292" s="17" t="s">
        <v>13</v>
      </c>
      <c r="V292" s="17" t="s">
        <v>14</v>
      </c>
      <c r="W292" s="17" t="s">
        <v>15</v>
      </c>
      <c r="X292" s="17" t="s">
        <v>16</v>
      </c>
      <c r="Y292" s="17" t="s">
        <v>17</v>
      </c>
      <c r="Z292" s="19" t="s">
        <v>18</v>
      </c>
      <c r="AA292" s="19" t="s">
        <v>19</v>
      </c>
      <c r="AB292" s="20" t="s">
        <v>20</v>
      </c>
      <c r="AC292" s="22" t="s">
        <v>93</v>
      </c>
      <c r="AD292" s="197" t="s">
        <v>21</v>
      </c>
      <c r="AE292" s="21" t="s">
        <v>22</v>
      </c>
      <c r="AF292" s="23" t="s">
        <v>23</v>
      </c>
      <c r="AG292" s="23" t="s">
        <v>21</v>
      </c>
      <c r="AH292" s="23" t="s">
        <v>24</v>
      </c>
      <c r="AI292" s="24" t="s">
        <v>26</v>
      </c>
      <c r="AJ292" s="23" t="s">
        <v>27</v>
      </c>
      <c r="AK292" s="21" t="s">
        <v>147</v>
      </c>
      <c r="AL292" s="282" t="s">
        <v>148</v>
      </c>
      <c r="AM292" s="124" t="s">
        <v>94</v>
      </c>
      <c r="AN292" s="125" t="s">
        <v>95</v>
      </c>
      <c r="AO292" s="26"/>
      <c r="AP292" s="26"/>
      <c r="AQ292" s="27"/>
      <c r="AR292" s="27"/>
      <c r="AS292" s="27"/>
      <c r="AT292" s="27"/>
      <c r="AU292" s="27"/>
      <c r="AV292" s="27"/>
      <c r="AW292" s="26"/>
      <c r="AX292" s="26"/>
      <c r="AY292" s="26"/>
      <c r="AZ292" s="26"/>
      <c r="BA292" s="26"/>
      <c r="BB292" s="26"/>
      <c r="BC292" s="26"/>
      <c r="BD292" s="26"/>
      <c r="BE292" s="26"/>
      <c r="BF292" s="26"/>
      <c r="BG292" s="26"/>
      <c r="BH292" s="26"/>
      <c r="BI292" s="26"/>
    </row>
    <row r="293" spans="1:61" ht="28.5" customHeight="1">
      <c r="A293" s="26"/>
      <c r="B293" s="200"/>
      <c r="C293" s="42" t="s">
        <v>107</v>
      </c>
      <c r="D293" s="28">
        <f t="shared" ref="D293:D314" si="302">E293-F293</f>
        <v>0.17568858358999206</v>
      </c>
      <c r="E293" s="166">
        <v>0.39700000000000002</v>
      </c>
      <c r="F293" s="30">
        <f t="shared" ref="F293:F314" si="303">(Z293+AC293)/V293</f>
        <v>0.22131141641000796</v>
      </c>
      <c r="G293" s="30">
        <f t="shared" ref="G293:G314" si="304">R293/AN293</f>
        <v>8.8016249153689913E-2</v>
      </c>
      <c r="H293" s="48"/>
      <c r="I293" s="48"/>
      <c r="J293" s="48"/>
      <c r="K293" s="48"/>
      <c r="L293" s="48"/>
      <c r="M293" s="48"/>
      <c r="N293" s="36"/>
      <c r="O293" s="36">
        <v>165</v>
      </c>
      <c r="P293" s="31">
        <f t="shared" ref="P293:P314" si="305">O293-S293</f>
        <v>165</v>
      </c>
      <c r="Q293" s="36">
        <v>14</v>
      </c>
      <c r="R293" s="167">
        <v>130</v>
      </c>
      <c r="S293" s="36"/>
      <c r="T293" s="34">
        <f t="shared" ref="T293:T314" si="306">W293*O293</f>
        <v>4334550</v>
      </c>
      <c r="U293" s="31">
        <f t="shared" ref="U293:U314" si="307">W293*S293</f>
        <v>0</v>
      </c>
      <c r="V293" s="34">
        <f t="shared" ref="V293:V314" si="308">T293-U293</f>
        <v>4334550</v>
      </c>
      <c r="W293" s="43">
        <v>26270</v>
      </c>
      <c r="X293" s="34">
        <f t="shared" ref="X293:X314" si="309">AL293*$A$2</f>
        <v>9891.84</v>
      </c>
      <c r="Y293" s="34">
        <f t="shared" ref="Y293:Y314" si="310">X293*P293</f>
        <v>1632153.6000000001</v>
      </c>
      <c r="Z293" s="34">
        <f t="shared" ref="Z293:Z314" si="311">AA293*1.1</f>
        <v>928877.4</v>
      </c>
      <c r="AA293" s="48">
        <v>844434</v>
      </c>
      <c r="AB293" s="36"/>
      <c r="AC293" s="204">
        <f t="shared" ref="AC293:AC294" si="312">(1072+1100)*Q293</f>
        <v>30408</v>
      </c>
      <c r="AD293" s="149">
        <v>0.1</v>
      </c>
      <c r="AE293" s="31">
        <f>3050*(P293+S293)</f>
        <v>503250</v>
      </c>
      <c r="AF293" s="28">
        <f t="shared" ref="AF293:AF315" si="313">AD293+(AE293/V293)</f>
        <v>0.2161020175104682</v>
      </c>
      <c r="AG293" s="34">
        <f t="shared" ref="AG293:AG315" si="314">V293*AF293+3%</f>
        <v>936705.03</v>
      </c>
      <c r="AH293" s="34">
        <f t="shared" ref="AH293:AH315" si="315">(V293)*10%-(Y293+AG293)*10%</f>
        <v>176569.13699999999</v>
      </c>
      <c r="AI293" s="34">
        <f t="shared" ref="AI293:AI315" si="316">V293-(Y293+AG293+AH293)</f>
        <v>1589122.233</v>
      </c>
      <c r="AJ293" s="46">
        <f t="shared" ref="AJ293:AJ314" si="317">AI293-Z293</f>
        <v>660244.83299999998</v>
      </c>
      <c r="AK293" s="40">
        <v>40</v>
      </c>
      <c r="AL293" s="41">
        <f t="shared" ref="AL293:AL314" si="318">(AK293*1.15)*1.12</f>
        <v>51.52</v>
      </c>
      <c r="AM293" s="36">
        <v>407055</v>
      </c>
      <c r="AN293" s="284">
        <v>1477</v>
      </c>
      <c r="AO293" s="26"/>
      <c r="AP293" s="26"/>
      <c r="AQ293" s="27"/>
      <c r="AR293" s="27"/>
      <c r="AS293" s="27"/>
      <c r="AT293" s="27"/>
      <c r="AU293" s="27"/>
      <c r="AV293" s="27"/>
      <c r="AW293" s="26"/>
      <c r="AX293" s="26"/>
      <c r="AY293" s="26"/>
      <c r="AZ293" s="26"/>
      <c r="BA293" s="26"/>
      <c r="BB293" s="26"/>
      <c r="BC293" s="26"/>
      <c r="BD293" s="26"/>
      <c r="BE293" s="26"/>
      <c r="BF293" s="26"/>
      <c r="BG293" s="26"/>
      <c r="BH293" s="26"/>
      <c r="BI293" s="26"/>
    </row>
    <row r="294" spans="1:61" ht="28.5" customHeight="1">
      <c r="A294" s="26"/>
      <c r="B294" s="200"/>
      <c r="C294" s="42" t="s">
        <v>108</v>
      </c>
      <c r="D294" s="28">
        <f t="shared" si="302"/>
        <v>0.28205349344978164</v>
      </c>
      <c r="E294" s="166">
        <v>0.41199999999999998</v>
      </c>
      <c r="F294" s="30">
        <f t="shared" si="303"/>
        <v>0.12994650655021833</v>
      </c>
      <c r="G294" s="30">
        <f t="shared" si="304"/>
        <v>0.125</v>
      </c>
      <c r="H294" s="48"/>
      <c r="I294" s="48"/>
      <c r="J294" s="48"/>
      <c r="K294" s="210"/>
      <c r="L294" s="210"/>
      <c r="M294" s="210"/>
      <c r="N294" s="36"/>
      <c r="O294" s="36">
        <v>4</v>
      </c>
      <c r="P294" s="31">
        <f t="shared" si="305"/>
        <v>4</v>
      </c>
      <c r="Q294" s="36"/>
      <c r="R294" s="167">
        <v>3</v>
      </c>
      <c r="S294" s="36"/>
      <c r="T294" s="34">
        <f t="shared" si="306"/>
        <v>91600</v>
      </c>
      <c r="U294" s="31">
        <f t="shared" si="307"/>
        <v>0</v>
      </c>
      <c r="V294" s="34">
        <f t="shared" si="308"/>
        <v>91600</v>
      </c>
      <c r="W294" s="43">
        <v>22900</v>
      </c>
      <c r="X294" s="34">
        <f t="shared" si="309"/>
        <v>7913.4719999999998</v>
      </c>
      <c r="Y294" s="34">
        <f t="shared" si="310"/>
        <v>31653.887999999999</v>
      </c>
      <c r="Z294" s="34">
        <f t="shared" si="311"/>
        <v>11903.1</v>
      </c>
      <c r="AA294" s="48">
        <v>10821</v>
      </c>
      <c r="AB294" s="36"/>
      <c r="AC294" s="204">
        <f t="shared" si="312"/>
        <v>0</v>
      </c>
      <c r="AD294" s="149">
        <v>0.1</v>
      </c>
      <c r="AE294" s="31">
        <f>2950*(P294+S294)</f>
        <v>11800</v>
      </c>
      <c r="AF294" s="28">
        <f t="shared" si="313"/>
        <v>0.22882096069868996</v>
      </c>
      <c r="AG294" s="34">
        <f t="shared" si="314"/>
        <v>20960.03</v>
      </c>
      <c r="AH294" s="34">
        <f t="shared" si="315"/>
        <v>3898.6081999999997</v>
      </c>
      <c r="AI294" s="34">
        <f t="shared" si="316"/>
        <v>35087.4738</v>
      </c>
      <c r="AJ294" s="46">
        <f t="shared" si="317"/>
        <v>23184.373800000001</v>
      </c>
      <c r="AK294" s="40">
        <v>32</v>
      </c>
      <c r="AL294" s="41">
        <f t="shared" si="318"/>
        <v>41.216000000000001</v>
      </c>
      <c r="AM294" s="36">
        <v>40176</v>
      </c>
      <c r="AN294" s="284">
        <v>24</v>
      </c>
      <c r="AO294" s="26"/>
      <c r="AP294" s="26"/>
      <c r="AQ294" s="27"/>
      <c r="AR294" s="27"/>
      <c r="AS294" s="27"/>
      <c r="AT294" s="27"/>
      <c r="AU294" s="27"/>
      <c r="AV294" s="27"/>
      <c r="AW294" s="26"/>
      <c r="AX294" s="26"/>
      <c r="AY294" s="26"/>
      <c r="AZ294" s="26"/>
      <c r="BA294" s="26"/>
      <c r="BB294" s="26"/>
      <c r="BC294" s="26"/>
      <c r="BD294" s="26"/>
      <c r="BE294" s="26"/>
      <c r="BF294" s="26"/>
      <c r="BG294" s="26"/>
      <c r="BH294" s="26"/>
      <c r="BI294" s="26"/>
    </row>
    <row r="295" spans="1:61" ht="28.5" customHeight="1">
      <c r="A295" s="336"/>
      <c r="B295" s="323"/>
      <c r="C295" s="42" t="s">
        <v>109</v>
      </c>
      <c r="D295" s="28">
        <f t="shared" si="302"/>
        <v>0.19410923423423421</v>
      </c>
      <c r="E295" s="166">
        <v>0.378</v>
      </c>
      <c r="F295" s="30">
        <f t="shared" si="303"/>
        <v>0.1838907657657658</v>
      </c>
      <c r="G295" s="30">
        <f t="shared" si="304"/>
        <v>5.5555555555555552E-2</v>
      </c>
      <c r="H295" s="48"/>
      <c r="I295" s="48"/>
      <c r="J295" s="48"/>
      <c r="K295" s="48"/>
      <c r="L295" s="334"/>
      <c r="M295" s="48"/>
      <c r="N295" s="36"/>
      <c r="O295" s="36">
        <v>2</v>
      </c>
      <c r="P295" s="31">
        <f t="shared" si="305"/>
        <v>2</v>
      </c>
      <c r="Q295" s="36"/>
      <c r="R295" s="167">
        <v>2</v>
      </c>
      <c r="S295" s="36"/>
      <c r="T295" s="34">
        <f t="shared" si="306"/>
        <v>88800</v>
      </c>
      <c r="U295" s="31">
        <f t="shared" si="307"/>
        <v>0</v>
      </c>
      <c r="V295" s="34">
        <f t="shared" si="308"/>
        <v>88800</v>
      </c>
      <c r="W295" s="43">
        <v>44400</v>
      </c>
      <c r="X295" s="34">
        <f t="shared" si="309"/>
        <v>12278.2464</v>
      </c>
      <c r="Y295" s="34">
        <f t="shared" si="310"/>
        <v>24556.4928</v>
      </c>
      <c r="Z295" s="34">
        <f t="shared" si="311"/>
        <v>16329.500000000002</v>
      </c>
      <c r="AA295" s="48">
        <v>14845</v>
      </c>
      <c r="AB295" s="36"/>
      <c r="AC295" s="204">
        <f t="shared" ref="AC295:AC314" si="319">(1210+1100)*Q295</f>
        <v>0</v>
      </c>
      <c r="AD295" s="149">
        <v>0.11</v>
      </c>
      <c r="AE295" s="31">
        <f t="shared" ref="AE295:AE296" si="320">4150*(P295+S295)</f>
        <v>8300</v>
      </c>
      <c r="AF295" s="28">
        <f t="shared" si="313"/>
        <v>0.20346846846846847</v>
      </c>
      <c r="AG295" s="34">
        <f t="shared" si="314"/>
        <v>18068.03</v>
      </c>
      <c r="AH295" s="34">
        <f t="shared" si="315"/>
        <v>4617.5477199999996</v>
      </c>
      <c r="AI295" s="34">
        <f t="shared" si="316"/>
        <v>41557.929479999999</v>
      </c>
      <c r="AJ295" s="46">
        <f t="shared" si="317"/>
        <v>25228.429479999999</v>
      </c>
      <c r="AK295" s="40">
        <v>49.65</v>
      </c>
      <c r="AL295" s="41">
        <f t="shared" si="318"/>
        <v>63.949200000000005</v>
      </c>
      <c r="AM295" s="36">
        <v>36260</v>
      </c>
      <c r="AN295" s="284">
        <v>36</v>
      </c>
      <c r="AO295" s="26"/>
      <c r="AP295" s="26"/>
      <c r="AQ295" s="27"/>
      <c r="AR295" s="27"/>
      <c r="AS295" s="27"/>
      <c r="AT295" s="27"/>
      <c r="AU295" s="27"/>
      <c r="AV295" s="27"/>
      <c r="AW295" s="26"/>
      <c r="AX295" s="26"/>
      <c r="AY295" s="26"/>
      <c r="AZ295" s="26"/>
      <c r="BA295" s="26"/>
      <c r="BB295" s="26"/>
      <c r="BC295" s="26"/>
      <c r="BD295" s="26"/>
      <c r="BE295" s="26"/>
      <c r="BF295" s="26"/>
      <c r="BG295" s="26"/>
      <c r="BH295" s="26"/>
      <c r="BI295" s="26"/>
    </row>
    <row r="296" spans="1:61" ht="28.5" customHeight="1">
      <c r="A296" s="311"/>
      <c r="B296" s="324"/>
      <c r="C296" s="42" t="s">
        <v>110</v>
      </c>
      <c r="D296" s="28">
        <f t="shared" si="302"/>
        <v>1.6229914529914458E-2</v>
      </c>
      <c r="E296" s="166">
        <v>0.317</v>
      </c>
      <c r="F296" s="30">
        <f t="shared" si="303"/>
        <v>0.30077008547008555</v>
      </c>
      <c r="G296" s="30">
        <f t="shared" si="304"/>
        <v>5.6451612903225805E-2</v>
      </c>
      <c r="H296" s="48"/>
      <c r="I296" s="48"/>
      <c r="J296" s="48"/>
      <c r="K296" s="48"/>
      <c r="L296" s="310"/>
      <c r="M296" s="48"/>
      <c r="N296" s="36"/>
      <c r="O296" s="36">
        <v>5</v>
      </c>
      <c r="P296" s="31">
        <f t="shared" si="305"/>
        <v>5</v>
      </c>
      <c r="Q296" s="36">
        <v>3</v>
      </c>
      <c r="R296" s="167">
        <v>7</v>
      </c>
      <c r="S296" s="36"/>
      <c r="T296" s="34">
        <f t="shared" si="306"/>
        <v>234000</v>
      </c>
      <c r="U296" s="31">
        <f t="shared" si="307"/>
        <v>0</v>
      </c>
      <c r="V296" s="34">
        <f t="shared" si="308"/>
        <v>234000</v>
      </c>
      <c r="W296" s="43">
        <v>46800</v>
      </c>
      <c r="X296" s="34">
        <f t="shared" si="309"/>
        <v>12772.838400000001</v>
      </c>
      <c r="Y296" s="34">
        <f t="shared" si="310"/>
        <v>63864.192000000003</v>
      </c>
      <c r="Z296" s="34">
        <f t="shared" si="311"/>
        <v>63450.200000000004</v>
      </c>
      <c r="AA296" s="48">
        <v>57682</v>
      </c>
      <c r="AB296" s="36"/>
      <c r="AC296" s="204">
        <f t="shared" si="319"/>
        <v>6930</v>
      </c>
      <c r="AD296" s="149">
        <v>0.11</v>
      </c>
      <c r="AE296" s="31">
        <f t="shared" si="320"/>
        <v>20750</v>
      </c>
      <c r="AF296" s="28">
        <f t="shared" si="313"/>
        <v>0.19867521367521368</v>
      </c>
      <c r="AG296" s="34">
        <f t="shared" si="314"/>
        <v>46490.03</v>
      </c>
      <c r="AH296" s="34">
        <f t="shared" si="315"/>
        <v>12364.577799999999</v>
      </c>
      <c r="AI296" s="34">
        <f t="shared" si="316"/>
        <v>111281.20019999999</v>
      </c>
      <c r="AJ296" s="46">
        <f t="shared" si="317"/>
        <v>47831.000199999988</v>
      </c>
      <c r="AK296" s="40">
        <v>51.65</v>
      </c>
      <c r="AL296" s="41">
        <f t="shared" si="318"/>
        <v>66.525199999999998</v>
      </c>
      <c r="AM296" s="36">
        <v>54484</v>
      </c>
      <c r="AN296" s="284">
        <v>124</v>
      </c>
      <c r="AO296" s="26"/>
      <c r="AP296" s="26"/>
      <c r="AQ296" s="27"/>
      <c r="AR296" s="27"/>
      <c r="AS296" s="27"/>
      <c r="AT296" s="27"/>
      <c r="AU296" s="27"/>
      <c r="AV296" s="27"/>
      <c r="AW296" s="26"/>
      <c r="AX296" s="26"/>
      <c r="AY296" s="26"/>
      <c r="AZ296" s="26"/>
      <c r="BA296" s="26"/>
      <c r="BB296" s="26"/>
      <c r="BC296" s="26"/>
      <c r="BD296" s="26"/>
      <c r="BE296" s="26"/>
      <c r="BF296" s="26"/>
      <c r="BG296" s="26"/>
      <c r="BH296" s="26"/>
      <c r="BI296" s="26"/>
    </row>
    <row r="297" spans="1:61" ht="28.5" customHeight="1">
      <c r="A297" s="26"/>
      <c r="B297" s="323"/>
      <c r="C297" s="42" t="s">
        <v>32</v>
      </c>
      <c r="D297" s="28">
        <f t="shared" si="302"/>
        <v>8.256688963210701E-2</v>
      </c>
      <c r="E297" s="166">
        <v>0.40600000000000003</v>
      </c>
      <c r="F297" s="30">
        <f t="shared" si="303"/>
        <v>0.32343311036789302</v>
      </c>
      <c r="G297" s="30">
        <f t="shared" si="304"/>
        <v>3.5714285714285712E-2</v>
      </c>
      <c r="H297" s="33"/>
      <c r="I297" s="48"/>
      <c r="J297" s="48"/>
      <c r="K297" s="48"/>
      <c r="L297" s="334"/>
      <c r="M297" s="48"/>
      <c r="N297" s="36"/>
      <c r="O297" s="36">
        <v>15</v>
      </c>
      <c r="P297" s="31">
        <f t="shared" si="305"/>
        <v>7</v>
      </c>
      <c r="Q297" s="36">
        <v>3</v>
      </c>
      <c r="R297" s="167">
        <v>6</v>
      </c>
      <c r="S297" s="36">
        <v>8</v>
      </c>
      <c r="T297" s="34">
        <f t="shared" si="306"/>
        <v>897000</v>
      </c>
      <c r="U297" s="31">
        <f t="shared" si="307"/>
        <v>478400</v>
      </c>
      <c r="V297" s="34">
        <f t="shared" si="308"/>
        <v>418600</v>
      </c>
      <c r="W297" s="43">
        <v>59800</v>
      </c>
      <c r="X297" s="34">
        <f t="shared" si="309"/>
        <v>21143.807999999997</v>
      </c>
      <c r="Y297" s="34">
        <f t="shared" si="310"/>
        <v>148006.65599999999</v>
      </c>
      <c r="Z297" s="34">
        <f t="shared" si="311"/>
        <v>128459.1</v>
      </c>
      <c r="AA297" s="48">
        <v>116781</v>
      </c>
      <c r="AB297" s="287">
        <f>((59800*0.015)+(59800*0.19)+2100+4950)*8</f>
        <v>154472</v>
      </c>
      <c r="AC297" s="204">
        <f t="shared" si="319"/>
        <v>6930</v>
      </c>
      <c r="AD297" s="149">
        <v>0.108</v>
      </c>
      <c r="AE297" s="31">
        <f t="shared" ref="AE297:AE298" si="321">4825*(P297+S297)</f>
        <v>72375</v>
      </c>
      <c r="AF297" s="28">
        <f t="shared" si="313"/>
        <v>0.28089775441949355</v>
      </c>
      <c r="AG297" s="34">
        <f t="shared" si="314"/>
        <v>117583.83</v>
      </c>
      <c r="AH297" s="34">
        <f t="shared" si="315"/>
        <v>15300.951400000002</v>
      </c>
      <c r="AI297" s="34">
        <f t="shared" si="316"/>
        <v>137708.5626</v>
      </c>
      <c r="AJ297" s="46">
        <f t="shared" si="317"/>
        <v>9249.4625999999989</v>
      </c>
      <c r="AK297" s="40">
        <v>85.5</v>
      </c>
      <c r="AL297" s="41">
        <f t="shared" si="318"/>
        <v>110.124</v>
      </c>
      <c r="AM297" s="36">
        <v>24602</v>
      </c>
      <c r="AN297" s="284">
        <v>168</v>
      </c>
      <c r="AO297" s="26"/>
      <c r="AP297" s="26"/>
      <c r="AQ297" s="27"/>
      <c r="AR297" s="27"/>
      <c r="AS297" s="27"/>
      <c r="AT297" s="27"/>
      <c r="AU297" s="27"/>
      <c r="AV297" s="27"/>
      <c r="AW297" s="26"/>
      <c r="AX297" s="26"/>
      <c r="AY297" s="26"/>
      <c r="AZ297" s="26"/>
      <c r="BA297" s="26"/>
      <c r="BB297" s="26"/>
      <c r="BC297" s="26"/>
      <c r="BD297" s="26"/>
      <c r="BE297" s="26"/>
      <c r="BF297" s="26"/>
      <c r="BG297" s="26"/>
      <c r="BH297" s="26"/>
      <c r="BI297" s="26"/>
    </row>
    <row r="298" spans="1:61" ht="28.5" customHeight="1">
      <c r="A298" s="26"/>
      <c r="B298" s="333"/>
      <c r="C298" s="42" t="s">
        <v>33</v>
      </c>
      <c r="D298" s="28">
        <f t="shared" si="302"/>
        <v>0.31514643931795383</v>
      </c>
      <c r="E298" s="166">
        <v>0.40799999999999997</v>
      </c>
      <c r="F298" s="30">
        <f t="shared" si="303"/>
        <v>9.2853560682046143E-2</v>
      </c>
      <c r="G298" s="30">
        <f t="shared" si="304"/>
        <v>5.4621848739495799E-2</v>
      </c>
      <c r="H298" s="48"/>
      <c r="I298" s="48"/>
      <c r="J298" s="48"/>
      <c r="K298" s="48"/>
      <c r="L298" s="310"/>
      <c r="M298" s="48"/>
      <c r="N298" s="36"/>
      <c r="O298" s="36">
        <v>22</v>
      </c>
      <c r="P298" s="31">
        <f t="shared" si="305"/>
        <v>22</v>
      </c>
      <c r="Q298" s="36">
        <v>3</v>
      </c>
      <c r="R298" s="167">
        <v>13</v>
      </c>
      <c r="S298" s="36"/>
      <c r="T298" s="34">
        <f t="shared" si="306"/>
        <v>1535380</v>
      </c>
      <c r="U298" s="31">
        <f t="shared" si="307"/>
        <v>0</v>
      </c>
      <c r="V298" s="34">
        <f t="shared" si="308"/>
        <v>1535380</v>
      </c>
      <c r="W298" s="43">
        <v>69790</v>
      </c>
      <c r="X298" s="34">
        <f t="shared" si="309"/>
        <v>26337.023999999998</v>
      </c>
      <c r="Y298" s="34">
        <f t="shared" si="310"/>
        <v>579414.52799999993</v>
      </c>
      <c r="Z298" s="34">
        <f t="shared" si="311"/>
        <v>135635.5</v>
      </c>
      <c r="AA298" s="48">
        <v>123305</v>
      </c>
      <c r="AB298" s="36"/>
      <c r="AC298" s="204">
        <f t="shared" si="319"/>
        <v>6930</v>
      </c>
      <c r="AD298" s="149">
        <v>0.108</v>
      </c>
      <c r="AE298" s="31">
        <f t="shared" si="321"/>
        <v>106150</v>
      </c>
      <c r="AF298" s="28">
        <f t="shared" si="313"/>
        <v>0.17713597936667144</v>
      </c>
      <c r="AG298" s="34">
        <f t="shared" si="314"/>
        <v>271971.07</v>
      </c>
      <c r="AH298" s="34">
        <f t="shared" si="315"/>
        <v>68399.440199999997</v>
      </c>
      <c r="AI298" s="34">
        <f t="shared" si="316"/>
        <v>615594.96180000005</v>
      </c>
      <c r="AJ298" s="46">
        <f t="shared" si="317"/>
        <v>479959.46180000005</v>
      </c>
      <c r="AK298" s="40">
        <v>106.5</v>
      </c>
      <c r="AL298" s="41">
        <f t="shared" si="318"/>
        <v>137.172</v>
      </c>
      <c r="AM298" s="36">
        <v>60155</v>
      </c>
      <c r="AN298" s="284">
        <v>238</v>
      </c>
      <c r="AO298" s="26"/>
      <c r="AP298" s="26"/>
      <c r="AQ298" s="27"/>
      <c r="AR298" s="27"/>
      <c r="AS298" s="27"/>
      <c r="AT298" s="27"/>
      <c r="AU298" s="27"/>
      <c r="AV298" s="27"/>
      <c r="AW298" s="26"/>
      <c r="AX298" s="26"/>
      <c r="AY298" s="26"/>
      <c r="AZ298" s="26"/>
      <c r="BA298" s="26"/>
      <c r="BB298" s="26"/>
      <c r="BC298" s="26"/>
      <c r="BD298" s="26"/>
      <c r="BE298" s="26"/>
      <c r="BF298" s="26"/>
      <c r="BG298" s="26"/>
      <c r="BH298" s="26"/>
      <c r="BI298" s="26"/>
    </row>
    <row r="299" spans="1:61" ht="28.5" customHeight="1">
      <c r="A299" s="26"/>
      <c r="B299" s="333"/>
      <c r="C299" s="42" t="s">
        <v>149</v>
      </c>
      <c r="D299" s="28" t="e">
        <f t="shared" si="302"/>
        <v>#DIV/0!</v>
      </c>
      <c r="E299" s="166">
        <v>0.40699999999999997</v>
      </c>
      <c r="F299" s="30" t="e">
        <f t="shared" si="303"/>
        <v>#DIV/0!</v>
      </c>
      <c r="G299" s="30">
        <f t="shared" si="304"/>
        <v>3.3333333333333333E-2</v>
      </c>
      <c r="H299" s="48"/>
      <c r="I299" s="48"/>
      <c r="J299" s="48"/>
      <c r="K299" s="48"/>
      <c r="L299" s="334"/>
      <c r="M299" s="48"/>
      <c r="N299" s="36"/>
      <c r="O299" s="36">
        <v>0</v>
      </c>
      <c r="P299" s="31">
        <f t="shared" si="305"/>
        <v>0</v>
      </c>
      <c r="Q299" s="36">
        <v>4</v>
      </c>
      <c r="R299" s="167">
        <v>2</v>
      </c>
      <c r="S299" s="36"/>
      <c r="T299" s="34">
        <f t="shared" si="306"/>
        <v>0</v>
      </c>
      <c r="U299" s="31">
        <f t="shared" si="307"/>
        <v>0</v>
      </c>
      <c r="V299" s="34">
        <f t="shared" si="308"/>
        <v>0</v>
      </c>
      <c r="W299" s="43">
        <v>96690</v>
      </c>
      <c r="X299" s="34">
        <f t="shared" si="309"/>
        <v>36723.455999999998</v>
      </c>
      <c r="Y299" s="34">
        <f t="shared" si="310"/>
        <v>0</v>
      </c>
      <c r="Z299" s="34">
        <f t="shared" si="311"/>
        <v>110881.1</v>
      </c>
      <c r="AA299" s="48">
        <v>100801</v>
      </c>
      <c r="AB299" s="36"/>
      <c r="AC299" s="204">
        <f t="shared" si="319"/>
        <v>9240</v>
      </c>
      <c r="AD299" s="149">
        <v>0.108</v>
      </c>
      <c r="AE299" s="31">
        <f t="shared" ref="AE299:AE300" si="322">6200*(P299+S299)</f>
        <v>0</v>
      </c>
      <c r="AF299" s="28" t="e">
        <f t="shared" si="313"/>
        <v>#DIV/0!</v>
      </c>
      <c r="AG299" s="34" t="e">
        <f t="shared" si="314"/>
        <v>#DIV/0!</v>
      </c>
      <c r="AH299" s="34" t="e">
        <f t="shared" si="315"/>
        <v>#DIV/0!</v>
      </c>
      <c r="AI299" s="34" t="e">
        <f t="shared" si="316"/>
        <v>#DIV/0!</v>
      </c>
      <c r="AJ299" s="46" t="e">
        <f t="shared" si="317"/>
        <v>#DIV/0!</v>
      </c>
      <c r="AK299" s="40">
        <v>148.5</v>
      </c>
      <c r="AL299" s="41">
        <f t="shared" si="318"/>
        <v>191.268</v>
      </c>
      <c r="AM299" s="36">
        <v>11112</v>
      </c>
      <c r="AN299" s="284">
        <v>60</v>
      </c>
      <c r="AO299" s="26"/>
      <c r="AP299" s="26"/>
      <c r="AQ299" s="27"/>
      <c r="AR299" s="27"/>
      <c r="AS299" s="27"/>
      <c r="AT299" s="27"/>
      <c r="AU299" s="27"/>
      <c r="AV299" s="27"/>
      <c r="AW299" s="26"/>
      <c r="AX299" s="26"/>
      <c r="AY299" s="26"/>
      <c r="AZ299" s="26"/>
      <c r="BA299" s="26"/>
      <c r="BB299" s="26"/>
      <c r="BC299" s="26"/>
      <c r="BD299" s="26"/>
      <c r="BE299" s="26"/>
      <c r="BF299" s="26"/>
      <c r="BG299" s="26"/>
      <c r="BH299" s="26"/>
      <c r="BI299" s="26"/>
    </row>
    <row r="300" spans="1:61" ht="28.5" customHeight="1">
      <c r="A300" s="26"/>
      <c r="B300" s="324"/>
      <c r="C300" s="42" t="s">
        <v>150</v>
      </c>
      <c r="D300" s="28">
        <f t="shared" si="302"/>
        <v>0.28943872778297469</v>
      </c>
      <c r="E300" s="166">
        <v>0.40899999999999997</v>
      </c>
      <c r="F300" s="30">
        <f t="shared" si="303"/>
        <v>0.11956127221702527</v>
      </c>
      <c r="G300" s="30">
        <f t="shared" si="304"/>
        <v>0</v>
      </c>
      <c r="H300" s="48"/>
      <c r="I300" s="283"/>
      <c r="J300" s="48"/>
      <c r="K300" s="48"/>
      <c r="L300" s="310"/>
      <c r="M300" s="48"/>
      <c r="N300" s="36"/>
      <c r="O300" s="36">
        <v>11</v>
      </c>
      <c r="P300" s="31">
        <f t="shared" si="305"/>
        <v>11</v>
      </c>
      <c r="Q300" s="36">
        <v>1</v>
      </c>
      <c r="R300" s="167">
        <v>0</v>
      </c>
      <c r="S300" s="36"/>
      <c r="T300" s="34">
        <f t="shared" si="306"/>
        <v>1175900</v>
      </c>
      <c r="U300" s="31">
        <f t="shared" si="307"/>
        <v>0</v>
      </c>
      <c r="V300" s="34">
        <f t="shared" si="308"/>
        <v>1175900</v>
      </c>
      <c r="W300" s="43">
        <v>106900</v>
      </c>
      <c r="X300" s="34">
        <f t="shared" si="309"/>
        <v>41916.671999999999</v>
      </c>
      <c r="Y300" s="34">
        <f t="shared" si="310"/>
        <v>461083.39199999999</v>
      </c>
      <c r="Z300" s="34">
        <f t="shared" si="311"/>
        <v>138282.1</v>
      </c>
      <c r="AA300" s="48">
        <f>15538+110173</f>
        <v>125711</v>
      </c>
      <c r="AB300" s="36"/>
      <c r="AC300" s="204">
        <f t="shared" si="319"/>
        <v>2310</v>
      </c>
      <c r="AD300" s="149">
        <v>0.108</v>
      </c>
      <c r="AE300" s="31">
        <f t="shared" si="322"/>
        <v>68200</v>
      </c>
      <c r="AF300" s="28">
        <f t="shared" si="313"/>
        <v>0.16599812909260991</v>
      </c>
      <c r="AG300" s="34">
        <f t="shared" si="314"/>
        <v>195197.23</v>
      </c>
      <c r="AH300" s="34">
        <f t="shared" si="315"/>
        <v>51961.9378</v>
      </c>
      <c r="AI300" s="34">
        <f t="shared" si="316"/>
        <v>467657.44020000007</v>
      </c>
      <c r="AJ300" s="46">
        <f t="shared" si="317"/>
        <v>329375.34020000009</v>
      </c>
      <c r="AK300" s="40">
        <v>169.5</v>
      </c>
      <c r="AL300" s="41">
        <f t="shared" si="318"/>
        <v>218.316</v>
      </c>
      <c r="AM300" s="36">
        <f>24316+1622</f>
        <v>25938</v>
      </c>
      <c r="AN300" s="284">
        <f>115+16</f>
        <v>131</v>
      </c>
      <c r="AO300" s="26"/>
      <c r="AP300" s="26"/>
      <c r="AQ300" s="27"/>
      <c r="AR300" s="27"/>
      <c r="AS300" s="27"/>
      <c r="AT300" s="27"/>
      <c r="AU300" s="27"/>
      <c r="AV300" s="27"/>
      <c r="AW300" s="26"/>
      <c r="AX300" s="26"/>
      <c r="AY300" s="26"/>
      <c r="AZ300" s="26"/>
      <c r="BA300" s="26"/>
      <c r="BB300" s="26"/>
      <c r="BC300" s="26"/>
      <c r="BD300" s="26"/>
      <c r="BE300" s="26"/>
      <c r="BF300" s="26"/>
      <c r="BG300" s="26"/>
      <c r="BH300" s="26"/>
      <c r="BI300" s="26"/>
    </row>
    <row r="301" spans="1:61" ht="28.5" customHeight="1">
      <c r="A301" s="26"/>
      <c r="B301" s="200"/>
      <c r="C301" s="42" t="s">
        <v>111</v>
      </c>
      <c r="D301" s="28">
        <f t="shared" si="302"/>
        <v>0.1958402366863905</v>
      </c>
      <c r="E301" s="166">
        <v>0.41799999999999998</v>
      </c>
      <c r="F301" s="30">
        <f t="shared" si="303"/>
        <v>0.22215976331360948</v>
      </c>
      <c r="G301" s="30">
        <f t="shared" si="304"/>
        <v>0.15625</v>
      </c>
      <c r="H301" s="48"/>
      <c r="I301" s="48"/>
      <c r="J301" s="48"/>
      <c r="K301" s="210"/>
      <c r="L301" s="210"/>
      <c r="M301" s="210"/>
      <c r="N301" s="36"/>
      <c r="O301" s="36">
        <v>18</v>
      </c>
      <c r="P301" s="31">
        <f t="shared" si="305"/>
        <v>13</v>
      </c>
      <c r="Q301" s="36">
        <v>4</v>
      </c>
      <c r="R301" s="167">
        <v>20</v>
      </c>
      <c r="S301" s="36">
        <v>5</v>
      </c>
      <c r="T301" s="34">
        <f t="shared" si="306"/>
        <v>308880</v>
      </c>
      <c r="U301" s="31">
        <f t="shared" si="307"/>
        <v>85800</v>
      </c>
      <c r="V301" s="34">
        <f t="shared" si="308"/>
        <v>223080</v>
      </c>
      <c r="W301" s="43">
        <v>17160</v>
      </c>
      <c r="X301" s="34">
        <f t="shared" si="309"/>
        <v>5687.8080000000009</v>
      </c>
      <c r="Y301" s="34">
        <f t="shared" si="310"/>
        <v>73941.504000000015</v>
      </c>
      <c r="Z301" s="34">
        <f t="shared" si="311"/>
        <v>40319.4</v>
      </c>
      <c r="AA301" s="48">
        <v>36654</v>
      </c>
      <c r="AB301" s="287">
        <f>((17160*0.015)+(17160*0.25)+2100+4950)*5</f>
        <v>57987</v>
      </c>
      <c r="AC301" s="204">
        <f t="shared" si="319"/>
        <v>9240</v>
      </c>
      <c r="AD301" s="149">
        <v>7.8E-2</v>
      </c>
      <c r="AE301" s="31">
        <f>2900*(P301+S301)</f>
        <v>52200</v>
      </c>
      <c r="AF301" s="28">
        <f t="shared" si="313"/>
        <v>0.31199677245831092</v>
      </c>
      <c r="AG301" s="34">
        <f t="shared" si="314"/>
        <v>69600.27</v>
      </c>
      <c r="AH301" s="34">
        <f t="shared" si="315"/>
        <v>7953.8225999999959</v>
      </c>
      <c r="AI301" s="34">
        <f t="shared" si="316"/>
        <v>71584.403399999981</v>
      </c>
      <c r="AJ301" s="46">
        <f t="shared" si="317"/>
        <v>31265.00339999998</v>
      </c>
      <c r="AK301" s="40">
        <v>23</v>
      </c>
      <c r="AL301" s="41">
        <f t="shared" si="318"/>
        <v>29.624000000000002</v>
      </c>
      <c r="AM301" s="36">
        <v>33044</v>
      </c>
      <c r="AN301" s="284">
        <v>128</v>
      </c>
      <c r="AO301" s="26"/>
      <c r="AP301" s="26"/>
      <c r="AQ301" s="27"/>
      <c r="AR301" s="27"/>
      <c r="AS301" s="27"/>
      <c r="AT301" s="27"/>
      <c r="AU301" s="27"/>
      <c r="AV301" s="27"/>
      <c r="AW301" s="26"/>
      <c r="AX301" s="26"/>
      <c r="AY301" s="26"/>
      <c r="AZ301" s="26"/>
      <c r="BA301" s="26"/>
      <c r="BB301" s="26"/>
      <c r="BC301" s="26"/>
      <c r="BD301" s="26"/>
      <c r="BE301" s="26"/>
      <c r="BF301" s="26"/>
      <c r="BG301" s="26"/>
      <c r="BH301" s="26"/>
      <c r="BI301" s="26"/>
    </row>
    <row r="302" spans="1:61" ht="28.5" customHeight="1">
      <c r="A302" s="26"/>
      <c r="B302" s="207"/>
      <c r="C302" s="42" t="s">
        <v>151</v>
      </c>
      <c r="D302" s="28">
        <f t="shared" si="302"/>
        <v>-0.18829956896551731</v>
      </c>
      <c r="E302" s="303">
        <v>0.27600000000000002</v>
      </c>
      <c r="F302" s="30">
        <f t="shared" si="303"/>
        <v>0.46429956896551733</v>
      </c>
      <c r="G302" s="30">
        <f t="shared" si="304"/>
        <v>2.7027027027027029E-2</v>
      </c>
      <c r="H302" s="48"/>
      <c r="I302" s="48"/>
      <c r="J302" s="48"/>
      <c r="K302" s="210"/>
      <c r="L302" s="335"/>
      <c r="M302" s="210"/>
      <c r="N302" s="36"/>
      <c r="O302" s="36">
        <v>4</v>
      </c>
      <c r="P302" s="31">
        <f t="shared" si="305"/>
        <v>4</v>
      </c>
      <c r="Q302" s="36">
        <v>1</v>
      </c>
      <c r="R302" s="167">
        <v>1</v>
      </c>
      <c r="S302" s="36"/>
      <c r="T302" s="34">
        <f t="shared" si="306"/>
        <v>37120</v>
      </c>
      <c r="U302" s="31">
        <f t="shared" si="307"/>
        <v>0</v>
      </c>
      <c r="V302" s="34">
        <f t="shared" si="308"/>
        <v>37120</v>
      </c>
      <c r="W302" s="43">
        <v>9280</v>
      </c>
      <c r="X302" s="34">
        <f t="shared" si="309"/>
        <v>3462.1440000000002</v>
      </c>
      <c r="Y302" s="34">
        <f t="shared" si="310"/>
        <v>13848.576000000001</v>
      </c>
      <c r="Z302" s="34">
        <f t="shared" si="311"/>
        <v>14924.800000000001</v>
      </c>
      <c r="AA302" s="48">
        <v>13568</v>
      </c>
      <c r="AB302" s="287"/>
      <c r="AC302" s="204">
        <f t="shared" si="319"/>
        <v>2310</v>
      </c>
      <c r="AD302" s="149">
        <v>0.1</v>
      </c>
      <c r="AE302" s="31">
        <f t="shared" ref="AE302:AE303" si="323">1900*(P302+S302)</f>
        <v>7600</v>
      </c>
      <c r="AF302" s="28">
        <f t="shared" si="313"/>
        <v>0.30474137931034484</v>
      </c>
      <c r="AG302" s="34">
        <f t="shared" si="314"/>
        <v>11312.03</v>
      </c>
      <c r="AH302" s="34">
        <f t="shared" si="315"/>
        <v>1195.9393999999998</v>
      </c>
      <c r="AI302" s="34">
        <f t="shared" si="316"/>
        <v>10763.454600000001</v>
      </c>
      <c r="AJ302" s="46">
        <f t="shared" si="317"/>
        <v>-4161.3454000000002</v>
      </c>
      <c r="AK302" s="40">
        <v>14</v>
      </c>
      <c r="AL302" s="41">
        <f t="shared" si="318"/>
        <v>18.032</v>
      </c>
      <c r="AM302" s="36">
        <v>24340</v>
      </c>
      <c r="AN302" s="284">
        <v>37</v>
      </c>
      <c r="AO302" s="26"/>
      <c r="AP302" s="26"/>
      <c r="AQ302" s="27"/>
      <c r="AR302" s="27"/>
      <c r="AS302" s="27"/>
      <c r="AT302" s="27"/>
      <c r="AU302" s="27"/>
      <c r="AV302" s="27"/>
      <c r="AW302" s="26"/>
      <c r="AX302" s="26"/>
      <c r="AY302" s="26"/>
      <c r="AZ302" s="26"/>
      <c r="BA302" s="26"/>
      <c r="BB302" s="26"/>
      <c r="BC302" s="26"/>
      <c r="BD302" s="26"/>
      <c r="BE302" s="26"/>
      <c r="BF302" s="26"/>
      <c r="BG302" s="26"/>
      <c r="BH302" s="26"/>
      <c r="BI302" s="26"/>
    </row>
    <row r="303" spans="1:61" ht="28.5" customHeight="1">
      <c r="A303" s="26"/>
      <c r="B303" s="212"/>
      <c r="C303" s="42" t="s">
        <v>152</v>
      </c>
      <c r="D303" s="28">
        <f t="shared" si="302"/>
        <v>2.4011106855610864E-2</v>
      </c>
      <c r="E303" s="303">
        <v>0.39700000000000002</v>
      </c>
      <c r="F303" s="30">
        <f t="shared" si="303"/>
        <v>0.37298889314438916</v>
      </c>
      <c r="G303" s="30">
        <f t="shared" si="304"/>
        <v>6.8181818181818177E-2</v>
      </c>
      <c r="H303" s="48"/>
      <c r="I303" s="48"/>
      <c r="J303" s="48"/>
      <c r="K303" s="210"/>
      <c r="L303" s="310"/>
      <c r="M303" s="210"/>
      <c r="N303" s="36"/>
      <c r="O303" s="36">
        <v>7</v>
      </c>
      <c r="P303" s="31">
        <f t="shared" si="305"/>
        <v>7</v>
      </c>
      <c r="Q303" s="36"/>
      <c r="R303" s="167">
        <v>6</v>
      </c>
      <c r="S303" s="36"/>
      <c r="T303" s="34">
        <f t="shared" si="306"/>
        <v>130550</v>
      </c>
      <c r="U303" s="31">
        <f t="shared" si="307"/>
        <v>0</v>
      </c>
      <c r="V303" s="34">
        <f t="shared" si="308"/>
        <v>130550</v>
      </c>
      <c r="W303" s="43">
        <v>18650</v>
      </c>
      <c r="X303" s="34">
        <f t="shared" si="309"/>
        <v>6924.2880000000005</v>
      </c>
      <c r="Y303" s="34">
        <f t="shared" si="310"/>
        <v>48470.016000000003</v>
      </c>
      <c r="Z303" s="34">
        <f t="shared" si="311"/>
        <v>48693.700000000004</v>
      </c>
      <c r="AA303" s="48">
        <v>44267</v>
      </c>
      <c r="AB303" s="36"/>
      <c r="AC303" s="204">
        <f t="shared" si="319"/>
        <v>0</v>
      </c>
      <c r="AD303" s="149">
        <v>0.1</v>
      </c>
      <c r="AE303" s="31">
        <f t="shared" si="323"/>
        <v>13300</v>
      </c>
      <c r="AF303" s="28">
        <f t="shared" si="313"/>
        <v>0.20187667560321715</v>
      </c>
      <c r="AG303" s="34">
        <f t="shared" si="314"/>
        <v>26355.03</v>
      </c>
      <c r="AH303" s="34">
        <f t="shared" si="315"/>
        <v>5572.4953999999998</v>
      </c>
      <c r="AI303" s="34">
        <f t="shared" si="316"/>
        <v>50152.458599999998</v>
      </c>
      <c r="AJ303" s="46">
        <f t="shared" si="317"/>
        <v>1458.7585999999937</v>
      </c>
      <c r="AK303" s="40">
        <v>28</v>
      </c>
      <c r="AL303" s="41">
        <f t="shared" si="318"/>
        <v>36.064</v>
      </c>
      <c r="AM303" s="36">
        <v>43673</v>
      </c>
      <c r="AN303" s="284">
        <v>88</v>
      </c>
      <c r="AO303" s="26"/>
      <c r="AP303" s="26"/>
      <c r="AQ303" s="27"/>
      <c r="AR303" s="27"/>
      <c r="AS303" s="27"/>
      <c r="AT303" s="27"/>
      <c r="AU303" s="27"/>
      <c r="AV303" s="27"/>
      <c r="AW303" s="26"/>
      <c r="AX303" s="26"/>
      <c r="AY303" s="26"/>
      <c r="AZ303" s="26"/>
      <c r="BA303" s="26"/>
      <c r="BB303" s="26"/>
      <c r="BC303" s="26"/>
      <c r="BD303" s="26"/>
      <c r="BE303" s="26"/>
      <c r="BF303" s="26"/>
      <c r="BG303" s="26"/>
      <c r="BH303" s="26"/>
      <c r="BI303" s="26"/>
    </row>
    <row r="304" spans="1:61" ht="28.5" customHeight="1">
      <c r="A304" s="26"/>
      <c r="B304" s="323"/>
      <c r="C304" s="42" t="s">
        <v>112</v>
      </c>
      <c r="D304" s="28">
        <f t="shared" si="302"/>
        <v>3.3769111168696631E-3</v>
      </c>
      <c r="E304" s="166">
        <v>0.40600000000000003</v>
      </c>
      <c r="F304" s="30">
        <f t="shared" si="303"/>
        <v>0.40262308888313036</v>
      </c>
      <c r="G304" s="30">
        <f t="shared" si="304"/>
        <v>0.05</v>
      </c>
      <c r="H304" s="334"/>
      <c r="I304" s="48"/>
      <c r="J304" s="48"/>
      <c r="K304" s="210"/>
      <c r="L304" s="335"/>
      <c r="M304" s="210"/>
      <c r="N304" s="36"/>
      <c r="O304" s="36">
        <v>8</v>
      </c>
      <c r="P304" s="31">
        <f t="shared" si="305"/>
        <v>8</v>
      </c>
      <c r="Q304" s="36">
        <v>4</v>
      </c>
      <c r="R304" s="167">
        <v>8</v>
      </c>
      <c r="S304" s="36"/>
      <c r="T304" s="34">
        <f t="shared" si="306"/>
        <v>308720</v>
      </c>
      <c r="U304" s="31">
        <f t="shared" si="307"/>
        <v>0</v>
      </c>
      <c r="V304" s="34">
        <f t="shared" si="308"/>
        <v>308720</v>
      </c>
      <c r="W304" s="43">
        <v>38590</v>
      </c>
      <c r="X304" s="34">
        <f t="shared" si="309"/>
        <v>15085.056</v>
      </c>
      <c r="Y304" s="34">
        <f t="shared" si="310"/>
        <v>120680.448</v>
      </c>
      <c r="Z304" s="34">
        <f t="shared" si="311"/>
        <v>115057.8</v>
      </c>
      <c r="AA304" s="48">
        <v>104598</v>
      </c>
      <c r="AB304" s="36"/>
      <c r="AC304" s="204">
        <f t="shared" si="319"/>
        <v>9240</v>
      </c>
      <c r="AD304" s="149">
        <v>0.08</v>
      </c>
      <c r="AE304" s="31">
        <f t="shared" ref="AE304:AE305" si="324">4150*(P304+S304)</f>
        <v>33200</v>
      </c>
      <c r="AF304" s="28">
        <f t="shared" si="313"/>
        <v>0.18754081368230113</v>
      </c>
      <c r="AG304" s="34">
        <f t="shared" si="314"/>
        <v>57897.630000000005</v>
      </c>
      <c r="AH304" s="34">
        <f t="shared" si="315"/>
        <v>13014.192199999998</v>
      </c>
      <c r="AI304" s="34">
        <f t="shared" si="316"/>
        <v>117127.7298</v>
      </c>
      <c r="AJ304" s="46">
        <f t="shared" si="317"/>
        <v>2069.9297999999981</v>
      </c>
      <c r="AK304" s="40">
        <v>61</v>
      </c>
      <c r="AL304" s="41">
        <f t="shared" si="318"/>
        <v>78.567999999999998</v>
      </c>
      <c r="AM304" s="36">
        <v>46733</v>
      </c>
      <c r="AN304" s="284">
        <v>160</v>
      </c>
      <c r="AO304" s="26"/>
      <c r="AP304" s="26"/>
      <c r="AQ304" s="27"/>
      <c r="AR304" s="27"/>
      <c r="AS304" s="27"/>
      <c r="AT304" s="27"/>
      <c r="AU304" s="27"/>
      <c r="AV304" s="27"/>
      <c r="AW304" s="26"/>
      <c r="AX304" s="26"/>
      <c r="AY304" s="26"/>
      <c r="AZ304" s="26"/>
      <c r="BA304" s="26"/>
      <c r="BB304" s="26"/>
      <c r="BC304" s="26"/>
      <c r="BD304" s="26"/>
      <c r="BE304" s="26"/>
      <c r="BF304" s="26"/>
      <c r="BG304" s="26"/>
      <c r="BH304" s="26"/>
      <c r="BI304" s="26"/>
    </row>
    <row r="305" spans="1:61" ht="28.5" customHeight="1">
      <c r="A305" s="26"/>
      <c r="B305" s="324"/>
      <c r="C305" s="42" t="s">
        <v>113</v>
      </c>
      <c r="D305" s="28">
        <f t="shared" si="302"/>
        <v>-0.3117051282051283</v>
      </c>
      <c r="E305" s="166">
        <v>0.36099999999999999</v>
      </c>
      <c r="F305" s="30">
        <f t="shared" si="303"/>
        <v>0.67270512820512829</v>
      </c>
      <c r="G305" s="30">
        <f t="shared" si="304"/>
        <v>6.0606060606060606E-3</v>
      </c>
      <c r="H305" s="310"/>
      <c r="I305" s="48"/>
      <c r="J305" s="48"/>
      <c r="K305" s="210"/>
      <c r="L305" s="310"/>
      <c r="M305" s="210"/>
      <c r="N305" s="36"/>
      <c r="O305" s="36">
        <v>2</v>
      </c>
      <c r="P305" s="31">
        <f t="shared" si="305"/>
        <v>2</v>
      </c>
      <c r="Q305" s="36">
        <v>1</v>
      </c>
      <c r="R305" s="167">
        <v>1</v>
      </c>
      <c r="S305" s="36"/>
      <c r="T305" s="34">
        <f t="shared" si="306"/>
        <v>85800</v>
      </c>
      <c r="U305" s="31">
        <f t="shared" si="307"/>
        <v>0</v>
      </c>
      <c r="V305" s="34">
        <f t="shared" si="308"/>
        <v>85800</v>
      </c>
      <c r="W305" s="43">
        <v>42900</v>
      </c>
      <c r="X305" s="34">
        <f t="shared" si="309"/>
        <v>20278.272000000004</v>
      </c>
      <c r="Y305" s="34">
        <f t="shared" si="310"/>
        <v>40556.544000000009</v>
      </c>
      <c r="Z305" s="34">
        <f t="shared" si="311"/>
        <v>55408.100000000006</v>
      </c>
      <c r="AA305" s="48">
        <v>50371</v>
      </c>
      <c r="AB305" s="286"/>
      <c r="AC305" s="204">
        <f t="shared" si="319"/>
        <v>2310</v>
      </c>
      <c r="AD305" s="149">
        <v>7.8E-2</v>
      </c>
      <c r="AE305" s="31">
        <f t="shared" si="324"/>
        <v>8300</v>
      </c>
      <c r="AF305" s="28">
        <f t="shared" si="313"/>
        <v>0.17473659673659675</v>
      </c>
      <c r="AG305" s="34">
        <f t="shared" si="314"/>
        <v>14992.430000000002</v>
      </c>
      <c r="AH305" s="34">
        <f t="shared" si="315"/>
        <v>3025.1025999999983</v>
      </c>
      <c r="AI305" s="34">
        <f t="shared" si="316"/>
        <v>27225.923399999992</v>
      </c>
      <c r="AJ305" s="46">
        <f t="shared" si="317"/>
        <v>-28182.176600000013</v>
      </c>
      <c r="AK305" s="40">
        <v>82</v>
      </c>
      <c r="AL305" s="41">
        <f t="shared" si="318"/>
        <v>105.61600000000001</v>
      </c>
      <c r="AM305" s="36">
        <v>72435</v>
      </c>
      <c r="AN305" s="284">
        <v>165</v>
      </c>
      <c r="AO305" s="26"/>
      <c r="AP305" s="26"/>
      <c r="AQ305" s="27"/>
      <c r="AR305" s="27"/>
      <c r="AS305" s="27"/>
      <c r="AT305" s="27"/>
      <c r="AU305" s="27"/>
      <c r="AV305" s="27"/>
      <c r="AW305" s="26"/>
      <c r="AX305" s="26"/>
      <c r="AY305" s="26"/>
      <c r="AZ305" s="26"/>
      <c r="BA305" s="26"/>
      <c r="BB305" s="26"/>
      <c r="BC305" s="26"/>
      <c r="BD305" s="26"/>
      <c r="BE305" s="26"/>
      <c r="BF305" s="26"/>
      <c r="BG305" s="26"/>
      <c r="BH305" s="26"/>
      <c r="BI305" s="26"/>
    </row>
    <row r="306" spans="1:61" ht="28.5" customHeight="1">
      <c r="A306" s="26"/>
      <c r="B306" s="200"/>
      <c r="C306" s="42" t="s">
        <v>154</v>
      </c>
      <c r="D306" s="28">
        <f t="shared" si="302"/>
        <v>0.23762923728813556</v>
      </c>
      <c r="E306" s="303">
        <v>0.41299999999999998</v>
      </c>
      <c r="F306" s="30">
        <f t="shared" si="303"/>
        <v>0.17537076271186441</v>
      </c>
      <c r="G306" s="30">
        <f t="shared" si="304"/>
        <v>0</v>
      </c>
      <c r="H306" s="48"/>
      <c r="I306" s="48"/>
      <c r="J306" s="48"/>
      <c r="K306" s="210"/>
      <c r="L306" s="210"/>
      <c r="M306" s="210"/>
      <c r="N306" s="36"/>
      <c r="O306" s="36">
        <v>12</v>
      </c>
      <c r="P306" s="31">
        <f t="shared" si="305"/>
        <v>12</v>
      </c>
      <c r="Q306" s="36">
        <v>1</v>
      </c>
      <c r="R306" s="167">
        <v>0</v>
      </c>
      <c r="S306" s="36"/>
      <c r="T306" s="34">
        <f t="shared" si="306"/>
        <v>141600</v>
      </c>
      <c r="U306" s="31">
        <f t="shared" si="307"/>
        <v>0</v>
      </c>
      <c r="V306" s="34">
        <f t="shared" si="308"/>
        <v>141600</v>
      </c>
      <c r="W306" s="43">
        <v>11800</v>
      </c>
      <c r="X306" s="34">
        <f t="shared" si="309"/>
        <v>4006.1952000000001</v>
      </c>
      <c r="Y306" s="34">
        <f t="shared" si="310"/>
        <v>48074.342400000001</v>
      </c>
      <c r="Z306" s="34">
        <f t="shared" si="311"/>
        <v>22522.5</v>
      </c>
      <c r="AA306" s="48">
        <v>20475</v>
      </c>
      <c r="AB306" s="36"/>
      <c r="AC306" s="204">
        <f t="shared" si="319"/>
        <v>2310</v>
      </c>
      <c r="AD306" s="149">
        <v>0.108</v>
      </c>
      <c r="AE306" s="31">
        <f>1900*(P306+S306)</f>
        <v>22800</v>
      </c>
      <c r="AF306" s="28">
        <f t="shared" si="313"/>
        <v>0.26901694915254237</v>
      </c>
      <c r="AG306" s="34">
        <f t="shared" si="314"/>
        <v>38092.83</v>
      </c>
      <c r="AH306" s="34">
        <f t="shared" si="315"/>
        <v>5543.2827599999982</v>
      </c>
      <c r="AI306" s="34">
        <f t="shared" si="316"/>
        <v>49889.544839999988</v>
      </c>
      <c r="AJ306" s="46">
        <f t="shared" si="317"/>
        <v>27367.044839999988</v>
      </c>
      <c r="AK306" s="40">
        <v>16.2</v>
      </c>
      <c r="AL306" s="41">
        <f t="shared" si="318"/>
        <v>20.865600000000001</v>
      </c>
      <c r="AM306" s="36">
        <v>101545</v>
      </c>
      <c r="AN306" s="284">
        <v>28</v>
      </c>
      <c r="AO306" s="26"/>
      <c r="AP306" s="26"/>
      <c r="AQ306" s="27"/>
      <c r="AR306" s="27"/>
      <c r="AS306" s="27"/>
      <c r="AT306" s="27"/>
      <c r="AU306" s="27"/>
      <c r="AV306" s="27"/>
      <c r="AW306" s="26"/>
      <c r="AX306" s="26"/>
      <c r="AY306" s="26"/>
      <c r="AZ306" s="26"/>
      <c r="BA306" s="26"/>
      <c r="BB306" s="26"/>
      <c r="BC306" s="26"/>
      <c r="BD306" s="26"/>
      <c r="BE306" s="26"/>
      <c r="BF306" s="26"/>
      <c r="BG306" s="26"/>
      <c r="BH306" s="26"/>
      <c r="BI306" s="26"/>
    </row>
    <row r="307" spans="1:61" ht="28.5" customHeight="1">
      <c r="A307" s="26"/>
      <c r="B307" s="200" t="s">
        <v>162</v>
      </c>
      <c r="C307" s="42" t="s">
        <v>114</v>
      </c>
      <c r="D307" s="28">
        <f t="shared" si="302"/>
        <v>0.15677456140350876</v>
      </c>
      <c r="E307" s="166">
        <v>0.35599999999999998</v>
      </c>
      <c r="F307" s="30">
        <f t="shared" si="303"/>
        <v>0.19922543859649122</v>
      </c>
      <c r="G307" s="30">
        <f t="shared" si="304"/>
        <v>0.1044776119402985</v>
      </c>
      <c r="H307" s="48"/>
      <c r="I307" s="48"/>
      <c r="J307" s="48"/>
      <c r="K307" s="210"/>
      <c r="L307" s="210"/>
      <c r="M307" s="210"/>
      <c r="N307" s="36"/>
      <c r="O307" s="36">
        <v>12</v>
      </c>
      <c r="P307" s="31">
        <f t="shared" si="305"/>
        <v>12</v>
      </c>
      <c r="Q307" s="36">
        <v>4</v>
      </c>
      <c r="R307" s="167">
        <v>7</v>
      </c>
      <c r="S307" s="36"/>
      <c r="T307" s="34">
        <f t="shared" si="306"/>
        <v>228000</v>
      </c>
      <c r="U307" s="31">
        <f t="shared" si="307"/>
        <v>0</v>
      </c>
      <c r="V307" s="34">
        <f t="shared" si="308"/>
        <v>228000</v>
      </c>
      <c r="W307" s="43">
        <v>19000</v>
      </c>
      <c r="X307" s="34">
        <f t="shared" si="309"/>
        <v>7122.1247999999996</v>
      </c>
      <c r="Y307" s="34">
        <f t="shared" si="310"/>
        <v>85465.497600000002</v>
      </c>
      <c r="Z307" s="34">
        <f t="shared" si="311"/>
        <v>36183.4</v>
      </c>
      <c r="AA307" s="48">
        <v>32894</v>
      </c>
      <c r="AB307" s="287"/>
      <c r="AC307" s="204">
        <f t="shared" si="319"/>
        <v>9240</v>
      </c>
      <c r="AD307" s="149">
        <v>0.08</v>
      </c>
      <c r="AE307" s="31">
        <f>3350*(P307+S307)</f>
        <v>40200</v>
      </c>
      <c r="AF307" s="28">
        <f t="shared" si="313"/>
        <v>0.25631578947368422</v>
      </c>
      <c r="AG307" s="34">
        <f t="shared" si="314"/>
        <v>58440.03</v>
      </c>
      <c r="AH307" s="34">
        <f t="shared" si="315"/>
        <v>8409.4472399999995</v>
      </c>
      <c r="AI307" s="34">
        <f t="shared" si="316"/>
        <v>75685.02515999999</v>
      </c>
      <c r="AJ307" s="46">
        <f t="shared" si="317"/>
        <v>39501.625159999989</v>
      </c>
      <c r="AK307" s="40">
        <v>28.8</v>
      </c>
      <c r="AL307" s="41">
        <f t="shared" si="318"/>
        <v>37.0944</v>
      </c>
      <c r="AM307" s="36">
        <v>51284</v>
      </c>
      <c r="AN307" s="284">
        <v>67</v>
      </c>
      <c r="AO307" s="26"/>
      <c r="AP307" s="26"/>
      <c r="AQ307" s="27"/>
      <c r="AR307" s="27"/>
      <c r="AS307" s="27"/>
      <c r="AT307" s="27"/>
      <c r="AU307" s="27"/>
      <c r="AV307" s="27"/>
      <c r="AW307" s="26"/>
      <c r="AX307" s="26"/>
      <c r="AY307" s="26"/>
      <c r="AZ307" s="26"/>
      <c r="BA307" s="26"/>
      <c r="BB307" s="26"/>
      <c r="BC307" s="26"/>
      <c r="BD307" s="26"/>
      <c r="BE307" s="26"/>
      <c r="BF307" s="26"/>
      <c r="BG307" s="26"/>
      <c r="BH307" s="26"/>
      <c r="BI307" s="26"/>
    </row>
    <row r="308" spans="1:61" ht="28.5" customHeight="1">
      <c r="A308" s="26"/>
      <c r="B308" s="326"/>
      <c r="C308" s="42" t="s">
        <v>115</v>
      </c>
      <c r="D308" s="28">
        <f t="shared" si="302"/>
        <v>0.25616423357664231</v>
      </c>
      <c r="E308" s="166">
        <v>0.45300000000000001</v>
      </c>
      <c r="F308" s="30">
        <f t="shared" si="303"/>
        <v>0.19683576642335768</v>
      </c>
      <c r="G308" s="30">
        <f t="shared" si="304"/>
        <v>5.2631578947368418E-2</v>
      </c>
      <c r="H308" s="48"/>
      <c r="I308" s="48"/>
      <c r="J308" s="48"/>
      <c r="K308" s="210"/>
      <c r="L308" s="210"/>
      <c r="M308" s="210"/>
      <c r="N308" s="36"/>
      <c r="O308" s="36">
        <v>5</v>
      </c>
      <c r="P308" s="31">
        <f t="shared" si="305"/>
        <v>5</v>
      </c>
      <c r="Q308" s="36">
        <v>2</v>
      </c>
      <c r="R308" s="167">
        <v>4</v>
      </c>
      <c r="S308" s="36"/>
      <c r="T308" s="34">
        <f t="shared" si="306"/>
        <v>274000</v>
      </c>
      <c r="U308" s="31">
        <f t="shared" si="307"/>
        <v>0</v>
      </c>
      <c r="V308" s="34">
        <f t="shared" si="308"/>
        <v>274000</v>
      </c>
      <c r="W308" s="43">
        <v>54800</v>
      </c>
      <c r="X308" s="34">
        <f t="shared" si="309"/>
        <v>20030.976000000002</v>
      </c>
      <c r="Y308" s="34">
        <f t="shared" si="310"/>
        <v>100154.88</v>
      </c>
      <c r="Z308" s="34">
        <f t="shared" si="311"/>
        <v>49313.000000000007</v>
      </c>
      <c r="AA308" s="48">
        <v>44830</v>
      </c>
      <c r="AB308" s="36"/>
      <c r="AC308" s="204">
        <f t="shared" si="319"/>
        <v>4620</v>
      </c>
      <c r="AD308" s="149">
        <v>7.8E-2</v>
      </c>
      <c r="AE308" s="31">
        <f t="shared" ref="AE308:AE309" si="325">4825*(P308+S308)</f>
        <v>24125</v>
      </c>
      <c r="AF308" s="28">
        <f t="shared" si="313"/>
        <v>0.16604744525547444</v>
      </c>
      <c r="AG308" s="34">
        <f t="shared" si="314"/>
        <v>45497.029999999992</v>
      </c>
      <c r="AH308" s="34">
        <f t="shared" si="315"/>
        <v>12834.808999999999</v>
      </c>
      <c r="AI308" s="34">
        <f t="shared" si="316"/>
        <v>115513.28099999999</v>
      </c>
      <c r="AJ308" s="46">
        <f t="shared" si="317"/>
        <v>66200.280999999988</v>
      </c>
      <c r="AK308" s="40">
        <v>81</v>
      </c>
      <c r="AL308" s="41">
        <f t="shared" si="318"/>
        <v>104.328</v>
      </c>
      <c r="AM308" s="36">
        <v>14047</v>
      </c>
      <c r="AN308" s="284">
        <v>76</v>
      </c>
      <c r="AO308" s="26"/>
      <c r="AP308" s="26"/>
      <c r="AQ308" s="27"/>
      <c r="AR308" s="27"/>
      <c r="AS308" s="27"/>
      <c r="AT308" s="27"/>
      <c r="AU308" s="27"/>
      <c r="AV308" s="27"/>
      <c r="AW308" s="26"/>
      <c r="AX308" s="26"/>
      <c r="AY308" s="26"/>
      <c r="AZ308" s="26"/>
      <c r="BA308" s="26"/>
      <c r="BB308" s="26"/>
      <c r="BC308" s="26"/>
      <c r="BD308" s="26"/>
      <c r="BE308" s="26"/>
      <c r="BF308" s="26"/>
      <c r="BG308" s="26"/>
      <c r="BH308" s="26"/>
      <c r="BI308" s="26"/>
    </row>
    <row r="309" spans="1:61" ht="28.5" customHeight="1">
      <c r="A309" s="26"/>
      <c r="B309" s="324"/>
      <c r="C309" s="42" t="s">
        <v>116</v>
      </c>
      <c r="D309" s="28">
        <f t="shared" si="302"/>
        <v>0.26087345679012341</v>
      </c>
      <c r="E309" s="166">
        <v>0.45300000000000001</v>
      </c>
      <c r="F309" s="30">
        <f t="shared" si="303"/>
        <v>0.19212654320987657</v>
      </c>
      <c r="G309" s="30">
        <f t="shared" si="304"/>
        <v>2.5423728813559324E-2</v>
      </c>
      <c r="H309" s="48"/>
      <c r="I309" s="48"/>
      <c r="J309" s="48"/>
      <c r="K309" s="210"/>
      <c r="L309" s="210"/>
      <c r="M309" s="210"/>
      <c r="N309" s="36"/>
      <c r="O309" s="36">
        <v>5</v>
      </c>
      <c r="P309" s="31">
        <f t="shared" si="305"/>
        <v>5</v>
      </c>
      <c r="Q309" s="36"/>
      <c r="R309" s="167">
        <v>3</v>
      </c>
      <c r="S309" s="36"/>
      <c r="T309" s="34">
        <f t="shared" si="306"/>
        <v>324000</v>
      </c>
      <c r="U309" s="31">
        <f t="shared" si="307"/>
        <v>0</v>
      </c>
      <c r="V309" s="34">
        <f t="shared" si="308"/>
        <v>324000</v>
      </c>
      <c r="W309" s="43">
        <v>64800</v>
      </c>
      <c r="X309" s="34">
        <f t="shared" si="309"/>
        <v>25224.192000000003</v>
      </c>
      <c r="Y309" s="34">
        <f t="shared" si="310"/>
        <v>126120.96000000002</v>
      </c>
      <c r="Z309" s="34">
        <f t="shared" si="311"/>
        <v>62249.000000000007</v>
      </c>
      <c r="AA309" s="48">
        <v>56590</v>
      </c>
      <c r="AB309" s="36"/>
      <c r="AC309" s="204">
        <f t="shared" si="319"/>
        <v>0</v>
      </c>
      <c r="AD309" s="149">
        <v>7.8E-2</v>
      </c>
      <c r="AE309" s="31">
        <f t="shared" si="325"/>
        <v>24125</v>
      </c>
      <c r="AF309" s="28">
        <f t="shared" si="313"/>
        <v>0.15245987654320986</v>
      </c>
      <c r="AG309" s="34">
        <f t="shared" si="314"/>
        <v>49397.029999999992</v>
      </c>
      <c r="AH309" s="34">
        <f t="shared" si="315"/>
        <v>14848.200999999997</v>
      </c>
      <c r="AI309" s="34">
        <f t="shared" si="316"/>
        <v>133633.80899999998</v>
      </c>
      <c r="AJ309" s="46">
        <f t="shared" si="317"/>
        <v>71384.808999999979</v>
      </c>
      <c r="AK309" s="40">
        <v>102</v>
      </c>
      <c r="AL309" s="41">
        <f t="shared" si="318"/>
        <v>131.376</v>
      </c>
      <c r="AM309" s="36">
        <v>50354</v>
      </c>
      <c r="AN309" s="284">
        <v>118</v>
      </c>
      <c r="AO309" s="26"/>
      <c r="AP309" s="26"/>
      <c r="AQ309" s="27"/>
      <c r="AR309" s="27"/>
      <c r="AS309" s="27"/>
      <c r="AT309" s="27"/>
      <c r="AU309" s="27"/>
      <c r="AV309" s="27"/>
      <c r="AW309" s="26"/>
      <c r="AX309" s="26"/>
      <c r="AY309" s="26"/>
      <c r="AZ309" s="26"/>
      <c r="BA309" s="26"/>
      <c r="BB309" s="26"/>
      <c r="BC309" s="26"/>
      <c r="BD309" s="26"/>
      <c r="BE309" s="26"/>
      <c r="BF309" s="26"/>
      <c r="BG309" s="26"/>
      <c r="BH309" s="26"/>
      <c r="BI309" s="26"/>
    </row>
    <row r="310" spans="1:61" ht="28.5" customHeight="1">
      <c r="A310" s="26"/>
      <c r="B310" s="200"/>
      <c r="C310" s="42" t="s">
        <v>117</v>
      </c>
      <c r="D310" s="28">
        <f t="shared" si="302"/>
        <v>0.33128031730850377</v>
      </c>
      <c r="E310" s="303">
        <v>0.51100000000000001</v>
      </c>
      <c r="F310" s="30">
        <f t="shared" si="303"/>
        <v>0.17971968269149624</v>
      </c>
      <c r="G310" s="30">
        <f t="shared" si="304"/>
        <v>2.4779735682819382E-2</v>
      </c>
      <c r="H310" s="48"/>
      <c r="I310" s="48"/>
      <c r="J310" s="48"/>
      <c r="K310" s="210"/>
      <c r="L310" s="210"/>
      <c r="M310" s="210"/>
      <c r="N310" s="36"/>
      <c r="O310" s="36">
        <v>76</v>
      </c>
      <c r="P310" s="31">
        <f t="shared" si="305"/>
        <v>76</v>
      </c>
      <c r="Q310" s="36">
        <v>8</v>
      </c>
      <c r="R310" s="167">
        <v>45</v>
      </c>
      <c r="S310" s="36"/>
      <c r="T310" s="34">
        <f t="shared" si="306"/>
        <v>1421960</v>
      </c>
      <c r="U310" s="31">
        <f t="shared" si="307"/>
        <v>0</v>
      </c>
      <c r="V310" s="34">
        <f t="shared" si="308"/>
        <v>1421960</v>
      </c>
      <c r="W310" s="43">
        <v>18710</v>
      </c>
      <c r="X310" s="34">
        <f t="shared" si="309"/>
        <v>4451.3280000000004</v>
      </c>
      <c r="Y310" s="34">
        <f t="shared" si="310"/>
        <v>338300.92800000001</v>
      </c>
      <c r="Z310" s="34">
        <f t="shared" si="311"/>
        <v>237074.2</v>
      </c>
      <c r="AA310" s="48">
        <v>215522</v>
      </c>
      <c r="AB310" s="36"/>
      <c r="AC310" s="204">
        <f t="shared" si="319"/>
        <v>18480</v>
      </c>
      <c r="AD310" s="149">
        <v>7.8E-2</v>
      </c>
      <c r="AE310" s="31">
        <f t="shared" ref="AE310:AE312" si="326">1900*(P310+S310)</f>
        <v>144400</v>
      </c>
      <c r="AF310" s="28">
        <f t="shared" si="313"/>
        <v>0.17954997327632283</v>
      </c>
      <c r="AG310" s="34">
        <f t="shared" si="314"/>
        <v>255312.91</v>
      </c>
      <c r="AH310" s="34">
        <f t="shared" si="315"/>
        <v>82834.616199999989</v>
      </c>
      <c r="AI310" s="34">
        <f t="shared" si="316"/>
        <v>745511.54579999996</v>
      </c>
      <c r="AJ310" s="46">
        <f t="shared" si="317"/>
        <v>508437.34579999995</v>
      </c>
      <c r="AK310" s="40">
        <v>18</v>
      </c>
      <c r="AL310" s="41">
        <f t="shared" si="318"/>
        <v>23.184000000000001</v>
      </c>
      <c r="AM310" s="36">
        <v>374447</v>
      </c>
      <c r="AN310" s="284">
        <v>1816</v>
      </c>
      <c r="AO310" s="26"/>
      <c r="AP310" s="26"/>
      <c r="AQ310" s="27"/>
      <c r="AR310" s="27"/>
      <c r="AS310" s="27"/>
      <c r="AT310" s="27"/>
      <c r="AU310" s="27"/>
      <c r="AV310" s="27"/>
      <c r="AW310" s="26"/>
      <c r="AX310" s="26"/>
      <c r="AY310" s="26"/>
      <c r="AZ310" s="26"/>
      <c r="BA310" s="26"/>
      <c r="BB310" s="26"/>
      <c r="BC310" s="26"/>
      <c r="BD310" s="26"/>
      <c r="BE310" s="26"/>
      <c r="BF310" s="26"/>
      <c r="BG310" s="26"/>
      <c r="BH310" s="26"/>
      <c r="BI310" s="26"/>
    </row>
    <row r="311" spans="1:61" ht="28.5" customHeight="1">
      <c r="A311" s="26"/>
      <c r="B311" s="200"/>
      <c r="C311" s="42" t="s">
        <v>31</v>
      </c>
      <c r="D311" s="28">
        <f t="shared" si="302"/>
        <v>-7.6733333333333376E-2</v>
      </c>
      <c r="E311" s="303">
        <v>0.44700000000000001</v>
      </c>
      <c r="F311" s="30">
        <f t="shared" si="303"/>
        <v>0.52373333333333338</v>
      </c>
      <c r="G311" s="30">
        <f t="shared" si="304"/>
        <v>6.7567567567567571E-2</v>
      </c>
      <c r="H311" s="48"/>
      <c r="I311" s="48"/>
      <c r="J311" s="48"/>
      <c r="K311" s="210"/>
      <c r="L311" s="210"/>
      <c r="M311" s="210"/>
      <c r="N311" s="36"/>
      <c r="O311" s="36">
        <v>13</v>
      </c>
      <c r="P311" s="31">
        <f t="shared" si="305"/>
        <v>5</v>
      </c>
      <c r="Q311" s="36"/>
      <c r="R311" s="167">
        <v>5</v>
      </c>
      <c r="S311" s="36">
        <v>8</v>
      </c>
      <c r="T311" s="34">
        <f t="shared" si="306"/>
        <v>257400</v>
      </c>
      <c r="U311" s="31">
        <f t="shared" si="307"/>
        <v>158400</v>
      </c>
      <c r="V311" s="34">
        <f t="shared" si="308"/>
        <v>99000</v>
      </c>
      <c r="W311" s="43">
        <v>19800</v>
      </c>
      <c r="X311" s="34">
        <f t="shared" si="309"/>
        <v>7418.88</v>
      </c>
      <c r="Y311" s="34">
        <f t="shared" si="310"/>
        <v>37094.400000000001</v>
      </c>
      <c r="Z311" s="34">
        <f t="shared" si="311"/>
        <v>51849.600000000006</v>
      </c>
      <c r="AA311" s="48">
        <v>47136</v>
      </c>
      <c r="AB311" s="286">
        <f>((19800*0.1)+(19800*0.015)+2100+2200)*8</f>
        <v>52616</v>
      </c>
      <c r="AC311" s="204">
        <f t="shared" si="319"/>
        <v>0</v>
      </c>
      <c r="AD311" s="149">
        <v>0.08</v>
      </c>
      <c r="AE311" s="31">
        <f t="shared" si="326"/>
        <v>24700</v>
      </c>
      <c r="AF311" s="28">
        <f t="shared" si="313"/>
        <v>0.32949494949494951</v>
      </c>
      <c r="AG311" s="34">
        <f t="shared" si="314"/>
        <v>32620.03</v>
      </c>
      <c r="AH311" s="34">
        <f t="shared" si="315"/>
        <v>2928.5570000000007</v>
      </c>
      <c r="AI311" s="34">
        <f t="shared" si="316"/>
        <v>26357.013000000006</v>
      </c>
      <c r="AJ311" s="46">
        <f t="shared" si="317"/>
        <v>-25492.587</v>
      </c>
      <c r="AK311" s="40">
        <v>30</v>
      </c>
      <c r="AL311" s="41">
        <f t="shared" si="318"/>
        <v>38.64</v>
      </c>
      <c r="AM311" s="36">
        <v>85988</v>
      </c>
      <c r="AN311" s="284">
        <v>74</v>
      </c>
      <c r="AO311" s="26"/>
      <c r="AP311" s="26"/>
      <c r="AQ311" s="27"/>
      <c r="AR311" s="27"/>
      <c r="AS311" s="27"/>
      <c r="AT311" s="27"/>
      <c r="AU311" s="27"/>
      <c r="AV311" s="27"/>
      <c r="AW311" s="26"/>
      <c r="AX311" s="26"/>
      <c r="AY311" s="26"/>
      <c r="AZ311" s="26"/>
      <c r="BA311" s="26"/>
      <c r="BB311" s="26"/>
      <c r="BC311" s="26"/>
      <c r="BD311" s="26"/>
      <c r="BE311" s="26"/>
      <c r="BF311" s="26"/>
      <c r="BG311" s="26"/>
      <c r="BH311" s="26"/>
      <c r="BI311" s="26"/>
    </row>
    <row r="312" spans="1:61" ht="28.5" customHeight="1">
      <c r="A312" s="26"/>
      <c r="B312" s="200"/>
      <c r="C312" s="42" t="s">
        <v>118</v>
      </c>
      <c r="D312" s="28" t="e">
        <f t="shared" si="302"/>
        <v>#DIV/0!</v>
      </c>
      <c r="E312" s="303">
        <v>0.36599999999999999</v>
      </c>
      <c r="F312" s="30" t="e">
        <f t="shared" si="303"/>
        <v>#DIV/0!</v>
      </c>
      <c r="G312" s="30" t="e">
        <f t="shared" si="304"/>
        <v>#DIV/0!</v>
      </c>
      <c r="H312" s="48"/>
      <c r="I312" s="48"/>
      <c r="J312" s="48"/>
      <c r="K312" s="210"/>
      <c r="L312" s="210"/>
      <c r="M312" s="210"/>
      <c r="N312" s="36"/>
      <c r="O312" s="36">
        <v>0</v>
      </c>
      <c r="P312" s="31">
        <f t="shared" si="305"/>
        <v>0</v>
      </c>
      <c r="Q312" s="36"/>
      <c r="R312" s="167">
        <v>0</v>
      </c>
      <c r="S312" s="36"/>
      <c r="T312" s="34">
        <f t="shared" si="306"/>
        <v>0</v>
      </c>
      <c r="U312" s="31">
        <f t="shared" si="307"/>
        <v>0</v>
      </c>
      <c r="V312" s="34">
        <f t="shared" si="308"/>
        <v>0</v>
      </c>
      <c r="W312" s="43">
        <v>24800</v>
      </c>
      <c r="X312" s="34">
        <f t="shared" si="309"/>
        <v>10386.432000000001</v>
      </c>
      <c r="Y312" s="34">
        <f t="shared" si="310"/>
        <v>0</v>
      </c>
      <c r="Z312" s="34">
        <f t="shared" si="311"/>
        <v>0</v>
      </c>
      <c r="AA312" s="48">
        <v>0</v>
      </c>
      <c r="AB312" s="286"/>
      <c r="AC312" s="204">
        <f t="shared" si="319"/>
        <v>0</v>
      </c>
      <c r="AD312" s="149">
        <v>0.1</v>
      </c>
      <c r="AE312" s="31">
        <f t="shared" si="326"/>
        <v>0</v>
      </c>
      <c r="AF312" s="28" t="e">
        <f t="shared" si="313"/>
        <v>#DIV/0!</v>
      </c>
      <c r="AG312" s="34" t="e">
        <f t="shared" si="314"/>
        <v>#DIV/0!</v>
      </c>
      <c r="AH312" s="34" t="e">
        <f t="shared" si="315"/>
        <v>#DIV/0!</v>
      </c>
      <c r="AI312" s="34" t="e">
        <f t="shared" si="316"/>
        <v>#DIV/0!</v>
      </c>
      <c r="AJ312" s="46" t="e">
        <f t="shared" si="317"/>
        <v>#DIV/0!</v>
      </c>
      <c r="AK312" s="40">
        <v>42</v>
      </c>
      <c r="AL312" s="41">
        <f t="shared" si="318"/>
        <v>54.096000000000004</v>
      </c>
      <c r="AM312" s="36">
        <v>0</v>
      </c>
      <c r="AN312" s="284"/>
      <c r="AO312" s="26"/>
      <c r="AP312" s="26"/>
      <c r="AQ312" s="27"/>
      <c r="AR312" s="27"/>
      <c r="AS312" s="27"/>
      <c r="AT312" s="27"/>
      <c r="AU312" s="27"/>
      <c r="AV312" s="27"/>
      <c r="AW312" s="26"/>
      <c r="AX312" s="26"/>
      <c r="AY312" s="26"/>
      <c r="AZ312" s="26"/>
      <c r="BA312" s="26"/>
      <c r="BB312" s="26"/>
      <c r="BC312" s="26"/>
      <c r="BD312" s="26"/>
      <c r="BE312" s="26"/>
      <c r="BF312" s="26"/>
      <c r="BG312" s="26"/>
      <c r="BH312" s="26"/>
      <c r="BI312" s="26"/>
    </row>
    <row r="313" spans="1:61" ht="28.5" customHeight="1">
      <c r="A313" s="26"/>
      <c r="B313" s="200"/>
      <c r="C313" s="42" t="s">
        <v>119</v>
      </c>
      <c r="D313" s="28">
        <f t="shared" si="302"/>
        <v>0.33872177419354838</v>
      </c>
      <c r="E313" s="166">
        <v>0.433</v>
      </c>
      <c r="F313" s="30">
        <f t="shared" si="303"/>
        <v>9.4278225806451621E-2</v>
      </c>
      <c r="G313" s="30">
        <f t="shared" si="304"/>
        <v>0.13636363636363635</v>
      </c>
      <c r="H313" s="48"/>
      <c r="I313" s="48"/>
      <c r="J313" s="48"/>
      <c r="K313" s="210"/>
      <c r="L313" s="210"/>
      <c r="M313" s="210"/>
      <c r="N313" s="36"/>
      <c r="O313" s="36">
        <v>22</v>
      </c>
      <c r="P313" s="31">
        <f t="shared" si="305"/>
        <v>22</v>
      </c>
      <c r="Q313" s="36">
        <v>3</v>
      </c>
      <c r="R313" s="167">
        <v>6</v>
      </c>
      <c r="S313" s="36"/>
      <c r="T313" s="34">
        <f t="shared" si="306"/>
        <v>545600</v>
      </c>
      <c r="U313" s="31">
        <f t="shared" si="307"/>
        <v>0</v>
      </c>
      <c r="V313" s="34">
        <f t="shared" si="308"/>
        <v>545600</v>
      </c>
      <c r="W313" s="43">
        <v>24800</v>
      </c>
      <c r="X313" s="34">
        <f t="shared" si="309"/>
        <v>7666.1760000000013</v>
      </c>
      <c r="Y313" s="34">
        <f t="shared" si="310"/>
        <v>168655.87200000003</v>
      </c>
      <c r="Z313" s="34">
        <f t="shared" si="311"/>
        <v>44508.200000000004</v>
      </c>
      <c r="AA313" s="48">
        <v>40462</v>
      </c>
      <c r="AB313" s="36"/>
      <c r="AC313" s="204">
        <f t="shared" si="319"/>
        <v>6930</v>
      </c>
      <c r="AD313" s="149">
        <v>0.108</v>
      </c>
      <c r="AE313" s="31">
        <f>3150*(P313+S313)</f>
        <v>69300</v>
      </c>
      <c r="AF313" s="28">
        <f t="shared" si="313"/>
        <v>0.23501612903225805</v>
      </c>
      <c r="AG313" s="34">
        <f t="shared" si="314"/>
        <v>128224.82999999999</v>
      </c>
      <c r="AH313" s="34">
        <f t="shared" si="315"/>
        <v>24871.929799999994</v>
      </c>
      <c r="AI313" s="34">
        <f t="shared" si="316"/>
        <v>223847.36819999997</v>
      </c>
      <c r="AJ313" s="46">
        <f t="shared" si="317"/>
        <v>179339.16819999996</v>
      </c>
      <c r="AK313" s="40">
        <v>31</v>
      </c>
      <c r="AL313" s="41">
        <f t="shared" si="318"/>
        <v>39.928000000000004</v>
      </c>
      <c r="AM313" s="36">
        <v>7956</v>
      </c>
      <c r="AN313" s="284">
        <v>44</v>
      </c>
      <c r="AO313" s="26"/>
      <c r="AP313" s="26"/>
      <c r="AQ313" s="27"/>
      <c r="AR313" s="27"/>
      <c r="AS313" s="27"/>
      <c r="AT313" s="27"/>
      <c r="AU313" s="27"/>
      <c r="AV313" s="27"/>
      <c r="AW313" s="26"/>
      <c r="AX313" s="26"/>
      <c r="AY313" s="26"/>
      <c r="AZ313" s="26"/>
      <c r="BA313" s="26"/>
      <c r="BB313" s="26"/>
      <c r="BC313" s="26"/>
      <c r="BD313" s="26"/>
      <c r="BE313" s="26"/>
      <c r="BF313" s="26"/>
      <c r="BG313" s="26"/>
      <c r="BH313" s="26"/>
      <c r="BI313" s="26"/>
    </row>
    <row r="314" spans="1:61" ht="28.5" customHeight="1">
      <c r="A314" s="26"/>
      <c r="B314" s="200"/>
      <c r="C314" s="239" t="s">
        <v>120</v>
      </c>
      <c r="D314" s="28">
        <f t="shared" si="302"/>
        <v>-0.37141834170854277</v>
      </c>
      <c r="E314" s="166">
        <v>0.41199999999999998</v>
      </c>
      <c r="F314" s="30">
        <f t="shared" si="303"/>
        <v>0.78341834170854274</v>
      </c>
      <c r="G314" s="30">
        <f t="shared" si="304"/>
        <v>9.3023255813953487E-2</v>
      </c>
      <c r="H314" s="48"/>
      <c r="I314" s="48"/>
      <c r="J314" s="48"/>
      <c r="K314" s="210"/>
      <c r="L314" s="210"/>
      <c r="M314" s="210"/>
      <c r="N314" s="36"/>
      <c r="O314" s="36">
        <v>2</v>
      </c>
      <c r="P314" s="31">
        <f t="shared" si="305"/>
        <v>2</v>
      </c>
      <c r="Q314" s="36"/>
      <c r="R314" s="167">
        <v>4</v>
      </c>
      <c r="S314" s="36"/>
      <c r="T314" s="34">
        <f t="shared" si="306"/>
        <v>79600</v>
      </c>
      <c r="U314" s="31">
        <f t="shared" si="307"/>
        <v>0</v>
      </c>
      <c r="V314" s="34">
        <f t="shared" si="308"/>
        <v>79600</v>
      </c>
      <c r="W314" s="43">
        <v>39800</v>
      </c>
      <c r="X314" s="34">
        <f t="shared" si="309"/>
        <v>7666.1760000000013</v>
      </c>
      <c r="Y314" s="34">
        <f t="shared" si="310"/>
        <v>15332.352000000003</v>
      </c>
      <c r="Z314" s="34">
        <f t="shared" si="311"/>
        <v>62360.100000000006</v>
      </c>
      <c r="AA314" s="48">
        <v>56691</v>
      </c>
      <c r="AB314" s="36"/>
      <c r="AC314" s="204">
        <f t="shared" si="319"/>
        <v>0</v>
      </c>
      <c r="AD314" s="152">
        <v>0.108</v>
      </c>
      <c r="AE314" s="31">
        <f>3550*(P314+S314)</f>
        <v>7100</v>
      </c>
      <c r="AF314" s="28">
        <f t="shared" si="313"/>
        <v>0.1971959798994975</v>
      </c>
      <c r="AG314" s="34">
        <f t="shared" si="314"/>
        <v>15696.830000000002</v>
      </c>
      <c r="AH314" s="34">
        <f t="shared" si="315"/>
        <v>4857.0817999999999</v>
      </c>
      <c r="AI314" s="34">
        <f t="shared" si="316"/>
        <v>43713.736199999999</v>
      </c>
      <c r="AJ314" s="46">
        <f t="shared" si="317"/>
        <v>-18646.363800000006</v>
      </c>
      <c r="AK314" s="40">
        <v>31</v>
      </c>
      <c r="AL314" s="41">
        <f t="shared" si="318"/>
        <v>39.928000000000004</v>
      </c>
      <c r="AM314" s="36">
        <v>8312</v>
      </c>
      <c r="AN314" s="284">
        <v>43</v>
      </c>
      <c r="AO314" s="26"/>
      <c r="AP314" s="26"/>
      <c r="AQ314" s="27"/>
      <c r="AR314" s="27"/>
      <c r="AS314" s="27"/>
      <c r="AT314" s="27"/>
      <c r="AU314" s="27"/>
      <c r="AV314" s="27"/>
      <c r="AW314" s="26"/>
      <c r="AX314" s="26"/>
      <c r="AY314" s="26"/>
      <c r="AZ314" s="26"/>
      <c r="BA314" s="26"/>
      <c r="BB314" s="26"/>
      <c r="BC314" s="26"/>
      <c r="BD314" s="26"/>
      <c r="BE314" s="26"/>
      <c r="BF314" s="26"/>
      <c r="BG314" s="26"/>
      <c r="BH314" s="26"/>
      <c r="BI314" s="26"/>
    </row>
    <row r="315" spans="1:61" ht="28.5" customHeight="1">
      <c r="A315" s="26"/>
      <c r="B315" s="216"/>
      <c r="C315" s="217"/>
      <c r="D315" s="298">
        <f>AJ315/V315</f>
        <v>0.18076856500926317</v>
      </c>
      <c r="E315" s="298">
        <f>AI315/V315</f>
        <v>0.40486333264956464</v>
      </c>
      <c r="F315" s="52">
        <f>(Z315)/V315</f>
        <v>0.20158855683460331</v>
      </c>
      <c r="G315" s="219"/>
      <c r="H315" s="55"/>
      <c r="I315" s="55"/>
      <c r="J315" s="55"/>
      <c r="K315" s="55"/>
      <c r="L315" s="55"/>
      <c r="M315" s="55"/>
      <c r="N315" s="130"/>
      <c r="O315" s="130">
        <f t="shared" ref="O315:R315" si="327">SUM(O293:O314)</f>
        <v>410</v>
      </c>
      <c r="P315" s="130">
        <f t="shared" si="327"/>
        <v>389</v>
      </c>
      <c r="Q315" s="130">
        <f t="shared" si="327"/>
        <v>56</v>
      </c>
      <c r="R315" s="130">
        <f t="shared" si="327"/>
        <v>273</v>
      </c>
      <c r="S315" s="36"/>
      <c r="T315" s="130">
        <f t="shared" ref="T315:V315" si="328">SUM(T293:T314)</f>
        <v>12500460</v>
      </c>
      <c r="U315" s="130">
        <f t="shared" si="328"/>
        <v>722600</v>
      </c>
      <c r="V315" s="130">
        <f t="shared" si="328"/>
        <v>11777860</v>
      </c>
      <c r="W315" s="55"/>
      <c r="X315" s="130">
        <f t="shared" ref="X315:AC315" si="329">SUM(X293:X314)</f>
        <v>314387.4047999999</v>
      </c>
      <c r="Y315" s="130">
        <f t="shared" si="329"/>
        <v>4157429.0687999995</v>
      </c>
      <c r="Z315" s="130">
        <f t="shared" si="329"/>
        <v>2374281.8000000007</v>
      </c>
      <c r="AA315" s="130">
        <f t="shared" si="329"/>
        <v>2158438</v>
      </c>
      <c r="AB315" s="286">
        <f t="shared" si="329"/>
        <v>265075</v>
      </c>
      <c r="AC315" s="130">
        <f t="shared" si="329"/>
        <v>127428</v>
      </c>
      <c r="AD315" s="154">
        <v>0.09</v>
      </c>
      <c r="AE315" s="130">
        <f>SUM(AE293:AE314)</f>
        <v>1262175</v>
      </c>
      <c r="AF315" s="53">
        <f t="shared" si="313"/>
        <v>0.19716505375339832</v>
      </c>
      <c r="AG315" s="56">
        <f t="shared" si="314"/>
        <v>2322182.4299999997</v>
      </c>
      <c r="AH315" s="56">
        <f t="shared" si="315"/>
        <v>529824.85012000008</v>
      </c>
      <c r="AI315" s="56">
        <f t="shared" si="316"/>
        <v>4768423.6510800011</v>
      </c>
      <c r="AJ315" s="46">
        <f>AI315-Z315-AB315</f>
        <v>2129066.8510800004</v>
      </c>
      <c r="AK315" s="54"/>
      <c r="AL315" s="222"/>
      <c r="AM315" s="131">
        <f t="shared" ref="AM315:AN315" si="330">SUM(AM293:AM294)</f>
        <v>447231</v>
      </c>
      <c r="AN315" s="132">
        <f t="shared" si="330"/>
        <v>1501</v>
      </c>
      <c r="AO315" s="26"/>
      <c r="AP315" s="26"/>
      <c r="AQ315" s="27"/>
      <c r="AR315" s="27"/>
      <c r="AS315" s="27"/>
      <c r="AT315" s="27"/>
      <c r="AU315" s="27"/>
      <c r="AV315" s="27"/>
      <c r="AW315" s="26"/>
      <c r="AX315" s="26"/>
      <c r="AY315" s="26"/>
      <c r="AZ315" s="26"/>
      <c r="BA315" s="26"/>
      <c r="BB315" s="26"/>
      <c r="BC315" s="26"/>
      <c r="BD315" s="26"/>
      <c r="BE315" s="26"/>
      <c r="BF315" s="26"/>
      <c r="BG315" s="26"/>
      <c r="BH315" s="26"/>
      <c r="BI315" s="26"/>
    </row>
    <row r="316" spans="1:61" ht="28.5" customHeight="1">
      <c r="A316" s="1"/>
      <c r="B316" s="290"/>
      <c r="C316" s="291"/>
      <c r="D316" s="2"/>
      <c r="E316" s="2"/>
      <c r="F316" s="2"/>
      <c r="G316" s="2"/>
      <c r="H316" s="2"/>
      <c r="I316" s="2"/>
      <c r="J316" s="2"/>
      <c r="K316" s="2"/>
      <c r="L316" s="2"/>
      <c r="M316" s="2"/>
      <c r="N316" s="292"/>
      <c r="O316" s="292"/>
      <c r="P316" s="2"/>
      <c r="Q316" s="2"/>
      <c r="R316" s="2"/>
      <c r="S316" s="293"/>
      <c r="T316" s="2"/>
      <c r="U316" s="2"/>
      <c r="V316" s="2"/>
      <c r="W316" s="2"/>
      <c r="X316" s="2"/>
      <c r="Y316" s="2"/>
      <c r="Z316" s="2"/>
      <c r="AA316" s="2"/>
      <c r="AB316" s="2"/>
      <c r="AC316" s="2"/>
      <c r="AD316" s="2"/>
      <c r="AE316" s="2"/>
      <c r="AF316" s="1"/>
      <c r="AG316" s="1"/>
      <c r="AH316" s="1"/>
      <c r="AI316" s="1"/>
      <c r="AJ316" s="1"/>
      <c r="AK316" s="1"/>
      <c r="AL316" s="1"/>
      <c r="AM316" s="1"/>
      <c r="AN316" s="1"/>
      <c r="AO316" s="1"/>
      <c r="AP316" s="1"/>
      <c r="AQ316" s="1"/>
      <c r="AR316" s="1"/>
      <c r="AS316" s="1"/>
      <c r="AT316" s="7"/>
      <c r="AU316" s="7"/>
      <c r="AV316" s="7"/>
      <c r="AW316" s="47"/>
      <c r="AX316" s="47"/>
      <c r="AY316" s="47"/>
      <c r="AZ316" s="47"/>
      <c r="BA316" s="47"/>
      <c r="BB316" s="47"/>
      <c r="BC316" s="47"/>
      <c r="BD316" s="47"/>
      <c r="BE316" s="47"/>
      <c r="BF316" s="47"/>
      <c r="BG316" s="47"/>
      <c r="BH316" s="47"/>
      <c r="BI316" s="47"/>
    </row>
    <row r="317" spans="1:61" ht="28.5" customHeight="1">
      <c r="A317" s="26"/>
      <c r="B317" s="189"/>
      <c r="C317" s="134">
        <v>45882</v>
      </c>
      <c r="D317" s="190" t="s">
        <v>0</v>
      </c>
      <c r="E317" s="190" t="s">
        <v>1</v>
      </c>
      <c r="F317" s="190" t="s">
        <v>2</v>
      </c>
      <c r="G317" s="190" t="s">
        <v>3</v>
      </c>
      <c r="H317" s="191" t="s">
        <v>4</v>
      </c>
      <c r="I317" s="192" t="s">
        <v>5</v>
      </c>
      <c r="J317" s="192" t="s">
        <v>90</v>
      </c>
      <c r="K317" s="193"/>
      <c r="L317" s="193" t="s">
        <v>6</v>
      </c>
      <c r="M317" s="194" t="s">
        <v>7</v>
      </c>
      <c r="N317" s="123"/>
      <c r="O317" s="123" t="s">
        <v>8</v>
      </c>
      <c r="P317" s="123" t="s">
        <v>9</v>
      </c>
      <c r="Q317" s="15" t="s">
        <v>10</v>
      </c>
      <c r="R317" s="123" t="s">
        <v>92</v>
      </c>
      <c r="S317" s="196" t="s">
        <v>11</v>
      </c>
      <c r="T317" s="17" t="s">
        <v>12</v>
      </c>
      <c r="U317" s="17" t="s">
        <v>13</v>
      </c>
      <c r="V317" s="17" t="s">
        <v>14</v>
      </c>
      <c r="W317" s="17" t="s">
        <v>15</v>
      </c>
      <c r="X317" s="17" t="s">
        <v>16</v>
      </c>
      <c r="Y317" s="17" t="s">
        <v>17</v>
      </c>
      <c r="Z317" s="19" t="s">
        <v>18</v>
      </c>
      <c r="AA317" s="19" t="s">
        <v>19</v>
      </c>
      <c r="AB317" s="20" t="s">
        <v>20</v>
      </c>
      <c r="AC317" s="22" t="s">
        <v>93</v>
      </c>
      <c r="AD317" s="197" t="s">
        <v>21</v>
      </c>
      <c r="AE317" s="21" t="s">
        <v>22</v>
      </c>
      <c r="AF317" s="23" t="s">
        <v>23</v>
      </c>
      <c r="AG317" s="23" t="s">
        <v>21</v>
      </c>
      <c r="AH317" s="23" t="s">
        <v>24</v>
      </c>
      <c r="AI317" s="24" t="s">
        <v>26</v>
      </c>
      <c r="AJ317" s="23" t="s">
        <v>27</v>
      </c>
      <c r="AK317" s="21" t="s">
        <v>147</v>
      </c>
      <c r="AL317" s="282" t="s">
        <v>148</v>
      </c>
      <c r="AM317" s="124" t="s">
        <v>94</v>
      </c>
      <c r="AN317" s="125" t="s">
        <v>95</v>
      </c>
      <c r="AO317" s="26"/>
      <c r="AP317" s="26"/>
      <c r="AQ317" s="27"/>
      <c r="AR317" s="27"/>
      <c r="AS317" s="27"/>
      <c r="AT317" s="27"/>
      <c r="AU317" s="27"/>
      <c r="AV317" s="27"/>
      <c r="AW317" s="26"/>
      <c r="AX317" s="26"/>
      <c r="AY317" s="26"/>
      <c r="AZ317" s="26"/>
      <c r="BA317" s="26"/>
      <c r="BB317" s="26"/>
      <c r="BC317" s="26"/>
      <c r="BD317" s="26"/>
      <c r="BE317" s="26"/>
      <c r="BF317" s="26"/>
      <c r="BG317" s="26"/>
      <c r="BH317" s="26"/>
      <c r="BI317" s="26"/>
    </row>
    <row r="318" spans="1:61" ht="28.5" customHeight="1">
      <c r="A318" s="26"/>
      <c r="B318" s="200"/>
      <c r="C318" s="42" t="s">
        <v>107</v>
      </c>
      <c r="D318" s="28">
        <f t="shared" ref="D318:D339" si="331">E318-F318</f>
        <v>0.17157983517086603</v>
      </c>
      <c r="E318" s="166">
        <v>0.39700000000000002</v>
      </c>
      <c r="F318" s="30">
        <f t="shared" ref="F318:F339" si="332">(Z318+AC318)/V318</f>
        <v>0.22542016482913399</v>
      </c>
      <c r="G318" s="30">
        <f t="shared" ref="G318:G339" si="333">R318/AN318</f>
        <v>7.1470415934387813E-2</v>
      </c>
      <c r="H318" s="48"/>
      <c r="I318" s="48"/>
      <c r="J318" s="48"/>
      <c r="K318" s="48"/>
      <c r="L318" s="48"/>
      <c r="M318" s="48"/>
      <c r="N318" s="202"/>
      <c r="O318" s="202">
        <v>163</v>
      </c>
      <c r="P318" s="31">
        <f t="shared" ref="P318:P339" si="334">O318-S318</f>
        <v>163</v>
      </c>
      <c r="Q318" s="202">
        <v>17</v>
      </c>
      <c r="R318" s="203">
        <v>122</v>
      </c>
      <c r="S318" s="36"/>
      <c r="T318" s="34">
        <f t="shared" ref="T318:T339" si="335">W318*O318</f>
        <v>4282010</v>
      </c>
      <c r="U318" s="31">
        <f t="shared" ref="U318:U339" si="336">W318*S318</f>
        <v>0</v>
      </c>
      <c r="V318" s="34">
        <f t="shared" ref="V318:V339" si="337">T318-U318</f>
        <v>4282010</v>
      </c>
      <c r="W318" s="43">
        <v>26270</v>
      </c>
      <c r="X318" s="34">
        <f t="shared" ref="X318:X339" si="338">AL318*$A$2</f>
        <v>9891.84</v>
      </c>
      <c r="Y318" s="34">
        <f t="shared" ref="Y318:Y339" si="339">X318*P318</f>
        <v>1612369.9199999999</v>
      </c>
      <c r="Z318" s="34">
        <f t="shared" ref="Z318:Z339" si="340">AA318*1.1</f>
        <v>928327.4</v>
      </c>
      <c r="AA318" s="49">
        <v>843934</v>
      </c>
      <c r="AB318" s="36"/>
      <c r="AC318" s="204">
        <f t="shared" ref="AC318:AC319" si="341">(1072+1100)*Q318</f>
        <v>36924</v>
      </c>
      <c r="AD318" s="149">
        <v>0.1</v>
      </c>
      <c r="AE318" s="31">
        <f>3050*(P318+S318)</f>
        <v>497150</v>
      </c>
      <c r="AF318" s="28">
        <f t="shared" ref="AF318:AF340" si="342">AD318+(AE318/V318)</f>
        <v>0.2161020175104682</v>
      </c>
      <c r="AG318" s="34">
        <f t="shared" ref="AG318:AG340" si="343">V318*AF318+3%</f>
        <v>925351.03</v>
      </c>
      <c r="AH318" s="34">
        <f t="shared" ref="AH318:AH340" si="344">(V318)*10%-(Y318+AG318)*10%</f>
        <v>174428.90499999997</v>
      </c>
      <c r="AI318" s="34">
        <f t="shared" ref="AI318:AI340" si="345">V318-(Y318+AG318+AH318)</f>
        <v>1569860.145</v>
      </c>
      <c r="AJ318" s="46">
        <f t="shared" ref="AJ318:AJ339" si="346">AI318-Z318</f>
        <v>641532.745</v>
      </c>
      <c r="AK318" s="40">
        <v>40</v>
      </c>
      <c r="AL318" s="41">
        <f t="shared" ref="AL318:AL339" si="347">(AK318*1.15)*1.12</f>
        <v>51.52</v>
      </c>
      <c r="AM318" s="202">
        <v>524636</v>
      </c>
      <c r="AN318" s="205">
        <v>1707</v>
      </c>
      <c r="AO318" s="26"/>
      <c r="AP318" s="26"/>
      <c r="AQ318" s="27"/>
      <c r="AR318" s="27"/>
      <c r="AS318" s="27"/>
      <c r="AT318" s="27"/>
      <c r="AU318" s="27"/>
      <c r="AV318" s="27"/>
      <c r="AW318" s="26"/>
      <c r="AX318" s="26"/>
      <c r="AY318" s="26"/>
      <c r="AZ318" s="26"/>
      <c r="BA318" s="26"/>
      <c r="BB318" s="26"/>
      <c r="BC318" s="26"/>
      <c r="BD318" s="26"/>
      <c r="BE318" s="26"/>
      <c r="BF318" s="26"/>
      <c r="BG318" s="26"/>
      <c r="BH318" s="26"/>
      <c r="BI318" s="26"/>
    </row>
    <row r="319" spans="1:61" ht="28.5" customHeight="1">
      <c r="A319" s="26"/>
      <c r="B319" s="200"/>
      <c r="C319" s="42" t="s">
        <v>108</v>
      </c>
      <c r="D319" s="28" t="e">
        <f t="shared" si="331"/>
        <v>#DIV/0!</v>
      </c>
      <c r="E319" s="166">
        <v>0.41199999999999998</v>
      </c>
      <c r="F319" s="30" t="e">
        <f t="shared" si="332"/>
        <v>#DIV/0!</v>
      </c>
      <c r="G319" s="30">
        <f t="shared" si="333"/>
        <v>0</v>
      </c>
      <c r="H319" s="48"/>
      <c r="I319" s="48"/>
      <c r="J319" s="48"/>
      <c r="K319" s="210"/>
      <c r="L319" s="210"/>
      <c r="M319" s="210"/>
      <c r="N319" s="202"/>
      <c r="O319" s="202">
        <v>0</v>
      </c>
      <c r="P319" s="31">
        <f t="shared" si="334"/>
        <v>0</v>
      </c>
      <c r="Q319" s="36"/>
      <c r="R319" s="203">
        <v>0</v>
      </c>
      <c r="S319" s="36"/>
      <c r="T319" s="34">
        <f t="shared" si="335"/>
        <v>0</v>
      </c>
      <c r="U319" s="31">
        <f t="shared" si="336"/>
        <v>0</v>
      </c>
      <c r="V319" s="34">
        <f t="shared" si="337"/>
        <v>0</v>
      </c>
      <c r="W319" s="43">
        <v>22900</v>
      </c>
      <c r="X319" s="34">
        <f t="shared" si="338"/>
        <v>7913.4719999999998</v>
      </c>
      <c r="Y319" s="34">
        <f t="shared" si="339"/>
        <v>0</v>
      </c>
      <c r="Z319" s="34">
        <f t="shared" si="340"/>
        <v>15920.300000000001</v>
      </c>
      <c r="AA319" s="49">
        <v>14473</v>
      </c>
      <c r="AB319" s="36"/>
      <c r="AC319" s="204">
        <f t="shared" si="341"/>
        <v>0</v>
      </c>
      <c r="AD319" s="149">
        <v>0.1</v>
      </c>
      <c r="AE319" s="31">
        <f>2950*(P319+S319)</f>
        <v>0</v>
      </c>
      <c r="AF319" s="28" t="e">
        <f t="shared" si="342"/>
        <v>#DIV/0!</v>
      </c>
      <c r="AG319" s="34" t="e">
        <f t="shared" si="343"/>
        <v>#DIV/0!</v>
      </c>
      <c r="AH319" s="34" t="e">
        <f t="shared" si="344"/>
        <v>#DIV/0!</v>
      </c>
      <c r="AI319" s="34" t="e">
        <f t="shared" si="345"/>
        <v>#DIV/0!</v>
      </c>
      <c r="AJ319" s="46" t="e">
        <f t="shared" si="346"/>
        <v>#DIV/0!</v>
      </c>
      <c r="AK319" s="40">
        <v>32</v>
      </c>
      <c r="AL319" s="41">
        <f t="shared" si="347"/>
        <v>41.216000000000001</v>
      </c>
      <c r="AM319" s="202">
        <v>60832</v>
      </c>
      <c r="AN319" s="205">
        <v>38</v>
      </c>
      <c r="AO319" s="26"/>
      <c r="AP319" s="26"/>
      <c r="AQ319" s="27"/>
      <c r="AR319" s="27"/>
      <c r="AS319" s="27"/>
      <c r="AT319" s="27"/>
      <c r="AU319" s="27"/>
      <c r="AV319" s="27"/>
      <c r="AW319" s="26"/>
      <c r="AX319" s="26"/>
      <c r="AY319" s="26"/>
      <c r="AZ319" s="26"/>
      <c r="BA319" s="26"/>
      <c r="BB319" s="26"/>
      <c r="BC319" s="26"/>
      <c r="BD319" s="26"/>
      <c r="BE319" s="26"/>
      <c r="BF319" s="26"/>
      <c r="BG319" s="26"/>
      <c r="BH319" s="26"/>
      <c r="BI319" s="26"/>
    </row>
    <row r="320" spans="1:61" ht="28.5" customHeight="1">
      <c r="A320" s="336"/>
      <c r="B320" s="323"/>
      <c r="C320" s="42" t="s">
        <v>109</v>
      </c>
      <c r="D320" s="28">
        <f t="shared" si="331"/>
        <v>0.13814301801801798</v>
      </c>
      <c r="E320" s="166">
        <v>0.378</v>
      </c>
      <c r="F320" s="30">
        <f t="shared" si="332"/>
        <v>0.23985698198198202</v>
      </c>
      <c r="G320" s="30">
        <f t="shared" si="333"/>
        <v>5.4054054054054057E-2</v>
      </c>
      <c r="H320" s="48"/>
      <c r="I320" s="48"/>
      <c r="J320" s="48"/>
      <c r="K320" s="48"/>
      <c r="L320" s="334"/>
      <c r="M320" s="48"/>
      <c r="N320" s="202"/>
      <c r="O320" s="202">
        <v>4</v>
      </c>
      <c r="P320" s="31">
        <f t="shared" si="334"/>
        <v>4</v>
      </c>
      <c r="Q320" s="36"/>
      <c r="R320" s="203">
        <v>4</v>
      </c>
      <c r="S320" s="36"/>
      <c r="T320" s="34">
        <f t="shared" si="335"/>
        <v>177600</v>
      </c>
      <c r="U320" s="31">
        <f t="shared" si="336"/>
        <v>0</v>
      </c>
      <c r="V320" s="34">
        <f t="shared" si="337"/>
        <v>177600</v>
      </c>
      <c r="W320" s="43">
        <v>44400</v>
      </c>
      <c r="X320" s="34">
        <f t="shared" si="338"/>
        <v>12278.2464</v>
      </c>
      <c r="Y320" s="34">
        <f t="shared" si="339"/>
        <v>49112.9856</v>
      </c>
      <c r="Z320" s="34">
        <f t="shared" si="340"/>
        <v>42598.600000000006</v>
      </c>
      <c r="AA320" s="49">
        <v>38726</v>
      </c>
      <c r="AB320" s="36"/>
      <c r="AC320" s="204">
        <f t="shared" ref="AC320:AC339" si="348">(1210+1100)*Q320</f>
        <v>0</v>
      </c>
      <c r="AD320" s="149">
        <v>0.11</v>
      </c>
      <c r="AE320" s="31">
        <f t="shared" ref="AE320:AE321" si="349">4150*(P320+S320)</f>
        <v>16600</v>
      </c>
      <c r="AF320" s="28">
        <f t="shared" si="342"/>
        <v>0.20346846846846847</v>
      </c>
      <c r="AG320" s="34">
        <f t="shared" si="343"/>
        <v>36136.03</v>
      </c>
      <c r="AH320" s="34">
        <f t="shared" si="344"/>
        <v>9235.0984399999998</v>
      </c>
      <c r="AI320" s="34">
        <f t="shared" si="345"/>
        <v>83115.88596</v>
      </c>
      <c r="AJ320" s="46">
        <f t="shared" si="346"/>
        <v>40517.285959999994</v>
      </c>
      <c r="AK320" s="40">
        <v>49.65</v>
      </c>
      <c r="AL320" s="41">
        <f t="shared" si="347"/>
        <v>63.949200000000005</v>
      </c>
      <c r="AM320" s="202">
        <v>44703</v>
      </c>
      <c r="AN320" s="205">
        <v>74</v>
      </c>
      <c r="AO320" s="26"/>
      <c r="AP320" s="26"/>
      <c r="AQ320" s="27"/>
      <c r="AR320" s="27"/>
      <c r="AS320" s="27"/>
      <c r="AT320" s="27"/>
      <c r="AU320" s="27"/>
      <c r="AV320" s="27"/>
      <c r="AW320" s="26"/>
      <c r="AX320" s="26"/>
      <c r="AY320" s="26"/>
      <c r="AZ320" s="26"/>
      <c r="BA320" s="26"/>
      <c r="BB320" s="26"/>
      <c r="BC320" s="26"/>
      <c r="BD320" s="26"/>
      <c r="BE320" s="26"/>
      <c r="BF320" s="26"/>
      <c r="BG320" s="26"/>
      <c r="BH320" s="26"/>
      <c r="BI320" s="26"/>
    </row>
    <row r="321" spans="1:61" ht="28.5" customHeight="1">
      <c r="A321" s="311"/>
      <c r="B321" s="324"/>
      <c r="C321" s="42" t="s">
        <v>110</v>
      </c>
      <c r="D321" s="28">
        <f t="shared" si="331"/>
        <v>0.1840213675213675</v>
      </c>
      <c r="E321" s="166">
        <v>0.317</v>
      </c>
      <c r="F321" s="30">
        <f t="shared" si="332"/>
        <v>0.13297863247863251</v>
      </c>
      <c r="G321" s="30">
        <f t="shared" si="333"/>
        <v>2.8089887640449437E-2</v>
      </c>
      <c r="H321" s="48"/>
      <c r="I321" s="48"/>
      <c r="J321" s="48"/>
      <c r="K321" s="48"/>
      <c r="L321" s="310"/>
      <c r="M321" s="48"/>
      <c r="N321" s="202"/>
      <c r="O321" s="202">
        <v>11</v>
      </c>
      <c r="P321" s="31">
        <f t="shared" si="334"/>
        <v>11</v>
      </c>
      <c r="Q321" s="202">
        <v>2</v>
      </c>
      <c r="R321" s="203">
        <v>5</v>
      </c>
      <c r="S321" s="36"/>
      <c r="T321" s="34">
        <f t="shared" si="335"/>
        <v>514800</v>
      </c>
      <c r="U321" s="31">
        <f t="shared" si="336"/>
        <v>0</v>
      </c>
      <c r="V321" s="34">
        <f t="shared" si="337"/>
        <v>514800</v>
      </c>
      <c r="W321" s="43">
        <v>46800</v>
      </c>
      <c r="X321" s="34">
        <f t="shared" si="338"/>
        <v>12772.838400000001</v>
      </c>
      <c r="Y321" s="34">
        <f t="shared" si="339"/>
        <v>140501.2224</v>
      </c>
      <c r="Z321" s="34">
        <f t="shared" si="340"/>
        <v>63837.400000000009</v>
      </c>
      <c r="AA321" s="49">
        <v>58034</v>
      </c>
      <c r="AB321" s="36"/>
      <c r="AC321" s="204">
        <f t="shared" si="348"/>
        <v>4620</v>
      </c>
      <c r="AD321" s="149">
        <v>0.11</v>
      </c>
      <c r="AE321" s="31">
        <f t="shared" si="349"/>
        <v>45650</v>
      </c>
      <c r="AF321" s="28">
        <f t="shared" si="342"/>
        <v>0.19867521367521368</v>
      </c>
      <c r="AG321" s="34">
        <f t="shared" si="343"/>
        <v>102278.03</v>
      </c>
      <c r="AH321" s="34">
        <f t="shared" si="344"/>
        <v>27202.07476</v>
      </c>
      <c r="AI321" s="34">
        <f t="shared" si="345"/>
        <v>244818.67284000001</v>
      </c>
      <c r="AJ321" s="46">
        <f t="shared" si="346"/>
        <v>180981.27283999999</v>
      </c>
      <c r="AK321" s="40">
        <v>51.65</v>
      </c>
      <c r="AL321" s="41">
        <f t="shared" si="347"/>
        <v>66.525199999999998</v>
      </c>
      <c r="AM321" s="202">
        <v>63858</v>
      </c>
      <c r="AN321" s="205">
        <v>178</v>
      </c>
      <c r="AO321" s="26"/>
      <c r="AP321" s="26"/>
      <c r="AQ321" s="27"/>
      <c r="AR321" s="27"/>
      <c r="AS321" s="27"/>
      <c r="AT321" s="27"/>
      <c r="AU321" s="27"/>
      <c r="AV321" s="27"/>
      <c r="AW321" s="26"/>
      <c r="AX321" s="26"/>
      <c r="AY321" s="26"/>
      <c r="AZ321" s="26"/>
      <c r="BA321" s="26"/>
      <c r="BB321" s="26"/>
      <c r="BC321" s="26"/>
      <c r="BD321" s="26"/>
      <c r="BE321" s="26"/>
      <c r="BF321" s="26"/>
      <c r="BG321" s="26"/>
      <c r="BH321" s="26"/>
      <c r="BI321" s="26"/>
    </row>
    <row r="322" spans="1:61" ht="28.5" customHeight="1">
      <c r="A322" s="26"/>
      <c r="B322" s="323"/>
      <c r="C322" s="42" t="s">
        <v>32</v>
      </c>
      <c r="D322" s="28">
        <f t="shared" si="331"/>
        <v>0.14939464882943149</v>
      </c>
      <c r="E322" s="166">
        <v>0.40600000000000003</v>
      </c>
      <c r="F322" s="30">
        <f t="shared" si="332"/>
        <v>0.25660535117056854</v>
      </c>
      <c r="G322" s="30">
        <f t="shared" si="333"/>
        <v>1.9230769230769232E-2</v>
      </c>
      <c r="H322" s="33"/>
      <c r="I322" s="48"/>
      <c r="J322" s="48"/>
      <c r="K322" s="48"/>
      <c r="L322" s="334"/>
      <c r="M322" s="48"/>
      <c r="N322" s="202"/>
      <c r="O322" s="202">
        <v>17</v>
      </c>
      <c r="P322" s="31">
        <f t="shared" si="334"/>
        <v>9</v>
      </c>
      <c r="Q322" s="202">
        <v>2</v>
      </c>
      <c r="R322" s="203">
        <v>4</v>
      </c>
      <c r="S322" s="202">
        <v>8</v>
      </c>
      <c r="T322" s="34">
        <f t="shared" si="335"/>
        <v>1016600</v>
      </c>
      <c r="U322" s="31">
        <f t="shared" si="336"/>
        <v>478400</v>
      </c>
      <c r="V322" s="34">
        <f t="shared" si="337"/>
        <v>538200</v>
      </c>
      <c r="W322" s="43">
        <v>59800</v>
      </c>
      <c r="X322" s="34">
        <f t="shared" si="338"/>
        <v>21143.807999999997</v>
      </c>
      <c r="Y322" s="34">
        <f t="shared" si="339"/>
        <v>190294.27199999997</v>
      </c>
      <c r="Z322" s="34">
        <f t="shared" si="340"/>
        <v>133485</v>
      </c>
      <c r="AA322" s="49">
        <v>121350</v>
      </c>
      <c r="AB322" s="287">
        <f>((59800*0.015)+(59800*0.19)+2100+4950)*8</f>
        <v>154472</v>
      </c>
      <c r="AC322" s="204">
        <f t="shared" si="348"/>
        <v>4620</v>
      </c>
      <c r="AD322" s="149">
        <v>0.108</v>
      </c>
      <c r="AE322" s="31">
        <f t="shared" ref="AE322:AE323" si="350">4825*(P322+S322)</f>
        <v>82025</v>
      </c>
      <c r="AF322" s="28">
        <f t="shared" si="342"/>
        <v>0.26040616871051653</v>
      </c>
      <c r="AG322" s="34">
        <f t="shared" si="343"/>
        <v>140150.63</v>
      </c>
      <c r="AH322" s="34">
        <f t="shared" si="344"/>
        <v>20775.5098</v>
      </c>
      <c r="AI322" s="34">
        <f t="shared" si="345"/>
        <v>186979.5882</v>
      </c>
      <c r="AJ322" s="46">
        <f t="shared" si="346"/>
        <v>53494.588199999998</v>
      </c>
      <c r="AK322" s="40">
        <v>85.5</v>
      </c>
      <c r="AL322" s="41">
        <f t="shared" si="347"/>
        <v>110.124</v>
      </c>
      <c r="AM322" s="202">
        <v>23233</v>
      </c>
      <c r="AN322" s="205">
        <v>208</v>
      </c>
      <c r="AO322" s="26"/>
      <c r="AP322" s="26"/>
      <c r="AQ322" s="27"/>
      <c r="AR322" s="27"/>
      <c r="AS322" s="27"/>
      <c r="AT322" s="27"/>
      <c r="AU322" s="27"/>
      <c r="AV322" s="27"/>
      <c r="AW322" s="26"/>
      <c r="AX322" s="26"/>
      <c r="AY322" s="26"/>
      <c r="AZ322" s="26"/>
      <c r="BA322" s="26"/>
      <c r="BB322" s="26"/>
      <c r="BC322" s="26"/>
      <c r="BD322" s="26"/>
      <c r="BE322" s="26"/>
      <c r="BF322" s="26"/>
      <c r="BG322" s="26"/>
      <c r="BH322" s="26"/>
      <c r="BI322" s="26"/>
    </row>
    <row r="323" spans="1:61" ht="28.5" customHeight="1">
      <c r="A323" s="26"/>
      <c r="B323" s="333"/>
      <c r="C323" s="42" t="s">
        <v>33</v>
      </c>
      <c r="D323" s="28">
        <f t="shared" si="331"/>
        <v>0.23372544163101547</v>
      </c>
      <c r="E323" s="166">
        <v>0.40799999999999997</v>
      </c>
      <c r="F323" s="30">
        <f t="shared" si="332"/>
        <v>0.17427455836898451</v>
      </c>
      <c r="G323" s="30">
        <f t="shared" si="333"/>
        <v>3.1976744186046513E-2</v>
      </c>
      <c r="H323" s="48"/>
      <c r="I323" s="48"/>
      <c r="J323" s="48"/>
      <c r="K323" s="48"/>
      <c r="L323" s="310"/>
      <c r="M323" s="48"/>
      <c r="N323" s="202"/>
      <c r="O323" s="202">
        <v>14</v>
      </c>
      <c r="P323" s="31">
        <f t="shared" si="334"/>
        <v>14</v>
      </c>
      <c r="Q323" s="202">
        <v>2</v>
      </c>
      <c r="R323" s="203">
        <v>11</v>
      </c>
      <c r="S323" s="36"/>
      <c r="T323" s="34">
        <f t="shared" si="335"/>
        <v>977060</v>
      </c>
      <c r="U323" s="31">
        <f t="shared" si="336"/>
        <v>0</v>
      </c>
      <c r="V323" s="34">
        <f t="shared" si="337"/>
        <v>977060</v>
      </c>
      <c r="W323" s="43">
        <v>69790</v>
      </c>
      <c r="X323" s="34">
        <f t="shared" si="338"/>
        <v>26337.023999999998</v>
      </c>
      <c r="Y323" s="34">
        <f t="shared" si="339"/>
        <v>368718.33599999995</v>
      </c>
      <c r="Z323" s="34">
        <f t="shared" si="340"/>
        <v>165656.70000000001</v>
      </c>
      <c r="AA323" s="49">
        <v>150597</v>
      </c>
      <c r="AB323" s="36"/>
      <c r="AC323" s="204">
        <f t="shared" si="348"/>
        <v>4620</v>
      </c>
      <c r="AD323" s="149">
        <v>0.108</v>
      </c>
      <c r="AE323" s="31">
        <f t="shared" si="350"/>
        <v>67550</v>
      </c>
      <c r="AF323" s="28">
        <f t="shared" si="342"/>
        <v>0.17713597936667144</v>
      </c>
      <c r="AG323" s="34">
        <f t="shared" si="343"/>
        <v>173072.51</v>
      </c>
      <c r="AH323" s="34">
        <f t="shared" si="344"/>
        <v>43526.915400000005</v>
      </c>
      <c r="AI323" s="34">
        <f t="shared" si="345"/>
        <v>391742.23860000004</v>
      </c>
      <c r="AJ323" s="46">
        <f t="shared" si="346"/>
        <v>226085.53860000003</v>
      </c>
      <c r="AK323" s="40">
        <v>106.5</v>
      </c>
      <c r="AL323" s="41">
        <f t="shared" si="347"/>
        <v>137.172</v>
      </c>
      <c r="AM323" s="202">
        <v>63861</v>
      </c>
      <c r="AN323" s="205">
        <v>344</v>
      </c>
      <c r="AO323" s="26"/>
      <c r="AP323" s="26"/>
      <c r="AQ323" s="27"/>
      <c r="AR323" s="27"/>
      <c r="AS323" s="27"/>
      <c r="AT323" s="27"/>
      <c r="AU323" s="27"/>
      <c r="AV323" s="27"/>
      <c r="AW323" s="26"/>
      <c r="AX323" s="26"/>
      <c r="AY323" s="26"/>
      <c r="AZ323" s="26"/>
      <c r="BA323" s="26"/>
      <c r="BB323" s="26"/>
      <c r="BC323" s="26"/>
      <c r="BD323" s="26"/>
      <c r="BE323" s="26"/>
      <c r="BF323" s="26"/>
      <c r="BG323" s="26"/>
      <c r="BH323" s="26"/>
      <c r="BI323" s="26"/>
    </row>
    <row r="324" spans="1:61" ht="28.5" customHeight="1">
      <c r="A324" s="26"/>
      <c r="B324" s="333"/>
      <c r="C324" s="42" t="s">
        <v>149</v>
      </c>
      <c r="D324" s="28">
        <f t="shared" si="331"/>
        <v>-0.14888926810769826</v>
      </c>
      <c r="E324" s="166">
        <v>0.40699999999999997</v>
      </c>
      <c r="F324" s="30">
        <f t="shared" si="332"/>
        <v>0.55588926810769823</v>
      </c>
      <c r="G324" s="30">
        <f t="shared" si="333"/>
        <v>2.5862068965517241E-2</v>
      </c>
      <c r="H324" s="48"/>
      <c r="I324" s="48"/>
      <c r="J324" s="48"/>
      <c r="K324" s="48"/>
      <c r="L324" s="334"/>
      <c r="M324" s="48"/>
      <c r="N324" s="202"/>
      <c r="O324" s="202">
        <v>3</v>
      </c>
      <c r="P324" s="31">
        <f t="shared" si="334"/>
        <v>3</v>
      </c>
      <c r="Q324" s="202">
        <v>1</v>
      </c>
      <c r="R324" s="203">
        <v>3</v>
      </c>
      <c r="S324" s="36"/>
      <c r="T324" s="34">
        <f t="shared" si="335"/>
        <v>290070</v>
      </c>
      <c r="U324" s="31">
        <f t="shared" si="336"/>
        <v>0</v>
      </c>
      <c r="V324" s="34">
        <f t="shared" si="337"/>
        <v>290070</v>
      </c>
      <c r="W324" s="43">
        <v>96690</v>
      </c>
      <c r="X324" s="34">
        <f t="shared" si="338"/>
        <v>36723.455999999998</v>
      </c>
      <c r="Y324" s="34">
        <f t="shared" si="339"/>
        <v>110170.36799999999</v>
      </c>
      <c r="Z324" s="34">
        <f t="shared" si="340"/>
        <v>158936.80000000002</v>
      </c>
      <c r="AA324" s="49">
        <v>144488</v>
      </c>
      <c r="AB324" s="36"/>
      <c r="AC324" s="204">
        <f t="shared" si="348"/>
        <v>2310</v>
      </c>
      <c r="AD324" s="149">
        <v>0.108</v>
      </c>
      <c r="AE324" s="31">
        <f t="shared" ref="AE324:AE325" si="351">6200*(P324+S324)</f>
        <v>18600</v>
      </c>
      <c r="AF324" s="28">
        <f t="shared" si="342"/>
        <v>0.17212245320095149</v>
      </c>
      <c r="AG324" s="34">
        <f t="shared" si="343"/>
        <v>49927.59</v>
      </c>
      <c r="AH324" s="34">
        <f t="shared" si="344"/>
        <v>12997.2042</v>
      </c>
      <c r="AI324" s="34">
        <f t="shared" si="345"/>
        <v>116974.83780000001</v>
      </c>
      <c r="AJ324" s="46">
        <f t="shared" si="346"/>
        <v>-41961.962200000009</v>
      </c>
      <c r="AK324" s="40">
        <v>148.5</v>
      </c>
      <c r="AL324" s="41">
        <f t="shared" si="347"/>
        <v>191.268</v>
      </c>
      <c r="AM324" s="202">
        <v>22549</v>
      </c>
      <c r="AN324" s="205">
        <v>116</v>
      </c>
      <c r="AO324" s="26"/>
      <c r="AP324" s="26"/>
      <c r="AQ324" s="27"/>
      <c r="AR324" s="27"/>
      <c r="AS324" s="27"/>
      <c r="AT324" s="27"/>
      <c r="AU324" s="27"/>
      <c r="AV324" s="27"/>
      <c r="AW324" s="26"/>
      <c r="AX324" s="26"/>
      <c r="AY324" s="26"/>
      <c r="AZ324" s="26"/>
      <c r="BA324" s="26"/>
      <c r="BB324" s="26"/>
      <c r="BC324" s="26"/>
      <c r="BD324" s="26"/>
      <c r="BE324" s="26"/>
      <c r="BF324" s="26"/>
      <c r="BG324" s="26"/>
      <c r="BH324" s="26"/>
      <c r="BI324" s="26"/>
    </row>
    <row r="325" spans="1:61" ht="28.5" customHeight="1">
      <c r="A325" s="26"/>
      <c r="B325" s="324"/>
      <c r="C325" s="42" t="s">
        <v>150</v>
      </c>
      <c r="D325" s="28">
        <f t="shared" si="331"/>
        <v>0.23603897723729339</v>
      </c>
      <c r="E325" s="166">
        <v>0.40899999999999997</v>
      </c>
      <c r="F325" s="30">
        <f t="shared" si="332"/>
        <v>0.17296102276270658</v>
      </c>
      <c r="G325" s="30">
        <f t="shared" si="333"/>
        <v>1.6949152542372881E-2</v>
      </c>
      <c r="H325" s="48"/>
      <c r="I325" s="283"/>
      <c r="J325" s="48"/>
      <c r="K325" s="48"/>
      <c r="L325" s="310"/>
      <c r="M325" s="48"/>
      <c r="N325" s="202"/>
      <c r="O325" s="202">
        <v>6</v>
      </c>
      <c r="P325" s="31">
        <f t="shared" si="334"/>
        <v>6</v>
      </c>
      <c r="Q325" s="202">
        <v>1</v>
      </c>
      <c r="R325" s="203">
        <v>2</v>
      </c>
      <c r="S325" s="36"/>
      <c r="T325" s="34">
        <f t="shared" si="335"/>
        <v>641400</v>
      </c>
      <c r="U325" s="31">
        <f t="shared" si="336"/>
        <v>0</v>
      </c>
      <c r="V325" s="34">
        <f t="shared" si="337"/>
        <v>641400</v>
      </c>
      <c r="W325" s="43">
        <v>106900</v>
      </c>
      <c r="X325" s="34">
        <f t="shared" si="338"/>
        <v>41916.671999999999</v>
      </c>
      <c r="Y325" s="34">
        <f t="shared" si="339"/>
        <v>251500.03200000001</v>
      </c>
      <c r="Z325" s="34">
        <f t="shared" si="340"/>
        <v>108627.20000000001</v>
      </c>
      <c r="AA325" s="49">
        <v>98752</v>
      </c>
      <c r="AB325" s="36"/>
      <c r="AC325" s="204">
        <f t="shared" si="348"/>
        <v>2310</v>
      </c>
      <c r="AD325" s="149">
        <v>0.108</v>
      </c>
      <c r="AE325" s="31">
        <f t="shared" si="351"/>
        <v>37200</v>
      </c>
      <c r="AF325" s="28">
        <f t="shared" si="342"/>
        <v>0.16599812909260991</v>
      </c>
      <c r="AG325" s="34">
        <f t="shared" si="343"/>
        <v>106471.23</v>
      </c>
      <c r="AH325" s="34">
        <f t="shared" si="344"/>
        <v>28342.873800000001</v>
      </c>
      <c r="AI325" s="34">
        <f t="shared" si="345"/>
        <v>255085.86420000001</v>
      </c>
      <c r="AJ325" s="46">
        <f t="shared" si="346"/>
        <v>146458.6642</v>
      </c>
      <c r="AK325" s="40">
        <v>169.5</v>
      </c>
      <c r="AL325" s="41">
        <f t="shared" si="347"/>
        <v>218.316</v>
      </c>
      <c r="AM325" s="202">
        <v>23058</v>
      </c>
      <c r="AN325" s="205">
        <v>118</v>
      </c>
      <c r="AO325" s="26"/>
      <c r="AP325" s="26"/>
      <c r="AQ325" s="27"/>
      <c r="AR325" s="27"/>
      <c r="AS325" s="27"/>
      <c r="AT325" s="27"/>
      <c r="AU325" s="27"/>
      <c r="AV325" s="27"/>
      <c r="AW325" s="26"/>
      <c r="AX325" s="26"/>
      <c r="AY325" s="26"/>
      <c r="AZ325" s="26"/>
      <c r="BA325" s="26"/>
      <c r="BB325" s="26"/>
      <c r="BC325" s="26"/>
      <c r="BD325" s="26"/>
      <c r="BE325" s="26"/>
      <c r="BF325" s="26"/>
      <c r="BG325" s="26"/>
      <c r="BH325" s="26"/>
      <c r="BI325" s="26"/>
    </row>
    <row r="326" spans="1:61" ht="28.5" customHeight="1">
      <c r="A326" s="26"/>
      <c r="B326" s="200"/>
      <c r="C326" s="42" t="s">
        <v>111</v>
      </c>
      <c r="D326" s="28">
        <f t="shared" si="331"/>
        <v>0.23279050279329608</v>
      </c>
      <c r="E326" s="166">
        <v>0.435</v>
      </c>
      <c r="F326" s="30">
        <f t="shared" si="332"/>
        <v>0.20220949720670392</v>
      </c>
      <c r="G326" s="30">
        <f t="shared" si="333"/>
        <v>7.6923076923076927E-2</v>
      </c>
      <c r="H326" s="48"/>
      <c r="I326" s="48"/>
      <c r="J326" s="48"/>
      <c r="K326" s="210"/>
      <c r="L326" s="210"/>
      <c r="M326" s="210"/>
      <c r="N326" s="202"/>
      <c r="O326" s="202">
        <v>15</v>
      </c>
      <c r="P326" s="31">
        <f t="shared" si="334"/>
        <v>10</v>
      </c>
      <c r="Q326" s="202"/>
      <c r="R326" s="203">
        <v>8</v>
      </c>
      <c r="S326" s="202">
        <v>5</v>
      </c>
      <c r="T326" s="34">
        <f t="shared" si="335"/>
        <v>268500</v>
      </c>
      <c r="U326" s="31">
        <f t="shared" si="336"/>
        <v>89500</v>
      </c>
      <c r="V326" s="34">
        <f t="shared" si="337"/>
        <v>179000</v>
      </c>
      <c r="W326" s="43">
        <v>17900</v>
      </c>
      <c r="X326" s="34">
        <f t="shared" si="338"/>
        <v>5687.8080000000009</v>
      </c>
      <c r="Y326" s="34">
        <f t="shared" si="339"/>
        <v>56878.080000000009</v>
      </c>
      <c r="Z326" s="34">
        <f t="shared" si="340"/>
        <v>36195.5</v>
      </c>
      <c r="AA326" s="49">
        <v>32905</v>
      </c>
      <c r="AB326" s="287">
        <f>((17160*0.015)+(17160*0.25)+2100+4950)*5</f>
        <v>57987</v>
      </c>
      <c r="AC326" s="204">
        <f t="shared" si="348"/>
        <v>0</v>
      </c>
      <c r="AD326" s="149">
        <v>7.8E-2</v>
      </c>
      <c r="AE326" s="31">
        <f>2900*(P326+S326)</f>
        <v>43500</v>
      </c>
      <c r="AF326" s="28">
        <f t="shared" si="342"/>
        <v>0.32101675977653632</v>
      </c>
      <c r="AG326" s="34">
        <f t="shared" si="343"/>
        <v>57462.03</v>
      </c>
      <c r="AH326" s="34">
        <f t="shared" si="344"/>
        <v>6465.9889999999978</v>
      </c>
      <c r="AI326" s="34">
        <f t="shared" si="345"/>
        <v>58193.900999999983</v>
      </c>
      <c r="AJ326" s="46">
        <f t="shared" si="346"/>
        <v>21998.400999999983</v>
      </c>
      <c r="AK326" s="40">
        <v>23</v>
      </c>
      <c r="AL326" s="41">
        <f t="shared" si="347"/>
        <v>29.624000000000002</v>
      </c>
      <c r="AM326" s="202">
        <v>32752</v>
      </c>
      <c r="AN326" s="205">
        <v>104</v>
      </c>
      <c r="AO326" s="26"/>
      <c r="AP326" s="26"/>
      <c r="AQ326" s="27"/>
      <c r="AR326" s="27"/>
      <c r="AS326" s="27"/>
      <c r="AT326" s="27"/>
      <c r="AU326" s="27"/>
      <c r="AV326" s="27"/>
      <c r="AW326" s="26"/>
      <c r="AX326" s="26"/>
      <c r="AY326" s="26"/>
      <c r="AZ326" s="26"/>
      <c r="BA326" s="26"/>
      <c r="BB326" s="26"/>
      <c r="BC326" s="26"/>
      <c r="BD326" s="26"/>
      <c r="BE326" s="26"/>
      <c r="BF326" s="26"/>
      <c r="BG326" s="26"/>
      <c r="BH326" s="26"/>
      <c r="BI326" s="26"/>
    </row>
    <row r="327" spans="1:61" ht="28.5" customHeight="1">
      <c r="A327" s="26"/>
      <c r="B327" s="207"/>
      <c r="C327" s="42" t="s">
        <v>151</v>
      </c>
      <c r="D327" s="28">
        <f t="shared" si="331"/>
        <v>-0.78713577586206918</v>
      </c>
      <c r="E327" s="303">
        <v>0.27600000000000002</v>
      </c>
      <c r="F327" s="30">
        <f t="shared" si="332"/>
        <v>1.0631357758620692</v>
      </c>
      <c r="G327" s="30">
        <f t="shared" si="333"/>
        <v>0.04</v>
      </c>
      <c r="H327" s="48"/>
      <c r="I327" s="48"/>
      <c r="J327" s="48"/>
      <c r="K327" s="210"/>
      <c r="L327" s="335"/>
      <c r="M327" s="210"/>
      <c r="N327" s="202"/>
      <c r="O327" s="202">
        <v>1</v>
      </c>
      <c r="P327" s="31">
        <f t="shared" si="334"/>
        <v>1</v>
      </c>
      <c r="Q327" s="202"/>
      <c r="R327" s="203">
        <v>1</v>
      </c>
      <c r="S327" s="36"/>
      <c r="T327" s="34">
        <f t="shared" si="335"/>
        <v>9280</v>
      </c>
      <c r="U327" s="31">
        <f t="shared" si="336"/>
        <v>0</v>
      </c>
      <c r="V327" s="34">
        <f t="shared" si="337"/>
        <v>9280</v>
      </c>
      <c r="W327" s="43">
        <v>9280</v>
      </c>
      <c r="X327" s="34">
        <f t="shared" si="338"/>
        <v>3462.1440000000002</v>
      </c>
      <c r="Y327" s="34">
        <f t="shared" si="339"/>
        <v>3462.1440000000002</v>
      </c>
      <c r="Z327" s="34">
        <f t="shared" si="340"/>
        <v>9865.9000000000015</v>
      </c>
      <c r="AA327" s="49">
        <v>8969</v>
      </c>
      <c r="AB327" s="287"/>
      <c r="AC327" s="204">
        <f t="shared" si="348"/>
        <v>0</v>
      </c>
      <c r="AD327" s="149">
        <v>0.1</v>
      </c>
      <c r="AE327" s="31">
        <f t="shared" ref="AE327:AE328" si="352">1900*(P327+S327)</f>
        <v>1900</v>
      </c>
      <c r="AF327" s="28">
        <f t="shared" si="342"/>
        <v>0.30474137931034484</v>
      </c>
      <c r="AG327" s="34">
        <f t="shared" si="343"/>
        <v>2828.03</v>
      </c>
      <c r="AH327" s="34">
        <f t="shared" si="344"/>
        <v>298.98259999999982</v>
      </c>
      <c r="AI327" s="34">
        <f t="shared" si="345"/>
        <v>2690.8433999999997</v>
      </c>
      <c r="AJ327" s="206">
        <f t="shared" si="346"/>
        <v>-7175.0566000000017</v>
      </c>
      <c r="AK327" s="40">
        <v>14</v>
      </c>
      <c r="AL327" s="41">
        <f t="shared" si="347"/>
        <v>18.032</v>
      </c>
      <c r="AM327" s="202">
        <v>21651</v>
      </c>
      <c r="AN327" s="205">
        <v>25</v>
      </c>
      <c r="AO327" s="26"/>
      <c r="AP327" s="26"/>
      <c r="AQ327" s="27"/>
      <c r="AR327" s="27"/>
      <c r="AS327" s="27"/>
      <c r="AT327" s="27"/>
      <c r="AU327" s="27"/>
      <c r="AV327" s="27"/>
      <c r="AW327" s="26"/>
      <c r="AX327" s="26"/>
      <c r="AY327" s="26"/>
      <c r="AZ327" s="26"/>
      <c r="BA327" s="26"/>
      <c r="BB327" s="26"/>
      <c r="BC327" s="26"/>
      <c r="BD327" s="26"/>
      <c r="BE327" s="26"/>
      <c r="BF327" s="26"/>
      <c r="BG327" s="26"/>
      <c r="BH327" s="26"/>
      <c r="BI327" s="26"/>
    </row>
    <row r="328" spans="1:61" ht="28.5" customHeight="1">
      <c r="A328" s="26"/>
      <c r="B328" s="212"/>
      <c r="C328" s="42" t="s">
        <v>152</v>
      </c>
      <c r="D328" s="28">
        <f t="shared" si="331"/>
        <v>-0.51125201072386062</v>
      </c>
      <c r="E328" s="303">
        <v>0.39700000000000002</v>
      </c>
      <c r="F328" s="30">
        <f t="shared" si="332"/>
        <v>0.90825201072386064</v>
      </c>
      <c r="G328" s="30">
        <f t="shared" si="333"/>
        <v>3.7735849056603772E-2</v>
      </c>
      <c r="H328" s="48"/>
      <c r="I328" s="48"/>
      <c r="J328" s="48"/>
      <c r="K328" s="210"/>
      <c r="L328" s="310"/>
      <c r="M328" s="210"/>
      <c r="N328" s="202"/>
      <c r="O328" s="202">
        <v>2</v>
      </c>
      <c r="P328" s="31">
        <f t="shared" si="334"/>
        <v>2</v>
      </c>
      <c r="Q328" s="36"/>
      <c r="R328" s="203">
        <v>2</v>
      </c>
      <c r="S328" s="36"/>
      <c r="T328" s="34">
        <f t="shared" si="335"/>
        <v>37300</v>
      </c>
      <c r="U328" s="31">
        <f t="shared" si="336"/>
        <v>0</v>
      </c>
      <c r="V328" s="34">
        <f t="shared" si="337"/>
        <v>37300</v>
      </c>
      <c r="W328" s="43">
        <v>18650</v>
      </c>
      <c r="X328" s="34">
        <f t="shared" si="338"/>
        <v>6924.2880000000005</v>
      </c>
      <c r="Y328" s="34">
        <f t="shared" si="339"/>
        <v>13848.576000000001</v>
      </c>
      <c r="Z328" s="34">
        <f t="shared" si="340"/>
        <v>33877.800000000003</v>
      </c>
      <c r="AA328" s="49">
        <v>30798</v>
      </c>
      <c r="AB328" s="36"/>
      <c r="AC328" s="204">
        <f t="shared" si="348"/>
        <v>0</v>
      </c>
      <c r="AD328" s="149">
        <v>0.1</v>
      </c>
      <c r="AE328" s="31">
        <f t="shared" si="352"/>
        <v>3800</v>
      </c>
      <c r="AF328" s="28">
        <f t="shared" si="342"/>
        <v>0.20187667560321715</v>
      </c>
      <c r="AG328" s="34">
        <f t="shared" si="343"/>
        <v>7530.03</v>
      </c>
      <c r="AH328" s="34">
        <f t="shared" si="344"/>
        <v>1592.1394</v>
      </c>
      <c r="AI328" s="34">
        <f t="shared" si="345"/>
        <v>14329.2546</v>
      </c>
      <c r="AJ328" s="46">
        <f t="shared" si="346"/>
        <v>-19548.545400000003</v>
      </c>
      <c r="AK328" s="40">
        <v>28</v>
      </c>
      <c r="AL328" s="41">
        <f t="shared" si="347"/>
        <v>36.064</v>
      </c>
      <c r="AM328" s="202">
        <v>36880</v>
      </c>
      <c r="AN328" s="205">
        <v>53</v>
      </c>
      <c r="AO328" s="26"/>
      <c r="AP328" s="26"/>
      <c r="AQ328" s="27"/>
      <c r="AR328" s="27"/>
      <c r="AS328" s="27"/>
      <c r="AT328" s="27"/>
      <c r="AU328" s="27"/>
      <c r="AV328" s="27"/>
      <c r="AW328" s="26"/>
      <c r="AX328" s="26"/>
      <c r="AY328" s="26"/>
      <c r="AZ328" s="26"/>
      <c r="BA328" s="26"/>
      <c r="BB328" s="26"/>
      <c r="BC328" s="26"/>
      <c r="BD328" s="26"/>
      <c r="BE328" s="26"/>
      <c r="BF328" s="26"/>
      <c r="BG328" s="26"/>
      <c r="BH328" s="26"/>
      <c r="BI328" s="26"/>
    </row>
    <row r="329" spans="1:61" ht="28.5" customHeight="1">
      <c r="A329" s="26"/>
      <c r="B329" s="323"/>
      <c r="C329" s="42" t="s">
        <v>112</v>
      </c>
      <c r="D329" s="28">
        <f t="shared" si="331"/>
        <v>0.13741072816791916</v>
      </c>
      <c r="E329" s="166">
        <v>0.40600000000000003</v>
      </c>
      <c r="F329" s="30">
        <f t="shared" si="332"/>
        <v>0.26858927183208087</v>
      </c>
      <c r="G329" s="30">
        <f t="shared" si="333"/>
        <v>2.4390243902439025E-2</v>
      </c>
      <c r="H329" s="334"/>
      <c r="I329" s="48"/>
      <c r="J329" s="48"/>
      <c r="K329" s="210"/>
      <c r="L329" s="335"/>
      <c r="M329" s="210"/>
      <c r="N329" s="202"/>
      <c r="O329" s="202">
        <v>10</v>
      </c>
      <c r="P329" s="31">
        <f t="shared" si="334"/>
        <v>10</v>
      </c>
      <c r="Q329" s="202"/>
      <c r="R329" s="203">
        <v>4</v>
      </c>
      <c r="S329" s="36"/>
      <c r="T329" s="34">
        <f t="shared" si="335"/>
        <v>385900</v>
      </c>
      <c r="U329" s="31">
        <f t="shared" si="336"/>
        <v>0</v>
      </c>
      <c r="V329" s="34">
        <f t="shared" si="337"/>
        <v>385900</v>
      </c>
      <c r="W329" s="43">
        <v>38590</v>
      </c>
      <c r="X329" s="34">
        <f t="shared" si="338"/>
        <v>15085.056</v>
      </c>
      <c r="Y329" s="34">
        <f t="shared" si="339"/>
        <v>150850.56</v>
      </c>
      <c r="Z329" s="34">
        <f t="shared" si="340"/>
        <v>103648.6</v>
      </c>
      <c r="AA329" s="49">
        <v>94226</v>
      </c>
      <c r="AB329" s="36"/>
      <c r="AC329" s="204">
        <f t="shared" si="348"/>
        <v>0</v>
      </c>
      <c r="AD329" s="149">
        <v>0.08</v>
      </c>
      <c r="AE329" s="31">
        <f t="shared" ref="AE329:AE330" si="353">4150*(P329+S329)</f>
        <v>41500</v>
      </c>
      <c r="AF329" s="28">
        <f t="shared" si="342"/>
        <v>0.18754081368230113</v>
      </c>
      <c r="AG329" s="34">
        <f t="shared" si="343"/>
        <v>72372.03</v>
      </c>
      <c r="AH329" s="34">
        <f t="shared" si="344"/>
        <v>16267.740999999998</v>
      </c>
      <c r="AI329" s="34">
        <f t="shared" si="345"/>
        <v>146409.66899999999</v>
      </c>
      <c r="AJ329" s="46">
        <f t="shared" si="346"/>
        <v>42761.068999999989</v>
      </c>
      <c r="AK329" s="40">
        <v>61</v>
      </c>
      <c r="AL329" s="41">
        <f t="shared" si="347"/>
        <v>78.567999999999998</v>
      </c>
      <c r="AM329" s="202">
        <v>54056</v>
      </c>
      <c r="AN329" s="205">
        <v>164</v>
      </c>
      <c r="AO329" s="26"/>
      <c r="AP329" s="26"/>
      <c r="AQ329" s="27"/>
      <c r="AR329" s="27"/>
      <c r="AS329" s="27"/>
      <c r="AT329" s="27"/>
      <c r="AU329" s="27"/>
      <c r="AV329" s="27"/>
      <c r="AW329" s="26"/>
      <c r="AX329" s="26"/>
      <c r="AY329" s="26"/>
      <c r="AZ329" s="26"/>
      <c r="BA329" s="26"/>
      <c r="BB329" s="26"/>
      <c r="BC329" s="26"/>
      <c r="BD329" s="26"/>
      <c r="BE329" s="26"/>
      <c r="BF329" s="26"/>
      <c r="BG329" s="26"/>
      <c r="BH329" s="26"/>
      <c r="BI329" s="26"/>
    </row>
    <row r="330" spans="1:61" ht="28.5" customHeight="1">
      <c r="A330" s="26"/>
      <c r="B330" s="324"/>
      <c r="C330" s="42" t="s">
        <v>113</v>
      </c>
      <c r="D330" s="28">
        <f t="shared" si="331"/>
        <v>0.2336196581196581</v>
      </c>
      <c r="E330" s="166">
        <v>0.36099999999999999</v>
      </c>
      <c r="F330" s="30">
        <f t="shared" si="332"/>
        <v>0.12738034188034189</v>
      </c>
      <c r="G330" s="30">
        <f t="shared" si="333"/>
        <v>5.3435114503816793E-2</v>
      </c>
      <c r="H330" s="310"/>
      <c r="I330" s="48"/>
      <c r="J330" s="48"/>
      <c r="K330" s="210"/>
      <c r="L330" s="310"/>
      <c r="M330" s="210"/>
      <c r="N330" s="202"/>
      <c r="O330" s="202">
        <v>6</v>
      </c>
      <c r="P330" s="31">
        <f t="shared" si="334"/>
        <v>6</v>
      </c>
      <c r="Q330" s="202"/>
      <c r="R330" s="203">
        <v>7</v>
      </c>
      <c r="S330" s="36"/>
      <c r="T330" s="34">
        <f t="shared" si="335"/>
        <v>257400</v>
      </c>
      <c r="U330" s="31">
        <f t="shared" si="336"/>
        <v>0</v>
      </c>
      <c r="V330" s="34">
        <f t="shared" si="337"/>
        <v>257400</v>
      </c>
      <c r="W330" s="43">
        <v>42900</v>
      </c>
      <c r="X330" s="34">
        <f t="shared" si="338"/>
        <v>20278.272000000004</v>
      </c>
      <c r="Y330" s="34">
        <f t="shared" si="339"/>
        <v>121669.63200000003</v>
      </c>
      <c r="Z330" s="34">
        <f t="shared" si="340"/>
        <v>32787.700000000004</v>
      </c>
      <c r="AA330" s="49">
        <v>29807</v>
      </c>
      <c r="AB330" s="286"/>
      <c r="AC330" s="204">
        <f t="shared" si="348"/>
        <v>0</v>
      </c>
      <c r="AD330" s="149">
        <v>7.8E-2</v>
      </c>
      <c r="AE330" s="31">
        <f t="shared" si="353"/>
        <v>24900</v>
      </c>
      <c r="AF330" s="28">
        <f t="shared" si="342"/>
        <v>0.17473659673659675</v>
      </c>
      <c r="AG330" s="34">
        <f t="shared" si="343"/>
        <v>44977.23</v>
      </c>
      <c r="AH330" s="34">
        <f t="shared" si="344"/>
        <v>9075.3137999999963</v>
      </c>
      <c r="AI330" s="34">
        <f t="shared" si="345"/>
        <v>81677.824199999974</v>
      </c>
      <c r="AJ330" s="206">
        <f t="shared" si="346"/>
        <v>48890.124199999969</v>
      </c>
      <c r="AK330" s="40">
        <v>82</v>
      </c>
      <c r="AL330" s="41">
        <f t="shared" si="347"/>
        <v>105.61600000000001</v>
      </c>
      <c r="AM330" s="202">
        <v>62743</v>
      </c>
      <c r="AN330" s="205">
        <v>131</v>
      </c>
      <c r="AO330" s="26"/>
      <c r="AP330" s="26"/>
      <c r="AQ330" s="27"/>
      <c r="AR330" s="27"/>
      <c r="AS330" s="27"/>
      <c r="AT330" s="27"/>
      <c r="AU330" s="27"/>
      <c r="AV330" s="27"/>
      <c r="AW330" s="26"/>
      <c r="AX330" s="26"/>
      <c r="AY330" s="26"/>
      <c r="AZ330" s="26"/>
      <c r="BA330" s="26"/>
      <c r="BB330" s="26"/>
      <c r="BC330" s="26"/>
      <c r="BD330" s="26"/>
      <c r="BE330" s="26"/>
      <c r="BF330" s="26"/>
      <c r="BG330" s="26"/>
      <c r="BH330" s="26"/>
      <c r="BI330" s="26"/>
    </row>
    <row r="331" spans="1:61" ht="28.5" customHeight="1">
      <c r="A331" s="26"/>
      <c r="B331" s="200"/>
      <c r="C331" s="42" t="s">
        <v>154</v>
      </c>
      <c r="D331" s="28">
        <f t="shared" si="331"/>
        <v>-0.59899999999999998</v>
      </c>
      <c r="E331" s="303">
        <v>0.41299999999999998</v>
      </c>
      <c r="F331" s="30">
        <f t="shared" si="332"/>
        <v>1.012</v>
      </c>
      <c r="G331" s="30">
        <f t="shared" si="333"/>
        <v>5.5555555555555552E-2</v>
      </c>
      <c r="H331" s="48"/>
      <c r="I331" s="48"/>
      <c r="J331" s="48"/>
      <c r="K331" s="210"/>
      <c r="L331" s="210"/>
      <c r="M331" s="210"/>
      <c r="N331" s="202"/>
      <c r="O331" s="202">
        <v>33</v>
      </c>
      <c r="P331" s="31">
        <f t="shared" si="334"/>
        <v>3</v>
      </c>
      <c r="Q331" s="202">
        <v>1</v>
      </c>
      <c r="R331" s="203">
        <v>2</v>
      </c>
      <c r="S331" s="36">
        <v>30</v>
      </c>
      <c r="T331" s="34">
        <f t="shared" si="335"/>
        <v>389400</v>
      </c>
      <c r="U331" s="31">
        <f t="shared" si="336"/>
        <v>354000</v>
      </c>
      <c r="V331" s="34">
        <f t="shared" si="337"/>
        <v>35400</v>
      </c>
      <c r="W331" s="43">
        <v>11800</v>
      </c>
      <c r="X331" s="34">
        <f t="shared" si="338"/>
        <v>4006.1952000000001</v>
      </c>
      <c r="Y331" s="34">
        <f t="shared" si="339"/>
        <v>12018.5856</v>
      </c>
      <c r="Z331" s="34">
        <f t="shared" si="340"/>
        <v>33514.800000000003</v>
      </c>
      <c r="AA331" s="49">
        <v>30468</v>
      </c>
      <c r="AB331" s="286">
        <f>((11800*0.1)+(11800*0.015)+2100+2200)*30</f>
        <v>169710</v>
      </c>
      <c r="AC331" s="204">
        <f t="shared" si="348"/>
        <v>2310</v>
      </c>
      <c r="AD331" s="149">
        <v>0.108</v>
      </c>
      <c r="AE331" s="31">
        <f>1900*(P331+S331)</f>
        <v>62700</v>
      </c>
      <c r="AF331" s="28">
        <f t="shared" si="342"/>
        <v>1.8791864406779661</v>
      </c>
      <c r="AG331" s="34">
        <f t="shared" si="343"/>
        <v>66523.23</v>
      </c>
      <c r="AH331" s="34">
        <f t="shared" si="344"/>
        <v>-4314.1815600000009</v>
      </c>
      <c r="AI331" s="34">
        <f t="shared" si="345"/>
        <v>-38827.634040000004</v>
      </c>
      <c r="AJ331" s="46">
        <f t="shared" si="346"/>
        <v>-72342.434040000007</v>
      </c>
      <c r="AK331" s="40">
        <v>16.2</v>
      </c>
      <c r="AL331" s="41">
        <f t="shared" si="347"/>
        <v>20.865600000000001</v>
      </c>
      <c r="AM331" s="202">
        <v>80827</v>
      </c>
      <c r="AN331" s="205">
        <v>36</v>
      </c>
      <c r="AO331" s="26"/>
      <c r="AP331" s="26"/>
      <c r="AQ331" s="27"/>
      <c r="AR331" s="27"/>
      <c r="AS331" s="27"/>
      <c r="AT331" s="27"/>
      <c r="AU331" s="27"/>
      <c r="AV331" s="27"/>
      <c r="AW331" s="26"/>
      <c r="AX331" s="26"/>
      <c r="AY331" s="26"/>
      <c r="AZ331" s="26"/>
      <c r="BA331" s="26"/>
      <c r="BB331" s="26"/>
      <c r="BC331" s="26"/>
      <c r="BD331" s="26"/>
      <c r="BE331" s="26"/>
      <c r="BF331" s="26"/>
      <c r="BG331" s="26"/>
      <c r="BH331" s="26"/>
      <c r="BI331" s="26"/>
    </row>
    <row r="332" spans="1:61" ht="28.5" customHeight="1">
      <c r="A332" s="26"/>
      <c r="B332" s="200"/>
      <c r="C332" s="42" t="s">
        <v>114</v>
      </c>
      <c r="D332" s="28">
        <f t="shared" si="331"/>
        <v>0.1521695175438596</v>
      </c>
      <c r="E332" s="166">
        <v>0.35599999999999998</v>
      </c>
      <c r="F332" s="30">
        <f t="shared" si="332"/>
        <v>0.20383048245614038</v>
      </c>
      <c r="G332" s="30">
        <f t="shared" si="333"/>
        <v>0.14563106796116504</v>
      </c>
      <c r="H332" s="48"/>
      <c r="I332" s="48"/>
      <c r="J332" s="48"/>
      <c r="K332" s="210"/>
      <c r="L332" s="210"/>
      <c r="M332" s="210"/>
      <c r="N332" s="202"/>
      <c r="O332" s="202">
        <v>24</v>
      </c>
      <c r="P332" s="31">
        <f t="shared" si="334"/>
        <v>24</v>
      </c>
      <c r="Q332" s="202">
        <v>4</v>
      </c>
      <c r="R332" s="203">
        <v>15</v>
      </c>
      <c r="S332" s="36"/>
      <c r="T332" s="34">
        <f t="shared" si="335"/>
        <v>456000</v>
      </c>
      <c r="U332" s="31">
        <f t="shared" si="336"/>
        <v>0</v>
      </c>
      <c r="V332" s="34">
        <f t="shared" si="337"/>
        <v>456000</v>
      </c>
      <c r="W332" s="43">
        <v>19000</v>
      </c>
      <c r="X332" s="34">
        <f t="shared" si="338"/>
        <v>7122.1247999999996</v>
      </c>
      <c r="Y332" s="34">
        <f t="shared" si="339"/>
        <v>170930.9952</v>
      </c>
      <c r="Z332" s="34">
        <f t="shared" si="340"/>
        <v>83706.700000000012</v>
      </c>
      <c r="AA332" s="49">
        <v>76097</v>
      </c>
      <c r="AB332" s="287"/>
      <c r="AC332" s="204">
        <f t="shared" si="348"/>
        <v>9240</v>
      </c>
      <c r="AD332" s="149">
        <v>0.08</v>
      </c>
      <c r="AE332" s="31">
        <f>3350*(P332+S332)</f>
        <v>80400</v>
      </c>
      <c r="AF332" s="28">
        <f t="shared" si="342"/>
        <v>0.25631578947368422</v>
      </c>
      <c r="AG332" s="34">
        <f t="shared" si="343"/>
        <v>116880.03</v>
      </c>
      <c r="AH332" s="34">
        <f t="shared" si="344"/>
        <v>16818.897479999996</v>
      </c>
      <c r="AI332" s="34">
        <f t="shared" si="345"/>
        <v>151370.07731999998</v>
      </c>
      <c r="AJ332" s="46">
        <f t="shared" si="346"/>
        <v>67663.37731999997</v>
      </c>
      <c r="AK332" s="40">
        <v>28.8</v>
      </c>
      <c r="AL332" s="41">
        <f t="shared" si="347"/>
        <v>37.0944</v>
      </c>
      <c r="AM332" s="202">
        <v>60137</v>
      </c>
      <c r="AN332" s="205">
        <v>103</v>
      </c>
      <c r="AO332" s="26"/>
      <c r="AP332" s="26"/>
      <c r="AQ332" s="27"/>
      <c r="AR332" s="27"/>
      <c r="AS332" s="27"/>
      <c r="AT332" s="27"/>
      <c r="AU332" s="27"/>
      <c r="AV332" s="27"/>
      <c r="AW332" s="26"/>
      <c r="AX332" s="26"/>
      <c r="AY332" s="26"/>
      <c r="AZ332" s="26"/>
      <c r="BA332" s="26"/>
      <c r="BB332" s="26"/>
      <c r="BC332" s="26"/>
      <c r="BD332" s="26"/>
      <c r="BE332" s="26"/>
      <c r="BF332" s="26"/>
      <c r="BG332" s="26"/>
      <c r="BH332" s="26"/>
      <c r="BI332" s="26"/>
    </row>
    <row r="333" spans="1:61" ht="28.5" customHeight="1">
      <c r="A333" s="26"/>
      <c r="B333" s="326"/>
      <c r="C333" s="42" t="s">
        <v>115</v>
      </c>
      <c r="D333" s="28">
        <f t="shared" si="331"/>
        <v>0.13240085158150849</v>
      </c>
      <c r="E333" s="166">
        <v>0.45300000000000001</v>
      </c>
      <c r="F333" s="30">
        <f t="shared" si="332"/>
        <v>0.32059914841849152</v>
      </c>
      <c r="G333" s="30">
        <f t="shared" si="333"/>
        <v>7.0175438596491224E-2</v>
      </c>
      <c r="H333" s="48"/>
      <c r="I333" s="48"/>
      <c r="J333" s="48"/>
      <c r="K333" s="210"/>
      <c r="L333" s="210"/>
      <c r="M333" s="210"/>
      <c r="N333" s="202"/>
      <c r="O333" s="202">
        <v>3</v>
      </c>
      <c r="P333" s="31">
        <f t="shared" si="334"/>
        <v>3</v>
      </c>
      <c r="Q333" s="202">
        <v>1</v>
      </c>
      <c r="R333" s="203">
        <v>4</v>
      </c>
      <c r="S333" s="36"/>
      <c r="T333" s="34">
        <f t="shared" si="335"/>
        <v>164400</v>
      </c>
      <c r="U333" s="31">
        <f t="shared" si="336"/>
        <v>0</v>
      </c>
      <c r="V333" s="34">
        <f t="shared" si="337"/>
        <v>164400</v>
      </c>
      <c r="W333" s="43">
        <v>54800</v>
      </c>
      <c r="X333" s="34">
        <f t="shared" si="338"/>
        <v>20030.976000000002</v>
      </c>
      <c r="Y333" s="34">
        <f t="shared" si="339"/>
        <v>60092.928000000007</v>
      </c>
      <c r="Z333" s="34">
        <f t="shared" si="340"/>
        <v>50396.500000000007</v>
      </c>
      <c r="AA333" s="49">
        <v>45815</v>
      </c>
      <c r="AB333" s="36"/>
      <c r="AC333" s="204">
        <f t="shared" si="348"/>
        <v>2310</v>
      </c>
      <c r="AD333" s="149">
        <v>7.8E-2</v>
      </c>
      <c r="AE333" s="31">
        <f t="shared" ref="AE333:AE334" si="354">4825*(P333+S333)</f>
        <v>14475</v>
      </c>
      <c r="AF333" s="28">
        <f t="shared" si="342"/>
        <v>0.16604744525547444</v>
      </c>
      <c r="AG333" s="34">
        <f t="shared" si="343"/>
        <v>27298.229999999996</v>
      </c>
      <c r="AH333" s="34">
        <f t="shared" si="344"/>
        <v>7700.8842000000004</v>
      </c>
      <c r="AI333" s="34">
        <f t="shared" si="345"/>
        <v>69307.957800000004</v>
      </c>
      <c r="AJ333" s="46">
        <f t="shared" si="346"/>
        <v>18911.457799999996</v>
      </c>
      <c r="AK333" s="40">
        <v>81</v>
      </c>
      <c r="AL333" s="41">
        <f t="shared" si="347"/>
        <v>104.328</v>
      </c>
      <c r="AM333" s="202">
        <v>14242</v>
      </c>
      <c r="AN333" s="205">
        <v>57</v>
      </c>
      <c r="AO333" s="26"/>
      <c r="AP333" s="26"/>
      <c r="AQ333" s="27"/>
      <c r="AR333" s="27"/>
      <c r="AS333" s="27"/>
      <c r="AT333" s="27"/>
      <c r="AU333" s="27"/>
      <c r="AV333" s="27"/>
      <c r="AW333" s="26"/>
      <c r="AX333" s="26"/>
      <c r="AY333" s="26"/>
      <c r="AZ333" s="26"/>
      <c r="BA333" s="26"/>
      <c r="BB333" s="26"/>
      <c r="BC333" s="26"/>
      <c r="BD333" s="26"/>
      <c r="BE333" s="26"/>
      <c r="BF333" s="26"/>
      <c r="BG333" s="26"/>
      <c r="BH333" s="26"/>
      <c r="BI333" s="26"/>
    </row>
    <row r="334" spans="1:61" ht="28.5" customHeight="1">
      <c r="A334" s="26"/>
      <c r="B334" s="324"/>
      <c r="C334" s="42" t="s">
        <v>116</v>
      </c>
      <c r="D334" s="28">
        <f t="shared" si="331"/>
        <v>0.18027469135802465</v>
      </c>
      <c r="E334" s="166">
        <v>0.45300000000000001</v>
      </c>
      <c r="F334" s="30">
        <f t="shared" si="332"/>
        <v>0.27272530864197536</v>
      </c>
      <c r="G334" s="30">
        <f t="shared" si="333"/>
        <v>1.6393442622950821E-2</v>
      </c>
      <c r="H334" s="48"/>
      <c r="I334" s="48"/>
      <c r="J334" s="48"/>
      <c r="K334" s="210"/>
      <c r="L334" s="210"/>
      <c r="M334" s="210"/>
      <c r="N334" s="202"/>
      <c r="O334" s="202">
        <v>4</v>
      </c>
      <c r="P334" s="31">
        <f t="shared" si="334"/>
        <v>4</v>
      </c>
      <c r="Q334" s="36">
        <v>1</v>
      </c>
      <c r="R334" s="203">
        <v>2</v>
      </c>
      <c r="S334" s="36"/>
      <c r="T334" s="34">
        <f t="shared" si="335"/>
        <v>259200</v>
      </c>
      <c r="U334" s="31">
        <f t="shared" si="336"/>
        <v>0</v>
      </c>
      <c r="V334" s="34">
        <f t="shared" si="337"/>
        <v>259200</v>
      </c>
      <c r="W334" s="43">
        <v>64800</v>
      </c>
      <c r="X334" s="34">
        <f t="shared" si="338"/>
        <v>25224.192000000003</v>
      </c>
      <c r="Y334" s="34">
        <f t="shared" si="339"/>
        <v>100896.76800000001</v>
      </c>
      <c r="Z334" s="34">
        <f t="shared" si="340"/>
        <v>68380.400000000009</v>
      </c>
      <c r="AA334" s="49">
        <v>62164</v>
      </c>
      <c r="AB334" s="36"/>
      <c r="AC334" s="204">
        <f t="shared" si="348"/>
        <v>2310</v>
      </c>
      <c r="AD334" s="149">
        <v>7.8E-2</v>
      </c>
      <c r="AE334" s="31">
        <f t="shared" si="354"/>
        <v>19300</v>
      </c>
      <c r="AF334" s="28">
        <f t="shared" si="342"/>
        <v>0.15245987654320986</v>
      </c>
      <c r="AG334" s="34">
        <f t="shared" si="343"/>
        <v>39517.629999999997</v>
      </c>
      <c r="AH334" s="34">
        <f t="shared" si="344"/>
        <v>11878.560199999998</v>
      </c>
      <c r="AI334" s="34">
        <f t="shared" si="345"/>
        <v>106907.04179999998</v>
      </c>
      <c r="AJ334" s="46">
        <f t="shared" si="346"/>
        <v>38526.641799999968</v>
      </c>
      <c r="AK334" s="40">
        <v>102</v>
      </c>
      <c r="AL334" s="41">
        <f t="shared" si="347"/>
        <v>131.376</v>
      </c>
      <c r="AM334" s="202">
        <v>46042</v>
      </c>
      <c r="AN334" s="205">
        <v>122</v>
      </c>
      <c r="AO334" s="26"/>
      <c r="AP334" s="26"/>
      <c r="AQ334" s="27"/>
      <c r="AR334" s="27"/>
      <c r="AS334" s="27"/>
      <c r="AT334" s="27"/>
      <c r="AU334" s="27"/>
      <c r="AV334" s="27"/>
      <c r="AW334" s="26"/>
      <c r="AX334" s="26"/>
      <c r="AY334" s="26"/>
      <c r="AZ334" s="26"/>
      <c r="BA334" s="26"/>
      <c r="BB334" s="26"/>
      <c r="BC334" s="26"/>
      <c r="BD334" s="26"/>
      <c r="BE334" s="26"/>
      <c r="BF334" s="26"/>
      <c r="BG334" s="26"/>
      <c r="BH334" s="26"/>
      <c r="BI334" s="26"/>
    </row>
    <row r="335" spans="1:61" ht="28.5" customHeight="1">
      <c r="A335" s="26"/>
      <c r="B335" s="200"/>
      <c r="C335" s="42" t="s">
        <v>117</v>
      </c>
      <c r="D335" s="28">
        <f t="shared" si="331"/>
        <v>0.31110046432389094</v>
      </c>
      <c r="E335" s="303">
        <v>0.51100000000000001</v>
      </c>
      <c r="F335" s="30">
        <f t="shared" si="332"/>
        <v>0.19989953567610905</v>
      </c>
      <c r="G335" s="30">
        <f t="shared" si="333"/>
        <v>2.3497267759562842E-2</v>
      </c>
      <c r="H335" s="48"/>
      <c r="I335" s="48"/>
      <c r="J335" s="48"/>
      <c r="K335" s="210"/>
      <c r="L335" s="210"/>
      <c r="M335" s="210"/>
      <c r="N335" s="202"/>
      <c r="O335" s="202">
        <v>64</v>
      </c>
      <c r="P335" s="31">
        <f t="shared" si="334"/>
        <v>64</v>
      </c>
      <c r="Q335" s="202">
        <v>7</v>
      </c>
      <c r="R335" s="203">
        <v>43</v>
      </c>
      <c r="S335" s="36"/>
      <c r="T335" s="34">
        <f t="shared" si="335"/>
        <v>1197440</v>
      </c>
      <c r="U335" s="31">
        <f t="shared" si="336"/>
        <v>0</v>
      </c>
      <c r="V335" s="34">
        <f t="shared" si="337"/>
        <v>1197440</v>
      </c>
      <c r="W335" s="43">
        <v>18710</v>
      </c>
      <c r="X335" s="34">
        <f t="shared" si="338"/>
        <v>4451.3280000000004</v>
      </c>
      <c r="Y335" s="34">
        <f t="shared" si="339"/>
        <v>284884.99200000003</v>
      </c>
      <c r="Z335" s="34">
        <f t="shared" si="340"/>
        <v>223197.7</v>
      </c>
      <c r="AA335" s="49">
        <v>202907</v>
      </c>
      <c r="AB335" s="36"/>
      <c r="AC335" s="204">
        <f t="shared" si="348"/>
        <v>16170</v>
      </c>
      <c r="AD335" s="149">
        <v>7.8E-2</v>
      </c>
      <c r="AE335" s="31">
        <f t="shared" ref="AE335:AE337" si="355">1900*(P335+S335)</f>
        <v>121600</v>
      </c>
      <c r="AF335" s="28">
        <f t="shared" si="342"/>
        <v>0.17954997327632283</v>
      </c>
      <c r="AG335" s="34">
        <f t="shared" si="343"/>
        <v>215000.35</v>
      </c>
      <c r="AH335" s="34">
        <f t="shared" si="344"/>
        <v>69755.465799999991</v>
      </c>
      <c r="AI335" s="34">
        <f t="shared" si="345"/>
        <v>627799.19219999993</v>
      </c>
      <c r="AJ335" s="46">
        <f t="shared" si="346"/>
        <v>404601.49219999992</v>
      </c>
      <c r="AK335" s="40">
        <v>18</v>
      </c>
      <c r="AL335" s="41">
        <f t="shared" si="347"/>
        <v>23.184000000000001</v>
      </c>
      <c r="AM335" s="202">
        <v>399656</v>
      </c>
      <c r="AN335" s="205">
        <v>1830</v>
      </c>
      <c r="AO335" s="26"/>
      <c r="AP335" s="26"/>
      <c r="AQ335" s="27"/>
      <c r="AR335" s="27"/>
      <c r="AS335" s="27"/>
      <c r="AT335" s="27"/>
      <c r="AU335" s="27"/>
      <c r="AV335" s="27"/>
      <c r="AW335" s="26"/>
      <c r="AX335" s="26"/>
      <c r="AY335" s="26"/>
      <c r="AZ335" s="26"/>
      <c r="BA335" s="26"/>
      <c r="BB335" s="26"/>
      <c r="BC335" s="26"/>
      <c r="BD335" s="26"/>
      <c r="BE335" s="26"/>
      <c r="BF335" s="26"/>
      <c r="BG335" s="26"/>
      <c r="BH335" s="26"/>
      <c r="BI335" s="26"/>
    </row>
    <row r="336" spans="1:61" ht="28.5" customHeight="1">
      <c r="A336" s="26"/>
      <c r="B336" s="200"/>
      <c r="C336" s="42" t="s">
        <v>31</v>
      </c>
      <c r="D336" s="28">
        <f t="shared" si="331"/>
        <v>-1.2257777777777776</v>
      </c>
      <c r="E336" s="303">
        <v>0.44700000000000001</v>
      </c>
      <c r="F336" s="30">
        <f t="shared" si="332"/>
        <v>1.6727777777777777</v>
      </c>
      <c r="G336" s="30">
        <f t="shared" si="333"/>
        <v>1.1235955056179775E-2</v>
      </c>
      <c r="H336" s="48"/>
      <c r="I336" s="48"/>
      <c r="J336" s="48"/>
      <c r="K336" s="210"/>
      <c r="L336" s="210"/>
      <c r="M336" s="210"/>
      <c r="N336" s="202"/>
      <c r="O336" s="202">
        <v>9</v>
      </c>
      <c r="P336" s="31">
        <f t="shared" si="334"/>
        <v>1</v>
      </c>
      <c r="Q336" s="36"/>
      <c r="R336" s="203">
        <v>1</v>
      </c>
      <c r="S336" s="36">
        <v>8</v>
      </c>
      <c r="T336" s="34">
        <f t="shared" si="335"/>
        <v>178200</v>
      </c>
      <c r="U336" s="31">
        <f t="shared" si="336"/>
        <v>158400</v>
      </c>
      <c r="V336" s="34">
        <f t="shared" si="337"/>
        <v>19800</v>
      </c>
      <c r="W336" s="43">
        <v>19800</v>
      </c>
      <c r="X336" s="34">
        <f t="shared" si="338"/>
        <v>7418.88</v>
      </c>
      <c r="Y336" s="34">
        <f t="shared" si="339"/>
        <v>7418.88</v>
      </c>
      <c r="Z336" s="34">
        <f t="shared" si="340"/>
        <v>33121</v>
      </c>
      <c r="AA336" s="49">
        <v>30110</v>
      </c>
      <c r="AB336" s="286">
        <f>((19800*0.1)+(19800*0.015)+2100+2200)*8</f>
        <v>52616</v>
      </c>
      <c r="AC336" s="204">
        <f t="shared" si="348"/>
        <v>0</v>
      </c>
      <c r="AD336" s="149">
        <v>0.08</v>
      </c>
      <c r="AE336" s="31">
        <f t="shared" si="355"/>
        <v>17100</v>
      </c>
      <c r="AF336" s="28">
        <f t="shared" si="342"/>
        <v>0.94363636363636361</v>
      </c>
      <c r="AG336" s="34">
        <f t="shared" si="343"/>
        <v>18684.03</v>
      </c>
      <c r="AH336" s="34">
        <f t="shared" si="344"/>
        <v>-630.29100000000017</v>
      </c>
      <c r="AI336" s="34">
        <f t="shared" si="345"/>
        <v>-5672.6189999999988</v>
      </c>
      <c r="AJ336" s="46">
        <f t="shared" si="346"/>
        <v>-38793.618999999999</v>
      </c>
      <c r="AK336" s="40">
        <v>30</v>
      </c>
      <c r="AL336" s="41">
        <f t="shared" si="347"/>
        <v>38.64</v>
      </c>
      <c r="AM336" s="202">
        <v>69292</v>
      </c>
      <c r="AN336" s="205">
        <v>89</v>
      </c>
      <c r="AO336" s="26"/>
      <c r="AP336" s="26"/>
      <c r="AQ336" s="27"/>
      <c r="AR336" s="27"/>
      <c r="AS336" s="27"/>
      <c r="AT336" s="27"/>
      <c r="AU336" s="27"/>
      <c r="AV336" s="27"/>
      <c r="AW336" s="26"/>
      <c r="AX336" s="26"/>
      <c r="AY336" s="26"/>
      <c r="AZ336" s="26"/>
      <c r="BA336" s="26"/>
      <c r="BB336" s="26"/>
      <c r="BC336" s="26"/>
      <c r="BD336" s="26"/>
      <c r="BE336" s="26"/>
      <c r="BF336" s="26"/>
      <c r="BG336" s="26"/>
      <c r="BH336" s="26"/>
      <c r="BI336" s="26"/>
    </row>
    <row r="337" spans="1:61" ht="28.5" customHeight="1">
      <c r="A337" s="26"/>
      <c r="B337" s="200"/>
      <c r="C337" s="42" t="s">
        <v>118</v>
      </c>
      <c r="D337" s="28" t="e">
        <f t="shared" si="331"/>
        <v>#DIV/0!</v>
      </c>
      <c r="E337" s="303">
        <v>0.36599999999999999</v>
      </c>
      <c r="F337" s="30" t="e">
        <f t="shared" si="332"/>
        <v>#DIV/0!</v>
      </c>
      <c r="G337" s="30" t="e">
        <f t="shared" si="333"/>
        <v>#DIV/0!</v>
      </c>
      <c r="H337" s="48"/>
      <c r="I337" s="48"/>
      <c r="J337" s="48"/>
      <c r="K337" s="210"/>
      <c r="L337" s="210"/>
      <c r="M337" s="210"/>
      <c r="N337" s="202"/>
      <c r="O337" s="202">
        <v>0</v>
      </c>
      <c r="P337" s="31">
        <f t="shared" si="334"/>
        <v>0</v>
      </c>
      <c r="Q337" s="36"/>
      <c r="R337" s="203">
        <v>0</v>
      </c>
      <c r="S337" s="202"/>
      <c r="T337" s="34">
        <f t="shared" si="335"/>
        <v>0</v>
      </c>
      <c r="U337" s="31">
        <f t="shared" si="336"/>
        <v>0</v>
      </c>
      <c r="V337" s="34">
        <f t="shared" si="337"/>
        <v>0</v>
      </c>
      <c r="W337" s="43">
        <v>24800</v>
      </c>
      <c r="X337" s="34">
        <f t="shared" si="338"/>
        <v>10386.432000000001</v>
      </c>
      <c r="Y337" s="34">
        <f t="shared" si="339"/>
        <v>0</v>
      </c>
      <c r="Z337" s="34">
        <f t="shared" si="340"/>
        <v>0</v>
      </c>
      <c r="AA337" s="49">
        <v>0</v>
      </c>
      <c r="AB337" s="286"/>
      <c r="AC337" s="204">
        <f t="shared" si="348"/>
        <v>0</v>
      </c>
      <c r="AD337" s="149">
        <v>0.1</v>
      </c>
      <c r="AE337" s="31">
        <f t="shared" si="355"/>
        <v>0</v>
      </c>
      <c r="AF337" s="28" t="e">
        <f t="shared" si="342"/>
        <v>#DIV/0!</v>
      </c>
      <c r="AG337" s="34" t="e">
        <f t="shared" si="343"/>
        <v>#DIV/0!</v>
      </c>
      <c r="AH337" s="34" t="e">
        <f t="shared" si="344"/>
        <v>#DIV/0!</v>
      </c>
      <c r="AI337" s="34" t="e">
        <f t="shared" si="345"/>
        <v>#DIV/0!</v>
      </c>
      <c r="AJ337" s="206" t="e">
        <f t="shared" si="346"/>
        <v>#DIV/0!</v>
      </c>
      <c r="AK337" s="40">
        <v>42</v>
      </c>
      <c r="AL337" s="41">
        <f t="shared" si="347"/>
        <v>54.096000000000004</v>
      </c>
      <c r="AM337" s="202">
        <v>0</v>
      </c>
      <c r="AN337" s="284"/>
      <c r="AO337" s="26"/>
      <c r="AP337" s="26"/>
      <c r="AQ337" s="27"/>
      <c r="AR337" s="27"/>
      <c r="AS337" s="27"/>
      <c r="AT337" s="27"/>
      <c r="AU337" s="27"/>
      <c r="AV337" s="27"/>
      <c r="AW337" s="26"/>
      <c r="AX337" s="26"/>
      <c r="AY337" s="26"/>
      <c r="AZ337" s="26"/>
      <c r="BA337" s="26"/>
      <c r="BB337" s="26"/>
      <c r="BC337" s="26"/>
      <c r="BD337" s="26"/>
      <c r="BE337" s="26"/>
      <c r="BF337" s="26"/>
      <c r="BG337" s="26"/>
      <c r="BH337" s="26"/>
      <c r="BI337" s="26"/>
    </row>
    <row r="338" spans="1:61" ht="28.5" customHeight="1">
      <c r="A338" s="26"/>
      <c r="B338" s="200"/>
      <c r="C338" s="42" t="s">
        <v>119</v>
      </c>
      <c r="D338" s="28">
        <f t="shared" si="331"/>
        <v>0.30861129032258061</v>
      </c>
      <c r="E338" s="166">
        <v>0.433</v>
      </c>
      <c r="F338" s="30">
        <f t="shared" si="332"/>
        <v>0.12438870967741936</v>
      </c>
      <c r="G338" s="30">
        <f t="shared" si="333"/>
        <v>0.11428571428571428</v>
      </c>
      <c r="H338" s="48"/>
      <c r="I338" s="48"/>
      <c r="J338" s="48"/>
      <c r="K338" s="210"/>
      <c r="L338" s="210"/>
      <c r="M338" s="210"/>
      <c r="N338" s="202"/>
      <c r="O338" s="202">
        <v>25</v>
      </c>
      <c r="P338" s="31">
        <f t="shared" si="334"/>
        <v>25</v>
      </c>
      <c r="Q338" s="202">
        <v>1</v>
      </c>
      <c r="R338" s="203">
        <v>8</v>
      </c>
      <c r="S338" s="36"/>
      <c r="T338" s="34">
        <f t="shared" si="335"/>
        <v>620000</v>
      </c>
      <c r="U338" s="31">
        <f t="shared" si="336"/>
        <v>0</v>
      </c>
      <c r="V338" s="34">
        <f t="shared" si="337"/>
        <v>620000</v>
      </c>
      <c r="W338" s="43">
        <v>24800</v>
      </c>
      <c r="X338" s="34">
        <f t="shared" si="338"/>
        <v>7666.1760000000013</v>
      </c>
      <c r="Y338" s="34">
        <f t="shared" si="339"/>
        <v>191654.40000000002</v>
      </c>
      <c r="Z338" s="34">
        <f t="shared" si="340"/>
        <v>74811</v>
      </c>
      <c r="AA338" s="49">
        <v>68010</v>
      </c>
      <c r="AB338" s="36"/>
      <c r="AC338" s="204">
        <f t="shared" si="348"/>
        <v>2310</v>
      </c>
      <c r="AD338" s="149">
        <v>0.108</v>
      </c>
      <c r="AE338" s="31">
        <f>3150*(P338+S338)</f>
        <v>78750</v>
      </c>
      <c r="AF338" s="28">
        <f t="shared" si="342"/>
        <v>0.23501612903225805</v>
      </c>
      <c r="AG338" s="34">
        <f t="shared" si="343"/>
        <v>145710.03</v>
      </c>
      <c r="AH338" s="34">
        <f t="shared" si="344"/>
        <v>28263.556999999993</v>
      </c>
      <c r="AI338" s="34">
        <f t="shared" si="345"/>
        <v>254372.01299999998</v>
      </c>
      <c r="AJ338" s="46">
        <f t="shared" si="346"/>
        <v>179561.01299999998</v>
      </c>
      <c r="AK338" s="40">
        <v>31</v>
      </c>
      <c r="AL338" s="41">
        <f t="shared" si="347"/>
        <v>39.928000000000004</v>
      </c>
      <c r="AM338" s="202">
        <v>9092</v>
      </c>
      <c r="AN338" s="205">
        <v>70</v>
      </c>
      <c r="AO338" s="26"/>
      <c r="AP338" s="26"/>
      <c r="AQ338" s="27"/>
      <c r="AR338" s="27"/>
      <c r="AS338" s="27"/>
      <c r="AT338" s="27"/>
      <c r="AU338" s="27"/>
      <c r="AV338" s="27"/>
      <c r="AW338" s="26"/>
      <c r="AX338" s="26"/>
      <c r="AY338" s="26"/>
      <c r="AZ338" s="26"/>
      <c r="BA338" s="26"/>
      <c r="BB338" s="26"/>
      <c r="BC338" s="26"/>
      <c r="BD338" s="26"/>
      <c r="BE338" s="26"/>
      <c r="BF338" s="26"/>
      <c r="BG338" s="26"/>
      <c r="BH338" s="26"/>
      <c r="BI338" s="26"/>
    </row>
    <row r="339" spans="1:61" ht="28.5" customHeight="1">
      <c r="A339" s="26"/>
      <c r="B339" s="200"/>
      <c r="C339" s="42" t="s">
        <v>120</v>
      </c>
      <c r="D339" s="28" t="e">
        <f t="shared" si="331"/>
        <v>#DIV/0!</v>
      </c>
      <c r="E339" s="166">
        <v>0.41199999999999998</v>
      </c>
      <c r="F339" s="30" t="e">
        <f t="shared" si="332"/>
        <v>#DIV/0!</v>
      </c>
      <c r="G339" s="30">
        <f t="shared" si="333"/>
        <v>2.1739130434782608E-2</v>
      </c>
      <c r="H339" s="48"/>
      <c r="I339" s="48"/>
      <c r="J339" s="48"/>
      <c r="K339" s="210"/>
      <c r="L339" s="210"/>
      <c r="M339" s="210"/>
      <c r="N339" s="202"/>
      <c r="O339" s="202">
        <v>0</v>
      </c>
      <c r="P339" s="31">
        <f t="shared" si="334"/>
        <v>0</v>
      </c>
      <c r="Q339" s="36"/>
      <c r="R339" s="203">
        <v>1</v>
      </c>
      <c r="S339" s="36"/>
      <c r="T339" s="34">
        <f t="shared" si="335"/>
        <v>0</v>
      </c>
      <c r="U339" s="31">
        <f t="shared" si="336"/>
        <v>0</v>
      </c>
      <c r="V339" s="34">
        <f t="shared" si="337"/>
        <v>0</v>
      </c>
      <c r="W339" s="43">
        <v>39800</v>
      </c>
      <c r="X339" s="34">
        <f t="shared" si="338"/>
        <v>7666.1760000000013</v>
      </c>
      <c r="Y339" s="34">
        <f t="shared" si="339"/>
        <v>0</v>
      </c>
      <c r="Z339" s="34">
        <f t="shared" si="340"/>
        <v>30776.9</v>
      </c>
      <c r="AA339" s="49">
        <v>27979</v>
      </c>
      <c r="AB339" s="36"/>
      <c r="AC339" s="204">
        <f t="shared" si="348"/>
        <v>0</v>
      </c>
      <c r="AD339" s="152">
        <v>0.108</v>
      </c>
      <c r="AE339" s="31">
        <f>3550*(P339+S339)</f>
        <v>0</v>
      </c>
      <c r="AF339" s="28" t="e">
        <f t="shared" si="342"/>
        <v>#DIV/0!</v>
      </c>
      <c r="AG339" s="34" t="e">
        <f t="shared" si="343"/>
        <v>#DIV/0!</v>
      </c>
      <c r="AH339" s="34" t="e">
        <f t="shared" si="344"/>
        <v>#DIV/0!</v>
      </c>
      <c r="AI339" s="34" t="e">
        <f t="shared" si="345"/>
        <v>#DIV/0!</v>
      </c>
      <c r="AJ339" s="206" t="e">
        <f t="shared" si="346"/>
        <v>#DIV/0!</v>
      </c>
      <c r="AK339" s="40">
        <v>31</v>
      </c>
      <c r="AL339" s="41">
        <f t="shared" si="347"/>
        <v>39.928000000000004</v>
      </c>
      <c r="AM339" s="202">
        <v>9038</v>
      </c>
      <c r="AN339" s="205">
        <v>46</v>
      </c>
      <c r="AO339" s="26"/>
      <c r="AP339" s="26"/>
      <c r="AQ339" s="27"/>
      <c r="AR339" s="27"/>
      <c r="AS339" s="27"/>
      <c r="AT339" s="27"/>
      <c r="AU339" s="27"/>
      <c r="AV339" s="27"/>
      <c r="AW339" s="26"/>
      <c r="AX339" s="26"/>
      <c r="AY339" s="26"/>
      <c r="AZ339" s="26"/>
      <c r="BA339" s="26"/>
      <c r="BB339" s="26"/>
      <c r="BC339" s="26"/>
      <c r="BD339" s="26"/>
      <c r="BE339" s="26"/>
      <c r="BF339" s="26"/>
      <c r="BG339" s="26"/>
      <c r="BH339" s="26"/>
      <c r="BI339" s="26"/>
    </row>
    <row r="340" spans="1:61" ht="28.5" customHeight="1">
      <c r="A340" s="26"/>
      <c r="B340" s="216"/>
      <c r="C340" s="217"/>
      <c r="D340" s="298">
        <f>AJ340/V340</f>
        <v>0.13786848922955994</v>
      </c>
      <c r="E340" s="298">
        <f>AI340/V340</f>
        <v>0.39745800260816178</v>
      </c>
      <c r="F340" s="52">
        <f>(Z340)/V340</f>
        <v>0.22021487449127261</v>
      </c>
      <c r="G340" s="219"/>
      <c r="H340" s="55"/>
      <c r="I340" s="55"/>
      <c r="J340" s="55"/>
      <c r="K340" s="55"/>
      <c r="L340" s="55"/>
      <c r="M340" s="55"/>
      <c r="N340" s="130"/>
      <c r="O340" s="130">
        <f t="shared" ref="O340:R340" si="356">SUM(O318:O339)</f>
        <v>414</v>
      </c>
      <c r="P340" s="130">
        <f t="shared" si="356"/>
        <v>363</v>
      </c>
      <c r="Q340" s="130">
        <f t="shared" si="356"/>
        <v>40</v>
      </c>
      <c r="R340" s="130">
        <f t="shared" si="356"/>
        <v>249</v>
      </c>
      <c r="S340" s="36"/>
      <c r="T340" s="130">
        <f t="shared" ref="T340:V340" si="357">SUM(T318:T339)</f>
        <v>12122560</v>
      </c>
      <c r="U340" s="130">
        <f t="shared" si="357"/>
        <v>1080300</v>
      </c>
      <c r="V340" s="130">
        <f t="shared" si="357"/>
        <v>11042260</v>
      </c>
      <c r="W340" s="55"/>
      <c r="X340" s="130">
        <f t="shared" ref="X340:AC340" si="358">SUM(X318:X339)</f>
        <v>314387.4047999999</v>
      </c>
      <c r="Y340" s="130">
        <f t="shared" si="358"/>
        <v>3897273.6768</v>
      </c>
      <c r="Z340" s="130">
        <f t="shared" si="358"/>
        <v>2431669.9</v>
      </c>
      <c r="AA340" s="130">
        <f t="shared" si="358"/>
        <v>2210609</v>
      </c>
      <c r="AB340" s="287">
        <f t="shared" si="358"/>
        <v>434785</v>
      </c>
      <c r="AC340" s="130">
        <f t="shared" si="358"/>
        <v>90054</v>
      </c>
      <c r="AD340" s="154">
        <v>0.09</v>
      </c>
      <c r="AE340" s="130">
        <f>SUM(AE318:AE339)</f>
        <v>1274700</v>
      </c>
      <c r="AF340" s="53">
        <f t="shared" si="342"/>
        <v>0.2054383251254725</v>
      </c>
      <c r="AG340" s="56">
        <f t="shared" si="343"/>
        <v>2268503.4299999997</v>
      </c>
      <c r="AH340" s="56">
        <f t="shared" si="344"/>
        <v>487648.2893200001</v>
      </c>
      <c r="AI340" s="56">
        <f t="shared" si="345"/>
        <v>4388834.6038800003</v>
      </c>
      <c r="AJ340" s="46">
        <f>AI340-Z340-AB340</f>
        <v>1522379.7038800004</v>
      </c>
      <c r="AK340" s="54"/>
      <c r="AL340" s="222"/>
      <c r="AM340" s="131">
        <f t="shared" ref="AM340:AN340" si="359">SUM(AM318:AM319)</f>
        <v>585468</v>
      </c>
      <c r="AN340" s="132">
        <f t="shared" si="359"/>
        <v>1745</v>
      </c>
      <c r="AO340" s="26"/>
      <c r="AP340" s="26"/>
      <c r="AQ340" s="27"/>
      <c r="AR340" s="27"/>
      <c r="AS340" s="27"/>
      <c r="AT340" s="27"/>
      <c r="AU340" s="27"/>
      <c r="AV340" s="27"/>
      <c r="AW340" s="26"/>
      <c r="AX340" s="26"/>
      <c r="AY340" s="26"/>
      <c r="AZ340" s="26"/>
      <c r="BA340" s="26"/>
      <c r="BB340" s="26"/>
      <c r="BC340" s="26"/>
      <c r="BD340" s="26"/>
      <c r="BE340" s="26"/>
      <c r="BF340" s="26"/>
      <c r="BG340" s="26"/>
      <c r="BH340" s="26"/>
      <c r="BI340" s="26"/>
    </row>
    <row r="341" spans="1:61" ht="28.5" customHeight="1">
      <c r="A341" s="1"/>
      <c r="B341" s="290"/>
      <c r="C341" s="291"/>
      <c r="D341" s="2"/>
      <c r="E341" s="2"/>
      <c r="F341" s="2"/>
      <c r="G341" s="2"/>
      <c r="H341" s="2"/>
      <c r="I341" s="2"/>
      <c r="J341" s="2"/>
      <c r="K341" s="2"/>
      <c r="L341" s="2"/>
      <c r="M341" s="2"/>
      <c r="N341" s="292"/>
      <c r="O341" s="292"/>
      <c r="P341" s="2"/>
      <c r="Q341" s="2"/>
      <c r="R341" s="2"/>
      <c r="S341" s="293"/>
      <c r="T341" s="2"/>
      <c r="U341" s="2"/>
      <c r="V341" s="2"/>
      <c r="W341" s="2"/>
      <c r="X341" s="2"/>
      <c r="Y341" s="2"/>
      <c r="Z341" s="2"/>
      <c r="AA341" s="2"/>
      <c r="AB341" s="2"/>
      <c r="AC341" s="2"/>
      <c r="AD341" s="2"/>
      <c r="AE341" s="2"/>
      <c r="AF341" s="1"/>
      <c r="AG341" s="1"/>
      <c r="AH341" s="1"/>
      <c r="AI341" s="1"/>
      <c r="AJ341" s="1"/>
      <c r="AK341" s="1"/>
      <c r="AL341" s="1"/>
      <c r="AM341" s="1"/>
      <c r="AN341" s="1"/>
      <c r="AO341" s="1"/>
      <c r="AP341" s="1"/>
      <c r="AQ341" s="1"/>
      <c r="AR341" s="1"/>
      <c r="AS341" s="1"/>
      <c r="AT341" s="7"/>
      <c r="AU341" s="7"/>
      <c r="AV341" s="7"/>
      <c r="AW341" s="47"/>
      <c r="AX341" s="47"/>
      <c r="AY341" s="47"/>
      <c r="AZ341" s="47"/>
      <c r="BA341" s="47"/>
      <c r="BB341" s="47"/>
      <c r="BC341" s="47"/>
      <c r="BD341" s="47"/>
      <c r="BE341" s="47"/>
      <c r="BF341" s="47"/>
      <c r="BG341" s="47"/>
      <c r="BH341" s="47"/>
      <c r="BI341" s="47"/>
    </row>
    <row r="342" spans="1:61" ht="28.5" customHeight="1">
      <c r="A342" s="26"/>
      <c r="B342" s="189"/>
      <c r="C342" s="134">
        <v>45883</v>
      </c>
      <c r="D342" s="190" t="s">
        <v>0</v>
      </c>
      <c r="E342" s="190" t="s">
        <v>1</v>
      </c>
      <c r="F342" s="190" t="s">
        <v>2</v>
      </c>
      <c r="G342" s="190" t="s">
        <v>3</v>
      </c>
      <c r="H342" s="191" t="s">
        <v>4</v>
      </c>
      <c r="I342" s="192" t="s">
        <v>5</v>
      </c>
      <c r="J342" s="192" t="s">
        <v>90</v>
      </c>
      <c r="K342" s="193"/>
      <c r="L342" s="193" t="s">
        <v>6</v>
      </c>
      <c r="M342" s="194" t="s">
        <v>7</v>
      </c>
      <c r="N342" s="123"/>
      <c r="O342" s="123" t="s">
        <v>8</v>
      </c>
      <c r="P342" s="123" t="s">
        <v>9</v>
      </c>
      <c r="Q342" s="15" t="s">
        <v>10</v>
      </c>
      <c r="R342" s="123" t="s">
        <v>92</v>
      </c>
      <c r="S342" s="196" t="s">
        <v>11</v>
      </c>
      <c r="T342" s="17" t="s">
        <v>12</v>
      </c>
      <c r="U342" s="17" t="s">
        <v>13</v>
      </c>
      <c r="V342" s="17" t="s">
        <v>14</v>
      </c>
      <c r="W342" s="17" t="s">
        <v>15</v>
      </c>
      <c r="X342" s="17" t="s">
        <v>16</v>
      </c>
      <c r="Y342" s="17" t="s">
        <v>17</v>
      </c>
      <c r="Z342" s="19" t="s">
        <v>18</v>
      </c>
      <c r="AA342" s="19" t="s">
        <v>19</v>
      </c>
      <c r="AB342" s="20" t="s">
        <v>20</v>
      </c>
      <c r="AC342" s="22" t="s">
        <v>93</v>
      </c>
      <c r="AD342" s="197" t="s">
        <v>21</v>
      </c>
      <c r="AE342" s="21" t="s">
        <v>22</v>
      </c>
      <c r="AF342" s="23" t="s">
        <v>23</v>
      </c>
      <c r="AG342" s="23" t="s">
        <v>21</v>
      </c>
      <c r="AH342" s="23" t="s">
        <v>24</v>
      </c>
      <c r="AI342" s="24" t="s">
        <v>26</v>
      </c>
      <c r="AJ342" s="23" t="s">
        <v>27</v>
      </c>
      <c r="AK342" s="21" t="s">
        <v>147</v>
      </c>
      <c r="AL342" s="282" t="s">
        <v>148</v>
      </c>
      <c r="AM342" s="124" t="s">
        <v>94</v>
      </c>
      <c r="AN342" s="125" t="s">
        <v>95</v>
      </c>
      <c r="AO342" s="26"/>
      <c r="AP342" s="26"/>
      <c r="AQ342" s="27"/>
      <c r="AR342" s="27"/>
      <c r="AS342" s="27"/>
      <c r="AT342" s="27"/>
      <c r="AU342" s="27"/>
      <c r="AV342" s="27"/>
      <c r="AW342" s="26"/>
      <c r="AX342" s="26"/>
      <c r="AY342" s="26"/>
      <c r="AZ342" s="26"/>
      <c r="BA342" s="26"/>
      <c r="BB342" s="26"/>
      <c r="BC342" s="26"/>
      <c r="BD342" s="26"/>
      <c r="BE342" s="26"/>
      <c r="BF342" s="26"/>
      <c r="BG342" s="26"/>
      <c r="BH342" s="26"/>
      <c r="BI342" s="26"/>
    </row>
    <row r="343" spans="1:61" ht="28.5" customHeight="1">
      <c r="A343" s="26"/>
      <c r="B343" s="200"/>
      <c r="C343" s="42" t="s">
        <v>107</v>
      </c>
      <c r="D343" s="28">
        <f t="shared" ref="D343:D364" si="360">E343-F343</f>
        <v>0.16938582244216047</v>
      </c>
      <c r="E343" s="166">
        <v>0.39700000000000002</v>
      </c>
      <c r="F343" s="30">
        <f t="shared" ref="F343:F364" si="361">(Z343+AC343)/V343</f>
        <v>0.22761417755783955</v>
      </c>
      <c r="G343" s="30" t="e">
        <f t="shared" ref="G343:G364" si="362">R343/AN343</f>
        <v>#DIV/0!</v>
      </c>
      <c r="H343" s="48"/>
      <c r="I343" s="48"/>
      <c r="J343" s="48"/>
      <c r="K343" s="48"/>
      <c r="L343" s="48"/>
      <c r="M343" s="48"/>
      <c r="N343" s="202"/>
      <c r="O343" s="202">
        <v>135</v>
      </c>
      <c r="P343" s="31">
        <f t="shared" ref="P343:P364" si="363">O343-S343</f>
        <v>135</v>
      </c>
      <c r="Q343" s="202">
        <v>10</v>
      </c>
      <c r="R343" s="203"/>
      <c r="S343" s="36"/>
      <c r="T343" s="34">
        <f t="shared" ref="T343:T364" si="364">W343*O343</f>
        <v>3546450</v>
      </c>
      <c r="U343" s="31">
        <f t="shared" ref="U343:U364" si="365">W343*S343</f>
        <v>0</v>
      </c>
      <c r="V343" s="34">
        <f t="shared" ref="V343:V364" si="366">T343-U343</f>
        <v>3546450</v>
      </c>
      <c r="W343" s="43">
        <v>26270</v>
      </c>
      <c r="X343" s="34">
        <f t="shared" ref="X343:X364" si="367">AL343*$A$2</f>
        <v>9891.84</v>
      </c>
      <c r="Y343" s="34">
        <f t="shared" ref="Y343:Y364" si="368">X343*P343</f>
        <v>1335398.3999999999</v>
      </c>
      <c r="Z343" s="34">
        <f t="shared" ref="Z343:Z364" si="369">AA343*1.1</f>
        <v>785502.3</v>
      </c>
      <c r="AA343" s="49">
        <v>714093</v>
      </c>
      <c r="AB343" s="36"/>
      <c r="AC343" s="204">
        <f t="shared" ref="AC343:AC344" si="370">(1072+1100)*Q343</f>
        <v>21720</v>
      </c>
      <c r="AD343" s="149">
        <v>0.1</v>
      </c>
      <c r="AE343" s="31">
        <f>3050*(P343+S343)</f>
        <v>411750</v>
      </c>
      <c r="AF343" s="28">
        <f t="shared" ref="AF343:AF365" si="371">AD343+(AE343/V343)</f>
        <v>0.2161020175104682</v>
      </c>
      <c r="AG343" s="34">
        <f t="shared" ref="AG343:AG365" si="372">V343*AF343+3%</f>
        <v>766395.03</v>
      </c>
      <c r="AH343" s="34">
        <f t="shared" ref="AH343:AH365" si="373">(V343)*10%-(Y343+AG343)*10%</f>
        <v>144465.65700000001</v>
      </c>
      <c r="AI343" s="34">
        <f t="shared" ref="AI343:AI365" si="374">V343-(Y343+AG343+AH343)</f>
        <v>1300190.9130000002</v>
      </c>
      <c r="AJ343" s="46">
        <f t="shared" ref="AJ343:AJ364" si="375">AI343-Z343</f>
        <v>514688.61300000013</v>
      </c>
      <c r="AK343" s="40">
        <v>40</v>
      </c>
      <c r="AL343" s="41">
        <f t="shared" ref="AL343:AL364" si="376">(AK343*1.15)*1.12</f>
        <v>51.52</v>
      </c>
      <c r="AM343" s="202"/>
      <c r="AN343" s="205"/>
      <c r="AO343" s="26"/>
      <c r="AP343" s="26"/>
      <c r="AQ343" s="27"/>
      <c r="AR343" s="27"/>
      <c r="AS343" s="27"/>
      <c r="AT343" s="27"/>
      <c r="AU343" s="27"/>
      <c r="AV343" s="27"/>
      <c r="AW343" s="26"/>
      <c r="AX343" s="26"/>
      <c r="AY343" s="26"/>
      <c r="AZ343" s="26"/>
      <c r="BA343" s="26"/>
      <c r="BB343" s="26"/>
      <c r="BC343" s="26"/>
      <c r="BD343" s="26"/>
      <c r="BE343" s="26"/>
      <c r="BF343" s="26"/>
      <c r="BG343" s="26"/>
      <c r="BH343" s="26"/>
      <c r="BI343" s="26"/>
    </row>
    <row r="344" spans="1:61" ht="28.5" customHeight="1">
      <c r="A344" s="26"/>
      <c r="B344" s="200"/>
      <c r="C344" s="42" t="s">
        <v>108</v>
      </c>
      <c r="D344" s="28">
        <f t="shared" si="360"/>
        <v>-0.39546724890829693</v>
      </c>
      <c r="E344" s="166">
        <v>0.41199999999999998</v>
      </c>
      <c r="F344" s="30">
        <f t="shared" si="361"/>
        <v>0.80746724890829691</v>
      </c>
      <c r="G344" s="30" t="e">
        <f t="shared" si="362"/>
        <v>#DIV/0!</v>
      </c>
      <c r="H344" s="48"/>
      <c r="I344" s="48"/>
      <c r="J344" s="48"/>
      <c r="K344" s="210"/>
      <c r="L344" s="210"/>
      <c r="M344" s="210"/>
      <c r="N344" s="202"/>
      <c r="O344" s="202">
        <v>1</v>
      </c>
      <c r="P344" s="31">
        <f t="shared" si="363"/>
        <v>1</v>
      </c>
      <c r="Q344" s="36">
        <v>0</v>
      </c>
      <c r="R344" s="203"/>
      <c r="S344" s="36"/>
      <c r="T344" s="34">
        <f t="shared" si="364"/>
        <v>22900</v>
      </c>
      <c r="U344" s="31">
        <f t="shared" si="365"/>
        <v>0</v>
      </c>
      <c r="V344" s="34">
        <f t="shared" si="366"/>
        <v>22900</v>
      </c>
      <c r="W344" s="43">
        <v>22900</v>
      </c>
      <c r="X344" s="34">
        <f t="shared" si="367"/>
        <v>7913.4719999999998</v>
      </c>
      <c r="Y344" s="34">
        <f t="shared" si="368"/>
        <v>7913.4719999999998</v>
      </c>
      <c r="Z344" s="34">
        <f t="shared" si="369"/>
        <v>18491</v>
      </c>
      <c r="AA344" s="49">
        <v>16810</v>
      </c>
      <c r="AB344" s="36"/>
      <c r="AC344" s="204">
        <f t="shared" si="370"/>
        <v>0</v>
      </c>
      <c r="AD344" s="149">
        <v>0.1</v>
      </c>
      <c r="AE344" s="31">
        <f>2950*(P344+S344)</f>
        <v>2950</v>
      </c>
      <c r="AF344" s="28">
        <f t="shared" si="371"/>
        <v>0.22882096069868996</v>
      </c>
      <c r="AG344" s="34">
        <f t="shared" si="372"/>
        <v>5240.03</v>
      </c>
      <c r="AH344" s="34">
        <f t="shared" si="373"/>
        <v>974.64979999999991</v>
      </c>
      <c r="AI344" s="34">
        <f t="shared" si="374"/>
        <v>8771.8482000000004</v>
      </c>
      <c r="AJ344" s="46">
        <f t="shared" si="375"/>
        <v>-9719.1517999999996</v>
      </c>
      <c r="AK344" s="40">
        <v>32</v>
      </c>
      <c r="AL344" s="41">
        <f t="shared" si="376"/>
        <v>41.216000000000001</v>
      </c>
      <c r="AM344" s="202"/>
      <c r="AN344" s="205"/>
      <c r="AO344" s="26"/>
      <c r="AP344" s="26"/>
      <c r="AQ344" s="27"/>
      <c r="AR344" s="27"/>
      <c r="AS344" s="27"/>
      <c r="AT344" s="27"/>
      <c r="AU344" s="27"/>
      <c r="AV344" s="27"/>
      <c r="AW344" s="26"/>
      <c r="AX344" s="26"/>
      <c r="AY344" s="26"/>
      <c r="AZ344" s="26"/>
      <c r="BA344" s="26"/>
      <c r="BB344" s="26"/>
      <c r="BC344" s="26"/>
      <c r="BD344" s="26"/>
      <c r="BE344" s="26"/>
      <c r="BF344" s="26"/>
      <c r="BG344" s="26"/>
      <c r="BH344" s="26"/>
      <c r="BI344" s="26"/>
    </row>
    <row r="345" spans="1:61" ht="28.5" customHeight="1">
      <c r="A345" s="336"/>
      <c r="B345" s="323"/>
      <c r="C345" s="42" t="s">
        <v>109</v>
      </c>
      <c r="D345" s="28">
        <f t="shared" si="360"/>
        <v>0.16349999999999998</v>
      </c>
      <c r="E345" s="166">
        <v>0.378</v>
      </c>
      <c r="F345" s="30">
        <f t="shared" si="361"/>
        <v>0.21450000000000002</v>
      </c>
      <c r="G345" s="30" t="e">
        <f t="shared" si="362"/>
        <v>#DIV/0!</v>
      </c>
      <c r="H345" s="48"/>
      <c r="I345" s="48"/>
      <c r="J345" s="48"/>
      <c r="K345" s="48"/>
      <c r="L345" s="334"/>
      <c r="M345" s="48"/>
      <c r="N345" s="202"/>
      <c r="O345" s="202">
        <v>4</v>
      </c>
      <c r="P345" s="31">
        <f t="shared" si="363"/>
        <v>4</v>
      </c>
      <c r="Q345" s="36">
        <v>2</v>
      </c>
      <c r="R345" s="203"/>
      <c r="S345" s="36"/>
      <c r="T345" s="34">
        <f t="shared" si="364"/>
        <v>177600</v>
      </c>
      <c r="U345" s="31">
        <f t="shared" si="365"/>
        <v>0</v>
      </c>
      <c r="V345" s="34">
        <f t="shared" si="366"/>
        <v>177600</v>
      </c>
      <c r="W345" s="43">
        <v>44400</v>
      </c>
      <c r="X345" s="34">
        <f t="shared" si="367"/>
        <v>12278.2464</v>
      </c>
      <c r="Y345" s="34">
        <f t="shared" si="368"/>
        <v>49112.9856</v>
      </c>
      <c r="Z345" s="34">
        <f t="shared" si="369"/>
        <v>33475.200000000004</v>
      </c>
      <c r="AA345" s="49">
        <v>30432</v>
      </c>
      <c r="AB345" s="36"/>
      <c r="AC345" s="204">
        <f t="shared" ref="AC345:AC364" si="377">(1210+1100)*Q345</f>
        <v>4620</v>
      </c>
      <c r="AD345" s="149">
        <v>0.11</v>
      </c>
      <c r="AE345" s="31">
        <f t="shared" ref="AE345:AE346" si="378">4150*(P345+S345)</f>
        <v>16600</v>
      </c>
      <c r="AF345" s="28">
        <f t="shared" si="371"/>
        <v>0.20346846846846847</v>
      </c>
      <c r="AG345" s="34">
        <f t="shared" si="372"/>
        <v>36136.03</v>
      </c>
      <c r="AH345" s="34">
        <f t="shared" si="373"/>
        <v>9235.0984399999998</v>
      </c>
      <c r="AI345" s="34">
        <f t="shared" si="374"/>
        <v>83115.88596</v>
      </c>
      <c r="AJ345" s="46">
        <f t="shared" si="375"/>
        <v>49640.685959999995</v>
      </c>
      <c r="AK345" s="40">
        <v>49.65</v>
      </c>
      <c r="AL345" s="41">
        <f t="shared" si="376"/>
        <v>63.949200000000005</v>
      </c>
      <c r="AM345" s="202"/>
      <c r="AN345" s="205"/>
      <c r="AO345" s="26"/>
      <c r="AP345" s="26"/>
      <c r="AQ345" s="27"/>
      <c r="AR345" s="27"/>
      <c r="AS345" s="27"/>
      <c r="AT345" s="27"/>
      <c r="AU345" s="27"/>
      <c r="AV345" s="27"/>
      <c r="AW345" s="26"/>
      <c r="AX345" s="26"/>
      <c r="AY345" s="26"/>
      <c r="AZ345" s="26"/>
      <c r="BA345" s="26"/>
      <c r="BB345" s="26"/>
      <c r="BC345" s="26"/>
      <c r="BD345" s="26"/>
      <c r="BE345" s="26"/>
      <c r="BF345" s="26"/>
      <c r="BG345" s="26"/>
      <c r="BH345" s="26"/>
      <c r="BI345" s="26"/>
    </row>
    <row r="346" spans="1:61" ht="28.5" customHeight="1">
      <c r="A346" s="311"/>
      <c r="B346" s="324"/>
      <c r="C346" s="42" t="s">
        <v>110</v>
      </c>
      <c r="D346" s="28">
        <f t="shared" si="360"/>
        <v>0.13062991452991451</v>
      </c>
      <c r="E346" s="166">
        <v>0.317</v>
      </c>
      <c r="F346" s="30">
        <f t="shared" si="361"/>
        <v>0.18637008547008549</v>
      </c>
      <c r="G346" s="30" t="e">
        <f t="shared" si="362"/>
        <v>#DIV/0!</v>
      </c>
      <c r="H346" s="48"/>
      <c r="I346" s="48"/>
      <c r="J346" s="48"/>
      <c r="K346" s="48"/>
      <c r="L346" s="310"/>
      <c r="M346" s="48"/>
      <c r="N346" s="202"/>
      <c r="O346" s="202">
        <v>10</v>
      </c>
      <c r="P346" s="31">
        <f t="shared" si="363"/>
        <v>10</v>
      </c>
      <c r="Q346" s="202">
        <v>1</v>
      </c>
      <c r="R346" s="203"/>
      <c r="S346" s="36"/>
      <c r="T346" s="34">
        <f t="shared" si="364"/>
        <v>468000</v>
      </c>
      <c r="U346" s="31">
        <f t="shared" si="365"/>
        <v>0</v>
      </c>
      <c r="V346" s="34">
        <f t="shared" si="366"/>
        <v>468000</v>
      </c>
      <c r="W346" s="43">
        <v>46800</v>
      </c>
      <c r="X346" s="34">
        <f t="shared" si="367"/>
        <v>12772.838400000001</v>
      </c>
      <c r="Y346" s="34">
        <f t="shared" si="368"/>
        <v>127728.38400000001</v>
      </c>
      <c r="Z346" s="34">
        <f t="shared" si="369"/>
        <v>84911.200000000012</v>
      </c>
      <c r="AA346" s="49">
        <v>77192</v>
      </c>
      <c r="AB346" s="36"/>
      <c r="AC346" s="204">
        <f t="shared" si="377"/>
        <v>2310</v>
      </c>
      <c r="AD346" s="149">
        <v>0.11</v>
      </c>
      <c r="AE346" s="31">
        <f t="shared" si="378"/>
        <v>41500</v>
      </c>
      <c r="AF346" s="28">
        <f t="shared" si="371"/>
        <v>0.19867521367521368</v>
      </c>
      <c r="AG346" s="34">
        <f t="shared" si="372"/>
        <v>92980.03</v>
      </c>
      <c r="AH346" s="34">
        <f t="shared" si="373"/>
        <v>24729.158599999999</v>
      </c>
      <c r="AI346" s="34">
        <f t="shared" si="374"/>
        <v>222562.42740000002</v>
      </c>
      <c r="AJ346" s="46">
        <f t="shared" si="375"/>
        <v>137651.2274</v>
      </c>
      <c r="AK346" s="40">
        <v>51.65</v>
      </c>
      <c r="AL346" s="41">
        <f t="shared" si="376"/>
        <v>66.525199999999998</v>
      </c>
      <c r="AM346" s="202"/>
      <c r="AN346" s="205"/>
      <c r="AO346" s="26"/>
      <c r="AP346" s="26"/>
      <c r="AQ346" s="27"/>
      <c r="AR346" s="27"/>
      <c r="AS346" s="27"/>
      <c r="AT346" s="27"/>
      <c r="AU346" s="27"/>
      <c r="AV346" s="27"/>
      <c r="AW346" s="26"/>
      <c r="AX346" s="26"/>
      <c r="AY346" s="26"/>
      <c r="AZ346" s="26"/>
      <c r="BA346" s="26"/>
      <c r="BB346" s="26"/>
      <c r="BC346" s="26"/>
      <c r="BD346" s="26"/>
      <c r="BE346" s="26"/>
      <c r="BF346" s="26"/>
      <c r="BG346" s="26"/>
      <c r="BH346" s="26"/>
      <c r="BI346" s="26"/>
    </row>
    <row r="347" spans="1:61" ht="28.5" customHeight="1">
      <c r="A347" s="26"/>
      <c r="B347" s="323"/>
      <c r="C347" s="42" t="s">
        <v>32</v>
      </c>
      <c r="D347" s="28">
        <f t="shared" si="360"/>
        <v>0.21197324414715721</v>
      </c>
      <c r="E347" s="166">
        <v>0.40600000000000003</v>
      </c>
      <c r="F347" s="30">
        <f t="shared" si="361"/>
        <v>0.19402675585284282</v>
      </c>
      <c r="G347" s="30" t="e">
        <f t="shared" si="362"/>
        <v>#DIV/0!</v>
      </c>
      <c r="H347" s="33"/>
      <c r="I347" s="48"/>
      <c r="J347" s="48"/>
      <c r="K347" s="48"/>
      <c r="L347" s="334"/>
      <c r="M347" s="48"/>
      <c r="N347" s="202"/>
      <c r="O347" s="202">
        <v>19</v>
      </c>
      <c r="P347" s="31">
        <f t="shared" si="363"/>
        <v>11</v>
      </c>
      <c r="Q347" s="202">
        <v>1</v>
      </c>
      <c r="R347" s="203"/>
      <c r="S347" s="202">
        <v>8</v>
      </c>
      <c r="T347" s="34">
        <f t="shared" si="364"/>
        <v>1136200</v>
      </c>
      <c r="U347" s="31">
        <f t="shared" si="365"/>
        <v>478400</v>
      </c>
      <c r="V347" s="34">
        <f t="shared" si="366"/>
        <v>657800</v>
      </c>
      <c r="W347" s="43">
        <v>59800</v>
      </c>
      <c r="X347" s="34">
        <f t="shared" si="367"/>
        <v>21143.807999999997</v>
      </c>
      <c r="Y347" s="34">
        <f t="shared" si="368"/>
        <v>232581.88799999998</v>
      </c>
      <c r="Z347" s="34">
        <f t="shared" si="369"/>
        <v>125320.8</v>
      </c>
      <c r="AA347" s="49">
        <v>113928</v>
      </c>
      <c r="AB347" s="287">
        <f>((59800*0.015)+(59800*0.19)+2100+4950)*8</f>
        <v>154472</v>
      </c>
      <c r="AC347" s="204">
        <f t="shared" si="377"/>
        <v>2310</v>
      </c>
      <c r="AD347" s="149">
        <v>0.108</v>
      </c>
      <c r="AE347" s="31">
        <f t="shared" ref="AE347:AE348" si="379">4825*(P347+S347)</f>
        <v>91675</v>
      </c>
      <c r="AF347" s="28">
        <f t="shared" si="371"/>
        <v>0.24736606871389483</v>
      </c>
      <c r="AG347" s="34">
        <f t="shared" si="372"/>
        <v>162717.43000000002</v>
      </c>
      <c r="AH347" s="34">
        <f t="shared" si="373"/>
        <v>26250.068200000002</v>
      </c>
      <c r="AI347" s="34">
        <f t="shared" si="374"/>
        <v>236250.61380000005</v>
      </c>
      <c r="AJ347" s="46">
        <f t="shared" si="375"/>
        <v>110929.81380000005</v>
      </c>
      <c r="AK347" s="40">
        <v>85.5</v>
      </c>
      <c r="AL347" s="41">
        <f t="shared" si="376"/>
        <v>110.124</v>
      </c>
      <c r="AM347" s="202"/>
      <c r="AN347" s="205"/>
      <c r="AO347" s="26"/>
      <c r="AP347" s="26"/>
      <c r="AQ347" s="27"/>
      <c r="AR347" s="27"/>
      <c r="AS347" s="27"/>
      <c r="AT347" s="27"/>
      <c r="AU347" s="27"/>
      <c r="AV347" s="27"/>
      <c r="AW347" s="26"/>
      <c r="AX347" s="26"/>
      <c r="AY347" s="26"/>
      <c r="AZ347" s="26"/>
      <c r="BA347" s="26"/>
      <c r="BB347" s="26"/>
      <c r="BC347" s="26"/>
      <c r="BD347" s="26"/>
      <c r="BE347" s="26"/>
      <c r="BF347" s="26"/>
      <c r="BG347" s="26"/>
      <c r="BH347" s="26"/>
      <c r="BI347" s="26"/>
    </row>
    <row r="348" spans="1:61" ht="28.5" customHeight="1">
      <c r="A348" s="26"/>
      <c r="B348" s="333"/>
      <c r="C348" s="42" t="s">
        <v>33</v>
      </c>
      <c r="D348" s="28">
        <f t="shared" si="360"/>
        <v>0.21363006479756727</v>
      </c>
      <c r="E348" s="166">
        <v>0.40799999999999997</v>
      </c>
      <c r="F348" s="30">
        <f t="shared" si="361"/>
        <v>0.1943699352024327</v>
      </c>
      <c r="G348" s="30" t="e">
        <f t="shared" si="362"/>
        <v>#DIV/0!</v>
      </c>
      <c r="H348" s="48"/>
      <c r="I348" s="48"/>
      <c r="J348" s="48"/>
      <c r="K348" s="48"/>
      <c r="L348" s="310"/>
      <c r="M348" s="48"/>
      <c r="N348" s="202"/>
      <c r="O348" s="202">
        <v>9</v>
      </c>
      <c r="P348" s="31">
        <f t="shared" si="363"/>
        <v>9</v>
      </c>
      <c r="Q348" s="202">
        <v>3</v>
      </c>
      <c r="R348" s="203"/>
      <c r="S348" s="36"/>
      <c r="T348" s="34">
        <f t="shared" si="364"/>
        <v>628110</v>
      </c>
      <c r="U348" s="31">
        <f t="shared" si="365"/>
        <v>0</v>
      </c>
      <c r="V348" s="34">
        <f t="shared" si="366"/>
        <v>628110</v>
      </c>
      <c r="W348" s="43">
        <v>69790</v>
      </c>
      <c r="X348" s="34">
        <f t="shared" si="367"/>
        <v>26337.023999999998</v>
      </c>
      <c r="Y348" s="34">
        <f t="shared" si="368"/>
        <v>237033.21599999999</v>
      </c>
      <c r="Z348" s="34">
        <f t="shared" si="369"/>
        <v>115155.70000000001</v>
      </c>
      <c r="AA348" s="49">
        <v>104687</v>
      </c>
      <c r="AB348" s="36"/>
      <c r="AC348" s="204">
        <f t="shared" si="377"/>
        <v>6930</v>
      </c>
      <c r="AD348" s="149">
        <v>0.108</v>
      </c>
      <c r="AE348" s="31">
        <f t="shared" si="379"/>
        <v>43425</v>
      </c>
      <c r="AF348" s="28">
        <f t="shared" si="371"/>
        <v>0.17713597936667144</v>
      </c>
      <c r="AG348" s="34">
        <f t="shared" si="372"/>
        <v>111260.91</v>
      </c>
      <c r="AH348" s="34">
        <f t="shared" si="373"/>
        <v>27981.587399999997</v>
      </c>
      <c r="AI348" s="34">
        <f t="shared" si="374"/>
        <v>251834.28659999999</v>
      </c>
      <c r="AJ348" s="46">
        <f t="shared" si="375"/>
        <v>136678.58659999998</v>
      </c>
      <c r="AK348" s="40">
        <v>106.5</v>
      </c>
      <c r="AL348" s="41">
        <f t="shared" si="376"/>
        <v>137.172</v>
      </c>
      <c r="AM348" s="202"/>
      <c r="AN348" s="205"/>
      <c r="AO348" s="26"/>
      <c r="AP348" s="26"/>
      <c r="AQ348" s="27"/>
      <c r="AR348" s="27"/>
      <c r="AS348" s="27"/>
      <c r="AT348" s="27"/>
      <c r="AU348" s="27"/>
      <c r="AV348" s="27"/>
      <c r="AW348" s="26"/>
      <c r="AX348" s="26"/>
      <c r="AY348" s="26"/>
      <c r="AZ348" s="26"/>
      <c r="BA348" s="26"/>
      <c r="BB348" s="26"/>
      <c r="BC348" s="26"/>
      <c r="BD348" s="26"/>
      <c r="BE348" s="26"/>
      <c r="BF348" s="26"/>
      <c r="BG348" s="26"/>
      <c r="BH348" s="26"/>
      <c r="BI348" s="26"/>
    </row>
    <row r="349" spans="1:61" ht="28.5" customHeight="1">
      <c r="A349" s="26"/>
      <c r="B349" s="333"/>
      <c r="C349" s="42" t="s">
        <v>149</v>
      </c>
      <c r="D349" s="28">
        <f t="shared" si="360"/>
        <v>-0.191759954493743</v>
      </c>
      <c r="E349" s="166">
        <v>0.40699999999999997</v>
      </c>
      <c r="F349" s="30">
        <f t="shared" si="361"/>
        <v>0.59875995449374297</v>
      </c>
      <c r="G349" s="30" t="e">
        <f t="shared" si="362"/>
        <v>#DIV/0!</v>
      </c>
      <c r="H349" s="48"/>
      <c r="I349" s="48"/>
      <c r="J349" s="48"/>
      <c r="K349" s="48"/>
      <c r="L349" s="334"/>
      <c r="M349" s="48"/>
      <c r="N349" s="202"/>
      <c r="O349" s="202">
        <v>3</v>
      </c>
      <c r="P349" s="31">
        <f t="shared" si="363"/>
        <v>3</v>
      </c>
      <c r="Q349" s="202">
        <v>0</v>
      </c>
      <c r="R349" s="203"/>
      <c r="S349" s="36"/>
      <c r="T349" s="34">
        <f t="shared" si="364"/>
        <v>290070</v>
      </c>
      <c r="U349" s="31">
        <f t="shared" si="365"/>
        <v>0</v>
      </c>
      <c r="V349" s="34">
        <f t="shared" si="366"/>
        <v>290070</v>
      </c>
      <c r="W349" s="43">
        <v>96690</v>
      </c>
      <c r="X349" s="34">
        <f t="shared" si="367"/>
        <v>36723.455999999998</v>
      </c>
      <c r="Y349" s="34">
        <f t="shared" si="368"/>
        <v>110170.36799999999</v>
      </c>
      <c r="Z349" s="34">
        <f t="shared" si="369"/>
        <v>173682.30000000002</v>
      </c>
      <c r="AA349" s="49">
        <v>157893</v>
      </c>
      <c r="AB349" s="36"/>
      <c r="AC349" s="204">
        <f t="shared" si="377"/>
        <v>0</v>
      </c>
      <c r="AD349" s="149">
        <v>0.108</v>
      </c>
      <c r="AE349" s="31">
        <f t="shared" ref="AE349:AE350" si="380">6200*(P349+S349)</f>
        <v>18600</v>
      </c>
      <c r="AF349" s="28">
        <f t="shared" si="371"/>
        <v>0.17212245320095149</v>
      </c>
      <c r="AG349" s="34">
        <f t="shared" si="372"/>
        <v>49927.59</v>
      </c>
      <c r="AH349" s="34">
        <f t="shared" si="373"/>
        <v>12997.2042</v>
      </c>
      <c r="AI349" s="34">
        <f t="shared" si="374"/>
        <v>116974.83780000001</v>
      </c>
      <c r="AJ349" s="206">
        <f t="shared" si="375"/>
        <v>-56707.462200000009</v>
      </c>
      <c r="AK349" s="40">
        <v>148.5</v>
      </c>
      <c r="AL349" s="41">
        <f t="shared" si="376"/>
        <v>191.268</v>
      </c>
      <c r="AM349" s="202"/>
      <c r="AN349" s="205"/>
      <c r="AO349" s="26"/>
      <c r="AP349" s="26"/>
      <c r="AQ349" s="27"/>
      <c r="AR349" s="27"/>
      <c r="AS349" s="27"/>
      <c r="AT349" s="27"/>
      <c r="AU349" s="27"/>
      <c r="AV349" s="27"/>
      <c r="AW349" s="26"/>
      <c r="AX349" s="26"/>
      <c r="AY349" s="26"/>
      <c r="AZ349" s="26"/>
      <c r="BA349" s="26"/>
      <c r="BB349" s="26"/>
      <c r="BC349" s="26"/>
      <c r="BD349" s="26"/>
      <c r="BE349" s="26"/>
      <c r="BF349" s="26"/>
      <c r="BG349" s="26"/>
      <c r="BH349" s="26"/>
      <c r="BI349" s="26"/>
    </row>
    <row r="350" spans="1:61" ht="28.5" customHeight="1">
      <c r="A350" s="26"/>
      <c r="B350" s="324"/>
      <c r="C350" s="42" t="s">
        <v>150</v>
      </c>
      <c r="D350" s="28">
        <f t="shared" si="360"/>
        <v>0.12068818210165261</v>
      </c>
      <c r="E350" s="166">
        <v>0.40899999999999997</v>
      </c>
      <c r="F350" s="30">
        <f t="shared" si="361"/>
        <v>0.28831181789834737</v>
      </c>
      <c r="G350" s="30" t="e">
        <f t="shared" si="362"/>
        <v>#DIV/0!</v>
      </c>
      <c r="H350" s="48"/>
      <c r="I350" s="283"/>
      <c r="J350" s="48"/>
      <c r="K350" s="48"/>
      <c r="L350" s="310"/>
      <c r="M350" s="48"/>
      <c r="N350" s="202"/>
      <c r="O350" s="202">
        <v>3</v>
      </c>
      <c r="P350" s="31">
        <f t="shared" si="363"/>
        <v>3</v>
      </c>
      <c r="Q350" s="202">
        <v>3</v>
      </c>
      <c r="R350" s="203"/>
      <c r="S350" s="36"/>
      <c r="T350" s="34">
        <f t="shared" si="364"/>
        <v>320700</v>
      </c>
      <c r="U350" s="31">
        <f t="shared" si="365"/>
        <v>0</v>
      </c>
      <c r="V350" s="34">
        <f t="shared" si="366"/>
        <v>320700</v>
      </c>
      <c r="W350" s="43">
        <v>106900</v>
      </c>
      <c r="X350" s="34">
        <f t="shared" si="367"/>
        <v>41916.671999999999</v>
      </c>
      <c r="Y350" s="34">
        <f t="shared" si="368"/>
        <v>125750.016</v>
      </c>
      <c r="Z350" s="34">
        <f t="shared" si="369"/>
        <v>85531.6</v>
      </c>
      <c r="AA350" s="49">
        <f>9245+68511</f>
        <v>77756</v>
      </c>
      <c r="AB350" s="36"/>
      <c r="AC350" s="204">
        <f t="shared" si="377"/>
        <v>6930</v>
      </c>
      <c r="AD350" s="149">
        <v>0.108</v>
      </c>
      <c r="AE350" s="31">
        <f t="shared" si="380"/>
        <v>18600</v>
      </c>
      <c r="AF350" s="28">
        <f t="shared" si="371"/>
        <v>0.16599812909260991</v>
      </c>
      <c r="AG350" s="34">
        <f t="shared" si="372"/>
        <v>53235.63</v>
      </c>
      <c r="AH350" s="34">
        <f t="shared" si="373"/>
        <v>14171.435399999998</v>
      </c>
      <c r="AI350" s="34">
        <f t="shared" si="374"/>
        <v>127542.9186</v>
      </c>
      <c r="AJ350" s="46">
        <f t="shared" si="375"/>
        <v>42011.318599999999</v>
      </c>
      <c r="AK350" s="40">
        <v>169.5</v>
      </c>
      <c r="AL350" s="41">
        <f t="shared" si="376"/>
        <v>218.316</v>
      </c>
      <c r="AM350" s="202"/>
      <c r="AN350" s="205"/>
      <c r="AO350" s="26"/>
      <c r="AP350" s="26"/>
      <c r="AQ350" s="27"/>
      <c r="AR350" s="27"/>
      <c r="AS350" s="27"/>
      <c r="AT350" s="27"/>
      <c r="AU350" s="27"/>
      <c r="AV350" s="27"/>
      <c r="AW350" s="26"/>
      <c r="AX350" s="26"/>
      <c r="AY350" s="26"/>
      <c r="AZ350" s="26"/>
      <c r="BA350" s="26"/>
      <c r="BB350" s="26"/>
      <c r="BC350" s="26"/>
      <c r="BD350" s="26"/>
      <c r="BE350" s="26"/>
      <c r="BF350" s="26"/>
      <c r="BG350" s="26"/>
      <c r="BH350" s="26"/>
      <c r="BI350" s="26"/>
    </row>
    <row r="351" spans="1:61" ht="28.5" customHeight="1">
      <c r="A351" s="26"/>
      <c r="B351" s="200"/>
      <c r="C351" s="42" t="s">
        <v>111</v>
      </c>
      <c r="D351" s="28">
        <f t="shared" si="360"/>
        <v>0.17044009931719423</v>
      </c>
      <c r="E351" s="166">
        <v>0.435</v>
      </c>
      <c r="F351" s="30">
        <f t="shared" si="361"/>
        <v>0.26455990068280577</v>
      </c>
      <c r="G351" s="30" t="e">
        <f t="shared" si="362"/>
        <v>#DIV/0!</v>
      </c>
      <c r="H351" s="48"/>
      <c r="I351" s="48"/>
      <c r="J351" s="48"/>
      <c r="K351" s="210"/>
      <c r="L351" s="210"/>
      <c r="M351" s="210"/>
      <c r="N351" s="202"/>
      <c r="O351" s="202">
        <v>14</v>
      </c>
      <c r="P351" s="31">
        <f t="shared" si="363"/>
        <v>9</v>
      </c>
      <c r="Q351" s="36">
        <v>2</v>
      </c>
      <c r="R351" s="203"/>
      <c r="S351" s="202">
        <v>5</v>
      </c>
      <c r="T351" s="34">
        <f t="shared" si="364"/>
        <v>250600</v>
      </c>
      <c r="U351" s="31">
        <f t="shared" si="365"/>
        <v>89500</v>
      </c>
      <c r="V351" s="34">
        <f t="shared" si="366"/>
        <v>161100</v>
      </c>
      <c r="W351" s="43">
        <v>17900</v>
      </c>
      <c r="X351" s="34">
        <f t="shared" si="367"/>
        <v>5687.8080000000009</v>
      </c>
      <c r="Y351" s="34">
        <f t="shared" si="368"/>
        <v>51190.272000000012</v>
      </c>
      <c r="Z351" s="34">
        <f t="shared" si="369"/>
        <v>38000.600000000006</v>
      </c>
      <c r="AA351" s="49">
        <v>34546</v>
      </c>
      <c r="AB351" s="287">
        <f>((17160*0.015)+(17160*0.25)+2100+4950)*5</f>
        <v>57987</v>
      </c>
      <c r="AC351" s="204">
        <f t="shared" si="377"/>
        <v>4620</v>
      </c>
      <c r="AD351" s="149">
        <v>7.8E-2</v>
      </c>
      <c r="AE351" s="31">
        <f>2900*(P351+S351)</f>
        <v>40600</v>
      </c>
      <c r="AF351" s="28">
        <f t="shared" si="371"/>
        <v>0.33001738050900065</v>
      </c>
      <c r="AG351" s="34">
        <f t="shared" si="372"/>
        <v>53165.83</v>
      </c>
      <c r="AH351" s="34">
        <f t="shared" si="373"/>
        <v>5674.3897999999972</v>
      </c>
      <c r="AI351" s="34">
        <f t="shared" si="374"/>
        <v>51069.508199999982</v>
      </c>
      <c r="AJ351" s="46">
        <f t="shared" si="375"/>
        <v>13068.908199999976</v>
      </c>
      <c r="AK351" s="40">
        <v>23</v>
      </c>
      <c r="AL351" s="41">
        <f t="shared" si="376"/>
        <v>29.624000000000002</v>
      </c>
      <c r="AM351" s="202"/>
      <c r="AN351" s="205"/>
      <c r="AO351" s="26"/>
      <c r="AP351" s="26"/>
      <c r="AQ351" s="27"/>
      <c r="AR351" s="27"/>
      <c r="AS351" s="27"/>
      <c r="AT351" s="27"/>
      <c r="AU351" s="27"/>
      <c r="AV351" s="27"/>
      <c r="AW351" s="26"/>
      <c r="AX351" s="26"/>
      <c r="AY351" s="26"/>
      <c r="AZ351" s="26"/>
      <c r="BA351" s="26"/>
      <c r="BB351" s="26"/>
      <c r="BC351" s="26"/>
      <c r="BD351" s="26"/>
      <c r="BE351" s="26"/>
      <c r="BF351" s="26"/>
      <c r="BG351" s="26"/>
      <c r="BH351" s="26"/>
      <c r="BI351" s="26"/>
    </row>
    <row r="352" spans="1:61" ht="28.5" customHeight="1">
      <c r="A352" s="26"/>
      <c r="B352" s="207"/>
      <c r="C352" s="42" t="s">
        <v>151</v>
      </c>
      <c r="D352" s="28">
        <f t="shared" si="360"/>
        <v>-0.74600431034482773</v>
      </c>
      <c r="E352" s="303">
        <v>0.27600000000000002</v>
      </c>
      <c r="F352" s="30">
        <f t="shared" si="361"/>
        <v>1.0220043103448277</v>
      </c>
      <c r="G352" s="30" t="e">
        <f t="shared" si="362"/>
        <v>#DIV/0!</v>
      </c>
      <c r="H352" s="48"/>
      <c r="I352" s="48"/>
      <c r="J352" s="48"/>
      <c r="K352" s="210"/>
      <c r="L352" s="335"/>
      <c r="M352" s="210"/>
      <c r="N352" s="202"/>
      <c r="O352" s="202">
        <v>1</v>
      </c>
      <c r="P352" s="31">
        <f t="shared" si="363"/>
        <v>1</v>
      </c>
      <c r="Q352" s="36">
        <v>0</v>
      </c>
      <c r="R352" s="203"/>
      <c r="S352" s="36"/>
      <c r="T352" s="34">
        <f t="shared" si="364"/>
        <v>9280</v>
      </c>
      <c r="U352" s="31">
        <f t="shared" si="365"/>
        <v>0</v>
      </c>
      <c r="V352" s="34">
        <f t="shared" si="366"/>
        <v>9280</v>
      </c>
      <c r="W352" s="43">
        <v>9280</v>
      </c>
      <c r="X352" s="34">
        <f t="shared" si="367"/>
        <v>3462.1440000000002</v>
      </c>
      <c r="Y352" s="34">
        <f t="shared" si="368"/>
        <v>3462.1440000000002</v>
      </c>
      <c r="Z352" s="34">
        <f t="shared" si="369"/>
        <v>9484.2000000000007</v>
      </c>
      <c r="AA352" s="49">
        <v>8622</v>
      </c>
      <c r="AB352" s="287"/>
      <c r="AC352" s="204">
        <f t="shared" si="377"/>
        <v>0</v>
      </c>
      <c r="AD352" s="149">
        <v>0.1</v>
      </c>
      <c r="AE352" s="31">
        <f t="shared" ref="AE352:AE353" si="381">1900*(P352+S352)</f>
        <v>1900</v>
      </c>
      <c r="AF352" s="28">
        <f t="shared" si="371"/>
        <v>0.30474137931034484</v>
      </c>
      <c r="AG352" s="34">
        <f t="shared" si="372"/>
        <v>2828.03</v>
      </c>
      <c r="AH352" s="34">
        <f t="shared" si="373"/>
        <v>298.98259999999982</v>
      </c>
      <c r="AI352" s="34">
        <f t="shared" si="374"/>
        <v>2690.8433999999997</v>
      </c>
      <c r="AJ352" s="206">
        <f t="shared" si="375"/>
        <v>-6793.356600000001</v>
      </c>
      <c r="AK352" s="40">
        <v>14</v>
      </c>
      <c r="AL352" s="41">
        <f t="shared" si="376"/>
        <v>18.032</v>
      </c>
      <c r="AM352" s="202"/>
      <c r="AN352" s="205"/>
      <c r="AO352" s="26"/>
      <c r="AP352" s="26"/>
      <c r="AQ352" s="27"/>
      <c r="AR352" s="27"/>
      <c r="AS352" s="27"/>
      <c r="AT352" s="27"/>
      <c r="AU352" s="27"/>
      <c r="AV352" s="27"/>
      <c r="AW352" s="26"/>
      <c r="AX352" s="26"/>
      <c r="AY352" s="26"/>
      <c r="AZ352" s="26"/>
      <c r="BA352" s="26"/>
      <c r="BB352" s="26"/>
      <c r="BC352" s="26"/>
      <c r="BD352" s="26"/>
      <c r="BE352" s="26"/>
      <c r="BF352" s="26"/>
      <c r="BG352" s="26"/>
      <c r="BH352" s="26"/>
      <c r="BI352" s="26"/>
    </row>
    <row r="353" spans="1:61" ht="28.5" customHeight="1">
      <c r="A353" s="26"/>
      <c r="B353" s="212"/>
      <c r="C353" s="42" t="s">
        <v>152</v>
      </c>
      <c r="D353" s="28">
        <f t="shared" si="360"/>
        <v>-0.17024611260053624</v>
      </c>
      <c r="E353" s="303">
        <v>0.39700000000000002</v>
      </c>
      <c r="F353" s="30">
        <f t="shared" si="361"/>
        <v>0.56724611260053626</v>
      </c>
      <c r="G353" s="30" t="e">
        <f t="shared" si="362"/>
        <v>#DIV/0!</v>
      </c>
      <c r="H353" s="48"/>
      <c r="I353" s="48"/>
      <c r="J353" s="48"/>
      <c r="K353" s="210"/>
      <c r="L353" s="310"/>
      <c r="M353" s="210"/>
      <c r="N353" s="202"/>
      <c r="O353" s="202">
        <v>5</v>
      </c>
      <c r="P353" s="31">
        <f t="shared" si="363"/>
        <v>5</v>
      </c>
      <c r="Q353" s="36">
        <v>0</v>
      </c>
      <c r="R353" s="203"/>
      <c r="S353" s="36"/>
      <c r="T353" s="34">
        <f t="shared" si="364"/>
        <v>93250</v>
      </c>
      <c r="U353" s="31">
        <f t="shared" si="365"/>
        <v>0</v>
      </c>
      <c r="V353" s="34">
        <f t="shared" si="366"/>
        <v>93250</v>
      </c>
      <c r="W353" s="43">
        <v>18650</v>
      </c>
      <c r="X353" s="34">
        <f t="shared" si="367"/>
        <v>6924.2880000000005</v>
      </c>
      <c r="Y353" s="34">
        <f t="shared" si="368"/>
        <v>34621.440000000002</v>
      </c>
      <c r="Z353" s="34">
        <f t="shared" si="369"/>
        <v>52895.700000000004</v>
      </c>
      <c r="AA353" s="49">
        <v>48087</v>
      </c>
      <c r="AB353" s="36"/>
      <c r="AC353" s="204">
        <f t="shared" si="377"/>
        <v>0</v>
      </c>
      <c r="AD353" s="149">
        <v>0.1</v>
      </c>
      <c r="AE353" s="31">
        <f t="shared" si="381"/>
        <v>9500</v>
      </c>
      <c r="AF353" s="28">
        <f t="shared" si="371"/>
        <v>0.20187667560321715</v>
      </c>
      <c r="AG353" s="34">
        <f t="shared" si="372"/>
        <v>18825.03</v>
      </c>
      <c r="AH353" s="34">
        <f t="shared" si="373"/>
        <v>3980.3529999999992</v>
      </c>
      <c r="AI353" s="34">
        <f t="shared" si="374"/>
        <v>35823.176999999996</v>
      </c>
      <c r="AJ353" s="206">
        <f t="shared" si="375"/>
        <v>-17072.523000000008</v>
      </c>
      <c r="AK353" s="40">
        <v>28</v>
      </c>
      <c r="AL353" s="41">
        <f t="shared" si="376"/>
        <v>36.064</v>
      </c>
      <c r="AM353" s="202"/>
      <c r="AN353" s="205"/>
      <c r="AO353" s="26"/>
      <c r="AP353" s="26"/>
      <c r="AQ353" s="27"/>
      <c r="AR353" s="27"/>
      <c r="AS353" s="27"/>
      <c r="AT353" s="27"/>
      <c r="AU353" s="27"/>
      <c r="AV353" s="27"/>
      <c r="AW353" s="26"/>
      <c r="AX353" s="26"/>
      <c r="AY353" s="26"/>
      <c r="AZ353" s="26"/>
      <c r="BA353" s="26"/>
      <c r="BB353" s="26"/>
      <c r="BC353" s="26"/>
      <c r="BD353" s="26"/>
      <c r="BE353" s="26"/>
      <c r="BF353" s="26"/>
      <c r="BG353" s="26"/>
      <c r="BH353" s="26"/>
      <c r="BI353" s="26"/>
    </row>
    <row r="354" spans="1:61" ht="28.5" customHeight="1">
      <c r="A354" s="26"/>
      <c r="B354" s="323"/>
      <c r="C354" s="42" t="s">
        <v>112</v>
      </c>
      <c r="D354" s="28">
        <f t="shared" si="360"/>
        <v>-4.5287898419279604E-2</v>
      </c>
      <c r="E354" s="166">
        <v>0.40600000000000003</v>
      </c>
      <c r="F354" s="30">
        <f t="shared" si="361"/>
        <v>0.45128789841927963</v>
      </c>
      <c r="G354" s="30" t="e">
        <f t="shared" si="362"/>
        <v>#DIV/0!</v>
      </c>
      <c r="H354" s="334"/>
      <c r="I354" s="48"/>
      <c r="J354" s="48"/>
      <c r="K354" s="210"/>
      <c r="L354" s="335"/>
      <c r="M354" s="210"/>
      <c r="N354" s="202"/>
      <c r="O354" s="202">
        <v>2</v>
      </c>
      <c r="P354" s="31">
        <f t="shared" si="363"/>
        <v>2</v>
      </c>
      <c r="Q354" s="36">
        <v>0</v>
      </c>
      <c r="R354" s="203"/>
      <c r="S354" s="36"/>
      <c r="T354" s="34">
        <f t="shared" si="364"/>
        <v>77180</v>
      </c>
      <c r="U354" s="31">
        <f t="shared" si="365"/>
        <v>0</v>
      </c>
      <c r="V354" s="34">
        <f t="shared" si="366"/>
        <v>77180</v>
      </c>
      <c r="W354" s="43">
        <v>38590</v>
      </c>
      <c r="X354" s="34">
        <f t="shared" si="367"/>
        <v>15085.056</v>
      </c>
      <c r="Y354" s="34">
        <f t="shared" si="368"/>
        <v>30170.112000000001</v>
      </c>
      <c r="Z354" s="34">
        <f t="shared" si="369"/>
        <v>34830.400000000001</v>
      </c>
      <c r="AA354" s="49">
        <v>31664</v>
      </c>
      <c r="AB354" s="36"/>
      <c r="AC354" s="204">
        <f t="shared" si="377"/>
        <v>0</v>
      </c>
      <c r="AD354" s="149">
        <v>0.08</v>
      </c>
      <c r="AE354" s="31">
        <f t="shared" ref="AE354:AE355" si="382">4150*(P354+S354)</f>
        <v>8300</v>
      </c>
      <c r="AF354" s="28">
        <f t="shared" si="371"/>
        <v>0.18754081368230113</v>
      </c>
      <c r="AG354" s="34">
        <f t="shared" si="372"/>
        <v>14474.430000000002</v>
      </c>
      <c r="AH354" s="34">
        <f t="shared" si="373"/>
        <v>3253.5457999999999</v>
      </c>
      <c r="AI354" s="34">
        <f t="shared" si="374"/>
        <v>29281.912199999999</v>
      </c>
      <c r="AJ354" s="46">
        <f t="shared" si="375"/>
        <v>-5548.4878000000026</v>
      </c>
      <c r="AK354" s="40">
        <v>61</v>
      </c>
      <c r="AL354" s="41">
        <f t="shared" si="376"/>
        <v>78.567999999999998</v>
      </c>
      <c r="AM354" s="202"/>
      <c r="AN354" s="205"/>
      <c r="AO354" s="26"/>
      <c r="AP354" s="26"/>
      <c r="AQ354" s="27"/>
      <c r="AR354" s="27"/>
      <c r="AS354" s="27"/>
      <c r="AT354" s="27"/>
      <c r="AU354" s="27"/>
      <c r="AV354" s="27"/>
      <c r="AW354" s="26"/>
      <c r="AX354" s="26"/>
      <c r="AY354" s="26"/>
      <c r="AZ354" s="26"/>
      <c r="BA354" s="26"/>
      <c r="BB354" s="26"/>
      <c r="BC354" s="26"/>
      <c r="BD354" s="26"/>
      <c r="BE354" s="26"/>
      <c r="BF354" s="26"/>
      <c r="BG354" s="26"/>
      <c r="BH354" s="26"/>
      <c r="BI354" s="26"/>
    </row>
    <row r="355" spans="1:61" ht="28.5" customHeight="1">
      <c r="A355" s="26"/>
      <c r="B355" s="324"/>
      <c r="C355" s="42" t="s">
        <v>113</v>
      </c>
      <c r="D355" s="28">
        <f t="shared" si="360"/>
        <v>0.13980219780219774</v>
      </c>
      <c r="E355" s="166">
        <v>0.36099999999999999</v>
      </c>
      <c r="F355" s="30">
        <f t="shared" si="361"/>
        <v>0.22119780219780225</v>
      </c>
      <c r="G355" s="30" t="e">
        <f t="shared" si="362"/>
        <v>#DIV/0!</v>
      </c>
      <c r="H355" s="310"/>
      <c r="I355" s="48"/>
      <c r="J355" s="48"/>
      <c r="K355" s="210"/>
      <c r="L355" s="310"/>
      <c r="M355" s="210"/>
      <c r="N355" s="202"/>
      <c r="O355" s="202">
        <v>7</v>
      </c>
      <c r="P355" s="31">
        <f t="shared" si="363"/>
        <v>7</v>
      </c>
      <c r="Q355" s="36">
        <v>1</v>
      </c>
      <c r="R355" s="203"/>
      <c r="S355" s="36"/>
      <c r="T355" s="34">
        <f t="shared" si="364"/>
        <v>300300</v>
      </c>
      <c r="U355" s="31">
        <f t="shared" si="365"/>
        <v>0</v>
      </c>
      <c r="V355" s="34">
        <f t="shared" si="366"/>
        <v>300300</v>
      </c>
      <c r="W355" s="43">
        <v>42900</v>
      </c>
      <c r="X355" s="34">
        <f t="shared" si="367"/>
        <v>20278.272000000004</v>
      </c>
      <c r="Y355" s="34">
        <f t="shared" si="368"/>
        <v>141947.90400000004</v>
      </c>
      <c r="Z355" s="34">
        <f t="shared" si="369"/>
        <v>64115.700000000004</v>
      </c>
      <c r="AA355" s="49">
        <v>58287</v>
      </c>
      <c r="AB355" s="286"/>
      <c r="AC355" s="204">
        <f t="shared" si="377"/>
        <v>2310</v>
      </c>
      <c r="AD355" s="149">
        <v>7.8E-2</v>
      </c>
      <c r="AE355" s="31">
        <f t="shared" si="382"/>
        <v>29050</v>
      </c>
      <c r="AF355" s="28">
        <f t="shared" si="371"/>
        <v>0.17473659673659675</v>
      </c>
      <c r="AG355" s="34">
        <f t="shared" si="372"/>
        <v>52473.43</v>
      </c>
      <c r="AH355" s="34">
        <f t="shared" si="373"/>
        <v>10587.866599999998</v>
      </c>
      <c r="AI355" s="34">
        <f t="shared" si="374"/>
        <v>95290.79939999996</v>
      </c>
      <c r="AJ355" s="206">
        <f t="shared" si="375"/>
        <v>31175.099399999955</v>
      </c>
      <c r="AK355" s="40">
        <v>82</v>
      </c>
      <c r="AL355" s="41">
        <f t="shared" si="376"/>
        <v>105.61600000000001</v>
      </c>
      <c r="AM355" s="202"/>
      <c r="AN355" s="205"/>
      <c r="AO355" s="26"/>
      <c r="AP355" s="26"/>
      <c r="AQ355" s="27"/>
      <c r="AR355" s="27"/>
      <c r="AS355" s="27"/>
      <c r="AT355" s="27"/>
      <c r="AU355" s="27"/>
      <c r="AV355" s="27"/>
      <c r="AW355" s="26"/>
      <c r="AX355" s="26"/>
      <c r="AY355" s="26"/>
      <c r="AZ355" s="26"/>
      <c r="BA355" s="26"/>
      <c r="BB355" s="26"/>
      <c r="BC355" s="26"/>
      <c r="BD355" s="26"/>
      <c r="BE355" s="26"/>
      <c r="BF355" s="26"/>
      <c r="BG355" s="26"/>
      <c r="BH355" s="26"/>
      <c r="BI355" s="26"/>
    </row>
    <row r="356" spans="1:61" ht="28.5" customHeight="1">
      <c r="A356" s="26"/>
      <c r="B356" s="200"/>
      <c r="C356" s="42" t="s">
        <v>154</v>
      </c>
      <c r="D356" s="28">
        <f t="shared" si="360"/>
        <v>0.21087867975022298</v>
      </c>
      <c r="E356" s="303">
        <v>0.41299999999999998</v>
      </c>
      <c r="F356" s="30">
        <f t="shared" si="361"/>
        <v>0.202121320249777</v>
      </c>
      <c r="G356" s="30" t="e">
        <f t="shared" si="362"/>
        <v>#DIV/0!</v>
      </c>
      <c r="H356" s="48"/>
      <c r="I356" s="48"/>
      <c r="J356" s="48"/>
      <c r="K356" s="210"/>
      <c r="L356" s="210"/>
      <c r="M356" s="210"/>
      <c r="N356" s="202"/>
      <c r="O356" s="202">
        <v>49</v>
      </c>
      <c r="P356" s="31">
        <f t="shared" si="363"/>
        <v>19</v>
      </c>
      <c r="Q356" s="202">
        <v>1</v>
      </c>
      <c r="R356" s="203"/>
      <c r="S356" s="202">
        <v>30</v>
      </c>
      <c r="T356" s="34">
        <f t="shared" si="364"/>
        <v>578200</v>
      </c>
      <c r="U356" s="31">
        <f t="shared" si="365"/>
        <v>354000</v>
      </c>
      <c r="V356" s="34">
        <f t="shared" si="366"/>
        <v>224200</v>
      </c>
      <c r="W356" s="43">
        <v>11800</v>
      </c>
      <c r="X356" s="34">
        <f t="shared" si="367"/>
        <v>4006.1952000000001</v>
      </c>
      <c r="Y356" s="34">
        <f t="shared" si="368"/>
        <v>76117.708800000008</v>
      </c>
      <c r="Z356" s="34">
        <f t="shared" si="369"/>
        <v>43005.600000000006</v>
      </c>
      <c r="AA356" s="49">
        <v>39096</v>
      </c>
      <c r="AB356" s="286">
        <f>((11800*0.1)+(11800*0.015)+2100+2200)*30</f>
        <v>169710</v>
      </c>
      <c r="AC356" s="204">
        <f t="shared" si="377"/>
        <v>2310</v>
      </c>
      <c r="AD356" s="149">
        <v>0.108</v>
      </c>
      <c r="AE356" s="31">
        <f>1900*(P356+S356)</f>
        <v>93100</v>
      </c>
      <c r="AF356" s="28">
        <f t="shared" si="371"/>
        <v>0.52325423728813558</v>
      </c>
      <c r="AG356" s="34">
        <f t="shared" si="372"/>
        <v>117313.62999999999</v>
      </c>
      <c r="AH356" s="34">
        <f t="shared" si="373"/>
        <v>3076.8661199999988</v>
      </c>
      <c r="AI356" s="34">
        <f t="shared" si="374"/>
        <v>27691.795080000011</v>
      </c>
      <c r="AJ356" s="206">
        <f t="shared" si="375"/>
        <v>-15313.804919999995</v>
      </c>
      <c r="AK356" s="40">
        <v>16.2</v>
      </c>
      <c r="AL356" s="41">
        <f t="shared" si="376"/>
        <v>20.865600000000001</v>
      </c>
      <c r="AM356" s="202"/>
      <c r="AN356" s="205"/>
      <c r="AO356" s="26"/>
      <c r="AP356" s="26"/>
      <c r="AQ356" s="27"/>
      <c r="AR356" s="27"/>
      <c r="AS356" s="27"/>
      <c r="AT356" s="27"/>
      <c r="AU356" s="27"/>
      <c r="AV356" s="27"/>
      <c r="AW356" s="26"/>
      <c r="AX356" s="26"/>
      <c r="AY356" s="26"/>
      <c r="AZ356" s="26"/>
      <c r="BA356" s="26"/>
      <c r="BB356" s="26"/>
      <c r="BC356" s="26"/>
      <c r="BD356" s="26"/>
      <c r="BE356" s="26"/>
      <c r="BF356" s="26"/>
      <c r="BG356" s="26"/>
      <c r="BH356" s="26"/>
      <c r="BI356" s="26"/>
    </row>
    <row r="357" spans="1:61" ht="28.5" customHeight="1">
      <c r="A357" s="26"/>
      <c r="B357" s="200"/>
      <c r="C357" s="42" t="s">
        <v>114</v>
      </c>
      <c r="D357" s="28">
        <f t="shared" si="360"/>
        <v>-4.4105701754385995E-2</v>
      </c>
      <c r="E357" s="166">
        <v>0.35599999999999998</v>
      </c>
      <c r="F357" s="30">
        <f t="shared" si="361"/>
        <v>0.40010570175438598</v>
      </c>
      <c r="G357" s="30" t="e">
        <f t="shared" si="362"/>
        <v>#DIV/0!</v>
      </c>
      <c r="H357" s="48"/>
      <c r="I357" s="48"/>
      <c r="J357" s="48"/>
      <c r="K357" s="210"/>
      <c r="L357" s="210"/>
      <c r="M357" s="210"/>
      <c r="N357" s="202"/>
      <c r="O357" s="202">
        <v>12</v>
      </c>
      <c r="P357" s="31">
        <f t="shared" si="363"/>
        <v>12</v>
      </c>
      <c r="Q357" s="202">
        <v>6</v>
      </c>
      <c r="R357" s="203"/>
      <c r="S357" s="36"/>
      <c r="T357" s="34">
        <f t="shared" si="364"/>
        <v>228000</v>
      </c>
      <c r="U357" s="31">
        <f t="shared" si="365"/>
        <v>0</v>
      </c>
      <c r="V357" s="34">
        <f t="shared" si="366"/>
        <v>228000</v>
      </c>
      <c r="W357" s="43">
        <v>19000</v>
      </c>
      <c r="X357" s="34">
        <f t="shared" si="367"/>
        <v>7122.1247999999996</v>
      </c>
      <c r="Y357" s="34">
        <f t="shared" si="368"/>
        <v>85465.497600000002</v>
      </c>
      <c r="Z357" s="34">
        <f t="shared" si="369"/>
        <v>77364.100000000006</v>
      </c>
      <c r="AA357" s="49">
        <v>70331</v>
      </c>
      <c r="AB357" s="287"/>
      <c r="AC357" s="204">
        <f t="shared" si="377"/>
        <v>13860</v>
      </c>
      <c r="AD357" s="149">
        <v>0.08</v>
      </c>
      <c r="AE357" s="31">
        <f>3350*(P357+S357)</f>
        <v>40200</v>
      </c>
      <c r="AF357" s="28">
        <f t="shared" si="371"/>
        <v>0.25631578947368422</v>
      </c>
      <c r="AG357" s="34">
        <f t="shared" si="372"/>
        <v>58440.03</v>
      </c>
      <c r="AH357" s="34">
        <f t="shared" si="373"/>
        <v>8409.4472399999995</v>
      </c>
      <c r="AI357" s="34">
        <f t="shared" si="374"/>
        <v>75685.02515999999</v>
      </c>
      <c r="AJ357" s="46">
        <f t="shared" si="375"/>
        <v>-1679.0748400000157</v>
      </c>
      <c r="AK357" s="40">
        <v>28.8</v>
      </c>
      <c r="AL357" s="41">
        <f t="shared" si="376"/>
        <v>37.0944</v>
      </c>
      <c r="AM357" s="202"/>
      <c r="AN357" s="205"/>
      <c r="AO357" s="26"/>
      <c r="AP357" s="26"/>
      <c r="AQ357" s="27"/>
      <c r="AR357" s="27"/>
      <c r="AS357" s="27"/>
      <c r="AT357" s="27"/>
      <c r="AU357" s="27"/>
      <c r="AV357" s="27"/>
      <c r="AW357" s="26"/>
      <c r="AX357" s="26"/>
      <c r="AY357" s="26"/>
      <c r="AZ357" s="26"/>
      <c r="BA357" s="26"/>
      <c r="BB357" s="26"/>
      <c r="BC357" s="26"/>
      <c r="BD357" s="26"/>
      <c r="BE357" s="26"/>
      <c r="BF357" s="26"/>
      <c r="BG357" s="26"/>
      <c r="BH357" s="26"/>
      <c r="BI357" s="26"/>
    </row>
    <row r="358" spans="1:61" ht="28.5" customHeight="1">
      <c r="A358" s="26"/>
      <c r="B358" s="326"/>
      <c r="C358" s="42" t="s">
        <v>115</v>
      </c>
      <c r="D358" s="28">
        <f t="shared" si="360"/>
        <v>-0.43755839416058401</v>
      </c>
      <c r="E358" s="166">
        <v>0.45300000000000001</v>
      </c>
      <c r="F358" s="30">
        <f t="shared" si="361"/>
        <v>0.89055839416058402</v>
      </c>
      <c r="G358" s="30" t="e">
        <f t="shared" si="362"/>
        <v>#DIV/0!</v>
      </c>
      <c r="H358" s="48"/>
      <c r="I358" s="48"/>
      <c r="J358" s="48"/>
      <c r="K358" s="210"/>
      <c r="L358" s="210"/>
      <c r="M358" s="210"/>
      <c r="N358" s="202"/>
      <c r="O358" s="202">
        <v>1</v>
      </c>
      <c r="P358" s="31">
        <f t="shared" si="363"/>
        <v>1</v>
      </c>
      <c r="Q358" s="202">
        <v>0</v>
      </c>
      <c r="R358" s="203"/>
      <c r="S358" s="36"/>
      <c r="T358" s="34">
        <f t="shared" si="364"/>
        <v>54800</v>
      </c>
      <c r="U358" s="31">
        <f t="shared" si="365"/>
        <v>0</v>
      </c>
      <c r="V358" s="34">
        <f t="shared" si="366"/>
        <v>54800</v>
      </c>
      <c r="W358" s="43">
        <v>54800</v>
      </c>
      <c r="X358" s="34">
        <f t="shared" si="367"/>
        <v>20030.976000000002</v>
      </c>
      <c r="Y358" s="34">
        <f t="shared" si="368"/>
        <v>20030.976000000002</v>
      </c>
      <c r="Z358" s="34">
        <f t="shared" si="369"/>
        <v>48802.600000000006</v>
      </c>
      <c r="AA358" s="49">
        <v>44366</v>
      </c>
      <c r="AB358" s="36"/>
      <c r="AC358" s="204">
        <f t="shared" si="377"/>
        <v>0</v>
      </c>
      <c r="AD358" s="149">
        <v>7.8E-2</v>
      </c>
      <c r="AE358" s="31">
        <f t="shared" ref="AE358:AE359" si="383">4825*(P358+S358)</f>
        <v>4825</v>
      </c>
      <c r="AF358" s="28">
        <f t="shared" si="371"/>
        <v>0.16604744525547444</v>
      </c>
      <c r="AG358" s="34">
        <f t="shared" si="372"/>
        <v>9099.43</v>
      </c>
      <c r="AH358" s="34">
        <f t="shared" si="373"/>
        <v>2566.9593999999997</v>
      </c>
      <c r="AI358" s="34">
        <f t="shared" si="374"/>
        <v>23102.634599999998</v>
      </c>
      <c r="AJ358" s="46">
        <f t="shared" si="375"/>
        <v>-25699.965400000008</v>
      </c>
      <c r="AK358" s="40">
        <v>81</v>
      </c>
      <c r="AL358" s="41">
        <f t="shared" si="376"/>
        <v>104.328</v>
      </c>
      <c r="AM358" s="202"/>
      <c r="AN358" s="205"/>
      <c r="AO358" s="26"/>
      <c r="AP358" s="26"/>
      <c r="AQ358" s="27"/>
      <c r="AR358" s="27"/>
      <c r="AS358" s="27"/>
      <c r="AT358" s="27"/>
      <c r="AU358" s="27"/>
      <c r="AV358" s="27"/>
      <c r="AW358" s="26"/>
      <c r="AX358" s="26"/>
      <c r="AY358" s="26"/>
      <c r="AZ358" s="26"/>
      <c r="BA358" s="26"/>
      <c r="BB358" s="26"/>
      <c r="BC358" s="26"/>
      <c r="BD358" s="26"/>
      <c r="BE358" s="26"/>
      <c r="BF358" s="26"/>
      <c r="BG358" s="26"/>
      <c r="BH358" s="26"/>
      <c r="BI358" s="26"/>
    </row>
    <row r="359" spans="1:61" ht="28.5" customHeight="1">
      <c r="A359" s="26"/>
      <c r="B359" s="324"/>
      <c r="C359" s="42" t="s">
        <v>116</v>
      </c>
      <c r="D359" s="28">
        <f t="shared" si="360"/>
        <v>0.21251929012345677</v>
      </c>
      <c r="E359" s="166">
        <v>0.45300000000000001</v>
      </c>
      <c r="F359" s="30">
        <f t="shared" si="361"/>
        <v>0.24048070987654324</v>
      </c>
      <c r="G359" s="30" t="e">
        <f t="shared" si="362"/>
        <v>#DIV/0!</v>
      </c>
      <c r="H359" s="48"/>
      <c r="I359" s="48"/>
      <c r="J359" s="48"/>
      <c r="K359" s="210"/>
      <c r="L359" s="210"/>
      <c r="M359" s="210"/>
      <c r="N359" s="202"/>
      <c r="O359" s="202">
        <v>4</v>
      </c>
      <c r="P359" s="31">
        <f t="shared" si="363"/>
        <v>4</v>
      </c>
      <c r="Q359" s="202">
        <v>0</v>
      </c>
      <c r="R359" s="203"/>
      <c r="S359" s="36"/>
      <c r="T359" s="34">
        <f t="shared" si="364"/>
        <v>259200</v>
      </c>
      <c r="U359" s="31">
        <f t="shared" si="365"/>
        <v>0</v>
      </c>
      <c r="V359" s="34">
        <f t="shared" si="366"/>
        <v>259200</v>
      </c>
      <c r="W359" s="43">
        <v>64800</v>
      </c>
      <c r="X359" s="34">
        <f t="shared" si="367"/>
        <v>25224.192000000003</v>
      </c>
      <c r="Y359" s="34">
        <f t="shared" si="368"/>
        <v>100896.76800000001</v>
      </c>
      <c r="Z359" s="34">
        <f t="shared" si="369"/>
        <v>62332.600000000006</v>
      </c>
      <c r="AA359" s="49">
        <v>56666</v>
      </c>
      <c r="AB359" s="36"/>
      <c r="AC359" s="204">
        <f t="shared" si="377"/>
        <v>0</v>
      </c>
      <c r="AD359" s="149">
        <v>7.8E-2</v>
      </c>
      <c r="AE359" s="31">
        <f t="shared" si="383"/>
        <v>19300</v>
      </c>
      <c r="AF359" s="28">
        <f t="shared" si="371"/>
        <v>0.15245987654320986</v>
      </c>
      <c r="AG359" s="34">
        <f t="shared" si="372"/>
        <v>39517.629999999997</v>
      </c>
      <c r="AH359" s="34">
        <f t="shared" si="373"/>
        <v>11878.560199999998</v>
      </c>
      <c r="AI359" s="34">
        <f t="shared" si="374"/>
        <v>106907.04179999998</v>
      </c>
      <c r="AJ359" s="46">
        <f t="shared" si="375"/>
        <v>44574.441799999971</v>
      </c>
      <c r="AK359" s="40">
        <v>102</v>
      </c>
      <c r="AL359" s="41">
        <f t="shared" si="376"/>
        <v>131.376</v>
      </c>
      <c r="AM359" s="202"/>
      <c r="AN359" s="205"/>
      <c r="AO359" s="26"/>
      <c r="AP359" s="26"/>
      <c r="AQ359" s="27"/>
      <c r="AR359" s="27"/>
      <c r="AS359" s="27"/>
      <c r="AT359" s="27"/>
      <c r="AU359" s="27"/>
      <c r="AV359" s="27"/>
      <c r="AW359" s="26"/>
      <c r="AX359" s="26"/>
      <c r="AY359" s="26"/>
      <c r="AZ359" s="26"/>
      <c r="BA359" s="26"/>
      <c r="BB359" s="26"/>
      <c r="BC359" s="26"/>
      <c r="BD359" s="26"/>
      <c r="BE359" s="26"/>
      <c r="BF359" s="26"/>
      <c r="BG359" s="26"/>
      <c r="BH359" s="26"/>
      <c r="BI359" s="26"/>
    </row>
    <row r="360" spans="1:61" ht="28.5" customHeight="1">
      <c r="A360" s="26"/>
      <c r="B360" s="200"/>
      <c r="C360" s="42" t="s">
        <v>117</v>
      </c>
      <c r="D360" s="28">
        <f t="shared" si="360"/>
        <v>0.29023570283270983</v>
      </c>
      <c r="E360" s="303">
        <v>0.51100000000000001</v>
      </c>
      <c r="F360" s="30">
        <f t="shared" si="361"/>
        <v>0.22076429716729021</v>
      </c>
      <c r="G360" s="30" t="e">
        <f t="shared" si="362"/>
        <v>#DIV/0!</v>
      </c>
      <c r="H360" s="48"/>
      <c r="I360" s="48"/>
      <c r="J360" s="48"/>
      <c r="K360" s="210"/>
      <c r="L360" s="210"/>
      <c r="M360" s="210"/>
      <c r="N360" s="202"/>
      <c r="O360" s="202">
        <v>47</v>
      </c>
      <c r="P360" s="31">
        <f t="shared" si="363"/>
        <v>47</v>
      </c>
      <c r="Q360" s="202">
        <v>7</v>
      </c>
      <c r="R360" s="203"/>
      <c r="S360" s="36"/>
      <c r="T360" s="34">
        <f t="shared" si="364"/>
        <v>879370</v>
      </c>
      <c r="U360" s="31">
        <f t="shared" si="365"/>
        <v>0</v>
      </c>
      <c r="V360" s="34">
        <f t="shared" si="366"/>
        <v>879370</v>
      </c>
      <c r="W360" s="43">
        <v>18710</v>
      </c>
      <c r="X360" s="34">
        <f t="shared" si="367"/>
        <v>4451.3280000000004</v>
      </c>
      <c r="Y360" s="34">
        <f t="shared" si="368"/>
        <v>209212.41600000003</v>
      </c>
      <c r="Z360" s="34">
        <f t="shared" si="369"/>
        <v>177963.5</v>
      </c>
      <c r="AA360" s="49">
        <v>161785</v>
      </c>
      <c r="AB360" s="36"/>
      <c r="AC360" s="204">
        <f t="shared" si="377"/>
        <v>16170</v>
      </c>
      <c r="AD360" s="149">
        <v>7.8E-2</v>
      </c>
      <c r="AE360" s="31">
        <f t="shared" ref="AE360:AE362" si="384">1900*(P360+S360)</f>
        <v>89300</v>
      </c>
      <c r="AF360" s="28">
        <f t="shared" si="371"/>
        <v>0.17954997327632283</v>
      </c>
      <c r="AG360" s="34">
        <f t="shared" si="372"/>
        <v>157890.89000000001</v>
      </c>
      <c r="AH360" s="34">
        <f t="shared" si="373"/>
        <v>51226.669399999992</v>
      </c>
      <c r="AI360" s="34">
        <f t="shared" si="374"/>
        <v>461040.02459999995</v>
      </c>
      <c r="AJ360" s="46">
        <f t="shared" si="375"/>
        <v>283076.52459999995</v>
      </c>
      <c r="AK360" s="40">
        <v>18</v>
      </c>
      <c r="AL360" s="41">
        <f t="shared" si="376"/>
        <v>23.184000000000001</v>
      </c>
      <c r="AM360" s="202"/>
      <c r="AN360" s="205"/>
      <c r="AO360" s="26"/>
      <c r="AP360" s="26"/>
      <c r="AQ360" s="27"/>
      <c r="AR360" s="27"/>
      <c r="AS360" s="27"/>
      <c r="AT360" s="27"/>
      <c r="AU360" s="27"/>
      <c r="AV360" s="27"/>
      <c r="AW360" s="26"/>
      <c r="AX360" s="26"/>
      <c r="AY360" s="26"/>
      <c r="AZ360" s="26"/>
      <c r="BA360" s="26"/>
      <c r="BB360" s="26"/>
      <c r="BC360" s="26"/>
      <c r="BD360" s="26"/>
      <c r="BE360" s="26"/>
      <c r="BF360" s="26"/>
      <c r="BG360" s="26"/>
      <c r="BH360" s="26"/>
      <c r="BI360" s="26"/>
    </row>
    <row r="361" spans="1:61" ht="28.5" customHeight="1">
      <c r="A361" s="26"/>
      <c r="B361" s="200"/>
      <c r="C361" s="42" t="s">
        <v>31</v>
      </c>
      <c r="D361" s="28">
        <f t="shared" si="360"/>
        <v>-0.36447222222222225</v>
      </c>
      <c r="E361" s="303">
        <v>0.44700000000000001</v>
      </c>
      <c r="F361" s="30">
        <f t="shared" si="361"/>
        <v>0.81147222222222226</v>
      </c>
      <c r="G361" s="30" t="e">
        <f t="shared" si="362"/>
        <v>#DIV/0!</v>
      </c>
      <c r="H361" s="48"/>
      <c r="I361" s="48"/>
      <c r="J361" s="48"/>
      <c r="K361" s="210"/>
      <c r="L361" s="210"/>
      <c r="M361" s="210"/>
      <c r="N361" s="202"/>
      <c r="O361" s="202">
        <v>10</v>
      </c>
      <c r="P361" s="31">
        <f t="shared" si="363"/>
        <v>2</v>
      </c>
      <c r="Q361" s="36">
        <v>2</v>
      </c>
      <c r="R361" s="203"/>
      <c r="S361" s="202">
        <v>8</v>
      </c>
      <c r="T361" s="34">
        <f t="shared" si="364"/>
        <v>198000</v>
      </c>
      <c r="U361" s="31">
        <f t="shared" si="365"/>
        <v>158400</v>
      </c>
      <c r="V361" s="34">
        <f t="shared" si="366"/>
        <v>39600</v>
      </c>
      <c r="W361" s="43">
        <v>19800</v>
      </c>
      <c r="X361" s="34">
        <f t="shared" si="367"/>
        <v>7418.88</v>
      </c>
      <c r="Y361" s="34">
        <f t="shared" si="368"/>
        <v>14837.76</v>
      </c>
      <c r="Z361" s="34">
        <f t="shared" si="369"/>
        <v>27514.300000000003</v>
      </c>
      <c r="AA361" s="49">
        <v>25013</v>
      </c>
      <c r="AB361" s="286">
        <f>((19800*0.1)+(19800*0.015)+2100+2200)*8</f>
        <v>52616</v>
      </c>
      <c r="AC361" s="204">
        <f t="shared" si="377"/>
        <v>4620</v>
      </c>
      <c r="AD361" s="149">
        <v>0.08</v>
      </c>
      <c r="AE361" s="31">
        <f t="shared" si="384"/>
        <v>19000</v>
      </c>
      <c r="AF361" s="28">
        <f t="shared" si="371"/>
        <v>0.55979797979797974</v>
      </c>
      <c r="AG361" s="34">
        <f t="shared" si="372"/>
        <v>22168.029999999995</v>
      </c>
      <c r="AH361" s="34">
        <f t="shared" si="373"/>
        <v>259.42100000000028</v>
      </c>
      <c r="AI361" s="34">
        <f t="shared" si="374"/>
        <v>2334.7890000000043</v>
      </c>
      <c r="AJ361" s="206">
        <f t="shared" si="375"/>
        <v>-25179.510999999999</v>
      </c>
      <c r="AK361" s="40">
        <v>30</v>
      </c>
      <c r="AL361" s="41">
        <f t="shared" si="376"/>
        <v>38.64</v>
      </c>
      <c r="AM361" s="202"/>
      <c r="AN361" s="205"/>
      <c r="AO361" s="26"/>
      <c r="AP361" s="26"/>
      <c r="AQ361" s="27"/>
      <c r="AR361" s="27"/>
      <c r="AS361" s="27"/>
      <c r="AT361" s="27"/>
      <c r="AU361" s="27"/>
      <c r="AV361" s="27"/>
      <c r="AW361" s="26"/>
      <c r="AX361" s="26"/>
      <c r="AY361" s="26"/>
      <c r="AZ361" s="26"/>
      <c r="BA361" s="26"/>
      <c r="BB361" s="26"/>
      <c r="BC361" s="26"/>
      <c r="BD361" s="26"/>
      <c r="BE361" s="26"/>
      <c r="BF361" s="26"/>
      <c r="BG361" s="26"/>
      <c r="BH361" s="26"/>
      <c r="BI361" s="26"/>
    </row>
    <row r="362" spans="1:61" ht="28.5" customHeight="1">
      <c r="A362" s="26"/>
      <c r="B362" s="200"/>
      <c r="C362" s="42" t="s">
        <v>118</v>
      </c>
      <c r="D362" s="28" t="e">
        <f t="shared" si="360"/>
        <v>#DIV/0!</v>
      </c>
      <c r="E362" s="303">
        <v>0.36599999999999999</v>
      </c>
      <c r="F362" s="30" t="e">
        <f t="shared" si="361"/>
        <v>#DIV/0!</v>
      </c>
      <c r="G362" s="30" t="e">
        <f t="shared" si="362"/>
        <v>#DIV/0!</v>
      </c>
      <c r="H362" s="48"/>
      <c r="I362" s="48"/>
      <c r="J362" s="48"/>
      <c r="K362" s="210"/>
      <c r="L362" s="210"/>
      <c r="M362" s="210"/>
      <c r="N362" s="202"/>
      <c r="O362" s="202">
        <v>0</v>
      </c>
      <c r="P362" s="31">
        <f t="shared" si="363"/>
        <v>0</v>
      </c>
      <c r="Q362" s="36">
        <v>0</v>
      </c>
      <c r="R362" s="203"/>
      <c r="S362" s="36"/>
      <c r="T362" s="34">
        <f t="shared" si="364"/>
        <v>0</v>
      </c>
      <c r="U362" s="31">
        <f t="shared" si="365"/>
        <v>0</v>
      </c>
      <c r="V362" s="34">
        <f t="shared" si="366"/>
        <v>0</v>
      </c>
      <c r="W362" s="43">
        <v>24800</v>
      </c>
      <c r="X362" s="34">
        <f t="shared" si="367"/>
        <v>10386.432000000001</v>
      </c>
      <c r="Y362" s="34">
        <f t="shared" si="368"/>
        <v>0</v>
      </c>
      <c r="Z362" s="34">
        <f t="shared" si="369"/>
        <v>0</v>
      </c>
      <c r="AA362" s="49">
        <v>0</v>
      </c>
      <c r="AB362" s="286"/>
      <c r="AC362" s="204">
        <f t="shared" si="377"/>
        <v>0</v>
      </c>
      <c r="AD362" s="149">
        <v>0.1</v>
      </c>
      <c r="AE362" s="31">
        <f t="shared" si="384"/>
        <v>0</v>
      </c>
      <c r="AF362" s="28" t="e">
        <f t="shared" si="371"/>
        <v>#DIV/0!</v>
      </c>
      <c r="AG362" s="34" t="e">
        <f t="shared" si="372"/>
        <v>#DIV/0!</v>
      </c>
      <c r="AH362" s="34" t="e">
        <f t="shared" si="373"/>
        <v>#DIV/0!</v>
      </c>
      <c r="AI362" s="34" t="e">
        <f t="shared" si="374"/>
        <v>#DIV/0!</v>
      </c>
      <c r="AJ362" s="206" t="e">
        <f t="shared" si="375"/>
        <v>#DIV/0!</v>
      </c>
      <c r="AK362" s="40">
        <v>42</v>
      </c>
      <c r="AL362" s="41">
        <f t="shared" si="376"/>
        <v>54.096000000000004</v>
      </c>
      <c r="AM362" s="202"/>
      <c r="AN362" s="284"/>
      <c r="AO362" s="26"/>
      <c r="AP362" s="26"/>
      <c r="AQ362" s="27"/>
      <c r="AR362" s="27"/>
      <c r="AS362" s="27"/>
      <c r="AT362" s="27"/>
      <c r="AU362" s="27"/>
      <c r="AV362" s="27"/>
      <c r="AW362" s="26"/>
      <c r="AX362" s="26"/>
      <c r="AY362" s="26"/>
      <c r="AZ362" s="26"/>
      <c r="BA362" s="26"/>
      <c r="BB362" s="26"/>
      <c r="BC362" s="26"/>
      <c r="BD362" s="26"/>
      <c r="BE362" s="26"/>
      <c r="BF362" s="26"/>
      <c r="BG362" s="26"/>
      <c r="BH362" s="26"/>
      <c r="BI362" s="26"/>
    </row>
    <row r="363" spans="1:61" ht="28.5" customHeight="1">
      <c r="A363" s="26"/>
      <c r="B363" s="200"/>
      <c r="C363" s="42" t="s">
        <v>119</v>
      </c>
      <c r="D363" s="28">
        <f t="shared" si="360"/>
        <v>0.18005602716468588</v>
      </c>
      <c r="E363" s="166">
        <v>0.433</v>
      </c>
      <c r="F363" s="30">
        <f t="shared" si="361"/>
        <v>0.25294397283531411</v>
      </c>
      <c r="G363" s="30" t="e">
        <f t="shared" si="362"/>
        <v>#DIV/0!</v>
      </c>
      <c r="H363" s="48"/>
      <c r="I363" s="48"/>
      <c r="J363" s="48"/>
      <c r="K363" s="210"/>
      <c r="L363" s="210"/>
      <c r="M363" s="210"/>
      <c r="N363" s="202"/>
      <c r="O363" s="202">
        <v>19</v>
      </c>
      <c r="P363" s="31">
        <f t="shared" si="363"/>
        <v>19</v>
      </c>
      <c r="Q363" s="202">
        <v>4</v>
      </c>
      <c r="R363" s="203"/>
      <c r="S363" s="36"/>
      <c r="T363" s="34">
        <f t="shared" si="364"/>
        <v>471200</v>
      </c>
      <c r="U363" s="31">
        <f t="shared" si="365"/>
        <v>0</v>
      </c>
      <c r="V363" s="34">
        <f t="shared" si="366"/>
        <v>471200</v>
      </c>
      <c r="W363" s="43">
        <v>24800</v>
      </c>
      <c r="X363" s="34">
        <f t="shared" si="367"/>
        <v>7666.1760000000013</v>
      </c>
      <c r="Y363" s="34">
        <f t="shared" si="368"/>
        <v>145657.34400000001</v>
      </c>
      <c r="Z363" s="34">
        <f t="shared" si="369"/>
        <v>109947.20000000001</v>
      </c>
      <c r="AA363" s="49">
        <v>99952</v>
      </c>
      <c r="AB363" s="36"/>
      <c r="AC363" s="204">
        <f t="shared" si="377"/>
        <v>9240</v>
      </c>
      <c r="AD363" s="149">
        <v>0.108</v>
      </c>
      <c r="AE363" s="31">
        <f>3150*(P363+S363)</f>
        <v>59850</v>
      </c>
      <c r="AF363" s="28">
        <f t="shared" si="371"/>
        <v>0.23501612903225805</v>
      </c>
      <c r="AG363" s="34">
        <f t="shared" si="372"/>
        <v>110739.62999999999</v>
      </c>
      <c r="AH363" s="34">
        <f t="shared" si="373"/>
        <v>21480.302599999999</v>
      </c>
      <c r="AI363" s="34">
        <f t="shared" si="374"/>
        <v>193322.72340000002</v>
      </c>
      <c r="AJ363" s="46">
        <f t="shared" si="375"/>
        <v>83375.523400000005</v>
      </c>
      <c r="AK363" s="40">
        <v>31</v>
      </c>
      <c r="AL363" s="41">
        <f t="shared" si="376"/>
        <v>39.928000000000004</v>
      </c>
      <c r="AM363" s="202"/>
      <c r="AN363" s="205"/>
      <c r="AO363" s="26"/>
      <c r="AP363" s="26"/>
      <c r="AQ363" s="27"/>
      <c r="AR363" s="27"/>
      <c r="AS363" s="27"/>
      <c r="AT363" s="27"/>
      <c r="AU363" s="27"/>
      <c r="AV363" s="27"/>
      <c r="AW363" s="26"/>
      <c r="AX363" s="26"/>
      <c r="AY363" s="26"/>
      <c r="AZ363" s="26"/>
      <c r="BA363" s="26"/>
      <c r="BB363" s="26"/>
      <c r="BC363" s="26"/>
      <c r="BD363" s="26"/>
      <c r="BE363" s="26"/>
      <c r="BF363" s="26"/>
      <c r="BG363" s="26"/>
      <c r="BH363" s="26"/>
      <c r="BI363" s="26"/>
    </row>
    <row r="364" spans="1:61" ht="28.5" customHeight="1">
      <c r="A364" s="26"/>
      <c r="B364" s="200"/>
      <c r="C364" s="42" t="s">
        <v>120</v>
      </c>
      <c r="D364" s="28">
        <f t="shared" si="360"/>
        <v>0.28636599664991624</v>
      </c>
      <c r="E364" s="166">
        <v>0.41199999999999998</v>
      </c>
      <c r="F364" s="30">
        <f t="shared" si="361"/>
        <v>0.12563400335008376</v>
      </c>
      <c r="G364" s="30" t="e">
        <f t="shared" si="362"/>
        <v>#DIV/0!</v>
      </c>
      <c r="H364" s="48"/>
      <c r="I364" s="48"/>
      <c r="J364" s="48"/>
      <c r="K364" s="210"/>
      <c r="L364" s="210"/>
      <c r="M364" s="210"/>
      <c r="N364" s="202"/>
      <c r="O364" s="202">
        <v>3</v>
      </c>
      <c r="P364" s="31">
        <f t="shared" si="363"/>
        <v>3</v>
      </c>
      <c r="Q364" s="36">
        <v>0</v>
      </c>
      <c r="R364" s="203"/>
      <c r="S364" s="36"/>
      <c r="T364" s="34">
        <f t="shared" si="364"/>
        <v>119400</v>
      </c>
      <c r="U364" s="31">
        <f t="shared" si="365"/>
        <v>0</v>
      </c>
      <c r="V364" s="34">
        <f t="shared" si="366"/>
        <v>119400</v>
      </c>
      <c r="W364" s="43">
        <v>39800</v>
      </c>
      <c r="X364" s="34">
        <f t="shared" si="367"/>
        <v>7666.1760000000013</v>
      </c>
      <c r="Y364" s="34">
        <f t="shared" si="368"/>
        <v>22998.528000000006</v>
      </c>
      <c r="Z364" s="34">
        <f t="shared" si="369"/>
        <v>15000.7</v>
      </c>
      <c r="AA364" s="49">
        <v>13637</v>
      </c>
      <c r="AB364" s="36"/>
      <c r="AC364" s="204">
        <f t="shared" si="377"/>
        <v>0</v>
      </c>
      <c r="AD364" s="152">
        <v>0.108</v>
      </c>
      <c r="AE364" s="31">
        <f>3550*(P364+S364)</f>
        <v>10650</v>
      </c>
      <c r="AF364" s="28">
        <f t="shared" si="371"/>
        <v>0.1971959798994975</v>
      </c>
      <c r="AG364" s="34">
        <f t="shared" si="372"/>
        <v>23545.23</v>
      </c>
      <c r="AH364" s="34">
        <f t="shared" si="373"/>
        <v>7285.6241999999993</v>
      </c>
      <c r="AI364" s="34">
        <f t="shared" si="374"/>
        <v>65570.617800000007</v>
      </c>
      <c r="AJ364" s="206">
        <f t="shared" si="375"/>
        <v>50569.91780000001</v>
      </c>
      <c r="AK364" s="40">
        <v>31</v>
      </c>
      <c r="AL364" s="41">
        <f t="shared" si="376"/>
        <v>39.928000000000004</v>
      </c>
      <c r="AM364" s="202"/>
      <c r="AN364" s="205"/>
      <c r="AO364" s="26"/>
      <c r="AP364" s="26"/>
      <c r="AQ364" s="27"/>
      <c r="AR364" s="27"/>
      <c r="AS364" s="27"/>
      <c r="AT364" s="27"/>
      <c r="AU364" s="27"/>
      <c r="AV364" s="27"/>
      <c r="AW364" s="26"/>
      <c r="AX364" s="26"/>
      <c r="AY364" s="26"/>
      <c r="AZ364" s="26"/>
      <c r="BA364" s="26"/>
      <c r="BB364" s="26"/>
      <c r="BC364" s="26"/>
      <c r="BD364" s="26"/>
      <c r="BE364" s="26"/>
      <c r="BF364" s="26"/>
      <c r="BG364" s="26"/>
      <c r="BH364" s="26"/>
      <c r="BI364" s="26"/>
    </row>
    <row r="365" spans="1:61" ht="28.5" customHeight="1">
      <c r="A365" s="26"/>
      <c r="B365" s="216"/>
      <c r="C365" s="217"/>
      <c r="D365" s="298">
        <f>AJ365/V365</f>
        <v>0.10705664866074248</v>
      </c>
      <c r="E365" s="298">
        <f>AI365/V365</f>
        <v>0.39703941436626872</v>
      </c>
      <c r="F365" s="52">
        <f>(Z365)/V365</f>
        <v>0.24182587160007585</v>
      </c>
      <c r="G365" s="219"/>
      <c r="H365" s="55"/>
      <c r="I365" s="55"/>
      <c r="J365" s="55"/>
      <c r="K365" s="55"/>
      <c r="L365" s="55"/>
      <c r="M365" s="55"/>
      <c r="N365" s="130"/>
      <c r="O365" s="130">
        <f t="shared" ref="O365:R365" si="385">SUM(O343:O364)</f>
        <v>358</v>
      </c>
      <c r="P365" s="130">
        <f t="shared" si="385"/>
        <v>307</v>
      </c>
      <c r="Q365" s="130">
        <f t="shared" si="385"/>
        <v>43</v>
      </c>
      <c r="R365" s="130">
        <f t="shared" si="385"/>
        <v>0</v>
      </c>
      <c r="S365" s="36"/>
      <c r="T365" s="130">
        <f t="shared" ref="T365:V365" si="386">SUM(T343:T364)</f>
        <v>10108810</v>
      </c>
      <c r="U365" s="130">
        <f t="shared" si="386"/>
        <v>1080300</v>
      </c>
      <c r="V365" s="130">
        <f t="shared" si="386"/>
        <v>9028510</v>
      </c>
      <c r="W365" s="55"/>
      <c r="X365" s="130">
        <f t="shared" ref="X365:AC365" si="387">SUM(X343:X364)</f>
        <v>314387.4047999999</v>
      </c>
      <c r="Y365" s="130">
        <f t="shared" si="387"/>
        <v>3162297.5999999996</v>
      </c>
      <c r="Z365" s="130">
        <f t="shared" si="387"/>
        <v>2183327.3000000007</v>
      </c>
      <c r="AA365" s="130">
        <f t="shared" si="387"/>
        <v>1984843</v>
      </c>
      <c r="AB365" s="287">
        <f t="shared" si="387"/>
        <v>434785</v>
      </c>
      <c r="AC365" s="130">
        <f t="shared" si="387"/>
        <v>97950</v>
      </c>
      <c r="AD365" s="154">
        <v>0.09</v>
      </c>
      <c r="AE365" s="130">
        <f>SUM(AE343:AE364)</f>
        <v>1070675</v>
      </c>
      <c r="AF365" s="53">
        <f t="shared" si="371"/>
        <v>0.2085882277363596</v>
      </c>
      <c r="AG365" s="56">
        <f t="shared" si="372"/>
        <v>1883240.93</v>
      </c>
      <c r="AH365" s="56">
        <f t="shared" si="373"/>
        <v>398297.14700000006</v>
      </c>
      <c r="AI365" s="56">
        <f t="shared" si="374"/>
        <v>3584674.3230000008</v>
      </c>
      <c r="AJ365" s="46">
        <f>AI365-Z365-AB365</f>
        <v>966562.02300000004</v>
      </c>
      <c r="AK365" s="54"/>
      <c r="AL365" s="222"/>
      <c r="AM365" s="131">
        <f t="shared" ref="AM365:AN365" si="388">SUM(AM343:AM344)</f>
        <v>0</v>
      </c>
      <c r="AN365" s="132">
        <f t="shared" si="388"/>
        <v>0</v>
      </c>
      <c r="AO365" s="26"/>
      <c r="AP365" s="26"/>
      <c r="AQ365" s="27"/>
      <c r="AR365" s="27"/>
      <c r="AS365" s="27"/>
      <c r="AT365" s="27"/>
      <c r="AU365" s="27"/>
      <c r="AV365" s="27"/>
      <c r="AW365" s="26"/>
      <c r="AX365" s="26"/>
      <c r="AY365" s="26"/>
      <c r="AZ365" s="26"/>
      <c r="BA365" s="26"/>
      <c r="BB365" s="26"/>
      <c r="BC365" s="26"/>
      <c r="BD365" s="26"/>
      <c r="BE365" s="26"/>
      <c r="BF365" s="26"/>
      <c r="BG365" s="26"/>
      <c r="BH365" s="26"/>
      <c r="BI365" s="26"/>
    </row>
    <row r="366" spans="1:61" ht="28.5" customHeight="1">
      <c r="A366" s="1"/>
      <c r="B366" s="290"/>
      <c r="C366" s="291"/>
      <c r="D366" s="2"/>
      <c r="E366" s="2"/>
      <c r="F366" s="2"/>
      <c r="G366" s="2"/>
      <c r="H366" s="2"/>
      <c r="I366" s="2"/>
      <c r="J366" s="2"/>
      <c r="K366" s="2"/>
      <c r="L366" s="2"/>
      <c r="M366" s="2"/>
      <c r="N366" s="292"/>
      <c r="O366" s="292"/>
      <c r="P366" s="2"/>
      <c r="Q366" s="2"/>
      <c r="R366" s="2"/>
      <c r="S366" s="293"/>
      <c r="T366" s="2"/>
      <c r="U366" s="2"/>
      <c r="V366" s="2"/>
      <c r="W366" s="2"/>
      <c r="X366" s="2"/>
      <c r="Y366" s="2"/>
      <c r="Z366" s="2"/>
      <c r="AA366" s="2"/>
      <c r="AB366" s="2"/>
      <c r="AC366" s="2"/>
      <c r="AD366" s="2"/>
      <c r="AE366" s="2"/>
      <c r="AF366" s="1"/>
      <c r="AG366" s="1"/>
      <c r="AH366" s="1"/>
      <c r="AI366" s="1"/>
      <c r="AJ366" s="1"/>
      <c r="AK366" s="1"/>
      <c r="AL366" s="1"/>
      <c r="AM366" s="1"/>
      <c r="AN366" s="1"/>
      <c r="AO366" s="1"/>
      <c r="AP366" s="1"/>
      <c r="AQ366" s="1"/>
      <c r="AR366" s="1"/>
      <c r="AS366" s="1"/>
      <c r="AT366" s="7"/>
      <c r="AU366" s="7"/>
      <c r="AV366" s="7"/>
      <c r="AW366" s="47"/>
      <c r="AX366" s="47"/>
      <c r="AY366" s="47"/>
      <c r="AZ366" s="47"/>
      <c r="BA366" s="47"/>
      <c r="BB366" s="47"/>
      <c r="BC366" s="47"/>
      <c r="BD366" s="47"/>
      <c r="BE366" s="47"/>
      <c r="BF366" s="47"/>
      <c r="BG366" s="47"/>
      <c r="BH366" s="47"/>
      <c r="BI366" s="47"/>
    </row>
    <row r="367" spans="1:61" ht="28.5" customHeight="1">
      <c r="A367" s="26"/>
      <c r="B367" s="189"/>
      <c r="C367" s="134">
        <v>45884</v>
      </c>
      <c r="D367" s="190" t="s">
        <v>0</v>
      </c>
      <c r="E367" s="190" t="s">
        <v>1</v>
      </c>
      <c r="F367" s="190" t="s">
        <v>2</v>
      </c>
      <c r="G367" s="190" t="s">
        <v>3</v>
      </c>
      <c r="H367" s="191" t="s">
        <v>4</v>
      </c>
      <c r="I367" s="192" t="s">
        <v>5</v>
      </c>
      <c r="J367" s="192" t="s">
        <v>90</v>
      </c>
      <c r="K367" s="193"/>
      <c r="L367" s="193" t="s">
        <v>6</v>
      </c>
      <c r="M367" s="194" t="s">
        <v>7</v>
      </c>
      <c r="N367" s="123"/>
      <c r="O367" s="123" t="s">
        <v>8</v>
      </c>
      <c r="P367" s="123" t="s">
        <v>9</v>
      </c>
      <c r="Q367" s="15" t="s">
        <v>10</v>
      </c>
      <c r="R367" s="123" t="s">
        <v>92</v>
      </c>
      <c r="S367" s="196" t="s">
        <v>11</v>
      </c>
      <c r="T367" s="17" t="s">
        <v>12</v>
      </c>
      <c r="U367" s="17" t="s">
        <v>13</v>
      </c>
      <c r="V367" s="17" t="s">
        <v>14</v>
      </c>
      <c r="W367" s="17" t="s">
        <v>15</v>
      </c>
      <c r="X367" s="17" t="s">
        <v>16</v>
      </c>
      <c r="Y367" s="17" t="s">
        <v>17</v>
      </c>
      <c r="Z367" s="19" t="s">
        <v>18</v>
      </c>
      <c r="AA367" s="19" t="s">
        <v>19</v>
      </c>
      <c r="AB367" s="20" t="s">
        <v>20</v>
      </c>
      <c r="AC367" s="22" t="s">
        <v>93</v>
      </c>
      <c r="AD367" s="197" t="s">
        <v>21</v>
      </c>
      <c r="AE367" s="21" t="s">
        <v>22</v>
      </c>
      <c r="AF367" s="23" t="s">
        <v>23</v>
      </c>
      <c r="AG367" s="23" t="s">
        <v>21</v>
      </c>
      <c r="AH367" s="23" t="s">
        <v>24</v>
      </c>
      <c r="AI367" s="24" t="s">
        <v>26</v>
      </c>
      <c r="AJ367" s="23" t="s">
        <v>27</v>
      </c>
      <c r="AK367" s="21" t="s">
        <v>147</v>
      </c>
      <c r="AL367" s="282" t="s">
        <v>148</v>
      </c>
      <c r="AM367" s="124" t="s">
        <v>94</v>
      </c>
      <c r="AN367" s="125" t="s">
        <v>95</v>
      </c>
      <c r="AO367" s="26"/>
      <c r="AP367" s="26"/>
      <c r="AQ367" s="27"/>
      <c r="AR367" s="27"/>
      <c r="AS367" s="27"/>
      <c r="AT367" s="27"/>
      <c r="AU367" s="27"/>
      <c r="AV367" s="27"/>
      <c r="AW367" s="26"/>
      <c r="AX367" s="26"/>
      <c r="AY367" s="26"/>
      <c r="AZ367" s="26"/>
      <c r="BA367" s="26"/>
      <c r="BB367" s="26"/>
      <c r="BC367" s="26"/>
      <c r="BD367" s="26"/>
      <c r="BE367" s="26"/>
      <c r="BF367" s="26"/>
      <c r="BG367" s="26"/>
      <c r="BH367" s="26"/>
      <c r="BI367" s="26"/>
    </row>
    <row r="368" spans="1:61" ht="28.5" customHeight="1">
      <c r="A368" s="26"/>
      <c r="B368" s="200"/>
      <c r="C368" s="42" t="s">
        <v>107</v>
      </c>
      <c r="D368" s="28">
        <f t="shared" ref="D368:D389" si="389">E368-F368</f>
        <v>0.13887726644361192</v>
      </c>
      <c r="E368" s="166">
        <v>0.39700000000000002</v>
      </c>
      <c r="F368" s="30">
        <f t="shared" ref="F368:F389" si="390">(Z368+AC368)/V368</f>
        <v>0.2581227335563881</v>
      </c>
      <c r="G368" s="30" t="e">
        <f t="shared" ref="G368:G389" si="391">R368/AN368</f>
        <v>#DIV/0!</v>
      </c>
      <c r="H368" s="48"/>
      <c r="I368" s="48"/>
      <c r="J368" s="48"/>
      <c r="K368" s="48"/>
      <c r="L368" s="48"/>
      <c r="M368" s="48"/>
      <c r="N368" s="202"/>
      <c r="O368" s="202">
        <v>152</v>
      </c>
      <c r="P368" s="31">
        <f t="shared" ref="P368:P389" si="392">O368-S368</f>
        <v>152</v>
      </c>
      <c r="Q368" s="202">
        <v>20</v>
      </c>
      <c r="R368" s="203"/>
      <c r="S368" s="36"/>
      <c r="T368" s="34">
        <f t="shared" ref="T368:T389" si="393">W368*O368</f>
        <v>3993040</v>
      </c>
      <c r="U368" s="31">
        <f t="shared" ref="U368:U389" si="394">W368*S368</f>
        <v>0</v>
      </c>
      <c r="V368" s="34">
        <f t="shared" ref="V368:V389" si="395">T368-U368</f>
        <v>3993040</v>
      </c>
      <c r="W368" s="43">
        <v>26270</v>
      </c>
      <c r="X368" s="34">
        <f t="shared" ref="X368:X389" si="396">AL368*$A$2</f>
        <v>9891.84</v>
      </c>
      <c r="Y368" s="34">
        <f t="shared" ref="Y368:Y389" si="397">X368*P368</f>
        <v>1503559.6799999999</v>
      </c>
      <c r="Z368" s="34">
        <f t="shared" ref="Z368:Z389" si="398">AA368*1.1</f>
        <v>987254.4</v>
      </c>
      <c r="AA368" s="49">
        <v>897504</v>
      </c>
      <c r="AB368" s="36"/>
      <c r="AC368" s="204">
        <f t="shared" ref="AC368:AC369" si="399">(1072+1100)*Q368</f>
        <v>43440</v>
      </c>
      <c r="AD368" s="149">
        <v>0.1</v>
      </c>
      <c r="AE368" s="31">
        <f>3050*(P368+S368)</f>
        <v>463600</v>
      </c>
      <c r="AF368" s="28">
        <f t="shared" ref="AF368:AF390" si="400">AD368+(AE368/V368)</f>
        <v>0.2161020175104682</v>
      </c>
      <c r="AG368" s="34">
        <f t="shared" ref="AG368:AG390" si="401">V368*AF368+3%</f>
        <v>862904.03</v>
      </c>
      <c r="AH368" s="34">
        <f t="shared" ref="AH368:AH390" si="402">(V368)*10%-(Y368+AG368)*10%</f>
        <v>162657.62899999999</v>
      </c>
      <c r="AI368" s="34">
        <f t="shared" ref="AI368:AI390" si="403">V368-(Y368+AG368+AH368)</f>
        <v>1463918.6609999998</v>
      </c>
      <c r="AJ368" s="46">
        <f t="shared" ref="AJ368:AJ389" si="404">AI368-Z368</f>
        <v>476664.26099999982</v>
      </c>
      <c r="AK368" s="40">
        <v>40</v>
      </c>
      <c r="AL368" s="41">
        <f t="shared" ref="AL368:AL389" si="405">(AK368*1.15)*1.12</f>
        <v>51.52</v>
      </c>
      <c r="AM368" s="202"/>
      <c r="AN368" s="205"/>
      <c r="AO368" s="26"/>
      <c r="AP368" s="26"/>
      <c r="AQ368" s="27"/>
      <c r="AR368" s="27"/>
      <c r="AS368" s="27"/>
      <c r="AT368" s="27"/>
      <c r="AU368" s="27"/>
      <c r="AV368" s="27"/>
      <c r="AW368" s="26"/>
      <c r="AX368" s="26"/>
      <c r="AY368" s="26"/>
      <c r="AZ368" s="26"/>
      <c r="BA368" s="26"/>
      <c r="BB368" s="26"/>
      <c r="BC368" s="26"/>
      <c r="BD368" s="26"/>
      <c r="BE368" s="26"/>
      <c r="BF368" s="26"/>
      <c r="BG368" s="26"/>
      <c r="BH368" s="26"/>
      <c r="BI368" s="26"/>
    </row>
    <row r="369" spans="1:61" ht="28.5" customHeight="1">
      <c r="A369" s="26"/>
      <c r="B369" s="200"/>
      <c r="C369" s="42" t="s">
        <v>108</v>
      </c>
      <c r="D369" s="28">
        <f t="shared" si="389"/>
        <v>0.1671299126637554</v>
      </c>
      <c r="E369" s="166">
        <v>0.41199999999999998</v>
      </c>
      <c r="F369" s="30">
        <f t="shared" si="390"/>
        <v>0.24487008733624457</v>
      </c>
      <c r="G369" s="30" t="e">
        <f t="shared" si="391"/>
        <v>#DIV/0!</v>
      </c>
      <c r="H369" s="48"/>
      <c r="I369" s="48"/>
      <c r="J369" s="48"/>
      <c r="K369" s="210"/>
      <c r="L369" s="210"/>
      <c r="M369" s="210"/>
      <c r="N369" s="202"/>
      <c r="O369" s="202">
        <v>4</v>
      </c>
      <c r="P369" s="31">
        <f t="shared" si="392"/>
        <v>4</v>
      </c>
      <c r="Q369" s="36">
        <v>0</v>
      </c>
      <c r="R369" s="203"/>
      <c r="S369" s="36"/>
      <c r="T369" s="34">
        <f t="shared" si="393"/>
        <v>91600</v>
      </c>
      <c r="U369" s="31">
        <f t="shared" si="394"/>
        <v>0</v>
      </c>
      <c r="V369" s="34">
        <f t="shared" si="395"/>
        <v>91600</v>
      </c>
      <c r="W369" s="43">
        <v>22900</v>
      </c>
      <c r="X369" s="34">
        <f t="shared" si="396"/>
        <v>7913.4719999999998</v>
      </c>
      <c r="Y369" s="34">
        <f t="shared" si="397"/>
        <v>31653.887999999999</v>
      </c>
      <c r="Z369" s="34">
        <f t="shared" si="398"/>
        <v>22430.100000000002</v>
      </c>
      <c r="AA369" s="49">
        <v>20391</v>
      </c>
      <c r="AB369" s="36"/>
      <c r="AC369" s="204">
        <f t="shared" si="399"/>
        <v>0</v>
      </c>
      <c r="AD369" s="149">
        <v>0.1</v>
      </c>
      <c r="AE369" s="31">
        <f>2950*(P369+S369)</f>
        <v>11800</v>
      </c>
      <c r="AF369" s="28">
        <f t="shared" si="400"/>
        <v>0.22882096069868996</v>
      </c>
      <c r="AG369" s="34">
        <f t="shared" si="401"/>
        <v>20960.03</v>
      </c>
      <c r="AH369" s="34">
        <f t="shared" si="402"/>
        <v>3898.6081999999997</v>
      </c>
      <c r="AI369" s="34">
        <f t="shared" si="403"/>
        <v>35087.4738</v>
      </c>
      <c r="AJ369" s="46">
        <f t="shared" si="404"/>
        <v>12657.373799999998</v>
      </c>
      <c r="AK369" s="40">
        <v>32</v>
      </c>
      <c r="AL369" s="41">
        <f t="shared" si="405"/>
        <v>41.216000000000001</v>
      </c>
      <c r="AM369" s="202"/>
      <c r="AN369" s="205"/>
      <c r="AO369" s="26"/>
      <c r="AP369" s="26"/>
      <c r="AQ369" s="27"/>
      <c r="AR369" s="27"/>
      <c r="AS369" s="27"/>
      <c r="AT369" s="27"/>
      <c r="AU369" s="27"/>
      <c r="AV369" s="27"/>
      <c r="AW369" s="26"/>
      <c r="AX369" s="26"/>
      <c r="AY369" s="26"/>
      <c r="AZ369" s="26"/>
      <c r="BA369" s="26"/>
      <c r="BB369" s="26"/>
      <c r="BC369" s="26"/>
      <c r="BD369" s="26"/>
      <c r="BE369" s="26"/>
      <c r="BF369" s="26"/>
      <c r="BG369" s="26"/>
      <c r="BH369" s="26"/>
      <c r="BI369" s="26"/>
    </row>
    <row r="370" spans="1:61" ht="28.5" customHeight="1">
      <c r="A370" s="336"/>
      <c r="B370" s="323"/>
      <c r="C370" s="42" t="s">
        <v>109</v>
      </c>
      <c r="D370" s="28">
        <f t="shared" si="389"/>
        <v>-0.76085923423423429</v>
      </c>
      <c r="E370" s="166">
        <v>0.378</v>
      </c>
      <c r="F370" s="30">
        <f t="shared" si="390"/>
        <v>1.1388592342342343</v>
      </c>
      <c r="G370" s="30" t="e">
        <f t="shared" si="391"/>
        <v>#DIV/0!</v>
      </c>
      <c r="H370" s="48"/>
      <c r="I370" s="48"/>
      <c r="J370" s="48"/>
      <c r="K370" s="48"/>
      <c r="L370" s="334"/>
      <c r="M370" s="48"/>
      <c r="N370" s="202"/>
      <c r="O370" s="202">
        <v>2</v>
      </c>
      <c r="P370" s="31">
        <f t="shared" si="392"/>
        <v>2</v>
      </c>
      <c r="Q370" s="36">
        <v>0</v>
      </c>
      <c r="R370" s="203"/>
      <c r="S370" s="36"/>
      <c r="T370" s="34">
        <f t="shared" si="393"/>
        <v>88800</v>
      </c>
      <c r="U370" s="31">
        <f t="shared" si="394"/>
        <v>0</v>
      </c>
      <c r="V370" s="34">
        <f t="shared" si="395"/>
        <v>88800</v>
      </c>
      <c r="W370" s="43">
        <v>44400</v>
      </c>
      <c r="X370" s="34">
        <f t="shared" si="396"/>
        <v>12278.2464</v>
      </c>
      <c r="Y370" s="34">
        <f t="shared" si="397"/>
        <v>24556.4928</v>
      </c>
      <c r="Z370" s="34">
        <f t="shared" si="398"/>
        <v>101130.70000000001</v>
      </c>
      <c r="AA370" s="49">
        <v>91937</v>
      </c>
      <c r="AB370" s="36"/>
      <c r="AC370" s="204">
        <f t="shared" ref="AC370:AC389" si="406">(1210+1100)*Q370</f>
        <v>0</v>
      </c>
      <c r="AD370" s="149">
        <v>0.11</v>
      </c>
      <c r="AE370" s="31">
        <f t="shared" ref="AE370:AE371" si="407">4150*(P370+S370)</f>
        <v>8300</v>
      </c>
      <c r="AF370" s="28">
        <f t="shared" si="400"/>
        <v>0.20346846846846847</v>
      </c>
      <c r="AG370" s="34">
        <f t="shared" si="401"/>
        <v>18068.03</v>
      </c>
      <c r="AH370" s="34">
        <f t="shared" si="402"/>
        <v>4617.5477199999996</v>
      </c>
      <c r="AI370" s="34">
        <f t="shared" si="403"/>
        <v>41557.929479999999</v>
      </c>
      <c r="AJ370" s="46">
        <f t="shared" si="404"/>
        <v>-59572.770520000013</v>
      </c>
      <c r="AK370" s="40">
        <v>49.65</v>
      </c>
      <c r="AL370" s="41">
        <f t="shared" si="405"/>
        <v>63.949200000000005</v>
      </c>
      <c r="AM370" s="202"/>
      <c r="AN370" s="205"/>
      <c r="AO370" s="26"/>
      <c r="AP370" s="26"/>
      <c r="AQ370" s="27"/>
      <c r="AR370" s="27"/>
      <c r="AS370" s="27"/>
      <c r="AT370" s="27"/>
      <c r="AU370" s="27"/>
      <c r="AV370" s="27"/>
      <c r="AW370" s="26"/>
      <c r="AX370" s="26"/>
      <c r="AY370" s="26"/>
      <c r="AZ370" s="26"/>
      <c r="BA370" s="26"/>
      <c r="BB370" s="26"/>
      <c r="BC370" s="26"/>
      <c r="BD370" s="26"/>
      <c r="BE370" s="26"/>
      <c r="BF370" s="26"/>
      <c r="BG370" s="26"/>
      <c r="BH370" s="26"/>
      <c r="BI370" s="26"/>
    </row>
    <row r="371" spans="1:61" ht="28.5" customHeight="1">
      <c r="A371" s="311"/>
      <c r="B371" s="324"/>
      <c r="C371" s="42" t="s">
        <v>110</v>
      </c>
      <c r="D371" s="28">
        <f t="shared" si="389"/>
        <v>0.19762375356125356</v>
      </c>
      <c r="E371" s="166">
        <v>0.317</v>
      </c>
      <c r="F371" s="30">
        <f t="shared" si="390"/>
        <v>0.11937624643874646</v>
      </c>
      <c r="G371" s="30" t="e">
        <f t="shared" si="391"/>
        <v>#DIV/0!</v>
      </c>
      <c r="H371" s="48"/>
      <c r="I371" s="48"/>
      <c r="J371" s="48"/>
      <c r="K371" s="48"/>
      <c r="L371" s="310"/>
      <c r="M371" s="48"/>
      <c r="N371" s="202"/>
      <c r="O371" s="202">
        <v>12</v>
      </c>
      <c r="P371" s="31">
        <f t="shared" si="392"/>
        <v>12</v>
      </c>
      <c r="Q371" s="202">
        <v>2</v>
      </c>
      <c r="R371" s="203"/>
      <c r="S371" s="36"/>
      <c r="T371" s="34">
        <f t="shared" si="393"/>
        <v>561600</v>
      </c>
      <c r="U371" s="31">
        <f t="shared" si="394"/>
        <v>0</v>
      </c>
      <c r="V371" s="34">
        <f t="shared" si="395"/>
        <v>561600</v>
      </c>
      <c r="W371" s="43">
        <v>46800</v>
      </c>
      <c r="X371" s="34">
        <f t="shared" si="396"/>
        <v>12772.838400000001</v>
      </c>
      <c r="Y371" s="34">
        <f t="shared" si="397"/>
        <v>153274.06080000001</v>
      </c>
      <c r="Z371" s="34">
        <f t="shared" si="398"/>
        <v>62421.700000000004</v>
      </c>
      <c r="AA371" s="49">
        <v>56747</v>
      </c>
      <c r="AB371" s="36"/>
      <c r="AC371" s="204">
        <f t="shared" si="406"/>
        <v>4620</v>
      </c>
      <c r="AD371" s="149">
        <v>0.11</v>
      </c>
      <c r="AE371" s="31">
        <f t="shared" si="407"/>
        <v>49800</v>
      </c>
      <c r="AF371" s="28">
        <f t="shared" si="400"/>
        <v>0.19867521367521368</v>
      </c>
      <c r="AG371" s="34">
        <f t="shared" si="401"/>
        <v>111576.03</v>
      </c>
      <c r="AH371" s="34">
        <f t="shared" si="402"/>
        <v>29674.990919999997</v>
      </c>
      <c r="AI371" s="34">
        <f t="shared" si="403"/>
        <v>267074.91827999998</v>
      </c>
      <c r="AJ371" s="46">
        <f t="shared" si="404"/>
        <v>204653.21827999997</v>
      </c>
      <c r="AK371" s="40">
        <v>51.65</v>
      </c>
      <c r="AL371" s="41">
        <f t="shared" si="405"/>
        <v>66.525199999999998</v>
      </c>
      <c r="AM371" s="202"/>
      <c r="AN371" s="205"/>
      <c r="AO371" s="26"/>
      <c r="AP371" s="26"/>
      <c r="AQ371" s="27"/>
      <c r="AR371" s="27"/>
      <c r="AS371" s="27"/>
      <c r="AT371" s="27"/>
      <c r="AU371" s="27"/>
      <c r="AV371" s="27"/>
      <c r="AW371" s="26"/>
      <c r="AX371" s="26"/>
      <c r="AY371" s="26"/>
      <c r="AZ371" s="26"/>
      <c r="BA371" s="26"/>
      <c r="BB371" s="26"/>
      <c r="BC371" s="26"/>
      <c r="BD371" s="26"/>
      <c r="BE371" s="26"/>
      <c r="BF371" s="26"/>
      <c r="BG371" s="26"/>
      <c r="BH371" s="26"/>
      <c r="BI371" s="26"/>
    </row>
    <row r="372" spans="1:61" ht="28.5" customHeight="1">
      <c r="A372" s="26"/>
      <c r="B372" s="323"/>
      <c r="C372" s="42" t="s">
        <v>32</v>
      </c>
      <c r="D372" s="28">
        <f t="shared" si="389"/>
        <v>0.10052211073950207</v>
      </c>
      <c r="E372" s="166">
        <v>0.40600000000000003</v>
      </c>
      <c r="F372" s="30">
        <f t="shared" si="390"/>
        <v>0.30547788926049796</v>
      </c>
      <c r="G372" s="30" t="e">
        <f t="shared" si="391"/>
        <v>#DIV/0!</v>
      </c>
      <c r="H372" s="33"/>
      <c r="I372" s="48"/>
      <c r="J372" s="48"/>
      <c r="K372" s="48"/>
      <c r="L372" s="334"/>
      <c r="M372" s="48"/>
      <c r="N372" s="202"/>
      <c r="O372" s="202">
        <v>14</v>
      </c>
      <c r="P372" s="31">
        <f t="shared" si="392"/>
        <v>9</v>
      </c>
      <c r="Q372" s="202">
        <v>0</v>
      </c>
      <c r="R372" s="203"/>
      <c r="S372" s="202">
        <v>5</v>
      </c>
      <c r="T372" s="34">
        <f t="shared" si="393"/>
        <v>837200</v>
      </c>
      <c r="U372" s="31">
        <f t="shared" si="394"/>
        <v>299000</v>
      </c>
      <c r="V372" s="34">
        <f t="shared" si="395"/>
        <v>538200</v>
      </c>
      <c r="W372" s="43">
        <v>59800</v>
      </c>
      <c r="X372" s="34">
        <f t="shared" si="396"/>
        <v>21143.807999999997</v>
      </c>
      <c r="Y372" s="34">
        <f t="shared" si="397"/>
        <v>190294.27199999997</v>
      </c>
      <c r="Z372" s="34">
        <f t="shared" si="398"/>
        <v>164408.20000000001</v>
      </c>
      <c r="AA372" s="49">
        <v>149462</v>
      </c>
      <c r="AB372" s="287">
        <f>((59800*0.015)+(59800*0.19)+2100+4950)*5</f>
        <v>96545</v>
      </c>
      <c r="AC372" s="204">
        <f t="shared" si="406"/>
        <v>0</v>
      </c>
      <c r="AD372" s="149">
        <v>0.108</v>
      </c>
      <c r="AE372" s="31">
        <f t="shared" ref="AE372:AE373" si="408">4825*(P372+S372)</f>
        <v>67550</v>
      </c>
      <c r="AF372" s="28">
        <f t="shared" si="400"/>
        <v>0.23351096246748421</v>
      </c>
      <c r="AG372" s="34">
        <f t="shared" si="401"/>
        <v>125675.63</v>
      </c>
      <c r="AH372" s="34">
        <f t="shared" si="402"/>
        <v>22223.0098</v>
      </c>
      <c r="AI372" s="34">
        <f t="shared" si="403"/>
        <v>200007.0882</v>
      </c>
      <c r="AJ372" s="46">
        <f t="shared" si="404"/>
        <v>35598.888199999987</v>
      </c>
      <c r="AK372" s="40">
        <v>85.5</v>
      </c>
      <c r="AL372" s="41">
        <f t="shared" si="405"/>
        <v>110.124</v>
      </c>
      <c r="AM372" s="202"/>
      <c r="AN372" s="205"/>
      <c r="AO372" s="26"/>
      <c r="AP372" s="26"/>
      <c r="AQ372" s="27"/>
      <c r="AR372" s="27"/>
      <c r="AS372" s="27"/>
      <c r="AT372" s="27"/>
      <c r="AU372" s="27"/>
      <c r="AV372" s="27"/>
      <c r="AW372" s="26"/>
      <c r="AX372" s="26"/>
      <c r="AY372" s="26"/>
      <c r="AZ372" s="26"/>
      <c r="BA372" s="26"/>
      <c r="BB372" s="26"/>
      <c r="BC372" s="26"/>
      <c r="BD372" s="26"/>
      <c r="BE372" s="26"/>
      <c r="BF372" s="26"/>
      <c r="BG372" s="26"/>
      <c r="BH372" s="26"/>
      <c r="BI372" s="26"/>
    </row>
    <row r="373" spans="1:61" ht="28.5" customHeight="1">
      <c r="A373" s="26"/>
      <c r="B373" s="333"/>
      <c r="C373" s="42" t="s">
        <v>33</v>
      </c>
      <c r="D373" s="28">
        <f t="shared" si="389"/>
        <v>0.26997407348094704</v>
      </c>
      <c r="E373" s="166">
        <v>0.40799999999999997</v>
      </c>
      <c r="F373" s="30">
        <f t="shared" si="390"/>
        <v>0.13802592651905296</v>
      </c>
      <c r="G373" s="30" t="e">
        <f t="shared" si="391"/>
        <v>#DIV/0!</v>
      </c>
      <c r="H373" s="48"/>
      <c r="I373" s="48"/>
      <c r="J373" s="48"/>
      <c r="K373" s="48"/>
      <c r="L373" s="310"/>
      <c r="M373" s="48"/>
      <c r="N373" s="202"/>
      <c r="O373" s="202">
        <v>17</v>
      </c>
      <c r="P373" s="31">
        <f t="shared" si="392"/>
        <v>17</v>
      </c>
      <c r="Q373" s="202">
        <v>5</v>
      </c>
      <c r="R373" s="203"/>
      <c r="S373" s="36"/>
      <c r="T373" s="34">
        <f t="shared" si="393"/>
        <v>1186430</v>
      </c>
      <c r="U373" s="31">
        <f t="shared" si="394"/>
        <v>0</v>
      </c>
      <c r="V373" s="34">
        <f t="shared" si="395"/>
        <v>1186430</v>
      </c>
      <c r="W373" s="43">
        <v>69790</v>
      </c>
      <c r="X373" s="34">
        <f t="shared" si="396"/>
        <v>26337.023999999998</v>
      </c>
      <c r="Y373" s="34">
        <f t="shared" si="397"/>
        <v>447729.40799999994</v>
      </c>
      <c r="Z373" s="34">
        <f t="shared" si="398"/>
        <v>152208.1</v>
      </c>
      <c r="AA373" s="49">
        <v>138371</v>
      </c>
      <c r="AB373" s="36"/>
      <c r="AC373" s="204">
        <f t="shared" si="406"/>
        <v>11550</v>
      </c>
      <c r="AD373" s="149">
        <v>0.108</v>
      </c>
      <c r="AE373" s="31">
        <f t="shared" si="408"/>
        <v>82025</v>
      </c>
      <c r="AF373" s="28">
        <f t="shared" si="400"/>
        <v>0.17713597936667144</v>
      </c>
      <c r="AG373" s="34">
        <f t="shared" si="401"/>
        <v>210159.47</v>
      </c>
      <c r="AH373" s="34">
        <f t="shared" si="402"/>
        <v>52854.112200000003</v>
      </c>
      <c r="AI373" s="34">
        <f t="shared" si="403"/>
        <v>475687.00980000012</v>
      </c>
      <c r="AJ373" s="46">
        <f t="shared" si="404"/>
        <v>323478.90980000014</v>
      </c>
      <c r="AK373" s="40">
        <v>106.5</v>
      </c>
      <c r="AL373" s="41">
        <f t="shared" si="405"/>
        <v>137.172</v>
      </c>
      <c r="AM373" s="202"/>
      <c r="AN373" s="205"/>
      <c r="AO373" s="26"/>
      <c r="AP373" s="26"/>
      <c r="AQ373" s="27"/>
      <c r="AR373" s="27"/>
      <c r="AS373" s="27"/>
      <c r="AT373" s="27"/>
      <c r="AU373" s="27"/>
      <c r="AV373" s="27"/>
      <c r="AW373" s="26"/>
      <c r="AX373" s="26"/>
      <c r="AY373" s="26"/>
      <c r="AZ373" s="26"/>
      <c r="BA373" s="26"/>
      <c r="BB373" s="26"/>
      <c r="BC373" s="26"/>
      <c r="BD373" s="26"/>
      <c r="BE373" s="26"/>
      <c r="BF373" s="26"/>
      <c r="BG373" s="26"/>
      <c r="BH373" s="26"/>
      <c r="BI373" s="26"/>
    </row>
    <row r="374" spans="1:61" ht="28.5" customHeight="1">
      <c r="A374" s="26"/>
      <c r="B374" s="333"/>
      <c r="C374" s="42" t="s">
        <v>149</v>
      </c>
      <c r="D374" s="28">
        <f t="shared" si="389"/>
        <v>0.40699999999999997</v>
      </c>
      <c r="E374" s="166">
        <v>0.40699999999999997</v>
      </c>
      <c r="F374" s="30">
        <f t="shared" si="390"/>
        <v>0</v>
      </c>
      <c r="G374" s="30" t="e">
        <f t="shared" si="391"/>
        <v>#DIV/0!</v>
      </c>
      <c r="H374" s="48"/>
      <c r="I374" s="48"/>
      <c r="J374" s="48"/>
      <c r="K374" s="48"/>
      <c r="L374" s="334"/>
      <c r="M374" s="48"/>
      <c r="N374" s="202"/>
      <c r="O374" s="202">
        <v>1</v>
      </c>
      <c r="P374" s="31">
        <f t="shared" si="392"/>
        <v>1</v>
      </c>
      <c r="Q374" s="202">
        <v>0</v>
      </c>
      <c r="R374" s="203"/>
      <c r="S374" s="36"/>
      <c r="T374" s="34">
        <f t="shared" si="393"/>
        <v>96690</v>
      </c>
      <c r="U374" s="31">
        <f t="shared" si="394"/>
        <v>0</v>
      </c>
      <c r="V374" s="34">
        <f t="shared" si="395"/>
        <v>96690</v>
      </c>
      <c r="W374" s="43">
        <v>96690</v>
      </c>
      <c r="X374" s="34">
        <f t="shared" si="396"/>
        <v>36723.455999999998</v>
      </c>
      <c r="Y374" s="34">
        <f t="shared" si="397"/>
        <v>36723.455999999998</v>
      </c>
      <c r="Z374" s="34">
        <f t="shared" si="398"/>
        <v>0</v>
      </c>
      <c r="AA374" s="49">
        <v>0</v>
      </c>
      <c r="AB374" s="36"/>
      <c r="AC374" s="204">
        <f t="shared" si="406"/>
        <v>0</v>
      </c>
      <c r="AD374" s="149">
        <v>0.108</v>
      </c>
      <c r="AE374" s="31">
        <f t="shared" ref="AE374:AE375" si="409">6200*(P374+S374)</f>
        <v>6200</v>
      </c>
      <c r="AF374" s="28">
        <f t="shared" si="400"/>
        <v>0.17212245320095149</v>
      </c>
      <c r="AG374" s="34">
        <f t="shared" si="401"/>
        <v>16642.55</v>
      </c>
      <c r="AH374" s="34">
        <f t="shared" si="402"/>
        <v>4332.3994000000002</v>
      </c>
      <c r="AI374" s="34">
        <f t="shared" si="403"/>
        <v>38991.594600000004</v>
      </c>
      <c r="AJ374" s="206">
        <f t="shared" si="404"/>
        <v>38991.594600000004</v>
      </c>
      <c r="AK374" s="40">
        <v>148.5</v>
      </c>
      <c r="AL374" s="41">
        <f t="shared" si="405"/>
        <v>191.268</v>
      </c>
      <c r="AM374" s="202"/>
      <c r="AN374" s="205"/>
      <c r="AO374" s="26"/>
      <c r="AP374" s="26"/>
      <c r="AQ374" s="27"/>
      <c r="AR374" s="27"/>
      <c r="AS374" s="27"/>
      <c r="AT374" s="27"/>
      <c r="AU374" s="27"/>
      <c r="AV374" s="27"/>
      <c r="AW374" s="26"/>
      <c r="AX374" s="26"/>
      <c r="AY374" s="26"/>
      <c r="AZ374" s="26"/>
      <c r="BA374" s="26"/>
      <c r="BB374" s="26"/>
      <c r="BC374" s="26"/>
      <c r="BD374" s="26"/>
      <c r="BE374" s="26"/>
      <c r="BF374" s="26"/>
      <c r="BG374" s="26"/>
      <c r="BH374" s="26"/>
      <c r="BI374" s="26"/>
    </row>
    <row r="375" spans="1:61" ht="28.5" customHeight="1">
      <c r="A375" s="26"/>
      <c r="B375" s="324"/>
      <c r="C375" s="42" t="s">
        <v>150</v>
      </c>
      <c r="D375" s="28">
        <f t="shared" si="389"/>
        <v>0.4306089803554724</v>
      </c>
      <c r="E375" s="166">
        <v>0.40899999999999997</v>
      </c>
      <c r="F375" s="30">
        <f t="shared" si="390"/>
        <v>-2.1608980355472405E-2</v>
      </c>
      <c r="G375" s="30" t="e">
        <f t="shared" si="391"/>
        <v>#DIV/0!</v>
      </c>
      <c r="H375" s="48"/>
      <c r="I375" s="283"/>
      <c r="J375" s="48"/>
      <c r="K375" s="48"/>
      <c r="L375" s="310"/>
      <c r="M375" s="48"/>
      <c r="N375" s="202"/>
      <c r="O375" s="202">
        <v>-1</v>
      </c>
      <c r="P375" s="31">
        <f t="shared" si="392"/>
        <v>-1</v>
      </c>
      <c r="Q375" s="202">
        <v>1</v>
      </c>
      <c r="R375" s="203"/>
      <c r="S375" s="36"/>
      <c r="T375" s="34">
        <f t="shared" si="393"/>
        <v>-106900</v>
      </c>
      <c r="U375" s="31">
        <f t="shared" si="394"/>
        <v>0</v>
      </c>
      <c r="V375" s="34">
        <f t="shared" si="395"/>
        <v>-106900</v>
      </c>
      <c r="W375" s="43">
        <v>106900</v>
      </c>
      <c r="X375" s="34">
        <f t="shared" si="396"/>
        <v>41916.671999999999</v>
      </c>
      <c r="Y375" s="34">
        <f t="shared" si="397"/>
        <v>-41916.671999999999</v>
      </c>
      <c r="Z375" s="34">
        <f t="shared" si="398"/>
        <v>0</v>
      </c>
      <c r="AA375" s="49">
        <v>0</v>
      </c>
      <c r="AB375" s="36"/>
      <c r="AC375" s="204">
        <f t="shared" si="406"/>
        <v>2310</v>
      </c>
      <c r="AD375" s="149">
        <v>0.108</v>
      </c>
      <c r="AE375" s="31">
        <f t="shared" si="409"/>
        <v>-6200</v>
      </c>
      <c r="AF375" s="28">
        <f t="shared" si="400"/>
        <v>0.16599812909260991</v>
      </c>
      <c r="AG375" s="34">
        <f t="shared" si="401"/>
        <v>-17745.170000000002</v>
      </c>
      <c r="AH375" s="34">
        <f t="shared" si="402"/>
        <v>-4723.8157999999994</v>
      </c>
      <c r="AI375" s="34">
        <f t="shared" si="403"/>
        <v>-42514.342199999999</v>
      </c>
      <c r="AJ375" s="46">
        <f t="shared" si="404"/>
        <v>-42514.342199999999</v>
      </c>
      <c r="AK375" s="40">
        <v>169.5</v>
      </c>
      <c r="AL375" s="41">
        <f t="shared" si="405"/>
        <v>218.316</v>
      </c>
      <c r="AM375" s="202"/>
      <c r="AN375" s="205"/>
      <c r="AO375" s="26"/>
      <c r="AP375" s="26"/>
      <c r="AQ375" s="27"/>
      <c r="AR375" s="27"/>
      <c r="AS375" s="27"/>
      <c r="AT375" s="27"/>
      <c r="AU375" s="27"/>
      <c r="AV375" s="27"/>
      <c r="AW375" s="26"/>
      <c r="AX375" s="26"/>
      <c r="AY375" s="26"/>
      <c r="AZ375" s="26"/>
      <c r="BA375" s="26"/>
      <c r="BB375" s="26"/>
      <c r="BC375" s="26"/>
      <c r="BD375" s="26"/>
      <c r="BE375" s="26"/>
      <c r="BF375" s="26"/>
      <c r="BG375" s="26"/>
      <c r="BH375" s="26"/>
      <c r="BI375" s="26"/>
    </row>
    <row r="376" spans="1:61" ht="28.5" customHeight="1">
      <c r="A376" s="26"/>
      <c r="B376" s="200"/>
      <c r="C376" s="42" t="s">
        <v>111</v>
      </c>
      <c r="D376" s="28">
        <f t="shared" si="389"/>
        <v>3.1416759776536241E-2</v>
      </c>
      <c r="E376" s="166">
        <v>0.435</v>
      </c>
      <c r="F376" s="30">
        <f t="shared" si="390"/>
        <v>0.40358324022346376</v>
      </c>
      <c r="G376" s="30" t="e">
        <f t="shared" si="391"/>
        <v>#DIV/0!</v>
      </c>
      <c r="H376" s="48"/>
      <c r="I376" s="48"/>
      <c r="J376" s="48"/>
      <c r="K376" s="210"/>
      <c r="L376" s="210"/>
      <c r="M376" s="210"/>
      <c r="N376" s="202"/>
      <c r="O376" s="202">
        <v>10</v>
      </c>
      <c r="P376" s="31">
        <f t="shared" si="392"/>
        <v>5</v>
      </c>
      <c r="Q376" s="36">
        <v>1</v>
      </c>
      <c r="R376" s="203"/>
      <c r="S376" s="202">
        <v>5</v>
      </c>
      <c r="T376" s="34">
        <f t="shared" si="393"/>
        <v>179000</v>
      </c>
      <c r="U376" s="31">
        <f t="shared" si="394"/>
        <v>89500</v>
      </c>
      <c r="V376" s="34">
        <f t="shared" si="395"/>
        <v>89500</v>
      </c>
      <c r="W376" s="43">
        <v>17900</v>
      </c>
      <c r="X376" s="34">
        <f t="shared" si="396"/>
        <v>5687.8080000000009</v>
      </c>
      <c r="Y376" s="34">
        <f t="shared" si="397"/>
        <v>28439.040000000005</v>
      </c>
      <c r="Z376" s="34">
        <f t="shared" si="398"/>
        <v>33810.700000000004</v>
      </c>
      <c r="AA376" s="49">
        <v>30737</v>
      </c>
      <c r="AB376" s="287">
        <f>((17160*0.015)+(17160*0.25)+2100+4950)*5</f>
        <v>57987</v>
      </c>
      <c r="AC376" s="204">
        <f t="shared" si="406"/>
        <v>2310</v>
      </c>
      <c r="AD376" s="149">
        <v>7.8E-2</v>
      </c>
      <c r="AE376" s="31">
        <f>2900*(P376+S376)</f>
        <v>29000</v>
      </c>
      <c r="AF376" s="28">
        <f t="shared" si="400"/>
        <v>0.40202234636871509</v>
      </c>
      <c r="AG376" s="34">
        <f t="shared" si="401"/>
        <v>35981.03</v>
      </c>
      <c r="AH376" s="34">
        <f t="shared" si="402"/>
        <v>2507.9929999999986</v>
      </c>
      <c r="AI376" s="34">
        <f t="shared" si="403"/>
        <v>22571.936999999991</v>
      </c>
      <c r="AJ376" s="46">
        <f t="shared" si="404"/>
        <v>-11238.763000000014</v>
      </c>
      <c r="AK376" s="40">
        <v>23</v>
      </c>
      <c r="AL376" s="41">
        <f t="shared" si="405"/>
        <v>29.624000000000002</v>
      </c>
      <c r="AM376" s="202"/>
      <c r="AN376" s="205"/>
      <c r="AO376" s="26"/>
      <c r="AP376" s="26"/>
      <c r="AQ376" s="27"/>
      <c r="AR376" s="27"/>
      <c r="AS376" s="27"/>
      <c r="AT376" s="27"/>
      <c r="AU376" s="27"/>
      <c r="AV376" s="27"/>
      <c r="AW376" s="26"/>
      <c r="AX376" s="26"/>
      <c r="AY376" s="26"/>
      <c r="AZ376" s="26"/>
      <c r="BA376" s="26"/>
      <c r="BB376" s="26"/>
      <c r="BC376" s="26"/>
      <c r="BD376" s="26"/>
      <c r="BE376" s="26"/>
      <c r="BF376" s="26"/>
      <c r="BG376" s="26"/>
      <c r="BH376" s="26"/>
      <c r="BI376" s="26"/>
    </row>
    <row r="377" spans="1:61" ht="28.5" customHeight="1">
      <c r="A377" s="26"/>
      <c r="B377" s="207"/>
      <c r="C377" s="42" t="s">
        <v>151</v>
      </c>
      <c r="D377" s="28">
        <f t="shared" si="389"/>
        <v>-0.29272844827586209</v>
      </c>
      <c r="E377" s="303">
        <v>0.27600000000000002</v>
      </c>
      <c r="F377" s="30">
        <f t="shared" si="390"/>
        <v>0.56872844827586211</v>
      </c>
      <c r="G377" s="30" t="e">
        <f t="shared" si="391"/>
        <v>#DIV/0!</v>
      </c>
      <c r="H377" s="48"/>
      <c r="I377" s="48"/>
      <c r="J377" s="48"/>
      <c r="K377" s="210"/>
      <c r="L377" s="335"/>
      <c r="M377" s="210"/>
      <c r="N377" s="202"/>
      <c r="O377" s="202">
        <v>3</v>
      </c>
      <c r="P377" s="31">
        <f t="shared" si="392"/>
        <v>3</v>
      </c>
      <c r="Q377" s="36">
        <v>0</v>
      </c>
      <c r="R377" s="203"/>
      <c r="S377" s="36"/>
      <c r="T377" s="34">
        <f t="shared" si="393"/>
        <v>27840</v>
      </c>
      <c r="U377" s="31">
        <f t="shared" si="394"/>
        <v>0</v>
      </c>
      <c r="V377" s="34">
        <f t="shared" si="395"/>
        <v>27840</v>
      </c>
      <c r="W377" s="43">
        <v>9280</v>
      </c>
      <c r="X377" s="34">
        <f t="shared" si="396"/>
        <v>3462.1440000000002</v>
      </c>
      <c r="Y377" s="34">
        <f t="shared" si="397"/>
        <v>10386.432000000001</v>
      </c>
      <c r="Z377" s="34">
        <f t="shared" si="398"/>
        <v>15833.400000000001</v>
      </c>
      <c r="AA377" s="49">
        <v>14394</v>
      </c>
      <c r="AB377" s="287"/>
      <c r="AC377" s="204">
        <f t="shared" si="406"/>
        <v>0</v>
      </c>
      <c r="AD377" s="149">
        <v>0.1</v>
      </c>
      <c r="AE377" s="31">
        <f t="shared" ref="AE377:AE378" si="410">1900*(P377+S377)</f>
        <v>5700</v>
      </c>
      <c r="AF377" s="28">
        <f t="shared" si="400"/>
        <v>0.30474137931034484</v>
      </c>
      <c r="AG377" s="34">
        <f t="shared" si="401"/>
        <v>8484.0300000000007</v>
      </c>
      <c r="AH377" s="34">
        <f t="shared" si="402"/>
        <v>896.9538</v>
      </c>
      <c r="AI377" s="34">
        <f t="shared" si="403"/>
        <v>8072.5842000000011</v>
      </c>
      <c r="AJ377" s="206">
        <f t="shared" si="404"/>
        <v>-7760.8158000000003</v>
      </c>
      <c r="AK377" s="40">
        <v>14</v>
      </c>
      <c r="AL377" s="41">
        <f t="shared" si="405"/>
        <v>18.032</v>
      </c>
      <c r="AM377" s="202"/>
      <c r="AN377" s="205"/>
      <c r="AO377" s="26"/>
      <c r="AP377" s="26"/>
      <c r="AQ377" s="27"/>
      <c r="AR377" s="27"/>
      <c r="AS377" s="27"/>
      <c r="AT377" s="27"/>
      <c r="AU377" s="27"/>
      <c r="AV377" s="27"/>
      <c r="AW377" s="26"/>
      <c r="AX377" s="26"/>
      <c r="AY377" s="26"/>
      <c r="AZ377" s="26"/>
      <c r="BA377" s="26"/>
      <c r="BB377" s="26"/>
      <c r="BC377" s="26"/>
      <c r="BD377" s="26"/>
      <c r="BE377" s="26"/>
      <c r="BF377" s="26"/>
      <c r="BG377" s="26"/>
      <c r="BH377" s="26"/>
      <c r="BI377" s="26"/>
    </row>
    <row r="378" spans="1:61" ht="28.5" customHeight="1">
      <c r="A378" s="26"/>
      <c r="B378" s="212"/>
      <c r="C378" s="42" t="s">
        <v>152</v>
      </c>
      <c r="D378" s="28">
        <f t="shared" si="389"/>
        <v>-1.1546782841823058</v>
      </c>
      <c r="E378" s="303">
        <v>0.39700000000000002</v>
      </c>
      <c r="F378" s="30">
        <f t="shared" si="390"/>
        <v>1.5516782841823058</v>
      </c>
      <c r="G378" s="30" t="e">
        <f t="shared" si="391"/>
        <v>#DIV/0!</v>
      </c>
      <c r="H378" s="48"/>
      <c r="I378" s="48"/>
      <c r="J378" s="48"/>
      <c r="K378" s="210"/>
      <c r="L378" s="310"/>
      <c r="M378" s="210"/>
      <c r="N378" s="202"/>
      <c r="O378" s="202">
        <v>1</v>
      </c>
      <c r="P378" s="31">
        <f t="shared" si="392"/>
        <v>1</v>
      </c>
      <c r="Q378" s="36">
        <v>2</v>
      </c>
      <c r="R378" s="203"/>
      <c r="S378" s="36"/>
      <c r="T378" s="34">
        <f t="shared" si="393"/>
        <v>18650</v>
      </c>
      <c r="U378" s="31">
        <f t="shared" si="394"/>
        <v>0</v>
      </c>
      <c r="V378" s="34">
        <f t="shared" si="395"/>
        <v>18650</v>
      </c>
      <c r="W378" s="43">
        <v>18650</v>
      </c>
      <c r="X378" s="34">
        <f t="shared" si="396"/>
        <v>6924.2880000000005</v>
      </c>
      <c r="Y378" s="34">
        <f t="shared" si="397"/>
        <v>6924.2880000000005</v>
      </c>
      <c r="Z378" s="34">
        <f t="shared" si="398"/>
        <v>24318.800000000003</v>
      </c>
      <c r="AA378" s="49">
        <v>22108</v>
      </c>
      <c r="AB378" s="36"/>
      <c r="AC378" s="204">
        <f t="shared" si="406"/>
        <v>4620</v>
      </c>
      <c r="AD378" s="149">
        <v>0.1</v>
      </c>
      <c r="AE378" s="31">
        <f t="shared" si="410"/>
        <v>1900</v>
      </c>
      <c r="AF378" s="28">
        <f t="shared" si="400"/>
        <v>0.20187667560321715</v>
      </c>
      <c r="AG378" s="34">
        <f t="shared" si="401"/>
        <v>3765.03</v>
      </c>
      <c r="AH378" s="34">
        <f t="shared" si="402"/>
        <v>796.06819999999993</v>
      </c>
      <c r="AI378" s="34">
        <f t="shared" si="403"/>
        <v>7164.6137999999992</v>
      </c>
      <c r="AJ378" s="206">
        <f t="shared" si="404"/>
        <v>-17154.186200000004</v>
      </c>
      <c r="AK378" s="40">
        <v>28</v>
      </c>
      <c r="AL378" s="41">
        <f t="shared" si="405"/>
        <v>36.064</v>
      </c>
      <c r="AM378" s="202"/>
      <c r="AN378" s="205"/>
      <c r="AO378" s="26"/>
      <c r="AP378" s="26"/>
      <c r="AQ378" s="27"/>
      <c r="AR378" s="27"/>
      <c r="AS378" s="27"/>
      <c r="AT378" s="27"/>
      <c r="AU378" s="27"/>
      <c r="AV378" s="27"/>
      <c r="AW378" s="26"/>
      <c r="AX378" s="26"/>
      <c r="AY378" s="26"/>
      <c r="AZ378" s="26"/>
      <c r="BA378" s="26"/>
      <c r="BB378" s="26"/>
      <c r="BC378" s="26"/>
      <c r="BD378" s="26"/>
      <c r="BE378" s="26"/>
      <c r="BF378" s="26"/>
      <c r="BG378" s="26"/>
      <c r="BH378" s="26"/>
      <c r="BI378" s="26"/>
    </row>
    <row r="379" spans="1:61" ht="28.5" customHeight="1">
      <c r="A379" s="26"/>
      <c r="B379" s="323"/>
      <c r="C379" s="42" t="s">
        <v>112</v>
      </c>
      <c r="D379" s="28">
        <f t="shared" si="389"/>
        <v>0.32926509458408915</v>
      </c>
      <c r="E379" s="166">
        <v>0.40600000000000003</v>
      </c>
      <c r="F379" s="30">
        <f t="shared" si="390"/>
        <v>7.6734905415910867E-2</v>
      </c>
      <c r="G379" s="30" t="e">
        <f t="shared" si="391"/>
        <v>#DIV/0!</v>
      </c>
      <c r="H379" s="334"/>
      <c r="I379" s="48"/>
      <c r="J379" s="48"/>
      <c r="K379" s="210"/>
      <c r="L379" s="335"/>
      <c r="M379" s="210"/>
      <c r="N379" s="202"/>
      <c r="O379" s="202">
        <v>2</v>
      </c>
      <c r="P379" s="31">
        <f t="shared" si="392"/>
        <v>2</v>
      </c>
      <c r="Q379" s="36">
        <v>0</v>
      </c>
      <c r="R379" s="203"/>
      <c r="S379" s="36"/>
      <c r="T379" s="34">
        <f t="shared" si="393"/>
        <v>77180</v>
      </c>
      <c r="U379" s="31">
        <f t="shared" si="394"/>
        <v>0</v>
      </c>
      <c r="V379" s="34">
        <f t="shared" si="395"/>
        <v>77180</v>
      </c>
      <c r="W379" s="43">
        <v>38590</v>
      </c>
      <c r="X379" s="34">
        <f t="shared" si="396"/>
        <v>15085.056</v>
      </c>
      <c r="Y379" s="34">
        <f t="shared" si="397"/>
        <v>30170.112000000001</v>
      </c>
      <c r="Z379" s="34">
        <f t="shared" si="398"/>
        <v>5922.4000000000005</v>
      </c>
      <c r="AA379" s="49">
        <v>5384</v>
      </c>
      <c r="AB379" s="36"/>
      <c r="AC379" s="204">
        <f t="shared" si="406"/>
        <v>0</v>
      </c>
      <c r="AD379" s="149">
        <v>0.08</v>
      </c>
      <c r="AE379" s="31">
        <f t="shared" ref="AE379:AE380" si="411">4150*(P379+S379)</f>
        <v>8300</v>
      </c>
      <c r="AF379" s="28">
        <f t="shared" si="400"/>
        <v>0.18754081368230113</v>
      </c>
      <c r="AG379" s="34">
        <f t="shared" si="401"/>
        <v>14474.430000000002</v>
      </c>
      <c r="AH379" s="34">
        <f t="shared" si="402"/>
        <v>3253.5457999999999</v>
      </c>
      <c r="AI379" s="34">
        <f t="shared" si="403"/>
        <v>29281.912199999999</v>
      </c>
      <c r="AJ379" s="46">
        <f t="shared" si="404"/>
        <v>23359.512199999997</v>
      </c>
      <c r="AK379" s="40">
        <v>61</v>
      </c>
      <c r="AL379" s="41">
        <f t="shared" si="405"/>
        <v>78.567999999999998</v>
      </c>
      <c r="AM379" s="202"/>
      <c r="AN379" s="205"/>
      <c r="AO379" s="26"/>
      <c r="AP379" s="26"/>
      <c r="AQ379" s="27"/>
      <c r="AR379" s="27"/>
      <c r="AS379" s="27"/>
      <c r="AT379" s="27"/>
      <c r="AU379" s="27"/>
      <c r="AV379" s="27"/>
      <c r="AW379" s="26"/>
      <c r="AX379" s="26"/>
      <c r="AY379" s="26"/>
      <c r="AZ379" s="26"/>
      <c r="BA379" s="26"/>
      <c r="BB379" s="26"/>
      <c r="BC379" s="26"/>
      <c r="BD379" s="26"/>
      <c r="BE379" s="26"/>
      <c r="BF379" s="26"/>
      <c r="BG379" s="26"/>
      <c r="BH379" s="26"/>
      <c r="BI379" s="26"/>
    </row>
    <row r="380" spans="1:61" ht="28.5" customHeight="1">
      <c r="A380" s="26"/>
      <c r="B380" s="324"/>
      <c r="C380" s="42" t="s">
        <v>113</v>
      </c>
      <c r="D380" s="28">
        <f t="shared" si="389"/>
        <v>0.16971005917159759</v>
      </c>
      <c r="E380" s="166">
        <v>0.36099999999999999</v>
      </c>
      <c r="F380" s="30">
        <f t="shared" si="390"/>
        <v>0.19128994082840239</v>
      </c>
      <c r="G380" s="30" t="e">
        <f t="shared" si="391"/>
        <v>#DIV/0!</v>
      </c>
      <c r="H380" s="310"/>
      <c r="I380" s="48"/>
      <c r="J380" s="48"/>
      <c r="K380" s="210"/>
      <c r="L380" s="310"/>
      <c r="M380" s="210"/>
      <c r="N380" s="202"/>
      <c r="O380" s="202">
        <v>13</v>
      </c>
      <c r="P380" s="31">
        <f t="shared" si="392"/>
        <v>13</v>
      </c>
      <c r="Q380" s="36">
        <v>0</v>
      </c>
      <c r="R380" s="203"/>
      <c r="S380" s="36"/>
      <c r="T380" s="34">
        <f t="shared" si="393"/>
        <v>557700</v>
      </c>
      <c r="U380" s="31">
        <f t="shared" si="394"/>
        <v>0</v>
      </c>
      <c r="V380" s="34">
        <f t="shared" si="395"/>
        <v>557700</v>
      </c>
      <c r="W380" s="43">
        <v>42900</v>
      </c>
      <c r="X380" s="34">
        <f t="shared" si="396"/>
        <v>20278.272000000004</v>
      </c>
      <c r="Y380" s="34">
        <f t="shared" si="397"/>
        <v>263617.53600000008</v>
      </c>
      <c r="Z380" s="34">
        <f t="shared" si="398"/>
        <v>106682.40000000001</v>
      </c>
      <c r="AA380" s="49">
        <v>96984</v>
      </c>
      <c r="AB380" s="286"/>
      <c r="AC380" s="204">
        <f t="shared" si="406"/>
        <v>0</v>
      </c>
      <c r="AD380" s="149">
        <v>7.8E-2</v>
      </c>
      <c r="AE380" s="31">
        <f t="shared" si="411"/>
        <v>53950</v>
      </c>
      <c r="AF380" s="28">
        <f t="shared" si="400"/>
        <v>0.17473659673659675</v>
      </c>
      <c r="AG380" s="34">
        <f t="shared" si="401"/>
        <v>97450.63</v>
      </c>
      <c r="AH380" s="34">
        <f t="shared" si="402"/>
        <v>19663.183399999987</v>
      </c>
      <c r="AI380" s="34">
        <f t="shared" si="403"/>
        <v>176968.65059999994</v>
      </c>
      <c r="AJ380" s="206">
        <f t="shared" si="404"/>
        <v>70286.250599999927</v>
      </c>
      <c r="AK380" s="40">
        <v>82</v>
      </c>
      <c r="AL380" s="41">
        <f t="shared" si="405"/>
        <v>105.61600000000001</v>
      </c>
      <c r="AM380" s="202"/>
      <c r="AN380" s="205"/>
      <c r="AO380" s="26"/>
      <c r="AP380" s="26"/>
      <c r="AQ380" s="27"/>
      <c r="AR380" s="27"/>
      <c r="AS380" s="27"/>
      <c r="AT380" s="27"/>
      <c r="AU380" s="27"/>
      <c r="AV380" s="27"/>
      <c r="AW380" s="26"/>
      <c r="AX380" s="26"/>
      <c r="AY380" s="26"/>
      <c r="AZ380" s="26"/>
      <c r="BA380" s="26"/>
      <c r="BB380" s="26"/>
      <c r="BC380" s="26"/>
      <c r="BD380" s="26"/>
      <c r="BE380" s="26"/>
      <c r="BF380" s="26"/>
      <c r="BG380" s="26"/>
      <c r="BH380" s="26"/>
      <c r="BI380" s="26"/>
    </row>
    <row r="381" spans="1:61" ht="28.5" customHeight="1">
      <c r="A381" s="26"/>
      <c r="B381" s="200"/>
      <c r="C381" s="42" t="s">
        <v>154</v>
      </c>
      <c r="D381" s="28">
        <f t="shared" si="389"/>
        <v>-0.66532627118644072</v>
      </c>
      <c r="E381" s="303">
        <v>0.41299999999999998</v>
      </c>
      <c r="F381" s="30">
        <f t="shared" si="390"/>
        <v>1.0783262711864408</v>
      </c>
      <c r="G381" s="30" t="e">
        <f t="shared" si="391"/>
        <v>#DIV/0!</v>
      </c>
      <c r="H381" s="48"/>
      <c r="I381" s="48"/>
      <c r="J381" s="48"/>
      <c r="K381" s="210"/>
      <c r="L381" s="210"/>
      <c r="M381" s="210"/>
      <c r="N381" s="202"/>
      <c r="O381" s="202">
        <v>12</v>
      </c>
      <c r="P381" s="31">
        <f t="shared" si="392"/>
        <v>2</v>
      </c>
      <c r="Q381" s="202">
        <v>3</v>
      </c>
      <c r="R381" s="203"/>
      <c r="S381" s="202">
        <v>10</v>
      </c>
      <c r="T381" s="34">
        <f t="shared" si="393"/>
        <v>141600</v>
      </c>
      <c r="U381" s="31">
        <f t="shared" si="394"/>
        <v>118000</v>
      </c>
      <c r="V381" s="34">
        <f t="shared" si="395"/>
        <v>23600</v>
      </c>
      <c r="W381" s="43">
        <v>11800</v>
      </c>
      <c r="X381" s="34">
        <f t="shared" si="396"/>
        <v>4006.1952000000001</v>
      </c>
      <c r="Y381" s="34">
        <f t="shared" si="397"/>
        <v>8012.3904000000002</v>
      </c>
      <c r="Z381" s="34">
        <f t="shared" si="398"/>
        <v>18518.5</v>
      </c>
      <c r="AA381" s="49">
        <v>16835</v>
      </c>
      <c r="AB381" s="286">
        <f>((11800*0.1)+(11800*0.015)+2100+2200)*10</f>
        <v>56570</v>
      </c>
      <c r="AC381" s="204">
        <f t="shared" si="406"/>
        <v>6930</v>
      </c>
      <c r="AD381" s="149">
        <v>0.108</v>
      </c>
      <c r="AE381" s="31">
        <f>1900*(P381+S381)</f>
        <v>22800</v>
      </c>
      <c r="AF381" s="28">
        <f t="shared" si="400"/>
        <v>1.0741016949152542</v>
      </c>
      <c r="AG381" s="34">
        <f t="shared" si="401"/>
        <v>25348.829999999998</v>
      </c>
      <c r="AH381" s="34">
        <f t="shared" si="402"/>
        <v>-976.1220400000002</v>
      </c>
      <c r="AI381" s="34">
        <f t="shared" si="403"/>
        <v>-8785.0983599999963</v>
      </c>
      <c r="AJ381" s="206">
        <f t="shared" si="404"/>
        <v>-27303.598359999996</v>
      </c>
      <c r="AK381" s="40">
        <v>16.2</v>
      </c>
      <c r="AL381" s="41">
        <f t="shared" si="405"/>
        <v>20.865600000000001</v>
      </c>
      <c r="AM381" s="202"/>
      <c r="AN381" s="205"/>
      <c r="AO381" s="26"/>
      <c r="AP381" s="26"/>
      <c r="AQ381" s="27"/>
      <c r="AR381" s="27"/>
      <c r="AS381" s="27"/>
      <c r="AT381" s="27"/>
      <c r="AU381" s="27"/>
      <c r="AV381" s="27"/>
      <c r="AW381" s="26"/>
      <c r="AX381" s="26"/>
      <c r="AY381" s="26"/>
      <c r="AZ381" s="26"/>
      <c r="BA381" s="26"/>
      <c r="BB381" s="26"/>
      <c r="BC381" s="26"/>
      <c r="BD381" s="26"/>
      <c r="BE381" s="26"/>
      <c r="BF381" s="26"/>
      <c r="BG381" s="26"/>
      <c r="BH381" s="26"/>
      <c r="BI381" s="26"/>
    </row>
    <row r="382" spans="1:61" ht="28.5" customHeight="1">
      <c r="A382" s="26"/>
      <c r="B382" s="200"/>
      <c r="C382" s="42" t="s">
        <v>114</v>
      </c>
      <c r="D382" s="28">
        <f t="shared" si="389"/>
        <v>0.20290594541910328</v>
      </c>
      <c r="E382" s="166">
        <v>0.35599999999999998</v>
      </c>
      <c r="F382" s="30">
        <f t="shared" si="390"/>
        <v>0.1530940545808967</v>
      </c>
      <c r="G382" s="30" t="e">
        <f t="shared" si="391"/>
        <v>#DIV/0!</v>
      </c>
      <c r="H382" s="48"/>
      <c r="I382" s="48"/>
      <c r="J382" s="48"/>
      <c r="K382" s="210"/>
      <c r="L382" s="210"/>
      <c r="M382" s="210"/>
      <c r="N382" s="202"/>
      <c r="O382" s="202">
        <v>54</v>
      </c>
      <c r="P382" s="31">
        <f t="shared" si="392"/>
        <v>54</v>
      </c>
      <c r="Q382" s="202">
        <v>6</v>
      </c>
      <c r="R382" s="203"/>
      <c r="S382" s="36"/>
      <c r="T382" s="34">
        <f t="shared" si="393"/>
        <v>1026000</v>
      </c>
      <c r="U382" s="31">
        <f t="shared" si="394"/>
        <v>0</v>
      </c>
      <c r="V382" s="34">
        <f t="shared" si="395"/>
        <v>1026000</v>
      </c>
      <c r="W382" s="43">
        <v>19000</v>
      </c>
      <c r="X382" s="34">
        <f t="shared" si="396"/>
        <v>7122.1247999999996</v>
      </c>
      <c r="Y382" s="34">
        <f t="shared" si="397"/>
        <v>384594.73919999995</v>
      </c>
      <c r="Z382" s="34">
        <f t="shared" si="398"/>
        <v>143214.5</v>
      </c>
      <c r="AA382" s="49">
        <v>130195</v>
      </c>
      <c r="AB382" s="287"/>
      <c r="AC382" s="204">
        <f t="shared" si="406"/>
        <v>13860</v>
      </c>
      <c r="AD382" s="149">
        <v>0.08</v>
      </c>
      <c r="AE382" s="31">
        <f>3350*(P382+S382)</f>
        <v>180900</v>
      </c>
      <c r="AF382" s="28">
        <f t="shared" si="400"/>
        <v>0.25631578947368422</v>
      </c>
      <c r="AG382" s="34">
        <f t="shared" si="401"/>
        <v>262980.03000000003</v>
      </c>
      <c r="AH382" s="34">
        <f t="shared" si="402"/>
        <v>37842.523079999999</v>
      </c>
      <c r="AI382" s="34">
        <f t="shared" si="403"/>
        <v>340582.70772000006</v>
      </c>
      <c r="AJ382" s="46">
        <f t="shared" si="404"/>
        <v>197368.20772000006</v>
      </c>
      <c r="AK382" s="40">
        <v>28.8</v>
      </c>
      <c r="AL382" s="41">
        <f t="shared" si="405"/>
        <v>37.0944</v>
      </c>
      <c r="AM382" s="202"/>
      <c r="AN382" s="205"/>
      <c r="AO382" s="26"/>
      <c r="AP382" s="26"/>
      <c r="AQ382" s="27"/>
      <c r="AR382" s="27"/>
      <c r="AS382" s="27"/>
      <c r="AT382" s="27"/>
      <c r="AU382" s="27"/>
      <c r="AV382" s="27"/>
      <c r="AW382" s="26"/>
      <c r="AX382" s="26"/>
      <c r="AY382" s="26"/>
      <c r="AZ382" s="26"/>
      <c r="BA382" s="26"/>
      <c r="BB382" s="26"/>
      <c r="BC382" s="26"/>
      <c r="BD382" s="26"/>
      <c r="BE382" s="26"/>
      <c r="BF382" s="26"/>
      <c r="BG382" s="26"/>
      <c r="BH382" s="26"/>
      <c r="BI382" s="26"/>
    </row>
    <row r="383" spans="1:61" ht="28.5" customHeight="1">
      <c r="A383" s="26"/>
      <c r="B383" s="326"/>
      <c r="C383" s="42" t="s">
        <v>115</v>
      </c>
      <c r="D383" s="28">
        <f t="shared" si="389"/>
        <v>0.25323357664233576</v>
      </c>
      <c r="E383" s="166">
        <v>0.45300000000000001</v>
      </c>
      <c r="F383" s="30">
        <f t="shared" si="390"/>
        <v>0.19976642335766426</v>
      </c>
      <c r="G383" s="30" t="e">
        <f t="shared" si="391"/>
        <v>#DIV/0!</v>
      </c>
      <c r="H383" s="48"/>
      <c r="I383" s="48"/>
      <c r="J383" s="48"/>
      <c r="K383" s="210"/>
      <c r="L383" s="210"/>
      <c r="M383" s="210"/>
      <c r="N383" s="202"/>
      <c r="O383" s="202">
        <v>5</v>
      </c>
      <c r="P383" s="31">
        <f t="shared" si="392"/>
        <v>5</v>
      </c>
      <c r="Q383" s="202">
        <v>1</v>
      </c>
      <c r="R383" s="203"/>
      <c r="S383" s="36"/>
      <c r="T383" s="34">
        <f t="shared" si="393"/>
        <v>274000</v>
      </c>
      <c r="U383" s="31">
        <f t="shared" si="394"/>
        <v>0</v>
      </c>
      <c r="V383" s="34">
        <f t="shared" si="395"/>
        <v>274000</v>
      </c>
      <c r="W383" s="43">
        <v>54800</v>
      </c>
      <c r="X383" s="34">
        <f t="shared" si="396"/>
        <v>20030.976000000002</v>
      </c>
      <c r="Y383" s="34">
        <f t="shared" si="397"/>
        <v>100154.88</v>
      </c>
      <c r="Z383" s="34">
        <f t="shared" si="398"/>
        <v>52426.000000000007</v>
      </c>
      <c r="AA383" s="49">
        <v>47660</v>
      </c>
      <c r="AB383" s="36"/>
      <c r="AC383" s="204">
        <f t="shared" si="406"/>
        <v>2310</v>
      </c>
      <c r="AD383" s="149">
        <v>7.8E-2</v>
      </c>
      <c r="AE383" s="31">
        <f t="shared" ref="AE383:AE384" si="412">4825*(P383+S383)</f>
        <v>24125</v>
      </c>
      <c r="AF383" s="28">
        <f t="shared" si="400"/>
        <v>0.16604744525547444</v>
      </c>
      <c r="AG383" s="34">
        <f t="shared" si="401"/>
        <v>45497.029999999992</v>
      </c>
      <c r="AH383" s="34">
        <f t="shared" si="402"/>
        <v>12834.808999999999</v>
      </c>
      <c r="AI383" s="34">
        <f t="shared" si="403"/>
        <v>115513.28099999999</v>
      </c>
      <c r="AJ383" s="46">
        <f t="shared" si="404"/>
        <v>63087.280999999981</v>
      </c>
      <c r="AK383" s="40">
        <v>81</v>
      </c>
      <c r="AL383" s="41">
        <f t="shared" si="405"/>
        <v>104.328</v>
      </c>
      <c r="AM383" s="202"/>
      <c r="AN383" s="205"/>
      <c r="AO383" s="26"/>
      <c r="AP383" s="26"/>
      <c r="AQ383" s="27"/>
      <c r="AR383" s="27"/>
      <c r="AS383" s="27"/>
      <c r="AT383" s="27"/>
      <c r="AU383" s="27"/>
      <c r="AV383" s="27"/>
      <c r="AW383" s="26"/>
      <c r="AX383" s="26"/>
      <c r="AY383" s="26"/>
      <c r="AZ383" s="26"/>
      <c r="BA383" s="26"/>
      <c r="BB383" s="26"/>
      <c r="BC383" s="26"/>
      <c r="BD383" s="26"/>
      <c r="BE383" s="26"/>
      <c r="BF383" s="26"/>
      <c r="BG383" s="26"/>
      <c r="BH383" s="26"/>
      <c r="BI383" s="26"/>
    </row>
    <row r="384" spans="1:61" ht="28.5" customHeight="1">
      <c r="A384" s="26"/>
      <c r="B384" s="324"/>
      <c r="C384" s="42" t="s">
        <v>116</v>
      </c>
      <c r="D384" s="28">
        <f t="shared" si="389"/>
        <v>9.3395061728395068E-2</v>
      </c>
      <c r="E384" s="166">
        <v>0.45300000000000001</v>
      </c>
      <c r="F384" s="30">
        <f t="shared" si="390"/>
        <v>0.35960493827160495</v>
      </c>
      <c r="G384" s="30" t="e">
        <f t="shared" si="391"/>
        <v>#DIV/0!</v>
      </c>
      <c r="H384" s="48"/>
      <c r="I384" s="48"/>
      <c r="J384" s="48"/>
      <c r="K384" s="210"/>
      <c r="L384" s="210"/>
      <c r="M384" s="210"/>
      <c r="N384" s="202"/>
      <c r="O384" s="202">
        <v>2</v>
      </c>
      <c r="P384" s="31">
        <f t="shared" si="392"/>
        <v>2</v>
      </c>
      <c r="Q384" s="202">
        <v>0</v>
      </c>
      <c r="R384" s="203"/>
      <c r="S384" s="36"/>
      <c r="T384" s="34">
        <f t="shared" si="393"/>
        <v>129600</v>
      </c>
      <c r="U384" s="31">
        <f t="shared" si="394"/>
        <v>0</v>
      </c>
      <c r="V384" s="34">
        <f t="shared" si="395"/>
        <v>129600</v>
      </c>
      <c r="W384" s="43">
        <v>64800</v>
      </c>
      <c r="X384" s="34">
        <f t="shared" si="396"/>
        <v>25224.192000000003</v>
      </c>
      <c r="Y384" s="34">
        <f t="shared" si="397"/>
        <v>50448.384000000005</v>
      </c>
      <c r="Z384" s="34">
        <f t="shared" si="398"/>
        <v>46604.800000000003</v>
      </c>
      <c r="AA384" s="49">
        <v>42368</v>
      </c>
      <c r="AB384" s="36"/>
      <c r="AC384" s="204">
        <f t="shared" si="406"/>
        <v>0</v>
      </c>
      <c r="AD384" s="149">
        <v>7.8E-2</v>
      </c>
      <c r="AE384" s="31">
        <f t="shared" si="412"/>
        <v>9650</v>
      </c>
      <c r="AF384" s="28">
        <f t="shared" si="400"/>
        <v>0.15245987654320986</v>
      </c>
      <c r="AG384" s="34">
        <f t="shared" si="401"/>
        <v>19758.829999999998</v>
      </c>
      <c r="AH384" s="34">
        <f t="shared" si="402"/>
        <v>5939.2785999999987</v>
      </c>
      <c r="AI384" s="34">
        <f t="shared" si="403"/>
        <v>53453.507399999988</v>
      </c>
      <c r="AJ384" s="46">
        <f t="shared" si="404"/>
        <v>6848.7073999999848</v>
      </c>
      <c r="AK384" s="40">
        <v>102</v>
      </c>
      <c r="AL384" s="41">
        <f t="shared" si="405"/>
        <v>131.376</v>
      </c>
      <c r="AM384" s="202"/>
      <c r="AN384" s="205"/>
      <c r="AO384" s="26"/>
      <c r="AP384" s="26"/>
      <c r="AQ384" s="27"/>
      <c r="AR384" s="27"/>
      <c r="AS384" s="27"/>
      <c r="AT384" s="27"/>
      <c r="AU384" s="27"/>
      <c r="AV384" s="27"/>
      <c r="AW384" s="26"/>
      <c r="AX384" s="26"/>
      <c r="AY384" s="26"/>
      <c r="AZ384" s="26"/>
      <c r="BA384" s="26"/>
      <c r="BB384" s="26"/>
      <c r="BC384" s="26"/>
      <c r="BD384" s="26"/>
      <c r="BE384" s="26"/>
      <c r="BF384" s="26"/>
      <c r="BG384" s="26"/>
      <c r="BH384" s="26"/>
      <c r="BI384" s="26"/>
    </row>
    <row r="385" spans="1:61" ht="28.5" customHeight="1">
      <c r="A385" s="26"/>
      <c r="B385" s="200"/>
      <c r="C385" s="42" t="s">
        <v>117</v>
      </c>
      <c r="D385" s="28">
        <f t="shared" si="389"/>
        <v>0.27861856138867391</v>
      </c>
      <c r="E385" s="303">
        <v>0.51100000000000001</v>
      </c>
      <c r="F385" s="30">
        <f t="shared" si="390"/>
        <v>0.23238143861132607</v>
      </c>
      <c r="G385" s="30" t="e">
        <f t="shared" si="391"/>
        <v>#DIV/0!</v>
      </c>
      <c r="H385" s="48"/>
      <c r="I385" s="48"/>
      <c r="J385" s="48"/>
      <c r="K385" s="210"/>
      <c r="L385" s="210"/>
      <c r="M385" s="210"/>
      <c r="N385" s="202"/>
      <c r="O385" s="202">
        <v>67</v>
      </c>
      <c r="P385" s="31">
        <f t="shared" si="392"/>
        <v>67</v>
      </c>
      <c r="Q385" s="202">
        <v>4</v>
      </c>
      <c r="R385" s="203"/>
      <c r="S385" s="36"/>
      <c r="T385" s="34">
        <f t="shared" si="393"/>
        <v>1253570</v>
      </c>
      <c r="U385" s="31">
        <f t="shared" si="394"/>
        <v>0</v>
      </c>
      <c r="V385" s="34">
        <f t="shared" si="395"/>
        <v>1253570</v>
      </c>
      <c r="W385" s="43">
        <v>18710</v>
      </c>
      <c r="X385" s="34">
        <f t="shared" si="396"/>
        <v>4451.3280000000004</v>
      </c>
      <c r="Y385" s="34">
        <f t="shared" si="397"/>
        <v>298238.97600000002</v>
      </c>
      <c r="Z385" s="34">
        <f t="shared" si="398"/>
        <v>282066.40000000002</v>
      </c>
      <c r="AA385" s="49">
        <v>256424</v>
      </c>
      <c r="AB385" s="36"/>
      <c r="AC385" s="204">
        <f t="shared" si="406"/>
        <v>9240</v>
      </c>
      <c r="AD385" s="149">
        <v>7.8E-2</v>
      </c>
      <c r="AE385" s="31">
        <f t="shared" ref="AE385:AE387" si="413">1900*(P385+S385)</f>
        <v>127300</v>
      </c>
      <c r="AF385" s="28">
        <f t="shared" si="400"/>
        <v>0.17954997327632283</v>
      </c>
      <c r="AG385" s="34">
        <f t="shared" si="401"/>
        <v>225078.49000000002</v>
      </c>
      <c r="AH385" s="34">
        <f t="shared" si="402"/>
        <v>73025.253399999987</v>
      </c>
      <c r="AI385" s="34">
        <f t="shared" si="403"/>
        <v>657227.28059999994</v>
      </c>
      <c r="AJ385" s="46">
        <f t="shared" si="404"/>
        <v>375160.88059999992</v>
      </c>
      <c r="AK385" s="40">
        <v>18</v>
      </c>
      <c r="AL385" s="41">
        <f t="shared" si="405"/>
        <v>23.184000000000001</v>
      </c>
      <c r="AM385" s="202"/>
      <c r="AN385" s="205"/>
      <c r="AO385" s="26"/>
      <c r="AP385" s="26"/>
      <c r="AQ385" s="27"/>
      <c r="AR385" s="27"/>
      <c r="AS385" s="27"/>
      <c r="AT385" s="27"/>
      <c r="AU385" s="27"/>
      <c r="AV385" s="27"/>
      <c r="AW385" s="26"/>
      <c r="AX385" s="26"/>
      <c r="AY385" s="26"/>
      <c r="AZ385" s="26"/>
      <c r="BA385" s="26"/>
      <c r="BB385" s="26"/>
      <c r="BC385" s="26"/>
      <c r="BD385" s="26"/>
      <c r="BE385" s="26"/>
      <c r="BF385" s="26"/>
      <c r="BG385" s="26"/>
      <c r="BH385" s="26"/>
      <c r="BI385" s="26"/>
    </row>
    <row r="386" spans="1:61" ht="28.5" customHeight="1">
      <c r="A386" s="26"/>
      <c r="B386" s="200"/>
      <c r="C386" s="42" t="s">
        <v>31</v>
      </c>
      <c r="D386" s="28">
        <f t="shared" si="389"/>
        <v>-4.9410000000000007</v>
      </c>
      <c r="E386" s="303">
        <v>0.44700000000000001</v>
      </c>
      <c r="F386" s="30">
        <f t="shared" si="390"/>
        <v>5.3880000000000008</v>
      </c>
      <c r="G386" s="30" t="e">
        <f t="shared" si="391"/>
        <v>#DIV/0!</v>
      </c>
      <c r="H386" s="48"/>
      <c r="I386" s="48"/>
      <c r="J386" s="48"/>
      <c r="K386" s="210"/>
      <c r="L386" s="210"/>
      <c r="M386" s="210"/>
      <c r="N386" s="202"/>
      <c r="O386" s="202">
        <v>6</v>
      </c>
      <c r="P386" s="31">
        <f t="shared" si="392"/>
        <v>1</v>
      </c>
      <c r="Q386" s="36">
        <v>0</v>
      </c>
      <c r="R386" s="203"/>
      <c r="S386" s="202">
        <v>5</v>
      </c>
      <c r="T386" s="34">
        <f t="shared" si="393"/>
        <v>118800</v>
      </c>
      <c r="U386" s="31">
        <f t="shared" si="394"/>
        <v>99000</v>
      </c>
      <c r="V386" s="34">
        <f t="shared" si="395"/>
        <v>19800</v>
      </c>
      <c r="W386" s="43">
        <v>19800</v>
      </c>
      <c r="X386" s="34">
        <f t="shared" si="396"/>
        <v>7418.88</v>
      </c>
      <c r="Y386" s="34">
        <f t="shared" si="397"/>
        <v>7418.88</v>
      </c>
      <c r="Z386" s="34">
        <f t="shared" si="398"/>
        <v>106682.40000000001</v>
      </c>
      <c r="AA386" s="49">
        <v>96984</v>
      </c>
      <c r="AB386" s="286">
        <f>((19800*0.1)+(19800*0.015)+2100+2200)*5</f>
        <v>32885</v>
      </c>
      <c r="AC386" s="204">
        <f t="shared" si="406"/>
        <v>0</v>
      </c>
      <c r="AD386" s="149">
        <v>0.08</v>
      </c>
      <c r="AE386" s="31">
        <f t="shared" si="413"/>
        <v>11400</v>
      </c>
      <c r="AF386" s="28">
        <f t="shared" si="400"/>
        <v>0.65575757575757576</v>
      </c>
      <c r="AG386" s="34">
        <f t="shared" si="401"/>
        <v>12984.03</v>
      </c>
      <c r="AH386" s="34">
        <f t="shared" si="402"/>
        <v>-60.291000000000167</v>
      </c>
      <c r="AI386" s="34">
        <f t="shared" si="403"/>
        <v>-542.61899999999878</v>
      </c>
      <c r="AJ386" s="206">
        <f t="shared" si="404"/>
        <v>-107225.019</v>
      </c>
      <c r="AK386" s="40">
        <v>30</v>
      </c>
      <c r="AL386" s="41">
        <f t="shared" si="405"/>
        <v>38.64</v>
      </c>
      <c r="AM386" s="202"/>
      <c r="AN386" s="205"/>
      <c r="AO386" s="26"/>
      <c r="AP386" s="26"/>
      <c r="AQ386" s="27"/>
      <c r="AR386" s="27"/>
      <c r="AS386" s="27"/>
      <c r="AT386" s="27"/>
      <c r="AU386" s="27"/>
      <c r="AV386" s="27"/>
      <c r="AW386" s="26"/>
      <c r="AX386" s="26"/>
      <c r="AY386" s="26"/>
      <c r="AZ386" s="26"/>
      <c r="BA386" s="26"/>
      <c r="BB386" s="26"/>
      <c r="BC386" s="26"/>
      <c r="BD386" s="26"/>
      <c r="BE386" s="26"/>
      <c r="BF386" s="26"/>
      <c r="BG386" s="26"/>
      <c r="BH386" s="26"/>
      <c r="BI386" s="26"/>
    </row>
    <row r="387" spans="1:61" ht="28.5" customHeight="1">
      <c r="A387" s="26"/>
      <c r="B387" s="200"/>
      <c r="C387" s="42" t="s">
        <v>118</v>
      </c>
      <c r="D387" s="28">
        <f t="shared" si="389"/>
        <v>0.45914516129032257</v>
      </c>
      <c r="E387" s="303">
        <v>0.36599999999999999</v>
      </c>
      <c r="F387" s="30">
        <f t="shared" si="390"/>
        <v>-9.3145161290322576E-2</v>
      </c>
      <c r="G387" s="30" t="e">
        <f t="shared" si="391"/>
        <v>#DIV/0!</v>
      </c>
      <c r="H387" s="48"/>
      <c r="I387" s="48"/>
      <c r="J387" s="48"/>
      <c r="K387" s="210"/>
      <c r="L387" s="210"/>
      <c r="M387" s="210"/>
      <c r="N387" s="202"/>
      <c r="O387" s="202">
        <v>-1</v>
      </c>
      <c r="P387" s="31">
        <f t="shared" si="392"/>
        <v>-1</v>
      </c>
      <c r="Q387" s="36">
        <v>1</v>
      </c>
      <c r="R387" s="203"/>
      <c r="S387" s="36"/>
      <c r="T387" s="34">
        <f t="shared" si="393"/>
        <v>-24800</v>
      </c>
      <c r="U387" s="31">
        <f t="shared" si="394"/>
        <v>0</v>
      </c>
      <c r="V387" s="34">
        <f t="shared" si="395"/>
        <v>-24800</v>
      </c>
      <c r="W387" s="43">
        <v>24800</v>
      </c>
      <c r="X387" s="34">
        <f t="shared" si="396"/>
        <v>10386.432000000001</v>
      </c>
      <c r="Y387" s="34">
        <f t="shared" si="397"/>
        <v>-10386.432000000001</v>
      </c>
      <c r="Z387" s="34">
        <f t="shared" si="398"/>
        <v>0</v>
      </c>
      <c r="AA387" s="49">
        <v>0</v>
      </c>
      <c r="AB387" s="286"/>
      <c r="AC387" s="204">
        <f t="shared" si="406"/>
        <v>2310</v>
      </c>
      <c r="AD387" s="149">
        <v>0.1</v>
      </c>
      <c r="AE387" s="31">
        <f t="shared" si="413"/>
        <v>-1900</v>
      </c>
      <c r="AF387" s="28">
        <f t="shared" si="400"/>
        <v>0.17661290322580647</v>
      </c>
      <c r="AG387" s="34">
        <f t="shared" si="401"/>
        <v>-4379.9700000000012</v>
      </c>
      <c r="AH387" s="34">
        <f t="shared" si="402"/>
        <v>-1003.3597999999997</v>
      </c>
      <c r="AI387" s="34">
        <f t="shared" si="403"/>
        <v>-9030.238199999998</v>
      </c>
      <c r="AJ387" s="206">
        <f t="shared" si="404"/>
        <v>-9030.238199999998</v>
      </c>
      <c r="AK387" s="40">
        <v>42</v>
      </c>
      <c r="AL387" s="41">
        <f t="shared" si="405"/>
        <v>54.096000000000004</v>
      </c>
      <c r="AM387" s="202"/>
      <c r="AN387" s="284"/>
      <c r="AO387" s="26"/>
      <c r="AP387" s="26"/>
      <c r="AQ387" s="27"/>
      <c r="AR387" s="27"/>
      <c r="AS387" s="27"/>
      <c r="AT387" s="27"/>
      <c r="AU387" s="27"/>
      <c r="AV387" s="27"/>
      <c r="AW387" s="26"/>
      <c r="AX387" s="26"/>
      <c r="AY387" s="26"/>
      <c r="AZ387" s="26"/>
      <c r="BA387" s="26"/>
      <c r="BB387" s="26"/>
      <c r="BC387" s="26"/>
      <c r="BD387" s="26"/>
      <c r="BE387" s="26"/>
      <c r="BF387" s="26"/>
      <c r="BG387" s="26"/>
      <c r="BH387" s="26"/>
      <c r="BI387" s="26"/>
    </row>
    <row r="388" spans="1:61" ht="28.5" customHeight="1">
      <c r="A388" s="26"/>
      <c r="B388" s="200"/>
      <c r="C388" s="42" t="s">
        <v>119</v>
      </c>
      <c r="D388" s="28">
        <f t="shared" si="389"/>
        <v>0.16400453629032258</v>
      </c>
      <c r="E388" s="166">
        <v>0.433</v>
      </c>
      <c r="F388" s="30">
        <f t="shared" si="390"/>
        <v>0.26899546370967742</v>
      </c>
      <c r="G388" s="30" t="e">
        <f t="shared" si="391"/>
        <v>#DIV/0!</v>
      </c>
      <c r="H388" s="48"/>
      <c r="I388" s="48"/>
      <c r="J388" s="48"/>
      <c r="K388" s="210"/>
      <c r="L388" s="210"/>
      <c r="M388" s="210"/>
      <c r="N388" s="202"/>
      <c r="O388" s="202">
        <v>16</v>
      </c>
      <c r="P388" s="31">
        <f t="shared" si="392"/>
        <v>16</v>
      </c>
      <c r="Q388" s="202">
        <v>4</v>
      </c>
      <c r="R388" s="203"/>
      <c r="S388" s="36"/>
      <c r="T388" s="34">
        <f t="shared" si="393"/>
        <v>396800</v>
      </c>
      <c r="U388" s="31">
        <f t="shared" si="394"/>
        <v>0</v>
      </c>
      <c r="V388" s="34">
        <f t="shared" si="395"/>
        <v>396800</v>
      </c>
      <c r="W388" s="43">
        <v>24800</v>
      </c>
      <c r="X388" s="34">
        <f t="shared" si="396"/>
        <v>7666.1760000000013</v>
      </c>
      <c r="Y388" s="34">
        <f t="shared" si="397"/>
        <v>122658.81600000002</v>
      </c>
      <c r="Z388" s="34">
        <f t="shared" si="398"/>
        <v>97497.400000000009</v>
      </c>
      <c r="AA388" s="49">
        <v>88634</v>
      </c>
      <c r="AB388" s="36"/>
      <c r="AC388" s="204">
        <f t="shared" si="406"/>
        <v>9240</v>
      </c>
      <c r="AD388" s="149">
        <v>0.108</v>
      </c>
      <c r="AE388" s="31">
        <f>3150*(P388+S388)</f>
        <v>50400</v>
      </c>
      <c r="AF388" s="28">
        <f t="shared" si="400"/>
        <v>0.23501612903225805</v>
      </c>
      <c r="AG388" s="34">
        <f t="shared" si="401"/>
        <v>93254.43</v>
      </c>
      <c r="AH388" s="34">
        <f t="shared" si="402"/>
        <v>18088.675399999996</v>
      </c>
      <c r="AI388" s="34">
        <f t="shared" si="403"/>
        <v>162798.07859999998</v>
      </c>
      <c r="AJ388" s="46">
        <f t="shared" si="404"/>
        <v>65300.67859999997</v>
      </c>
      <c r="AK388" s="40">
        <v>31</v>
      </c>
      <c r="AL388" s="41">
        <f t="shared" si="405"/>
        <v>39.928000000000004</v>
      </c>
      <c r="AM388" s="202"/>
      <c r="AN388" s="205"/>
      <c r="AO388" s="26"/>
      <c r="AP388" s="26"/>
      <c r="AQ388" s="27"/>
      <c r="AR388" s="27"/>
      <c r="AS388" s="27"/>
      <c r="AT388" s="27"/>
      <c r="AU388" s="27"/>
      <c r="AV388" s="27"/>
      <c r="AW388" s="26"/>
      <c r="AX388" s="26"/>
      <c r="AY388" s="26"/>
      <c r="AZ388" s="26"/>
      <c r="BA388" s="26"/>
      <c r="BB388" s="26"/>
      <c r="BC388" s="26"/>
      <c r="BD388" s="26"/>
      <c r="BE388" s="26"/>
      <c r="BF388" s="26"/>
      <c r="BG388" s="26"/>
      <c r="BH388" s="26"/>
      <c r="BI388" s="26"/>
    </row>
    <row r="389" spans="1:61" ht="28.5" customHeight="1">
      <c r="A389" s="26"/>
      <c r="B389" s="200"/>
      <c r="C389" s="42" t="s">
        <v>120</v>
      </c>
      <c r="D389" s="28">
        <f t="shared" si="389"/>
        <v>0.1424170854271356</v>
      </c>
      <c r="E389" s="166">
        <v>0.41199999999999998</v>
      </c>
      <c r="F389" s="30">
        <f t="shared" si="390"/>
        <v>0.26958291457286437</v>
      </c>
      <c r="G389" s="30" t="e">
        <f t="shared" si="391"/>
        <v>#DIV/0!</v>
      </c>
      <c r="H389" s="48"/>
      <c r="I389" s="48"/>
      <c r="J389" s="48"/>
      <c r="K389" s="210"/>
      <c r="L389" s="210"/>
      <c r="M389" s="210"/>
      <c r="N389" s="202"/>
      <c r="O389" s="202">
        <v>1</v>
      </c>
      <c r="P389" s="31">
        <f t="shared" si="392"/>
        <v>1</v>
      </c>
      <c r="Q389" s="36">
        <v>0</v>
      </c>
      <c r="R389" s="203"/>
      <c r="S389" s="36"/>
      <c r="T389" s="34">
        <f t="shared" si="393"/>
        <v>39800</v>
      </c>
      <c r="U389" s="31">
        <f t="shared" si="394"/>
        <v>0</v>
      </c>
      <c r="V389" s="34">
        <f t="shared" si="395"/>
        <v>39800</v>
      </c>
      <c r="W389" s="43">
        <v>39800</v>
      </c>
      <c r="X389" s="34">
        <f t="shared" si="396"/>
        <v>7666.1760000000013</v>
      </c>
      <c r="Y389" s="34">
        <f t="shared" si="397"/>
        <v>7666.1760000000013</v>
      </c>
      <c r="Z389" s="34">
        <f t="shared" si="398"/>
        <v>10729.400000000001</v>
      </c>
      <c r="AA389" s="49">
        <v>9754</v>
      </c>
      <c r="AB389" s="36"/>
      <c r="AC389" s="204">
        <f t="shared" si="406"/>
        <v>0</v>
      </c>
      <c r="AD389" s="152">
        <v>0.108</v>
      </c>
      <c r="AE389" s="31">
        <f>3550*(P389+S389)</f>
        <v>3550</v>
      </c>
      <c r="AF389" s="28">
        <f t="shared" si="400"/>
        <v>0.1971959798994975</v>
      </c>
      <c r="AG389" s="34">
        <f t="shared" si="401"/>
        <v>7848.43</v>
      </c>
      <c r="AH389" s="34">
        <f t="shared" si="402"/>
        <v>2428.5393999999997</v>
      </c>
      <c r="AI389" s="34">
        <f t="shared" si="403"/>
        <v>21856.854599999999</v>
      </c>
      <c r="AJ389" s="206">
        <f t="shared" si="404"/>
        <v>11127.454599999997</v>
      </c>
      <c r="AK389" s="40">
        <v>31</v>
      </c>
      <c r="AL389" s="41">
        <f t="shared" si="405"/>
        <v>39.928000000000004</v>
      </c>
      <c r="AM389" s="202"/>
      <c r="AN389" s="205"/>
      <c r="AO389" s="26"/>
      <c r="AP389" s="26"/>
      <c r="AQ389" s="27"/>
      <c r="AR389" s="27"/>
      <c r="AS389" s="27"/>
      <c r="AT389" s="27"/>
      <c r="AU389" s="27"/>
      <c r="AV389" s="27"/>
      <c r="AW389" s="26"/>
      <c r="AX389" s="26"/>
      <c r="AY389" s="26"/>
      <c r="AZ389" s="26"/>
      <c r="BA389" s="26"/>
      <c r="BB389" s="26"/>
      <c r="BC389" s="26"/>
      <c r="BD389" s="26"/>
      <c r="BE389" s="26"/>
      <c r="BF389" s="26"/>
      <c r="BG389" s="26"/>
      <c r="BH389" s="26"/>
      <c r="BI389" s="26"/>
    </row>
    <row r="390" spans="1:61" ht="28.5" customHeight="1">
      <c r="A390" s="26"/>
      <c r="B390" s="216"/>
      <c r="C390" s="217"/>
      <c r="D390" s="298">
        <f>AJ390/V390</f>
        <v>0.13782579378879592</v>
      </c>
      <c r="E390" s="298">
        <f>AI390/V390</f>
        <v>0.39636666281676269</v>
      </c>
      <c r="F390" s="52">
        <f>(Z390)/V390</f>
        <v>0.23498704470638201</v>
      </c>
      <c r="G390" s="219"/>
      <c r="H390" s="55"/>
      <c r="I390" s="55"/>
      <c r="J390" s="55"/>
      <c r="K390" s="55"/>
      <c r="L390" s="55"/>
      <c r="M390" s="55"/>
      <c r="N390" s="130"/>
      <c r="O390" s="130">
        <f t="shared" ref="O390:R390" si="414">SUM(O368:O389)</f>
        <v>392</v>
      </c>
      <c r="P390" s="130">
        <f t="shared" si="414"/>
        <v>367</v>
      </c>
      <c r="Q390" s="130">
        <f t="shared" si="414"/>
        <v>50</v>
      </c>
      <c r="R390" s="130">
        <f t="shared" si="414"/>
        <v>0</v>
      </c>
      <c r="S390" s="36"/>
      <c r="T390" s="130">
        <f t="shared" ref="T390:V390" si="415">SUM(T368:T389)</f>
        <v>10964200</v>
      </c>
      <c r="U390" s="130">
        <f t="shared" si="415"/>
        <v>605500</v>
      </c>
      <c r="V390" s="130">
        <f t="shared" si="415"/>
        <v>10358700</v>
      </c>
      <c r="W390" s="55"/>
      <c r="X390" s="130">
        <f t="shared" ref="X390:AC390" si="416">SUM(X368:X389)</f>
        <v>314387.4047999999</v>
      </c>
      <c r="Y390" s="130">
        <f t="shared" si="416"/>
        <v>3654218.8032000004</v>
      </c>
      <c r="Z390" s="130">
        <f t="shared" si="416"/>
        <v>2434160.2999999993</v>
      </c>
      <c r="AA390" s="130">
        <f t="shared" si="416"/>
        <v>2212873</v>
      </c>
      <c r="AB390" s="287">
        <f t="shared" si="416"/>
        <v>243987</v>
      </c>
      <c r="AC390" s="130">
        <f t="shared" si="416"/>
        <v>112740</v>
      </c>
      <c r="AD390" s="154">
        <v>0.09</v>
      </c>
      <c r="AE390" s="130">
        <f>SUM(AE368:AE389)</f>
        <v>1210150</v>
      </c>
      <c r="AF390" s="53">
        <f t="shared" si="400"/>
        <v>0.20682450500545435</v>
      </c>
      <c r="AG390" s="56">
        <f t="shared" si="401"/>
        <v>2142433.0299999998</v>
      </c>
      <c r="AH390" s="56">
        <f t="shared" si="402"/>
        <v>456204.81667999993</v>
      </c>
      <c r="AI390" s="56">
        <f t="shared" si="403"/>
        <v>4105843.3501199996</v>
      </c>
      <c r="AJ390" s="46">
        <f>AI390-Z390-AB390</f>
        <v>1427696.0501200003</v>
      </c>
      <c r="AK390" s="54"/>
      <c r="AL390" s="222"/>
      <c r="AM390" s="131">
        <f t="shared" ref="AM390:AN390" si="417">SUM(AM368:AM369)</f>
        <v>0</v>
      </c>
      <c r="AN390" s="132">
        <f t="shared" si="417"/>
        <v>0</v>
      </c>
      <c r="AO390" s="26"/>
      <c r="AP390" s="26"/>
      <c r="AQ390" s="27"/>
      <c r="AR390" s="27"/>
      <c r="AS390" s="27"/>
      <c r="AT390" s="27"/>
      <c r="AU390" s="27"/>
      <c r="AV390" s="27"/>
      <c r="AW390" s="26"/>
      <c r="AX390" s="26"/>
      <c r="AY390" s="26"/>
      <c r="AZ390" s="26"/>
      <c r="BA390" s="26"/>
      <c r="BB390" s="26"/>
      <c r="BC390" s="26"/>
      <c r="BD390" s="26"/>
      <c r="BE390" s="26"/>
      <c r="BF390" s="26"/>
      <c r="BG390" s="26"/>
      <c r="BH390" s="26"/>
      <c r="BI390" s="26"/>
    </row>
    <row r="391" spans="1:61" ht="28.5" customHeight="1">
      <c r="A391" s="1"/>
      <c r="B391" s="290"/>
      <c r="C391" s="291"/>
      <c r="D391" s="2"/>
      <c r="E391" s="2"/>
      <c r="F391" s="2"/>
      <c r="G391" s="2"/>
      <c r="H391" s="2"/>
      <c r="I391" s="2"/>
      <c r="J391" s="2"/>
      <c r="K391" s="2"/>
      <c r="L391" s="2"/>
      <c r="M391" s="2"/>
      <c r="N391" s="292"/>
      <c r="O391" s="292"/>
      <c r="P391" s="2"/>
      <c r="Q391" s="2"/>
      <c r="R391" s="2"/>
      <c r="S391" s="293"/>
      <c r="T391" s="2"/>
      <c r="U391" s="2"/>
      <c r="V391" s="2"/>
      <c r="W391" s="2"/>
      <c r="X391" s="2"/>
      <c r="Y391" s="2"/>
      <c r="Z391" s="2"/>
      <c r="AA391" s="2"/>
      <c r="AB391" s="2"/>
      <c r="AC391" s="2"/>
      <c r="AD391" s="2"/>
      <c r="AE391" s="2"/>
      <c r="AF391" s="1"/>
      <c r="AG391" s="1"/>
      <c r="AH391" s="1"/>
      <c r="AI391" s="1"/>
      <c r="AJ391" s="1"/>
      <c r="AK391" s="1"/>
      <c r="AL391" s="1"/>
      <c r="AM391" s="1"/>
      <c r="AN391" s="1"/>
      <c r="AO391" s="1"/>
      <c r="AP391" s="1"/>
      <c r="AQ391" s="1"/>
      <c r="AR391" s="1"/>
      <c r="AS391" s="1"/>
      <c r="AT391" s="7"/>
      <c r="AU391" s="7"/>
      <c r="AV391" s="7"/>
      <c r="AW391" s="47"/>
      <c r="AX391" s="47"/>
      <c r="AY391" s="47"/>
      <c r="AZ391" s="47"/>
      <c r="BA391" s="47"/>
      <c r="BB391" s="47"/>
      <c r="BC391" s="47"/>
      <c r="BD391" s="47"/>
      <c r="BE391" s="47"/>
      <c r="BF391" s="47"/>
      <c r="BG391" s="47"/>
      <c r="BH391" s="47"/>
      <c r="BI391" s="47"/>
    </row>
    <row r="392" spans="1:61" ht="28.5" customHeight="1">
      <c r="A392" s="26"/>
      <c r="B392" s="189"/>
      <c r="C392" s="134">
        <v>45885</v>
      </c>
      <c r="D392" s="190" t="s">
        <v>0</v>
      </c>
      <c r="E392" s="190" t="s">
        <v>1</v>
      </c>
      <c r="F392" s="190" t="s">
        <v>2</v>
      </c>
      <c r="G392" s="190" t="s">
        <v>3</v>
      </c>
      <c r="H392" s="191" t="s">
        <v>4</v>
      </c>
      <c r="I392" s="192" t="s">
        <v>5</v>
      </c>
      <c r="J392" s="192" t="s">
        <v>90</v>
      </c>
      <c r="K392" s="193"/>
      <c r="L392" s="193" t="s">
        <v>6</v>
      </c>
      <c r="M392" s="194" t="s">
        <v>7</v>
      </c>
      <c r="N392" s="123"/>
      <c r="O392" s="123" t="s">
        <v>8</v>
      </c>
      <c r="P392" s="123" t="s">
        <v>9</v>
      </c>
      <c r="Q392" s="15" t="s">
        <v>10</v>
      </c>
      <c r="R392" s="123" t="s">
        <v>92</v>
      </c>
      <c r="S392" s="196" t="s">
        <v>11</v>
      </c>
      <c r="T392" s="17" t="s">
        <v>12</v>
      </c>
      <c r="U392" s="17" t="s">
        <v>13</v>
      </c>
      <c r="V392" s="17" t="s">
        <v>14</v>
      </c>
      <c r="W392" s="17" t="s">
        <v>15</v>
      </c>
      <c r="X392" s="17" t="s">
        <v>16</v>
      </c>
      <c r="Y392" s="17" t="s">
        <v>17</v>
      </c>
      <c r="Z392" s="19" t="s">
        <v>18</v>
      </c>
      <c r="AA392" s="19" t="s">
        <v>19</v>
      </c>
      <c r="AB392" s="20" t="s">
        <v>20</v>
      </c>
      <c r="AC392" s="22" t="s">
        <v>93</v>
      </c>
      <c r="AD392" s="197" t="s">
        <v>21</v>
      </c>
      <c r="AE392" s="21" t="s">
        <v>22</v>
      </c>
      <c r="AF392" s="23" t="s">
        <v>23</v>
      </c>
      <c r="AG392" s="23" t="s">
        <v>21</v>
      </c>
      <c r="AH392" s="23" t="s">
        <v>24</v>
      </c>
      <c r="AI392" s="24" t="s">
        <v>26</v>
      </c>
      <c r="AJ392" s="23" t="s">
        <v>27</v>
      </c>
      <c r="AK392" s="21" t="s">
        <v>147</v>
      </c>
      <c r="AL392" s="282" t="s">
        <v>148</v>
      </c>
      <c r="AM392" s="124" t="s">
        <v>94</v>
      </c>
      <c r="AN392" s="125" t="s">
        <v>95</v>
      </c>
      <c r="AO392" s="26"/>
      <c r="AP392" s="26"/>
      <c r="AQ392" s="27"/>
      <c r="AR392" s="27"/>
      <c r="AS392" s="27"/>
      <c r="AT392" s="27"/>
      <c r="AU392" s="27"/>
      <c r="AV392" s="27"/>
      <c r="AW392" s="26"/>
      <c r="AX392" s="26"/>
      <c r="AY392" s="26"/>
      <c r="AZ392" s="26"/>
      <c r="BA392" s="26"/>
      <c r="BB392" s="26"/>
      <c r="BC392" s="26"/>
      <c r="BD392" s="26"/>
      <c r="BE392" s="26"/>
      <c r="BF392" s="26"/>
      <c r="BG392" s="26"/>
      <c r="BH392" s="26"/>
      <c r="BI392" s="26"/>
    </row>
    <row r="393" spans="1:61" ht="28.5" customHeight="1">
      <c r="A393" s="26"/>
      <c r="B393" s="200"/>
      <c r="C393" s="42" t="s">
        <v>107</v>
      </c>
      <c r="D393" s="28">
        <f t="shared" ref="D393:D414" si="418">E393-F393</f>
        <v>0.12448934674110729</v>
      </c>
      <c r="E393" s="166">
        <v>0.39700000000000002</v>
      </c>
      <c r="F393" s="30">
        <f t="shared" ref="F393:F414" si="419">(Z393+AC393)/V393</f>
        <v>0.27251065325889273</v>
      </c>
      <c r="G393" s="30" t="e">
        <f t="shared" ref="G393:G414" si="420">R393/AN393</f>
        <v>#DIV/0!</v>
      </c>
      <c r="H393" s="48"/>
      <c r="I393" s="48"/>
      <c r="J393" s="48"/>
      <c r="K393" s="48"/>
      <c r="L393" s="48"/>
      <c r="M393" s="48"/>
      <c r="N393" s="202"/>
      <c r="O393" s="202">
        <v>144</v>
      </c>
      <c r="P393" s="31">
        <f t="shared" ref="P393:P414" si="421">O393-S393</f>
        <v>144</v>
      </c>
      <c r="Q393" s="202">
        <v>15</v>
      </c>
      <c r="R393" s="203"/>
      <c r="S393" s="36"/>
      <c r="T393" s="34">
        <f t="shared" ref="T393:T414" si="422">W393*O393</f>
        <v>3782880</v>
      </c>
      <c r="U393" s="31">
        <f t="shared" ref="U393:U414" si="423">W393*S393</f>
        <v>0</v>
      </c>
      <c r="V393" s="34">
        <f t="shared" ref="V393:V414" si="424">T393-U393</f>
        <v>3782880</v>
      </c>
      <c r="W393" s="43">
        <v>26270</v>
      </c>
      <c r="X393" s="34">
        <f t="shared" ref="X393:X414" si="425">AL393*$A$2</f>
        <v>9891.84</v>
      </c>
      <c r="Y393" s="34">
        <f t="shared" ref="Y393:Y414" si="426">X393*P393</f>
        <v>1424424.96</v>
      </c>
      <c r="Z393" s="34">
        <f t="shared" ref="Z393:Z414" si="427">AA393*1.1</f>
        <v>998295.10000000009</v>
      </c>
      <c r="AA393" s="49">
        <v>907541</v>
      </c>
      <c r="AB393" s="36"/>
      <c r="AC393" s="204">
        <f t="shared" ref="AC393:AC394" si="428">(1072+1100)*Q393</f>
        <v>32580</v>
      </c>
      <c r="AD393" s="149">
        <v>0.1</v>
      </c>
      <c r="AE393" s="31">
        <f>3050*(P393+S393)</f>
        <v>439200</v>
      </c>
      <c r="AF393" s="28">
        <f t="shared" ref="AF393:AF415" si="429">AD393+(AE393/V393)</f>
        <v>0.2161020175104682</v>
      </c>
      <c r="AG393" s="34">
        <f t="shared" ref="AG393:AG415" si="430">V393*AF393+3%</f>
        <v>817488.03</v>
      </c>
      <c r="AH393" s="34">
        <f t="shared" ref="AH393:AH415" si="431">(V393)*10%-(Y393+AG393)*10%</f>
        <v>154096.70099999997</v>
      </c>
      <c r="AI393" s="34">
        <f t="shared" ref="AI393:AI415" si="432">V393-(Y393+AG393+AH393)</f>
        <v>1386870.3089999999</v>
      </c>
      <c r="AJ393" s="46">
        <f t="shared" ref="AJ393:AJ414" si="433">AI393-Z393</f>
        <v>388575.2089999998</v>
      </c>
      <c r="AK393" s="40">
        <v>40</v>
      </c>
      <c r="AL393" s="41">
        <f t="shared" ref="AL393:AL414" si="434">(AK393*1.15)*1.12</f>
        <v>51.52</v>
      </c>
      <c r="AM393" s="202"/>
      <c r="AN393" s="205"/>
      <c r="AO393" s="26"/>
      <c r="AP393" s="26"/>
      <c r="AQ393" s="27"/>
      <c r="AR393" s="27"/>
      <c r="AS393" s="27"/>
      <c r="AT393" s="27"/>
      <c r="AU393" s="27"/>
      <c r="AV393" s="27"/>
      <c r="AW393" s="26"/>
      <c r="AX393" s="26"/>
      <c r="AY393" s="26"/>
      <c r="AZ393" s="26"/>
      <c r="BA393" s="26"/>
      <c r="BB393" s="26"/>
      <c r="BC393" s="26"/>
      <c r="BD393" s="26"/>
      <c r="BE393" s="26"/>
      <c r="BF393" s="26"/>
      <c r="BG393" s="26"/>
      <c r="BH393" s="26"/>
      <c r="BI393" s="26"/>
    </row>
    <row r="394" spans="1:61" ht="28.5" customHeight="1">
      <c r="A394" s="26"/>
      <c r="B394" s="200"/>
      <c r="C394" s="42" t="s">
        <v>108</v>
      </c>
      <c r="D394" s="28">
        <f t="shared" si="418"/>
        <v>-0.27086462882096068</v>
      </c>
      <c r="E394" s="166">
        <v>0.41199999999999998</v>
      </c>
      <c r="F394" s="30">
        <f t="shared" si="419"/>
        <v>0.68286462882096066</v>
      </c>
      <c r="G394" s="30" t="e">
        <f t="shared" si="420"/>
        <v>#DIV/0!</v>
      </c>
      <c r="H394" s="48"/>
      <c r="I394" s="48"/>
      <c r="J394" s="48"/>
      <c r="K394" s="210"/>
      <c r="L394" s="210"/>
      <c r="M394" s="210"/>
      <c r="N394" s="202"/>
      <c r="O394" s="202">
        <v>1</v>
      </c>
      <c r="P394" s="31">
        <f t="shared" si="421"/>
        <v>1</v>
      </c>
      <c r="Q394" s="36">
        <v>0</v>
      </c>
      <c r="R394" s="203"/>
      <c r="S394" s="36"/>
      <c r="T394" s="34">
        <f t="shared" si="422"/>
        <v>22900</v>
      </c>
      <c r="U394" s="31">
        <f t="shared" si="423"/>
        <v>0</v>
      </c>
      <c r="V394" s="34">
        <f t="shared" si="424"/>
        <v>22900</v>
      </c>
      <c r="W394" s="43">
        <v>22900</v>
      </c>
      <c r="X394" s="34">
        <f t="shared" si="425"/>
        <v>7913.4719999999998</v>
      </c>
      <c r="Y394" s="34">
        <f t="shared" si="426"/>
        <v>7913.4719999999998</v>
      </c>
      <c r="Z394" s="34">
        <f t="shared" si="427"/>
        <v>15637.6</v>
      </c>
      <c r="AA394" s="49">
        <v>14216</v>
      </c>
      <c r="AB394" s="36"/>
      <c r="AC394" s="204">
        <f t="shared" si="428"/>
        <v>0</v>
      </c>
      <c r="AD394" s="149">
        <v>0.1</v>
      </c>
      <c r="AE394" s="31">
        <f>2950*(P394+S394)</f>
        <v>2950</v>
      </c>
      <c r="AF394" s="28">
        <f t="shared" si="429"/>
        <v>0.22882096069868996</v>
      </c>
      <c r="AG394" s="34">
        <f t="shared" si="430"/>
        <v>5240.03</v>
      </c>
      <c r="AH394" s="34">
        <f t="shared" si="431"/>
        <v>974.64979999999991</v>
      </c>
      <c r="AI394" s="34">
        <f t="shared" si="432"/>
        <v>8771.8482000000004</v>
      </c>
      <c r="AJ394" s="46">
        <f t="shared" si="433"/>
        <v>-6865.7518</v>
      </c>
      <c r="AK394" s="40">
        <v>32</v>
      </c>
      <c r="AL394" s="41">
        <f t="shared" si="434"/>
        <v>41.216000000000001</v>
      </c>
      <c r="AM394" s="202"/>
      <c r="AN394" s="205"/>
      <c r="AO394" s="26"/>
      <c r="AP394" s="26"/>
      <c r="AQ394" s="27"/>
      <c r="AR394" s="27"/>
      <c r="AS394" s="27"/>
      <c r="AT394" s="27"/>
      <c r="AU394" s="27"/>
      <c r="AV394" s="27"/>
      <c r="AW394" s="26"/>
      <c r="AX394" s="26"/>
      <c r="AY394" s="26"/>
      <c r="AZ394" s="26"/>
      <c r="BA394" s="26"/>
      <c r="BB394" s="26"/>
      <c r="BC394" s="26"/>
      <c r="BD394" s="26"/>
      <c r="BE394" s="26"/>
      <c r="BF394" s="26"/>
      <c r="BG394" s="26"/>
      <c r="BH394" s="26"/>
      <c r="BI394" s="26"/>
    </row>
    <row r="395" spans="1:61" ht="28.5" customHeight="1">
      <c r="A395" s="336"/>
      <c r="B395" s="323"/>
      <c r="C395" s="42" t="s">
        <v>109</v>
      </c>
      <c r="D395" s="28">
        <f t="shared" si="418"/>
        <v>9.6946589446589293E-3</v>
      </c>
      <c r="E395" s="166">
        <v>0.378</v>
      </c>
      <c r="F395" s="30">
        <f t="shared" si="419"/>
        <v>0.36830534105534107</v>
      </c>
      <c r="G395" s="30" t="e">
        <f t="shared" si="420"/>
        <v>#DIV/0!</v>
      </c>
      <c r="H395" s="48"/>
      <c r="I395" s="48"/>
      <c r="J395" s="48"/>
      <c r="K395" s="48"/>
      <c r="L395" s="334"/>
      <c r="M395" s="48"/>
      <c r="N395" s="202"/>
      <c r="O395" s="202">
        <v>7</v>
      </c>
      <c r="P395" s="31">
        <f t="shared" si="421"/>
        <v>7</v>
      </c>
      <c r="Q395" s="36">
        <v>0</v>
      </c>
      <c r="R395" s="203"/>
      <c r="S395" s="36"/>
      <c r="T395" s="34">
        <f t="shared" si="422"/>
        <v>310800</v>
      </c>
      <c r="U395" s="31">
        <f t="shared" si="423"/>
        <v>0</v>
      </c>
      <c r="V395" s="34">
        <f t="shared" si="424"/>
        <v>310800</v>
      </c>
      <c r="W395" s="43">
        <v>44400</v>
      </c>
      <c r="X395" s="34">
        <f t="shared" si="425"/>
        <v>12278.2464</v>
      </c>
      <c r="Y395" s="34">
        <f t="shared" si="426"/>
        <v>85947.724799999996</v>
      </c>
      <c r="Z395" s="34">
        <f t="shared" si="427"/>
        <v>114469.3</v>
      </c>
      <c r="AA395" s="49">
        <v>104063</v>
      </c>
      <c r="AB395" s="36"/>
      <c r="AC395" s="204">
        <f t="shared" ref="AC395:AC414" si="435">(1210+1100)*Q395</f>
        <v>0</v>
      </c>
      <c r="AD395" s="149">
        <v>0.11</v>
      </c>
      <c r="AE395" s="31">
        <f t="shared" ref="AE395:AE396" si="436">4150*(P395+S395)</f>
        <v>29050</v>
      </c>
      <c r="AF395" s="28">
        <f t="shared" si="429"/>
        <v>0.20346846846846847</v>
      </c>
      <c r="AG395" s="34">
        <f t="shared" si="430"/>
        <v>63238.03</v>
      </c>
      <c r="AH395" s="34">
        <f t="shared" si="431"/>
        <v>16161.42452</v>
      </c>
      <c r="AI395" s="34">
        <f t="shared" si="432"/>
        <v>145452.82068</v>
      </c>
      <c r="AJ395" s="46">
        <f t="shared" si="433"/>
        <v>30983.520680000001</v>
      </c>
      <c r="AK395" s="40">
        <v>49.65</v>
      </c>
      <c r="AL395" s="41">
        <f t="shared" si="434"/>
        <v>63.949200000000005</v>
      </c>
      <c r="AM395" s="202"/>
      <c r="AN395" s="205"/>
      <c r="AO395" s="26"/>
      <c r="AP395" s="26"/>
      <c r="AQ395" s="27"/>
      <c r="AR395" s="27"/>
      <c r="AS395" s="27"/>
      <c r="AT395" s="27"/>
      <c r="AU395" s="27"/>
      <c r="AV395" s="27"/>
      <c r="AW395" s="26"/>
      <c r="AX395" s="26"/>
      <c r="AY395" s="26"/>
      <c r="AZ395" s="26"/>
      <c r="BA395" s="26"/>
      <c r="BB395" s="26"/>
      <c r="BC395" s="26"/>
      <c r="BD395" s="26"/>
      <c r="BE395" s="26"/>
      <c r="BF395" s="26"/>
      <c r="BG395" s="26"/>
      <c r="BH395" s="26"/>
      <c r="BI395" s="26"/>
    </row>
    <row r="396" spans="1:61" ht="28.5" customHeight="1">
      <c r="A396" s="311"/>
      <c r="B396" s="324"/>
      <c r="C396" s="42" t="s">
        <v>110</v>
      </c>
      <c r="D396" s="28">
        <f t="shared" si="418"/>
        <v>0.12978174603174603</v>
      </c>
      <c r="E396" s="166">
        <v>0.317</v>
      </c>
      <c r="F396" s="30">
        <f t="shared" si="419"/>
        <v>0.18721825396825398</v>
      </c>
      <c r="G396" s="30" t="e">
        <f t="shared" si="420"/>
        <v>#DIV/0!</v>
      </c>
      <c r="H396" s="48"/>
      <c r="I396" s="48"/>
      <c r="J396" s="48"/>
      <c r="K396" s="48"/>
      <c r="L396" s="310"/>
      <c r="M396" s="48"/>
      <c r="N396" s="202"/>
      <c r="O396" s="202">
        <v>7</v>
      </c>
      <c r="P396" s="31">
        <f t="shared" si="421"/>
        <v>7</v>
      </c>
      <c r="Q396" s="202">
        <v>0</v>
      </c>
      <c r="R396" s="203"/>
      <c r="S396" s="36"/>
      <c r="T396" s="34">
        <f t="shared" si="422"/>
        <v>327600</v>
      </c>
      <c r="U396" s="31">
        <f t="shared" si="423"/>
        <v>0</v>
      </c>
      <c r="V396" s="34">
        <f t="shared" si="424"/>
        <v>327600</v>
      </c>
      <c r="W396" s="43">
        <v>46800</v>
      </c>
      <c r="X396" s="34">
        <f t="shared" si="425"/>
        <v>12772.838400000001</v>
      </c>
      <c r="Y396" s="34">
        <f t="shared" si="426"/>
        <v>89409.868799999997</v>
      </c>
      <c r="Z396" s="34">
        <f t="shared" si="427"/>
        <v>61332.700000000004</v>
      </c>
      <c r="AA396" s="49">
        <v>55757</v>
      </c>
      <c r="AB396" s="36"/>
      <c r="AC396" s="204">
        <f t="shared" si="435"/>
        <v>0</v>
      </c>
      <c r="AD396" s="149">
        <v>0.11</v>
      </c>
      <c r="AE396" s="31">
        <f t="shared" si="436"/>
        <v>29050</v>
      </c>
      <c r="AF396" s="28">
        <f t="shared" si="429"/>
        <v>0.19867521367521368</v>
      </c>
      <c r="AG396" s="34">
        <f t="shared" si="430"/>
        <v>65086.03</v>
      </c>
      <c r="AH396" s="34">
        <f t="shared" si="431"/>
        <v>17310.41012</v>
      </c>
      <c r="AI396" s="34">
        <f t="shared" si="432"/>
        <v>155793.69108000002</v>
      </c>
      <c r="AJ396" s="46">
        <f t="shared" si="433"/>
        <v>94460.991080000007</v>
      </c>
      <c r="AK396" s="40">
        <v>51.65</v>
      </c>
      <c r="AL396" s="41">
        <f t="shared" si="434"/>
        <v>66.525199999999998</v>
      </c>
      <c r="AM396" s="202"/>
      <c r="AN396" s="205"/>
      <c r="AO396" s="26"/>
      <c r="AP396" s="26"/>
      <c r="AQ396" s="27"/>
      <c r="AR396" s="27"/>
      <c r="AS396" s="27"/>
      <c r="AT396" s="27"/>
      <c r="AU396" s="27"/>
      <c r="AV396" s="27"/>
      <c r="AW396" s="26"/>
      <c r="AX396" s="26"/>
      <c r="AY396" s="26"/>
      <c r="AZ396" s="26"/>
      <c r="BA396" s="26"/>
      <c r="BB396" s="26"/>
      <c r="BC396" s="26"/>
      <c r="BD396" s="26"/>
      <c r="BE396" s="26"/>
      <c r="BF396" s="26"/>
      <c r="BG396" s="26"/>
      <c r="BH396" s="26"/>
      <c r="BI396" s="26"/>
    </row>
    <row r="397" spans="1:61" ht="28.5" customHeight="1">
      <c r="A397" s="26"/>
      <c r="B397" s="323"/>
      <c r="C397" s="42" t="s">
        <v>32</v>
      </c>
      <c r="D397" s="28">
        <f t="shared" si="418"/>
        <v>0.29858444816053514</v>
      </c>
      <c r="E397" s="166">
        <v>0.40600000000000003</v>
      </c>
      <c r="F397" s="30">
        <f t="shared" si="419"/>
        <v>0.10741555183946488</v>
      </c>
      <c r="G397" s="30" t="e">
        <f t="shared" si="420"/>
        <v>#DIV/0!</v>
      </c>
      <c r="H397" s="33"/>
      <c r="I397" s="48"/>
      <c r="J397" s="48"/>
      <c r="K397" s="48"/>
      <c r="L397" s="334"/>
      <c r="M397" s="48"/>
      <c r="N397" s="202"/>
      <c r="O397" s="202">
        <v>23</v>
      </c>
      <c r="P397" s="31">
        <f t="shared" si="421"/>
        <v>18</v>
      </c>
      <c r="Q397" s="202">
        <v>0</v>
      </c>
      <c r="R397" s="203"/>
      <c r="S397" s="202">
        <v>5</v>
      </c>
      <c r="T397" s="34">
        <f t="shared" si="422"/>
        <v>1375400</v>
      </c>
      <c r="U397" s="31">
        <f t="shared" si="423"/>
        <v>299000</v>
      </c>
      <c r="V397" s="34">
        <f t="shared" si="424"/>
        <v>1076400</v>
      </c>
      <c r="W397" s="43">
        <v>59800</v>
      </c>
      <c r="X397" s="34">
        <f t="shared" si="425"/>
        <v>21143.807999999997</v>
      </c>
      <c r="Y397" s="34">
        <f t="shared" si="426"/>
        <v>380588.54399999994</v>
      </c>
      <c r="Z397" s="34">
        <f t="shared" si="427"/>
        <v>115622.1</v>
      </c>
      <c r="AA397" s="49">
        <v>105111</v>
      </c>
      <c r="AB397" s="287">
        <f>((59800*0.015)+(59800*0.19)+2100+4950)*5</f>
        <v>96545</v>
      </c>
      <c r="AC397" s="204">
        <f t="shared" si="435"/>
        <v>0</v>
      </c>
      <c r="AD397" s="149">
        <v>0.108</v>
      </c>
      <c r="AE397" s="31">
        <f t="shared" ref="AE397:AE398" si="437">4825*(P397+S397)</f>
        <v>110975</v>
      </c>
      <c r="AF397" s="28">
        <f t="shared" si="429"/>
        <v>0.21109829059829061</v>
      </c>
      <c r="AG397" s="34">
        <f t="shared" si="430"/>
        <v>227226.23</v>
      </c>
      <c r="AH397" s="34">
        <f t="shared" si="431"/>
        <v>46858.522599999997</v>
      </c>
      <c r="AI397" s="34">
        <f t="shared" si="432"/>
        <v>421726.7034</v>
      </c>
      <c r="AJ397" s="46">
        <f t="shared" si="433"/>
        <v>306104.60340000002</v>
      </c>
      <c r="AK397" s="40">
        <v>85.5</v>
      </c>
      <c r="AL397" s="41">
        <f t="shared" si="434"/>
        <v>110.124</v>
      </c>
      <c r="AM397" s="202"/>
      <c r="AN397" s="205"/>
      <c r="AO397" s="26"/>
      <c r="AP397" s="26"/>
      <c r="AQ397" s="27"/>
      <c r="AR397" s="27"/>
      <c r="AS397" s="27"/>
      <c r="AT397" s="27"/>
      <c r="AU397" s="27"/>
      <c r="AV397" s="27"/>
      <c r="AW397" s="26"/>
      <c r="AX397" s="26"/>
      <c r="AY397" s="26"/>
      <c r="AZ397" s="26"/>
      <c r="BA397" s="26"/>
      <c r="BB397" s="26"/>
      <c r="BC397" s="26"/>
      <c r="BD397" s="26"/>
      <c r="BE397" s="26"/>
      <c r="BF397" s="26"/>
      <c r="BG397" s="26"/>
      <c r="BH397" s="26"/>
      <c r="BI397" s="26"/>
    </row>
    <row r="398" spans="1:61" ht="28.5" customHeight="1">
      <c r="A398" s="26"/>
      <c r="B398" s="333"/>
      <c r="C398" s="42" t="s">
        <v>33</v>
      </c>
      <c r="D398" s="28">
        <f t="shared" si="418"/>
        <v>0.1097300114629603</v>
      </c>
      <c r="E398" s="166">
        <v>0.40799999999999997</v>
      </c>
      <c r="F398" s="30">
        <f t="shared" si="419"/>
        <v>0.29826998853703968</v>
      </c>
      <c r="G398" s="30" t="e">
        <f t="shared" si="420"/>
        <v>#DIV/0!</v>
      </c>
      <c r="H398" s="48"/>
      <c r="I398" s="48"/>
      <c r="J398" s="48"/>
      <c r="K398" s="48"/>
      <c r="L398" s="310"/>
      <c r="M398" s="48"/>
      <c r="N398" s="202"/>
      <c r="O398" s="202">
        <v>8</v>
      </c>
      <c r="P398" s="31">
        <f t="shared" si="421"/>
        <v>8</v>
      </c>
      <c r="Q398" s="202">
        <v>5</v>
      </c>
      <c r="R398" s="203"/>
      <c r="S398" s="36"/>
      <c r="T398" s="34">
        <f t="shared" si="422"/>
        <v>558320</v>
      </c>
      <c r="U398" s="31">
        <f t="shared" si="423"/>
        <v>0</v>
      </c>
      <c r="V398" s="34">
        <f t="shared" si="424"/>
        <v>558320</v>
      </c>
      <c r="W398" s="43">
        <v>69790</v>
      </c>
      <c r="X398" s="34">
        <f t="shared" si="425"/>
        <v>26337.023999999998</v>
      </c>
      <c r="Y398" s="34">
        <f t="shared" si="426"/>
        <v>210696.19199999998</v>
      </c>
      <c r="Z398" s="34">
        <f t="shared" si="427"/>
        <v>154980.1</v>
      </c>
      <c r="AA398" s="49">
        <v>140891</v>
      </c>
      <c r="AB398" s="36"/>
      <c r="AC398" s="204">
        <f t="shared" si="435"/>
        <v>11550</v>
      </c>
      <c r="AD398" s="149">
        <v>0.108</v>
      </c>
      <c r="AE398" s="31">
        <f t="shared" si="437"/>
        <v>38600</v>
      </c>
      <c r="AF398" s="28">
        <f t="shared" si="429"/>
        <v>0.17713597936667144</v>
      </c>
      <c r="AG398" s="34">
        <f t="shared" si="430"/>
        <v>98898.59</v>
      </c>
      <c r="AH398" s="34">
        <f t="shared" si="431"/>
        <v>24872.521799999999</v>
      </c>
      <c r="AI398" s="34">
        <f t="shared" si="432"/>
        <v>223852.69620000001</v>
      </c>
      <c r="AJ398" s="46">
        <f t="shared" si="433"/>
        <v>68872.5962</v>
      </c>
      <c r="AK398" s="40">
        <v>106.5</v>
      </c>
      <c r="AL398" s="41">
        <f t="shared" si="434"/>
        <v>137.172</v>
      </c>
      <c r="AM398" s="202"/>
      <c r="AN398" s="205"/>
      <c r="AO398" s="26"/>
      <c r="AP398" s="26"/>
      <c r="AQ398" s="27"/>
      <c r="AR398" s="27"/>
      <c r="AS398" s="27"/>
      <c r="AT398" s="27"/>
      <c r="AU398" s="27"/>
      <c r="AV398" s="27"/>
      <c r="AW398" s="26"/>
      <c r="AX398" s="26"/>
      <c r="AY398" s="26"/>
      <c r="AZ398" s="26"/>
      <c r="BA398" s="26"/>
      <c r="BB398" s="26"/>
      <c r="BC398" s="26"/>
      <c r="BD398" s="26"/>
      <c r="BE398" s="26"/>
      <c r="BF398" s="26"/>
      <c r="BG398" s="26"/>
      <c r="BH398" s="26"/>
      <c r="BI398" s="26"/>
    </row>
    <row r="399" spans="1:61" ht="28.5" customHeight="1">
      <c r="A399" s="26"/>
      <c r="B399" s="333"/>
      <c r="C399" s="42" t="s">
        <v>149</v>
      </c>
      <c r="D399" s="28">
        <f t="shared" si="418"/>
        <v>-0.25411490329920366</v>
      </c>
      <c r="E399" s="166">
        <v>0.40699999999999997</v>
      </c>
      <c r="F399" s="30">
        <f t="shared" si="419"/>
        <v>0.66111490329920364</v>
      </c>
      <c r="G399" s="30" t="e">
        <f t="shared" si="420"/>
        <v>#DIV/0!</v>
      </c>
      <c r="H399" s="48"/>
      <c r="I399" s="48"/>
      <c r="J399" s="48"/>
      <c r="K399" s="48"/>
      <c r="L399" s="334"/>
      <c r="M399" s="48"/>
      <c r="N399" s="202"/>
      <c r="O399" s="202">
        <v>1</v>
      </c>
      <c r="P399" s="31">
        <f t="shared" si="421"/>
        <v>1</v>
      </c>
      <c r="Q399" s="202">
        <v>1</v>
      </c>
      <c r="R399" s="203"/>
      <c r="S399" s="36"/>
      <c r="T399" s="34">
        <f t="shared" si="422"/>
        <v>96690</v>
      </c>
      <c r="U399" s="31">
        <f t="shared" si="423"/>
        <v>0</v>
      </c>
      <c r="V399" s="34">
        <f t="shared" si="424"/>
        <v>96690</v>
      </c>
      <c r="W399" s="43">
        <v>96690</v>
      </c>
      <c r="X399" s="34">
        <f t="shared" si="425"/>
        <v>36723.455999999998</v>
      </c>
      <c r="Y399" s="34">
        <f t="shared" si="426"/>
        <v>36723.455999999998</v>
      </c>
      <c r="Z399" s="34">
        <f t="shared" si="427"/>
        <v>61613.200000000004</v>
      </c>
      <c r="AA399" s="49">
        <v>56012</v>
      </c>
      <c r="AB399" s="36"/>
      <c r="AC399" s="204">
        <f t="shared" si="435"/>
        <v>2310</v>
      </c>
      <c r="AD399" s="149">
        <v>0.108</v>
      </c>
      <c r="AE399" s="31">
        <f t="shared" ref="AE399:AE400" si="438">6200*(P399+S399)</f>
        <v>6200</v>
      </c>
      <c r="AF399" s="28">
        <f t="shared" si="429"/>
        <v>0.17212245320095149</v>
      </c>
      <c r="AG399" s="34">
        <f t="shared" si="430"/>
        <v>16642.55</v>
      </c>
      <c r="AH399" s="34">
        <f t="shared" si="431"/>
        <v>4332.3994000000002</v>
      </c>
      <c r="AI399" s="34">
        <f t="shared" si="432"/>
        <v>38991.594600000004</v>
      </c>
      <c r="AJ399" s="206">
        <f t="shared" si="433"/>
        <v>-22621.6054</v>
      </c>
      <c r="AK399" s="40">
        <v>148.5</v>
      </c>
      <c r="AL399" s="41">
        <f t="shared" si="434"/>
        <v>191.268</v>
      </c>
      <c r="AM399" s="202"/>
      <c r="AN399" s="205"/>
      <c r="AO399" s="26"/>
      <c r="AP399" s="26"/>
      <c r="AQ399" s="27"/>
      <c r="AR399" s="27"/>
      <c r="AS399" s="27"/>
      <c r="AT399" s="27"/>
      <c r="AU399" s="27"/>
      <c r="AV399" s="27"/>
      <c r="AW399" s="26"/>
      <c r="AX399" s="26"/>
      <c r="AY399" s="26"/>
      <c r="AZ399" s="26"/>
      <c r="BA399" s="26"/>
      <c r="BB399" s="26"/>
      <c r="BC399" s="26"/>
      <c r="BD399" s="26"/>
      <c r="BE399" s="26"/>
      <c r="BF399" s="26"/>
      <c r="BG399" s="26"/>
      <c r="BH399" s="26"/>
      <c r="BI399" s="26"/>
    </row>
    <row r="400" spans="1:61" ht="28.5" customHeight="1">
      <c r="A400" s="26"/>
      <c r="B400" s="324"/>
      <c r="C400" s="42" t="s">
        <v>150</v>
      </c>
      <c r="D400" s="28">
        <f t="shared" si="418"/>
        <v>6.8192079825381946E-2</v>
      </c>
      <c r="E400" s="166">
        <v>0.40899999999999997</v>
      </c>
      <c r="F400" s="30">
        <f t="shared" si="419"/>
        <v>0.34080792017461803</v>
      </c>
      <c r="G400" s="30" t="e">
        <f t="shared" si="420"/>
        <v>#DIV/0!</v>
      </c>
      <c r="H400" s="48"/>
      <c r="I400" s="283"/>
      <c r="J400" s="48"/>
      <c r="K400" s="48"/>
      <c r="L400" s="310"/>
      <c r="M400" s="48"/>
      <c r="N400" s="202"/>
      <c r="O400" s="202">
        <v>3</v>
      </c>
      <c r="P400" s="31">
        <f t="shared" si="421"/>
        <v>3</v>
      </c>
      <c r="Q400" s="202">
        <v>2</v>
      </c>
      <c r="R400" s="203"/>
      <c r="S400" s="36"/>
      <c r="T400" s="34">
        <f t="shared" si="422"/>
        <v>320700</v>
      </c>
      <c r="U400" s="31">
        <f t="shared" si="423"/>
        <v>0</v>
      </c>
      <c r="V400" s="34">
        <f t="shared" si="424"/>
        <v>320700</v>
      </c>
      <c r="W400" s="43">
        <v>106900</v>
      </c>
      <c r="X400" s="34">
        <f t="shared" si="425"/>
        <v>41916.671999999999</v>
      </c>
      <c r="Y400" s="34">
        <f t="shared" si="426"/>
        <v>125750.016</v>
      </c>
      <c r="Z400" s="34">
        <f t="shared" si="427"/>
        <v>104677.1</v>
      </c>
      <c r="AA400" s="49">
        <v>95161</v>
      </c>
      <c r="AB400" s="36"/>
      <c r="AC400" s="204">
        <f t="shared" si="435"/>
        <v>4620</v>
      </c>
      <c r="AD400" s="149">
        <v>0.108</v>
      </c>
      <c r="AE400" s="31">
        <f t="shared" si="438"/>
        <v>18600</v>
      </c>
      <c r="AF400" s="28">
        <f t="shared" si="429"/>
        <v>0.16599812909260991</v>
      </c>
      <c r="AG400" s="34">
        <f t="shared" si="430"/>
        <v>53235.63</v>
      </c>
      <c r="AH400" s="34">
        <f t="shared" si="431"/>
        <v>14171.435399999998</v>
      </c>
      <c r="AI400" s="34">
        <f t="shared" si="432"/>
        <v>127542.9186</v>
      </c>
      <c r="AJ400" s="46">
        <f t="shared" si="433"/>
        <v>22865.818599999999</v>
      </c>
      <c r="AK400" s="40">
        <v>169.5</v>
      </c>
      <c r="AL400" s="41">
        <f t="shared" si="434"/>
        <v>218.316</v>
      </c>
      <c r="AM400" s="202"/>
      <c r="AN400" s="205"/>
      <c r="AO400" s="26"/>
      <c r="AP400" s="26"/>
      <c r="AQ400" s="27"/>
      <c r="AR400" s="27"/>
      <c r="AS400" s="27"/>
      <c r="AT400" s="27"/>
      <c r="AU400" s="27"/>
      <c r="AV400" s="27"/>
      <c r="AW400" s="26"/>
      <c r="AX400" s="26"/>
      <c r="AY400" s="26"/>
      <c r="AZ400" s="26"/>
      <c r="BA400" s="26"/>
      <c r="BB400" s="26"/>
      <c r="BC400" s="26"/>
      <c r="BD400" s="26"/>
      <c r="BE400" s="26"/>
      <c r="BF400" s="26"/>
      <c r="BG400" s="26"/>
      <c r="BH400" s="26"/>
      <c r="BI400" s="26"/>
    </row>
    <row r="401" spans="1:61" ht="28.5" customHeight="1">
      <c r="A401" s="26"/>
      <c r="B401" s="200"/>
      <c r="C401" s="42" t="s">
        <v>111</v>
      </c>
      <c r="D401" s="28">
        <f t="shared" si="418"/>
        <v>0.21518435754189943</v>
      </c>
      <c r="E401" s="166">
        <v>0.435</v>
      </c>
      <c r="F401" s="30">
        <f t="shared" si="419"/>
        <v>0.21981564245810056</v>
      </c>
      <c r="G401" s="30" t="e">
        <f t="shared" si="420"/>
        <v>#DIV/0!</v>
      </c>
      <c r="H401" s="48"/>
      <c r="I401" s="48"/>
      <c r="J401" s="48"/>
      <c r="K401" s="210"/>
      <c r="L401" s="210"/>
      <c r="M401" s="210"/>
      <c r="N401" s="202"/>
      <c r="O401" s="202">
        <v>14</v>
      </c>
      <c r="P401" s="31">
        <f t="shared" si="421"/>
        <v>9</v>
      </c>
      <c r="Q401" s="36">
        <v>1</v>
      </c>
      <c r="R401" s="203"/>
      <c r="S401" s="202">
        <v>5</v>
      </c>
      <c r="T401" s="34">
        <f t="shared" si="422"/>
        <v>250600</v>
      </c>
      <c r="U401" s="31">
        <f t="shared" si="423"/>
        <v>89500</v>
      </c>
      <c r="V401" s="34">
        <f t="shared" si="424"/>
        <v>161100</v>
      </c>
      <c r="W401" s="43">
        <v>17900</v>
      </c>
      <c r="X401" s="34">
        <f t="shared" si="425"/>
        <v>5687.8080000000009</v>
      </c>
      <c r="Y401" s="34">
        <f t="shared" si="426"/>
        <v>51190.272000000012</v>
      </c>
      <c r="Z401" s="34">
        <f t="shared" si="427"/>
        <v>33102.300000000003</v>
      </c>
      <c r="AA401" s="49">
        <v>30093</v>
      </c>
      <c r="AB401" s="287">
        <f>((17160*0.015)+(17160*0.25)+2100+4950)*5</f>
        <v>57987</v>
      </c>
      <c r="AC401" s="204">
        <f t="shared" si="435"/>
        <v>2310</v>
      </c>
      <c r="AD401" s="149">
        <v>7.8E-2</v>
      </c>
      <c r="AE401" s="31">
        <f>2900*(P401+S401)</f>
        <v>40600</v>
      </c>
      <c r="AF401" s="28">
        <f t="shared" si="429"/>
        <v>0.33001738050900065</v>
      </c>
      <c r="AG401" s="34">
        <f t="shared" si="430"/>
        <v>53165.83</v>
      </c>
      <c r="AH401" s="34">
        <f t="shared" si="431"/>
        <v>5674.3897999999972</v>
      </c>
      <c r="AI401" s="34">
        <f t="shared" si="432"/>
        <v>51069.508199999982</v>
      </c>
      <c r="AJ401" s="46">
        <f t="shared" si="433"/>
        <v>17967.208199999979</v>
      </c>
      <c r="AK401" s="40">
        <v>23</v>
      </c>
      <c r="AL401" s="41">
        <f t="shared" si="434"/>
        <v>29.624000000000002</v>
      </c>
      <c r="AM401" s="202"/>
      <c r="AN401" s="205"/>
      <c r="AO401" s="26"/>
      <c r="AP401" s="26"/>
      <c r="AQ401" s="27"/>
      <c r="AR401" s="27"/>
      <c r="AS401" s="27"/>
      <c r="AT401" s="27"/>
      <c r="AU401" s="27"/>
      <c r="AV401" s="27"/>
      <c r="AW401" s="26"/>
      <c r="AX401" s="26"/>
      <c r="AY401" s="26"/>
      <c r="AZ401" s="26"/>
      <c r="BA401" s="26"/>
      <c r="BB401" s="26"/>
      <c r="BC401" s="26"/>
      <c r="BD401" s="26"/>
      <c r="BE401" s="26"/>
      <c r="BF401" s="26"/>
      <c r="BG401" s="26"/>
      <c r="BH401" s="26"/>
      <c r="BI401" s="26"/>
    </row>
    <row r="402" spans="1:61" ht="28.5" customHeight="1">
      <c r="A402" s="26"/>
      <c r="B402" s="207"/>
      <c r="C402" s="42" t="s">
        <v>151</v>
      </c>
      <c r="D402" s="28">
        <f t="shared" si="418"/>
        <v>-0.42977406609195401</v>
      </c>
      <c r="E402" s="303">
        <v>0.27600000000000002</v>
      </c>
      <c r="F402" s="30">
        <f t="shared" si="419"/>
        <v>0.70577406609195403</v>
      </c>
      <c r="G402" s="30" t="e">
        <f t="shared" si="420"/>
        <v>#DIV/0!</v>
      </c>
      <c r="H402" s="48"/>
      <c r="I402" s="48"/>
      <c r="J402" s="48"/>
      <c r="K402" s="210"/>
      <c r="L402" s="335"/>
      <c r="M402" s="210"/>
      <c r="N402" s="202"/>
      <c r="O402" s="202">
        <v>6</v>
      </c>
      <c r="P402" s="31">
        <f t="shared" si="421"/>
        <v>6</v>
      </c>
      <c r="Q402" s="36">
        <v>1</v>
      </c>
      <c r="R402" s="203"/>
      <c r="S402" s="36"/>
      <c r="T402" s="34">
        <f t="shared" si="422"/>
        <v>55680</v>
      </c>
      <c r="U402" s="31">
        <f t="shared" si="423"/>
        <v>0</v>
      </c>
      <c r="V402" s="34">
        <f t="shared" si="424"/>
        <v>55680</v>
      </c>
      <c r="W402" s="43">
        <v>9280</v>
      </c>
      <c r="X402" s="34">
        <f t="shared" si="425"/>
        <v>3462.1440000000002</v>
      </c>
      <c r="Y402" s="34">
        <f t="shared" si="426"/>
        <v>20772.864000000001</v>
      </c>
      <c r="Z402" s="34">
        <f t="shared" si="427"/>
        <v>36987.5</v>
      </c>
      <c r="AA402" s="49">
        <v>33625</v>
      </c>
      <c r="AB402" s="287"/>
      <c r="AC402" s="204">
        <f t="shared" si="435"/>
        <v>2310</v>
      </c>
      <c r="AD402" s="149">
        <v>0.1</v>
      </c>
      <c r="AE402" s="31">
        <f t="shared" ref="AE402:AE403" si="439">1900*(P402+S402)</f>
        <v>11400</v>
      </c>
      <c r="AF402" s="28">
        <f t="shared" si="429"/>
        <v>0.30474137931034484</v>
      </c>
      <c r="AG402" s="34">
        <f t="shared" si="430"/>
        <v>16968.03</v>
      </c>
      <c r="AH402" s="34">
        <f t="shared" si="431"/>
        <v>1793.9105999999997</v>
      </c>
      <c r="AI402" s="34">
        <f t="shared" si="432"/>
        <v>16145.195399999997</v>
      </c>
      <c r="AJ402" s="206">
        <f t="shared" si="433"/>
        <v>-20842.304600000003</v>
      </c>
      <c r="AK402" s="40">
        <v>14</v>
      </c>
      <c r="AL402" s="41">
        <f t="shared" si="434"/>
        <v>18.032</v>
      </c>
      <c r="AM402" s="202"/>
      <c r="AN402" s="205"/>
      <c r="AO402" s="26"/>
      <c r="AP402" s="26"/>
      <c r="AQ402" s="27"/>
      <c r="AR402" s="27"/>
      <c r="AS402" s="27"/>
      <c r="AT402" s="27"/>
      <c r="AU402" s="27"/>
      <c r="AV402" s="27"/>
      <c r="AW402" s="26"/>
      <c r="AX402" s="26"/>
      <c r="AY402" s="26"/>
      <c r="AZ402" s="26"/>
      <c r="BA402" s="26"/>
      <c r="BB402" s="26"/>
      <c r="BC402" s="26"/>
      <c r="BD402" s="26"/>
      <c r="BE402" s="26"/>
      <c r="BF402" s="26"/>
      <c r="BG402" s="26"/>
      <c r="BH402" s="26"/>
      <c r="BI402" s="26"/>
    </row>
    <row r="403" spans="1:61" ht="28.5" customHeight="1">
      <c r="A403" s="26"/>
      <c r="B403" s="212"/>
      <c r="C403" s="42" t="s">
        <v>152</v>
      </c>
      <c r="D403" s="28">
        <f t="shared" si="418"/>
        <v>9.8324396782841772E-3</v>
      </c>
      <c r="E403" s="303">
        <v>0.39700000000000002</v>
      </c>
      <c r="F403" s="30">
        <f t="shared" si="419"/>
        <v>0.38716756032171584</v>
      </c>
      <c r="G403" s="30" t="e">
        <f t="shared" si="420"/>
        <v>#DIV/0!</v>
      </c>
      <c r="H403" s="48"/>
      <c r="I403" s="48"/>
      <c r="J403" s="48"/>
      <c r="K403" s="210"/>
      <c r="L403" s="310"/>
      <c r="M403" s="210"/>
      <c r="N403" s="202"/>
      <c r="O403" s="202">
        <v>4</v>
      </c>
      <c r="P403" s="31">
        <f t="shared" si="421"/>
        <v>4</v>
      </c>
      <c r="Q403" s="36">
        <v>0</v>
      </c>
      <c r="R403" s="203"/>
      <c r="S403" s="36"/>
      <c r="T403" s="34">
        <f t="shared" si="422"/>
        <v>74600</v>
      </c>
      <c r="U403" s="31">
        <f t="shared" si="423"/>
        <v>0</v>
      </c>
      <c r="V403" s="34">
        <f t="shared" si="424"/>
        <v>74600</v>
      </c>
      <c r="W403" s="43">
        <v>18650</v>
      </c>
      <c r="X403" s="34">
        <f t="shared" si="425"/>
        <v>6924.2880000000005</v>
      </c>
      <c r="Y403" s="34">
        <f t="shared" si="426"/>
        <v>27697.152000000002</v>
      </c>
      <c r="Z403" s="34">
        <f t="shared" si="427"/>
        <v>28882.7</v>
      </c>
      <c r="AA403" s="49">
        <v>26257</v>
      </c>
      <c r="AB403" s="36"/>
      <c r="AC403" s="204">
        <f t="shared" si="435"/>
        <v>0</v>
      </c>
      <c r="AD403" s="149">
        <v>0.1</v>
      </c>
      <c r="AE403" s="31">
        <f t="shared" si="439"/>
        <v>7600</v>
      </c>
      <c r="AF403" s="28">
        <f t="shared" si="429"/>
        <v>0.20187667560321715</v>
      </c>
      <c r="AG403" s="34">
        <f t="shared" si="430"/>
        <v>15060.03</v>
      </c>
      <c r="AH403" s="34">
        <f t="shared" si="431"/>
        <v>3184.2817999999997</v>
      </c>
      <c r="AI403" s="34">
        <f t="shared" si="432"/>
        <v>28658.536200000002</v>
      </c>
      <c r="AJ403" s="206">
        <f t="shared" si="433"/>
        <v>-224.16379999999845</v>
      </c>
      <c r="AK403" s="40">
        <v>28</v>
      </c>
      <c r="AL403" s="41">
        <f t="shared" si="434"/>
        <v>36.064</v>
      </c>
      <c r="AM403" s="202"/>
      <c r="AN403" s="205"/>
      <c r="AO403" s="26"/>
      <c r="AP403" s="26"/>
      <c r="AQ403" s="27"/>
      <c r="AR403" s="27"/>
      <c r="AS403" s="27"/>
      <c r="AT403" s="27"/>
      <c r="AU403" s="27"/>
      <c r="AV403" s="27"/>
      <c r="AW403" s="26"/>
      <c r="AX403" s="26"/>
      <c r="AY403" s="26"/>
      <c r="AZ403" s="26"/>
      <c r="BA403" s="26"/>
      <c r="BB403" s="26"/>
      <c r="BC403" s="26"/>
      <c r="BD403" s="26"/>
      <c r="BE403" s="26"/>
      <c r="BF403" s="26"/>
      <c r="BG403" s="26"/>
      <c r="BH403" s="26"/>
      <c r="BI403" s="26"/>
    </row>
    <row r="404" spans="1:61" ht="28.5" customHeight="1">
      <c r="A404" s="26"/>
      <c r="B404" s="323"/>
      <c r="C404" s="42" t="s">
        <v>112</v>
      </c>
      <c r="D404" s="28">
        <f t="shared" si="418"/>
        <v>8.0829978981313555E-2</v>
      </c>
      <c r="E404" s="166">
        <v>0.40600000000000003</v>
      </c>
      <c r="F404" s="30">
        <f t="shared" si="419"/>
        <v>0.32517002101868647</v>
      </c>
      <c r="G404" s="30" t="e">
        <f t="shared" si="420"/>
        <v>#DIV/0!</v>
      </c>
      <c r="H404" s="334"/>
      <c r="I404" s="48"/>
      <c r="J404" s="48"/>
      <c r="K404" s="210"/>
      <c r="L404" s="335"/>
      <c r="M404" s="210"/>
      <c r="N404" s="202"/>
      <c r="O404" s="202">
        <v>9</v>
      </c>
      <c r="P404" s="31">
        <f t="shared" si="421"/>
        <v>9</v>
      </c>
      <c r="Q404" s="36">
        <v>1</v>
      </c>
      <c r="R404" s="203"/>
      <c r="S404" s="36"/>
      <c r="T404" s="34">
        <f t="shared" si="422"/>
        <v>347310</v>
      </c>
      <c r="U404" s="31">
        <f t="shared" si="423"/>
        <v>0</v>
      </c>
      <c r="V404" s="34">
        <f t="shared" si="424"/>
        <v>347310</v>
      </c>
      <c r="W404" s="43">
        <v>38590</v>
      </c>
      <c r="X404" s="34">
        <f t="shared" si="425"/>
        <v>15085.056</v>
      </c>
      <c r="Y404" s="34">
        <f t="shared" si="426"/>
        <v>135765.50400000002</v>
      </c>
      <c r="Z404" s="34">
        <f t="shared" si="427"/>
        <v>110624.8</v>
      </c>
      <c r="AA404" s="49">
        <v>100568</v>
      </c>
      <c r="AB404" s="36"/>
      <c r="AC404" s="204">
        <f t="shared" si="435"/>
        <v>2310</v>
      </c>
      <c r="AD404" s="149">
        <v>0.08</v>
      </c>
      <c r="AE404" s="31">
        <f t="shared" ref="AE404:AE405" si="440">4150*(P404+S404)</f>
        <v>37350</v>
      </c>
      <c r="AF404" s="28">
        <f t="shared" si="429"/>
        <v>0.18754081368230113</v>
      </c>
      <c r="AG404" s="34">
        <f t="shared" si="430"/>
        <v>65134.83</v>
      </c>
      <c r="AH404" s="34">
        <f t="shared" si="431"/>
        <v>14640.966599999996</v>
      </c>
      <c r="AI404" s="34">
        <f t="shared" si="432"/>
        <v>131768.69939999998</v>
      </c>
      <c r="AJ404" s="46">
        <f t="shared" si="433"/>
        <v>21143.89939999998</v>
      </c>
      <c r="AK404" s="40">
        <v>61</v>
      </c>
      <c r="AL404" s="41">
        <f t="shared" si="434"/>
        <v>78.567999999999998</v>
      </c>
      <c r="AM404" s="202"/>
      <c r="AN404" s="205"/>
      <c r="AO404" s="26"/>
      <c r="AP404" s="26"/>
      <c r="AQ404" s="27"/>
      <c r="AR404" s="27"/>
      <c r="AS404" s="27"/>
      <c r="AT404" s="27"/>
      <c r="AU404" s="27"/>
      <c r="AV404" s="27"/>
      <c r="AW404" s="26"/>
      <c r="AX404" s="26"/>
      <c r="AY404" s="26"/>
      <c r="AZ404" s="26"/>
      <c r="BA404" s="26"/>
      <c r="BB404" s="26"/>
      <c r="BC404" s="26"/>
      <c r="BD404" s="26"/>
      <c r="BE404" s="26"/>
      <c r="BF404" s="26"/>
      <c r="BG404" s="26"/>
      <c r="BH404" s="26"/>
      <c r="BI404" s="26"/>
    </row>
    <row r="405" spans="1:61" ht="28.5" customHeight="1">
      <c r="A405" s="26"/>
      <c r="B405" s="324"/>
      <c r="C405" s="42" t="s">
        <v>113</v>
      </c>
      <c r="D405" s="28">
        <f t="shared" si="418"/>
        <v>0.13612179487179482</v>
      </c>
      <c r="E405" s="166">
        <v>0.36099999999999999</v>
      </c>
      <c r="F405" s="30">
        <f t="shared" si="419"/>
        <v>0.22487820512820517</v>
      </c>
      <c r="G405" s="30" t="e">
        <f t="shared" si="420"/>
        <v>#DIV/0!</v>
      </c>
      <c r="H405" s="310"/>
      <c r="I405" s="48"/>
      <c r="J405" s="48"/>
      <c r="K405" s="210"/>
      <c r="L405" s="310"/>
      <c r="M405" s="210"/>
      <c r="N405" s="202"/>
      <c r="O405" s="202">
        <v>8</v>
      </c>
      <c r="P405" s="31">
        <f t="shared" si="421"/>
        <v>8</v>
      </c>
      <c r="Q405" s="36">
        <v>0</v>
      </c>
      <c r="R405" s="203"/>
      <c r="S405" s="36"/>
      <c r="T405" s="34">
        <f t="shared" si="422"/>
        <v>343200</v>
      </c>
      <c r="U405" s="31">
        <f t="shared" si="423"/>
        <v>0</v>
      </c>
      <c r="V405" s="34">
        <f t="shared" si="424"/>
        <v>343200</v>
      </c>
      <c r="W405" s="43">
        <v>42900</v>
      </c>
      <c r="X405" s="34">
        <f t="shared" si="425"/>
        <v>20278.272000000004</v>
      </c>
      <c r="Y405" s="34">
        <f t="shared" si="426"/>
        <v>162226.17600000004</v>
      </c>
      <c r="Z405" s="34">
        <f t="shared" si="427"/>
        <v>77178.200000000012</v>
      </c>
      <c r="AA405" s="49">
        <v>70162</v>
      </c>
      <c r="AB405" s="286"/>
      <c r="AC405" s="204">
        <f t="shared" si="435"/>
        <v>0</v>
      </c>
      <c r="AD405" s="149">
        <v>7.8E-2</v>
      </c>
      <c r="AE405" s="31">
        <f t="shared" si="440"/>
        <v>33200</v>
      </c>
      <c r="AF405" s="28">
        <f t="shared" si="429"/>
        <v>0.17473659673659675</v>
      </c>
      <c r="AG405" s="34">
        <f t="shared" si="430"/>
        <v>59969.630000000005</v>
      </c>
      <c r="AH405" s="34">
        <f t="shared" si="431"/>
        <v>12100.419399999995</v>
      </c>
      <c r="AI405" s="34">
        <f t="shared" si="432"/>
        <v>108903.77459999998</v>
      </c>
      <c r="AJ405" s="206">
        <f t="shared" si="433"/>
        <v>31725.574599999964</v>
      </c>
      <c r="AK405" s="40">
        <v>82</v>
      </c>
      <c r="AL405" s="41">
        <f t="shared" si="434"/>
        <v>105.61600000000001</v>
      </c>
      <c r="AM405" s="202"/>
      <c r="AN405" s="205"/>
      <c r="AO405" s="26"/>
      <c r="AP405" s="26"/>
      <c r="AQ405" s="27"/>
      <c r="AR405" s="27"/>
      <c r="AS405" s="27"/>
      <c r="AT405" s="27"/>
      <c r="AU405" s="27"/>
      <c r="AV405" s="27"/>
      <c r="AW405" s="26"/>
      <c r="AX405" s="26"/>
      <c r="AY405" s="26"/>
      <c r="AZ405" s="26"/>
      <c r="BA405" s="26"/>
      <c r="BB405" s="26"/>
      <c r="BC405" s="26"/>
      <c r="BD405" s="26"/>
      <c r="BE405" s="26"/>
      <c r="BF405" s="26"/>
      <c r="BG405" s="26"/>
      <c r="BH405" s="26"/>
      <c r="BI405" s="26"/>
    </row>
    <row r="406" spans="1:61" ht="28.5" customHeight="1">
      <c r="A406" s="26"/>
      <c r="B406" s="200"/>
      <c r="C406" s="42" t="s">
        <v>154</v>
      </c>
      <c r="D406" s="28">
        <f t="shared" si="418"/>
        <v>-1.2121334745762713</v>
      </c>
      <c r="E406" s="303">
        <v>0.41299999999999998</v>
      </c>
      <c r="F406" s="30">
        <f t="shared" si="419"/>
        <v>1.6251334745762713</v>
      </c>
      <c r="G406" s="30" t="e">
        <f t="shared" si="420"/>
        <v>#DIV/0!</v>
      </c>
      <c r="H406" s="48"/>
      <c r="I406" s="48"/>
      <c r="J406" s="48"/>
      <c r="K406" s="210"/>
      <c r="L406" s="210"/>
      <c r="M406" s="210"/>
      <c r="N406" s="202"/>
      <c r="O406" s="202">
        <v>14</v>
      </c>
      <c r="P406" s="31">
        <f t="shared" si="421"/>
        <v>4</v>
      </c>
      <c r="Q406" s="202">
        <v>2</v>
      </c>
      <c r="R406" s="203"/>
      <c r="S406" s="202">
        <v>10</v>
      </c>
      <c r="T406" s="34">
        <f t="shared" si="422"/>
        <v>165200</v>
      </c>
      <c r="U406" s="31">
        <f t="shared" si="423"/>
        <v>118000</v>
      </c>
      <c r="V406" s="34">
        <f t="shared" si="424"/>
        <v>47200</v>
      </c>
      <c r="W406" s="43">
        <v>11800</v>
      </c>
      <c r="X406" s="34">
        <f t="shared" si="425"/>
        <v>4006.1952000000001</v>
      </c>
      <c r="Y406" s="34">
        <f t="shared" si="426"/>
        <v>16024.7808</v>
      </c>
      <c r="Z406" s="34">
        <f t="shared" si="427"/>
        <v>72086.3</v>
      </c>
      <c r="AA406" s="49">
        <v>65533</v>
      </c>
      <c r="AB406" s="286">
        <f>((11800*0.1)+(11800*0.015)+2100+2200)*10</f>
        <v>56570</v>
      </c>
      <c r="AC406" s="204">
        <f t="shared" si="435"/>
        <v>4620</v>
      </c>
      <c r="AD406" s="149">
        <v>0.108</v>
      </c>
      <c r="AE406" s="31">
        <f>1900*(P406+S406)</f>
        <v>26600</v>
      </c>
      <c r="AF406" s="28">
        <f t="shared" si="429"/>
        <v>0.67155932203389834</v>
      </c>
      <c r="AG406" s="34">
        <f t="shared" si="430"/>
        <v>31697.63</v>
      </c>
      <c r="AH406" s="34">
        <f t="shared" si="431"/>
        <v>-52.241079999999783</v>
      </c>
      <c r="AI406" s="34">
        <f t="shared" si="432"/>
        <v>-470.16971999999805</v>
      </c>
      <c r="AJ406" s="206">
        <f t="shared" si="433"/>
        <v>-72556.469719999994</v>
      </c>
      <c r="AK406" s="40">
        <v>16.2</v>
      </c>
      <c r="AL406" s="41">
        <f t="shared" si="434"/>
        <v>20.865600000000001</v>
      </c>
      <c r="AM406" s="202"/>
      <c r="AN406" s="205"/>
      <c r="AO406" s="26"/>
      <c r="AP406" s="26"/>
      <c r="AQ406" s="27"/>
      <c r="AR406" s="27"/>
      <c r="AS406" s="27"/>
      <c r="AT406" s="27"/>
      <c r="AU406" s="27"/>
      <c r="AV406" s="27"/>
      <c r="AW406" s="26"/>
      <c r="AX406" s="26"/>
      <c r="AY406" s="26"/>
      <c r="AZ406" s="26"/>
      <c r="BA406" s="26"/>
      <c r="BB406" s="26"/>
      <c r="BC406" s="26"/>
      <c r="BD406" s="26"/>
      <c r="BE406" s="26"/>
      <c r="BF406" s="26"/>
      <c r="BG406" s="26"/>
      <c r="BH406" s="26"/>
      <c r="BI406" s="26"/>
    </row>
    <row r="407" spans="1:61" ht="28.5" customHeight="1">
      <c r="A407" s="26"/>
      <c r="B407" s="200"/>
      <c r="C407" s="42" t="s">
        <v>114</v>
      </c>
      <c r="D407" s="28">
        <f t="shared" si="418"/>
        <v>0.12162923976608181</v>
      </c>
      <c r="E407" s="166">
        <v>0.35599999999999998</v>
      </c>
      <c r="F407" s="30">
        <f t="shared" si="419"/>
        <v>0.23437076023391817</v>
      </c>
      <c r="G407" s="30" t="e">
        <f t="shared" si="420"/>
        <v>#DIV/0!</v>
      </c>
      <c r="H407" s="48"/>
      <c r="I407" s="48"/>
      <c r="J407" s="48"/>
      <c r="K407" s="210"/>
      <c r="L407" s="210"/>
      <c r="M407" s="210"/>
      <c r="N407" s="202"/>
      <c r="O407" s="202">
        <v>45</v>
      </c>
      <c r="P407" s="31">
        <f t="shared" si="421"/>
        <v>45</v>
      </c>
      <c r="Q407" s="202">
        <v>6</v>
      </c>
      <c r="R407" s="203"/>
      <c r="S407" s="36"/>
      <c r="T407" s="34">
        <f t="shared" si="422"/>
        <v>855000</v>
      </c>
      <c r="U407" s="31">
        <f t="shared" si="423"/>
        <v>0</v>
      </c>
      <c r="V407" s="34">
        <f t="shared" si="424"/>
        <v>855000</v>
      </c>
      <c r="W407" s="43">
        <v>19000</v>
      </c>
      <c r="X407" s="34">
        <f t="shared" si="425"/>
        <v>7122.1247999999996</v>
      </c>
      <c r="Y407" s="34">
        <f t="shared" si="426"/>
        <v>320495.61599999998</v>
      </c>
      <c r="Z407" s="34">
        <f t="shared" si="427"/>
        <v>186527.00000000003</v>
      </c>
      <c r="AA407" s="49">
        <v>169570</v>
      </c>
      <c r="AB407" s="287"/>
      <c r="AC407" s="204">
        <f t="shared" si="435"/>
        <v>13860</v>
      </c>
      <c r="AD407" s="149">
        <v>0.08</v>
      </c>
      <c r="AE407" s="31">
        <f>3350*(P407+S407)</f>
        <v>150750</v>
      </c>
      <c r="AF407" s="28">
        <f t="shared" si="429"/>
        <v>0.25631578947368422</v>
      </c>
      <c r="AG407" s="34">
        <f t="shared" si="430"/>
        <v>219150.03</v>
      </c>
      <c r="AH407" s="34">
        <f t="shared" si="431"/>
        <v>31535.435400000002</v>
      </c>
      <c r="AI407" s="34">
        <f t="shared" si="432"/>
        <v>283818.91860000009</v>
      </c>
      <c r="AJ407" s="46">
        <f t="shared" si="433"/>
        <v>97291.918600000063</v>
      </c>
      <c r="AK407" s="40">
        <v>28.8</v>
      </c>
      <c r="AL407" s="41">
        <f t="shared" si="434"/>
        <v>37.0944</v>
      </c>
      <c r="AM407" s="202"/>
      <c r="AN407" s="205"/>
      <c r="AO407" s="26"/>
      <c r="AP407" s="26"/>
      <c r="AQ407" s="27"/>
      <c r="AR407" s="27"/>
      <c r="AS407" s="27"/>
      <c r="AT407" s="27"/>
      <c r="AU407" s="27"/>
      <c r="AV407" s="27"/>
      <c r="AW407" s="26"/>
      <c r="AX407" s="26"/>
      <c r="AY407" s="26"/>
      <c r="AZ407" s="26"/>
      <c r="BA407" s="26"/>
      <c r="BB407" s="26"/>
      <c r="BC407" s="26"/>
      <c r="BD407" s="26"/>
      <c r="BE407" s="26"/>
      <c r="BF407" s="26"/>
      <c r="BG407" s="26"/>
      <c r="BH407" s="26"/>
      <c r="BI407" s="26"/>
    </row>
    <row r="408" spans="1:61" ht="28.5" customHeight="1">
      <c r="A408" s="26"/>
      <c r="B408" s="326"/>
      <c r="C408" s="42" t="s">
        <v>115</v>
      </c>
      <c r="D408" s="28">
        <f t="shared" si="418"/>
        <v>-6.2098540145985592E-3</v>
      </c>
      <c r="E408" s="166">
        <v>0.45300000000000001</v>
      </c>
      <c r="F408" s="30">
        <f t="shared" si="419"/>
        <v>0.45920985401459857</v>
      </c>
      <c r="G408" s="30" t="e">
        <f t="shared" si="420"/>
        <v>#DIV/0!</v>
      </c>
      <c r="H408" s="48"/>
      <c r="I408" s="48"/>
      <c r="J408" s="48"/>
      <c r="K408" s="210"/>
      <c r="L408" s="210"/>
      <c r="M408" s="210"/>
      <c r="N408" s="202"/>
      <c r="O408" s="202">
        <v>2</v>
      </c>
      <c r="P408" s="31">
        <f t="shared" si="421"/>
        <v>2</v>
      </c>
      <c r="Q408" s="202">
        <v>0</v>
      </c>
      <c r="R408" s="203"/>
      <c r="S408" s="36"/>
      <c r="T408" s="34">
        <f t="shared" si="422"/>
        <v>109600</v>
      </c>
      <c r="U408" s="31">
        <f t="shared" si="423"/>
        <v>0</v>
      </c>
      <c r="V408" s="34">
        <f t="shared" si="424"/>
        <v>109600</v>
      </c>
      <c r="W408" s="43">
        <v>54800</v>
      </c>
      <c r="X408" s="34">
        <f t="shared" si="425"/>
        <v>20030.976000000002</v>
      </c>
      <c r="Y408" s="34">
        <f t="shared" si="426"/>
        <v>40061.952000000005</v>
      </c>
      <c r="Z408" s="34">
        <f t="shared" si="427"/>
        <v>50329.4</v>
      </c>
      <c r="AA408" s="49">
        <v>45754</v>
      </c>
      <c r="AB408" s="36"/>
      <c r="AC408" s="204">
        <f t="shared" si="435"/>
        <v>0</v>
      </c>
      <c r="AD408" s="149">
        <v>7.8E-2</v>
      </c>
      <c r="AE408" s="31">
        <f t="shared" ref="AE408:AE409" si="441">4825*(P408+S408)</f>
        <v>9650</v>
      </c>
      <c r="AF408" s="28">
        <f t="shared" si="429"/>
        <v>0.16604744525547444</v>
      </c>
      <c r="AG408" s="34">
        <f t="shared" si="430"/>
        <v>18198.829999999998</v>
      </c>
      <c r="AH408" s="34">
        <f t="shared" si="431"/>
        <v>5133.9217999999992</v>
      </c>
      <c r="AI408" s="34">
        <f t="shared" si="432"/>
        <v>46205.296199999997</v>
      </c>
      <c r="AJ408" s="46">
        <f t="shared" si="433"/>
        <v>-4124.1038000000044</v>
      </c>
      <c r="AK408" s="40">
        <v>81</v>
      </c>
      <c r="AL408" s="41">
        <f t="shared" si="434"/>
        <v>104.328</v>
      </c>
      <c r="AM408" s="202"/>
      <c r="AN408" s="205"/>
      <c r="AO408" s="26"/>
      <c r="AP408" s="26"/>
      <c r="AQ408" s="27"/>
      <c r="AR408" s="27"/>
      <c r="AS408" s="27"/>
      <c r="AT408" s="27"/>
      <c r="AU408" s="27"/>
      <c r="AV408" s="27"/>
      <c r="AW408" s="26"/>
      <c r="AX408" s="26"/>
      <c r="AY408" s="26"/>
      <c r="AZ408" s="26"/>
      <c r="BA408" s="26"/>
      <c r="BB408" s="26"/>
      <c r="BC408" s="26"/>
      <c r="BD408" s="26"/>
      <c r="BE408" s="26"/>
      <c r="BF408" s="26"/>
      <c r="BG408" s="26"/>
      <c r="BH408" s="26"/>
      <c r="BI408" s="26"/>
    </row>
    <row r="409" spans="1:61" ht="28.5" customHeight="1">
      <c r="A409" s="26"/>
      <c r="B409" s="324"/>
      <c r="C409" s="42" t="s">
        <v>116</v>
      </c>
      <c r="D409" s="28">
        <f t="shared" si="418"/>
        <v>0.13772608024691357</v>
      </c>
      <c r="E409" s="166">
        <v>0.45300000000000001</v>
      </c>
      <c r="F409" s="30">
        <f t="shared" si="419"/>
        <v>0.31527391975308644</v>
      </c>
      <c r="G409" s="30" t="e">
        <f t="shared" si="420"/>
        <v>#DIV/0!</v>
      </c>
      <c r="H409" s="48"/>
      <c r="I409" s="48"/>
      <c r="J409" s="48"/>
      <c r="K409" s="210"/>
      <c r="L409" s="210"/>
      <c r="M409" s="210"/>
      <c r="N409" s="202"/>
      <c r="O409" s="202">
        <v>2</v>
      </c>
      <c r="P409" s="31">
        <f t="shared" si="421"/>
        <v>2</v>
      </c>
      <c r="Q409" s="202">
        <v>0</v>
      </c>
      <c r="R409" s="203"/>
      <c r="S409" s="36"/>
      <c r="T409" s="34">
        <f t="shared" si="422"/>
        <v>129600</v>
      </c>
      <c r="U409" s="31">
        <f t="shared" si="423"/>
        <v>0</v>
      </c>
      <c r="V409" s="34">
        <f t="shared" si="424"/>
        <v>129600</v>
      </c>
      <c r="W409" s="43">
        <v>64800</v>
      </c>
      <c r="X409" s="34">
        <f t="shared" si="425"/>
        <v>25224.192000000003</v>
      </c>
      <c r="Y409" s="34">
        <f t="shared" si="426"/>
        <v>50448.384000000005</v>
      </c>
      <c r="Z409" s="34">
        <f t="shared" si="427"/>
        <v>40859.5</v>
      </c>
      <c r="AA409" s="49">
        <v>37145</v>
      </c>
      <c r="AB409" s="36"/>
      <c r="AC409" s="204">
        <f t="shared" si="435"/>
        <v>0</v>
      </c>
      <c r="AD409" s="149">
        <v>7.8E-2</v>
      </c>
      <c r="AE409" s="31">
        <f t="shared" si="441"/>
        <v>9650</v>
      </c>
      <c r="AF409" s="28">
        <f t="shared" si="429"/>
        <v>0.15245987654320986</v>
      </c>
      <c r="AG409" s="34">
        <f t="shared" si="430"/>
        <v>19758.829999999998</v>
      </c>
      <c r="AH409" s="34">
        <f t="shared" si="431"/>
        <v>5939.2785999999987</v>
      </c>
      <c r="AI409" s="34">
        <f t="shared" si="432"/>
        <v>53453.507399999988</v>
      </c>
      <c r="AJ409" s="46">
        <f t="shared" si="433"/>
        <v>12594.007399999988</v>
      </c>
      <c r="AK409" s="40">
        <v>102</v>
      </c>
      <c r="AL409" s="41">
        <f t="shared" si="434"/>
        <v>131.376</v>
      </c>
      <c r="AM409" s="202"/>
      <c r="AN409" s="205"/>
      <c r="AO409" s="26"/>
      <c r="AP409" s="26"/>
      <c r="AQ409" s="27"/>
      <c r="AR409" s="27"/>
      <c r="AS409" s="27"/>
      <c r="AT409" s="27"/>
      <c r="AU409" s="27"/>
      <c r="AV409" s="27"/>
      <c r="AW409" s="26"/>
      <c r="AX409" s="26"/>
      <c r="AY409" s="26"/>
      <c r="AZ409" s="26"/>
      <c r="BA409" s="26"/>
      <c r="BB409" s="26"/>
      <c r="BC409" s="26"/>
      <c r="BD409" s="26"/>
      <c r="BE409" s="26"/>
      <c r="BF409" s="26"/>
      <c r="BG409" s="26"/>
      <c r="BH409" s="26"/>
      <c r="BI409" s="26"/>
    </row>
    <row r="410" spans="1:61" ht="28.5" customHeight="1">
      <c r="A410" s="26"/>
      <c r="B410" s="200"/>
      <c r="C410" s="42" t="s">
        <v>117</v>
      </c>
      <c r="D410" s="28">
        <f t="shared" si="418"/>
        <v>0.23793123107072867</v>
      </c>
      <c r="E410" s="303">
        <v>0.51100000000000001</v>
      </c>
      <c r="F410" s="30">
        <f t="shared" si="419"/>
        <v>0.27306876892927134</v>
      </c>
      <c r="G410" s="30" t="e">
        <f t="shared" si="420"/>
        <v>#DIV/0!</v>
      </c>
      <c r="H410" s="48"/>
      <c r="I410" s="48"/>
      <c r="J410" s="48"/>
      <c r="K410" s="210"/>
      <c r="L410" s="210"/>
      <c r="M410" s="210"/>
      <c r="N410" s="202"/>
      <c r="O410" s="202">
        <v>66</v>
      </c>
      <c r="P410" s="31">
        <f t="shared" si="421"/>
        <v>66</v>
      </c>
      <c r="Q410" s="202">
        <v>24</v>
      </c>
      <c r="R410" s="203"/>
      <c r="S410" s="36"/>
      <c r="T410" s="34">
        <f t="shared" si="422"/>
        <v>1234860</v>
      </c>
      <c r="U410" s="31">
        <f t="shared" si="423"/>
        <v>0</v>
      </c>
      <c r="V410" s="34">
        <f t="shared" si="424"/>
        <v>1234860</v>
      </c>
      <c r="W410" s="43">
        <v>18710</v>
      </c>
      <c r="X410" s="34">
        <f t="shared" si="425"/>
        <v>4451.3280000000004</v>
      </c>
      <c r="Y410" s="34">
        <f t="shared" si="426"/>
        <v>293787.64800000004</v>
      </c>
      <c r="Z410" s="34">
        <f t="shared" si="427"/>
        <v>281761.7</v>
      </c>
      <c r="AA410" s="49">
        <v>256147</v>
      </c>
      <c r="AB410" s="36"/>
      <c r="AC410" s="204">
        <f t="shared" si="435"/>
        <v>55440</v>
      </c>
      <c r="AD410" s="149">
        <v>7.8E-2</v>
      </c>
      <c r="AE410" s="31">
        <f t="shared" ref="AE410:AE412" si="442">1900*(P410+S410)</f>
        <v>125400</v>
      </c>
      <c r="AF410" s="28">
        <f t="shared" si="429"/>
        <v>0.17954997327632283</v>
      </c>
      <c r="AG410" s="34">
        <f t="shared" si="430"/>
        <v>221719.11000000002</v>
      </c>
      <c r="AH410" s="34">
        <f t="shared" si="431"/>
        <v>71935.324200000003</v>
      </c>
      <c r="AI410" s="34">
        <f t="shared" si="432"/>
        <v>647417.91779999994</v>
      </c>
      <c r="AJ410" s="46">
        <f t="shared" si="433"/>
        <v>365656.21779999993</v>
      </c>
      <c r="AK410" s="40">
        <v>18</v>
      </c>
      <c r="AL410" s="41">
        <f t="shared" si="434"/>
        <v>23.184000000000001</v>
      </c>
      <c r="AM410" s="202"/>
      <c r="AN410" s="205"/>
      <c r="AO410" s="26"/>
      <c r="AP410" s="26"/>
      <c r="AQ410" s="27"/>
      <c r="AR410" s="27"/>
      <c r="AS410" s="27"/>
      <c r="AT410" s="27"/>
      <c r="AU410" s="27"/>
      <c r="AV410" s="27"/>
      <c r="AW410" s="26"/>
      <c r="AX410" s="26"/>
      <c r="AY410" s="26"/>
      <c r="AZ410" s="26"/>
      <c r="BA410" s="26"/>
      <c r="BB410" s="26"/>
      <c r="BC410" s="26"/>
      <c r="BD410" s="26"/>
      <c r="BE410" s="26"/>
      <c r="BF410" s="26"/>
      <c r="BG410" s="26"/>
      <c r="BH410" s="26"/>
      <c r="BI410" s="26"/>
    </row>
    <row r="411" spans="1:61" ht="28.5" customHeight="1">
      <c r="A411" s="26"/>
      <c r="B411" s="200"/>
      <c r="C411" s="42" t="s">
        <v>31</v>
      </c>
      <c r="D411" s="28">
        <f t="shared" si="418"/>
        <v>-0.11061111111111116</v>
      </c>
      <c r="E411" s="303">
        <v>0.44700000000000001</v>
      </c>
      <c r="F411" s="30">
        <f t="shared" si="419"/>
        <v>0.55761111111111117</v>
      </c>
      <c r="G411" s="30" t="e">
        <f t="shared" si="420"/>
        <v>#DIV/0!</v>
      </c>
      <c r="H411" s="48"/>
      <c r="I411" s="48"/>
      <c r="J411" s="48"/>
      <c r="K411" s="210"/>
      <c r="L411" s="210"/>
      <c r="M411" s="210"/>
      <c r="N411" s="202"/>
      <c r="O411" s="202">
        <v>7</v>
      </c>
      <c r="P411" s="31">
        <f t="shared" si="421"/>
        <v>2</v>
      </c>
      <c r="Q411" s="36">
        <v>0</v>
      </c>
      <c r="R411" s="203"/>
      <c r="S411" s="202">
        <v>5</v>
      </c>
      <c r="T411" s="34">
        <f t="shared" si="422"/>
        <v>138600</v>
      </c>
      <c r="U411" s="31">
        <f t="shared" si="423"/>
        <v>99000</v>
      </c>
      <c r="V411" s="34">
        <f t="shared" si="424"/>
        <v>39600</v>
      </c>
      <c r="W411" s="43">
        <v>19800</v>
      </c>
      <c r="X411" s="34">
        <f t="shared" si="425"/>
        <v>7418.88</v>
      </c>
      <c r="Y411" s="34">
        <f t="shared" si="426"/>
        <v>14837.76</v>
      </c>
      <c r="Z411" s="34">
        <f t="shared" si="427"/>
        <v>22081.4</v>
      </c>
      <c r="AA411" s="49">
        <v>20074</v>
      </c>
      <c r="AB411" s="286">
        <f>((19800*0.1)+(19800*0.015)+2100+2200)*5</f>
        <v>32885</v>
      </c>
      <c r="AC411" s="204">
        <f t="shared" si="435"/>
        <v>0</v>
      </c>
      <c r="AD411" s="149">
        <v>0.08</v>
      </c>
      <c r="AE411" s="31">
        <f t="shared" si="442"/>
        <v>13300</v>
      </c>
      <c r="AF411" s="28">
        <f t="shared" si="429"/>
        <v>0.41585858585858587</v>
      </c>
      <c r="AG411" s="34">
        <f t="shared" si="430"/>
        <v>16468.03</v>
      </c>
      <c r="AH411" s="34">
        <f t="shared" si="431"/>
        <v>829.42099999999982</v>
      </c>
      <c r="AI411" s="34">
        <f t="shared" si="432"/>
        <v>7464.7890000000007</v>
      </c>
      <c r="AJ411" s="206">
        <f t="shared" si="433"/>
        <v>-14616.611000000001</v>
      </c>
      <c r="AK411" s="40">
        <v>30</v>
      </c>
      <c r="AL411" s="41">
        <f t="shared" si="434"/>
        <v>38.64</v>
      </c>
      <c r="AM411" s="202"/>
      <c r="AN411" s="205"/>
      <c r="AO411" s="26"/>
      <c r="AP411" s="26"/>
      <c r="AQ411" s="27"/>
      <c r="AR411" s="27"/>
      <c r="AS411" s="27"/>
      <c r="AT411" s="27"/>
      <c r="AU411" s="27"/>
      <c r="AV411" s="27"/>
      <c r="AW411" s="26"/>
      <c r="AX411" s="26"/>
      <c r="AY411" s="26"/>
      <c r="AZ411" s="26"/>
      <c r="BA411" s="26"/>
      <c r="BB411" s="26"/>
      <c r="BC411" s="26"/>
      <c r="BD411" s="26"/>
      <c r="BE411" s="26"/>
      <c r="BF411" s="26"/>
      <c r="BG411" s="26"/>
      <c r="BH411" s="26"/>
      <c r="BI411" s="26"/>
    </row>
    <row r="412" spans="1:61" ht="28.5" customHeight="1">
      <c r="A412" s="26"/>
      <c r="B412" s="200"/>
      <c r="C412" s="42" t="s">
        <v>118</v>
      </c>
      <c r="D412" s="28" t="e">
        <f t="shared" si="418"/>
        <v>#DIV/0!</v>
      </c>
      <c r="E412" s="303">
        <v>0.36599999999999999</v>
      </c>
      <c r="F412" s="30" t="e">
        <f t="shared" si="419"/>
        <v>#DIV/0!</v>
      </c>
      <c r="G412" s="30" t="e">
        <f t="shared" si="420"/>
        <v>#DIV/0!</v>
      </c>
      <c r="H412" s="48"/>
      <c r="I412" s="48"/>
      <c r="J412" s="48"/>
      <c r="K412" s="210"/>
      <c r="L412" s="210"/>
      <c r="M412" s="210"/>
      <c r="N412" s="202"/>
      <c r="O412" s="202">
        <v>0</v>
      </c>
      <c r="P412" s="31">
        <f t="shared" si="421"/>
        <v>0</v>
      </c>
      <c r="Q412" s="36">
        <v>0</v>
      </c>
      <c r="R412" s="203"/>
      <c r="S412" s="36"/>
      <c r="T412" s="34">
        <f t="shared" si="422"/>
        <v>0</v>
      </c>
      <c r="U412" s="31">
        <f t="shared" si="423"/>
        <v>0</v>
      </c>
      <c r="V412" s="34">
        <f t="shared" si="424"/>
        <v>0</v>
      </c>
      <c r="W412" s="43">
        <v>24800</v>
      </c>
      <c r="X412" s="34">
        <f t="shared" si="425"/>
        <v>10386.432000000001</v>
      </c>
      <c r="Y412" s="34">
        <f t="shared" si="426"/>
        <v>0</v>
      </c>
      <c r="Z412" s="34">
        <f t="shared" si="427"/>
        <v>0</v>
      </c>
      <c r="AA412" s="49">
        <v>0</v>
      </c>
      <c r="AB412" s="286"/>
      <c r="AC412" s="204">
        <f t="shared" si="435"/>
        <v>0</v>
      </c>
      <c r="AD412" s="149">
        <v>0.1</v>
      </c>
      <c r="AE412" s="31">
        <f t="shared" si="442"/>
        <v>0</v>
      </c>
      <c r="AF412" s="28" t="e">
        <f t="shared" si="429"/>
        <v>#DIV/0!</v>
      </c>
      <c r="AG412" s="34" t="e">
        <f t="shared" si="430"/>
        <v>#DIV/0!</v>
      </c>
      <c r="AH412" s="34" t="e">
        <f t="shared" si="431"/>
        <v>#DIV/0!</v>
      </c>
      <c r="AI412" s="34" t="e">
        <f t="shared" si="432"/>
        <v>#DIV/0!</v>
      </c>
      <c r="AJ412" s="206" t="e">
        <f t="shared" si="433"/>
        <v>#DIV/0!</v>
      </c>
      <c r="AK412" s="40">
        <v>42</v>
      </c>
      <c r="AL412" s="41">
        <f t="shared" si="434"/>
        <v>54.096000000000004</v>
      </c>
      <c r="AM412" s="202"/>
      <c r="AN412" s="284"/>
      <c r="AO412" s="26"/>
      <c r="AP412" s="26"/>
      <c r="AQ412" s="27"/>
      <c r="AR412" s="27"/>
      <c r="AS412" s="27"/>
      <c r="AT412" s="27"/>
      <c r="AU412" s="27"/>
      <c r="AV412" s="27"/>
      <c r="AW412" s="26"/>
      <c r="AX412" s="26"/>
      <c r="AY412" s="26"/>
      <c r="AZ412" s="26"/>
      <c r="BA412" s="26"/>
      <c r="BB412" s="26"/>
      <c r="BC412" s="26"/>
      <c r="BD412" s="26"/>
      <c r="BE412" s="26"/>
      <c r="BF412" s="26"/>
      <c r="BG412" s="26"/>
      <c r="BH412" s="26"/>
      <c r="BI412" s="26"/>
    </row>
    <row r="413" spans="1:61" ht="28.5" customHeight="1">
      <c r="A413" s="26"/>
      <c r="B413" s="200"/>
      <c r="C413" s="42" t="s">
        <v>119</v>
      </c>
      <c r="D413" s="28">
        <f t="shared" si="418"/>
        <v>0.22890725806451609</v>
      </c>
      <c r="E413" s="166">
        <v>0.433</v>
      </c>
      <c r="F413" s="30">
        <f t="shared" si="419"/>
        <v>0.20409274193548391</v>
      </c>
      <c r="G413" s="30" t="e">
        <f t="shared" si="420"/>
        <v>#DIV/0!</v>
      </c>
      <c r="H413" s="48"/>
      <c r="I413" s="48"/>
      <c r="J413" s="48"/>
      <c r="K413" s="210"/>
      <c r="L413" s="210"/>
      <c r="M413" s="210"/>
      <c r="N413" s="202"/>
      <c r="O413" s="202">
        <v>22</v>
      </c>
      <c r="P413" s="31">
        <f t="shared" si="421"/>
        <v>22</v>
      </c>
      <c r="Q413" s="202">
        <v>4</v>
      </c>
      <c r="R413" s="203"/>
      <c r="S413" s="36"/>
      <c r="T413" s="34">
        <f t="shared" si="422"/>
        <v>545600</v>
      </c>
      <c r="U413" s="31">
        <f t="shared" si="423"/>
        <v>0</v>
      </c>
      <c r="V413" s="34">
        <f t="shared" si="424"/>
        <v>545600</v>
      </c>
      <c r="W413" s="43">
        <v>24800</v>
      </c>
      <c r="X413" s="34">
        <f t="shared" si="425"/>
        <v>7666.1760000000013</v>
      </c>
      <c r="Y413" s="34">
        <f t="shared" si="426"/>
        <v>168655.87200000003</v>
      </c>
      <c r="Z413" s="34">
        <f t="shared" si="427"/>
        <v>102113.00000000001</v>
      </c>
      <c r="AA413" s="49">
        <v>92830</v>
      </c>
      <c r="AB413" s="36"/>
      <c r="AC413" s="204">
        <f t="shared" si="435"/>
        <v>9240</v>
      </c>
      <c r="AD413" s="149">
        <v>0.108</v>
      </c>
      <c r="AE413" s="31">
        <f>3150*(P413+S413)</f>
        <v>69300</v>
      </c>
      <c r="AF413" s="28">
        <f t="shared" si="429"/>
        <v>0.23501612903225805</v>
      </c>
      <c r="AG413" s="34">
        <f t="shared" si="430"/>
        <v>128224.82999999999</v>
      </c>
      <c r="AH413" s="34">
        <f t="shared" si="431"/>
        <v>24871.929799999994</v>
      </c>
      <c r="AI413" s="34">
        <f t="shared" si="432"/>
        <v>223847.36819999997</v>
      </c>
      <c r="AJ413" s="46">
        <f t="shared" si="433"/>
        <v>121734.36819999995</v>
      </c>
      <c r="AK413" s="40">
        <v>31</v>
      </c>
      <c r="AL413" s="41">
        <f t="shared" si="434"/>
        <v>39.928000000000004</v>
      </c>
      <c r="AM413" s="202"/>
      <c r="AN413" s="205"/>
      <c r="AO413" s="26"/>
      <c r="AP413" s="26"/>
      <c r="AQ413" s="27"/>
      <c r="AR413" s="27"/>
      <c r="AS413" s="27"/>
      <c r="AT413" s="27"/>
      <c r="AU413" s="27"/>
      <c r="AV413" s="27"/>
      <c r="AW413" s="26"/>
      <c r="AX413" s="26"/>
      <c r="AY413" s="26"/>
      <c r="AZ413" s="26"/>
      <c r="BA413" s="26"/>
      <c r="BB413" s="26"/>
      <c r="BC413" s="26"/>
      <c r="BD413" s="26"/>
      <c r="BE413" s="26"/>
      <c r="BF413" s="26"/>
      <c r="BG413" s="26"/>
      <c r="BH413" s="26"/>
      <c r="BI413" s="26"/>
    </row>
    <row r="414" spans="1:61" ht="28.5" customHeight="1">
      <c r="A414" s="26"/>
      <c r="B414" s="200"/>
      <c r="C414" s="42" t="s">
        <v>120</v>
      </c>
      <c r="D414" s="28" t="e">
        <f t="shared" si="418"/>
        <v>#DIV/0!</v>
      </c>
      <c r="E414" s="166">
        <v>0.41199999999999998</v>
      </c>
      <c r="F414" s="30" t="e">
        <f t="shared" si="419"/>
        <v>#DIV/0!</v>
      </c>
      <c r="G414" s="30" t="e">
        <f t="shared" si="420"/>
        <v>#DIV/0!</v>
      </c>
      <c r="H414" s="48"/>
      <c r="I414" s="48"/>
      <c r="J414" s="48"/>
      <c r="K414" s="210"/>
      <c r="L414" s="210"/>
      <c r="M414" s="210"/>
      <c r="N414" s="202"/>
      <c r="O414" s="202">
        <v>0</v>
      </c>
      <c r="P414" s="31">
        <f t="shared" si="421"/>
        <v>0</v>
      </c>
      <c r="Q414" s="36">
        <v>0</v>
      </c>
      <c r="R414" s="203"/>
      <c r="S414" s="36"/>
      <c r="T414" s="34">
        <f t="shared" si="422"/>
        <v>0</v>
      </c>
      <c r="U414" s="31">
        <f t="shared" si="423"/>
        <v>0</v>
      </c>
      <c r="V414" s="34">
        <f t="shared" si="424"/>
        <v>0</v>
      </c>
      <c r="W414" s="43">
        <v>39800</v>
      </c>
      <c r="X414" s="34">
        <f t="shared" si="425"/>
        <v>7666.1760000000013</v>
      </c>
      <c r="Y414" s="34">
        <f t="shared" si="426"/>
        <v>0</v>
      </c>
      <c r="Z414" s="34">
        <f t="shared" si="427"/>
        <v>10269.6</v>
      </c>
      <c r="AA414" s="49">
        <v>9336</v>
      </c>
      <c r="AB414" s="36"/>
      <c r="AC414" s="204">
        <f t="shared" si="435"/>
        <v>0</v>
      </c>
      <c r="AD414" s="152">
        <v>0.108</v>
      </c>
      <c r="AE414" s="31">
        <f>3550*(P414+S414)</f>
        <v>0</v>
      </c>
      <c r="AF414" s="28" t="e">
        <f t="shared" si="429"/>
        <v>#DIV/0!</v>
      </c>
      <c r="AG414" s="34" t="e">
        <f t="shared" si="430"/>
        <v>#DIV/0!</v>
      </c>
      <c r="AH414" s="34" t="e">
        <f t="shared" si="431"/>
        <v>#DIV/0!</v>
      </c>
      <c r="AI414" s="34" t="e">
        <f t="shared" si="432"/>
        <v>#DIV/0!</v>
      </c>
      <c r="AJ414" s="206" t="e">
        <f t="shared" si="433"/>
        <v>#DIV/0!</v>
      </c>
      <c r="AK414" s="40">
        <v>31</v>
      </c>
      <c r="AL414" s="41">
        <f t="shared" si="434"/>
        <v>39.928000000000004</v>
      </c>
      <c r="AM414" s="202"/>
      <c r="AN414" s="205"/>
      <c r="AO414" s="26"/>
      <c r="AP414" s="26"/>
      <c r="AQ414" s="27"/>
      <c r="AR414" s="27"/>
      <c r="AS414" s="27"/>
      <c r="AT414" s="27"/>
      <c r="AU414" s="27"/>
      <c r="AV414" s="27"/>
      <c r="AW414" s="26"/>
      <c r="AX414" s="26"/>
      <c r="AY414" s="26"/>
      <c r="AZ414" s="26"/>
      <c r="BA414" s="26"/>
      <c r="BB414" s="26"/>
      <c r="BC414" s="26"/>
      <c r="BD414" s="26"/>
      <c r="BE414" s="26"/>
      <c r="BF414" s="26"/>
      <c r="BG414" s="26"/>
      <c r="BH414" s="26"/>
      <c r="BI414" s="26"/>
    </row>
    <row r="415" spans="1:61" ht="28.5" customHeight="1">
      <c r="A415" s="26"/>
      <c r="B415" s="216"/>
      <c r="C415" s="217"/>
      <c r="D415" s="298">
        <f>AJ415/V415</f>
        <v>0.11888232161645421</v>
      </c>
      <c r="E415" s="298">
        <f>AI415/V415</f>
        <v>0.39891282075243978</v>
      </c>
      <c r="F415" s="52">
        <f>(Z415)/V415</f>
        <v>0.25665929093340389</v>
      </c>
      <c r="G415" s="219"/>
      <c r="H415" s="55"/>
      <c r="I415" s="55"/>
      <c r="J415" s="55"/>
      <c r="K415" s="55"/>
      <c r="L415" s="55"/>
      <c r="M415" s="55"/>
      <c r="N415" s="130"/>
      <c r="O415" s="130">
        <f t="shared" ref="O415:R415" si="443">SUM(O393:O414)</f>
        <v>393</v>
      </c>
      <c r="P415" s="130">
        <f t="shared" si="443"/>
        <v>368</v>
      </c>
      <c r="Q415" s="130">
        <f t="shared" si="443"/>
        <v>62</v>
      </c>
      <c r="R415" s="130">
        <f t="shared" si="443"/>
        <v>0</v>
      </c>
      <c r="S415" s="36"/>
      <c r="T415" s="130">
        <f t="shared" ref="T415:V415" si="444">SUM(T393:T414)</f>
        <v>11045140</v>
      </c>
      <c r="U415" s="130">
        <f t="shared" si="444"/>
        <v>605500</v>
      </c>
      <c r="V415" s="130">
        <f t="shared" si="444"/>
        <v>10439640</v>
      </c>
      <c r="W415" s="55"/>
      <c r="X415" s="130">
        <f t="shared" ref="X415:AC415" si="445">SUM(X393:X414)</f>
        <v>314387.4047999999</v>
      </c>
      <c r="Y415" s="130">
        <f t="shared" si="445"/>
        <v>3663418.2143999995</v>
      </c>
      <c r="Z415" s="130">
        <f t="shared" si="445"/>
        <v>2679430.6000000006</v>
      </c>
      <c r="AA415" s="130">
        <f t="shared" si="445"/>
        <v>2435846</v>
      </c>
      <c r="AB415" s="287">
        <f t="shared" si="445"/>
        <v>243987</v>
      </c>
      <c r="AC415" s="130">
        <f t="shared" si="445"/>
        <v>141150</v>
      </c>
      <c r="AD415" s="154">
        <v>0.09</v>
      </c>
      <c r="AE415" s="130">
        <f>SUM(AE393:AE414)</f>
        <v>1209425</v>
      </c>
      <c r="AF415" s="53">
        <f t="shared" si="429"/>
        <v>0.20584930131690365</v>
      </c>
      <c r="AG415" s="56">
        <f t="shared" si="430"/>
        <v>2148992.63</v>
      </c>
      <c r="AH415" s="56">
        <f t="shared" si="431"/>
        <v>462722.91555999999</v>
      </c>
      <c r="AI415" s="56">
        <f t="shared" si="432"/>
        <v>4164506.2400400005</v>
      </c>
      <c r="AJ415" s="46">
        <f>AI415-Z415-AB415</f>
        <v>1241088.64004</v>
      </c>
      <c r="AK415" s="54"/>
      <c r="AL415" s="222"/>
      <c r="AM415" s="131">
        <f t="shared" ref="AM415:AN415" si="446">SUM(AM393:AM394)</f>
        <v>0</v>
      </c>
      <c r="AN415" s="132">
        <f t="shared" si="446"/>
        <v>0</v>
      </c>
      <c r="AO415" s="26"/>
      <c r="AP415" s="26"/>
      <c r="AQ415" s="27"/>
      <c r="AR415" s="27"/>
      <c r="AS415" s="27"/>
      <c r="AT415" s="27"/>
      <c r="AU415" s="27"/>
      <c r="AV415" s="27"/>
      <c r="AW415" s="26"/>
      <c r="AX415" s="26"/>
      <c r="AY415" s="26"/>
      <c r="AZ415" s="26"/>
      <c r="BA415" s="26"/>
      <c r="BB415" s="26"/>
      <c r="BC415" s="26"/>
      <c r="BD415" s="26"/>
      <c r="BE415" s="26"/>
      <c r="BF415" s="26"/>
      <c r="BG415" s="26"/>
      <c r="BH415" s="26"/>
      <c r="BI415" s="26"/>
    </row>
    <row r="416" spans="1:61" ht="28.5" customHeight="1">
      <c r="A416" s="1"/>
      <c r="B416" s="290"/>
      <c r="C416" s="291"/>
      <c r="D416" s="2"/>
      <c r="E416" s="2"/>
      <c r="F416" s="2"/>
      <c r="G416" s="2"/>
      <c r="H416" s="2"/>
      <c r="I416" s="2"/>
      <c r="J416" s="2"/>
      <c r="K416" s="2"/>
      <c r="L416" s="2"/>
      <c r="M416" s="2"/>
      <c r="N416" s="292"/>
      <c r="O416" s="292"/>
      <c r="P416" s="2"/>
      <c r="Q416" s="2"/>
      <c r="R416" s="2"/>
      <c r="S416" s="293"/>
      <c r="T416" s="2"/>
      <c r="U416" s="2"/>
      <c r="V416" s="2"/>
      <c r="W416" s="2"/>
      <c r="X416" s="2"/>
      <c r="Y416" s="2"/>
      <c r="Z416" s="2"/>
      <c r="AA416" s="2"/>
      <c r="AB416" s="2"/>
      <c r="AC416" s="2"/>
      <c r="AD416" s="2"/>
      <c r="AE416" s="2"/>
      <c r="AF416" s="1"/>
      <c r="AG416" s="1"/>
      <c r="AH416" s="1"/>
      <c r="AI416" s="1"/>
      <c r="AJ416" s="1"/>
      <c r="AK416" s="1"/>
      <c r="AL416" s="1"/>
      <c r="AM416" s="1"/>
      <c r="AN416" s="1"/>
      <c r="AO416" s="1"/>
      <c r="AP416" s="1"/>
      <c r="AQ416" s="1"/>
      <c r="AR416" s="1"/>
      <c r="AS416" s="1"/>
      <c r="AT416" s="7"/>
      <c r="AU416" s="7"/>
      <c r="AV416" s="7"/>
      <c r="AW416" s="47"/>
      <c r="AX416" s="47"/>
      <c r="AY416" s="47"/>
      <c r="AZ416" s="47"/>
      <c r="BA416" s="47"/>
      <c r="BB416" s="47"/>
      <c r="BC416" s="47"/>
      <c r="BD416" s="47"/>
      <c r="BE416" s="47"/>
      <c r="BF416" s="47"/>
      <c r="BG416" s="47"/>
      <c r="BH416" s="47"/>
      <c r="BI416" s="47"/>
    </row>
    <row r="417" spans="1:61" ht="28.5" customHeight="1">
      <c r="A417" s="26"/>
      <c r="B417" s="189"/>
      <c r="C417" s="134">
        <v>45886</v>
      </c>
      <c r="D417" s="190" t="s">
        <v>0</v>
      </c>
      <c r="E417" s="190" t="s">
        <v>1</v>
      </c>
      <c r="F417" s="190" t="s">
        <v>2</v>
      </c>
      <c r="G417" s="190" t="s">
        <v>3</v>
      </c>
      <c r="H417" s="191" t="s">
        <v>4</v>
      </c>
      <c r="I417" s="192" t="s">
        <v>5</v>
      </c>
      <c r="J417" s="192" t="s">
        <v>90</v>
      </c>
      <c r="K417" s="193"/>
      <c r="L417" s="193" t="s">
        <v>6</v>
      </c>
      <c r="M417" s="194" t="s">
        <v>7</v>
      </c>
      <c r="N417" s="123"/>
      <c r="O417" s="123" t="s">
        <v>8</v>
      </c>
      <c r="P417" s="123" t="s">
        <v>9</v>
      </c>
      <c r="Q417" s="15" t="s">
        <v>10</v>
      </c>
      <c r="R417" s="123" t="s">
        <v>92</v>
      </c>
      <c r="S417" s="196" t="s">
        <v>11</v>
      </c>
      <c r="T417" s="17" t="s">
        <v>12</v>
      </c>
      <c r="U417" s="17" t="s">
        <v>13</v>
      </c>
      <c r="V417" s="17" t="s">
        <v>14</v>
      </c>
      <c r="W417" s="17" t="s">
        <v>15</v>
      </c>
      <c r="X417" s="17" t="s">
        <v>16</v>
      </c>
      <c r="Y417" s="17" t="s">
        <v>17</v>
      </c>
      <c r="Z417" s="19" t="s">
        <v>18</v>
      </c>
      <c r="AA417" s="19" t="s">
        <v>19</v>
      </c>
      <c r="AB417" s="20" t="s">
        <v>20</v>
      </c>
      <c r="AC417" s="22" t="s">
        <v>93</v>
      </c>
      <c r="AD417" s="197" t="s">
        <v>21</v>
      </c>
      <c r="AE417" s="21" t="s">
        <v>22</v>
      </c>
      <c r="AF417" s="23" t="s">
        <v>23</v>
      </c>
      <c r="AG417" s="23" t="s">
        <v>21</v>
      </c>
      <c r="AH417" s="23" t="s">
        <v>24</v>
      </c>
      <c r="AI417" s="24" t="s">
        <v>26</v>
      </c>
      <c r="AJ417" s="23" t="s">
        <v>27</v>
      </c>
      <c r="AK417" s="21" t="s">
        <v>147</v>
      </c>
      <c r="AL417" s="282" t="s">
        <v>148</v>
      </c>
      <c r="AM417" s="124" t="s">
        <v>94</v>
      </c>
      <c r="AN417" s="125" t="s">
        <v>95</v>
      </c>
      <c r="AO417" s="26"/>
      <c r="AP417" s="26"/>
      <c r="AQ417" s="27"/>
      <c r="AR417" s="27"/>
      <c r="AS417" s="27"/>
      <c r="AT417" s="27"/>
      <c r="AU417" s="27"/>
      <c r="AV417" s="27"/>
      <c r="AW417" s="26"/>
      <c r="AX417" s="26"/>
      <c r="AY417" s="26"/>
      <c r="AZ417" s="26"/>
      <c r="BA417" s="26"/>
      <c r="BB417" s="26"/>
      <c r="BC417" s="26"/>
      <c r="BD417" s="26"/>
      <c r="BE417" s="26"/>
      <c r="BF417" s="26"/>
      <c r="BG417" s="26"/>
      <c r="BH417" s="26"/>
      <c r="BI417" s="26"/>
    </row>
    <row r="418" spans="1:61" ht="28.5" customHeight="1">
      <c r="A418" s="26"/>
      <c r="B418" s="200"/>
      <c r="C418" s="42" t="s">
        <v>107</v>
      </c>
      <c r="D418" s="28">
        <f t="shared" ref="D418:D439" si="447">E418-F418</f>
        <v>0.1371593971312281</v>
      </c>
      <c r="E418" s="166">
        <v>0.39700000000000002</v>
      </c>
      <c r="F418" s="30">
        <f t="shared" ref="F418:F439" si="448">(Z418+AC418)/V418</f>
        <v>0.25984060286877192</v>
      </c>
      <c r="G418" s="30" t="e">
        <f t="shared" ref="G418:G439" si="449">R418/AN418</f>
        <v>#DIV/0!</v>
      </c>
      <c r="H418" s="48"/>
      <c r="I418" s="48"/>
      <c r="J418" s="48"/>
      <c r="K418" s="48"/>
      <c r="L418" s="48"/>
      <c r="M418" s="48"/>
      <c r="N418" s="202"/>
      <c r="O418" s="202">
        <v>182</v>
      </c>
      <c r="P418" s="31">
        <f t="shared" ref="P418:P439" si="450">O418-S418</f>
        <v>182</v>
      </c>
      <c r="Q418" s="202">
        <v>18</v>
      </c>
      <c r="R418" s="203"/>
      <c r="S418" s="36"/>
      <c r="T418" s="34">
        <f t="shared" ref="T418:T439" si="451">W418*O418</f>
        <v>4781140</v>
      </c>
      <c r="U418" s="31">
        <f t="shared" ref="U418:U439" si="452">W418*S418</f>
        <v>0</v>
      </c>
      <c r="V418" s="34">
        <f t="shared" ref="V418:V439" si="453">T418-U418</f>
        <v>4781140</v>
      </c>
      <c r="W418" s="43">
        <v>26270</v>
      </c>
      <c r="X418" s="34">
        <f t="shared" ref="X418:X439" si="454">AL418*$A$2</f>
        <v>9891.84</v>
      </c>
      <c r="Y418" s="34">
        <f t="shared" ref="Y418:Y439" si="455">X418*P418</f>
        <v>1800314.8800000001</v>
      </c>
      <c r="Z418" s="34">
        <f t="shared" ref="Z418:Z439" si="456">AA418*1.1</f>
        <v>1203238.3</v>
      </c>
      <c r="AA418" s="49">
        <v>1093853</v>
      </c>
      <c r="AB418" s="36"/>
      <c r="AC418" s="204">
        <f t="shared" ref="AC418:AC419" si="457">(1072+1100)*Q418</f>
        <v>39096</v>
      </c>
      <c r="AD418" s="149">
        <v>0.1</v>
      </c>
      <c r="AE418" s="31">
        <f>3050*(P418+S418)</f>
        <v>555100</v>
      </c>
      <c r="AF418" s="28">
        <f t="shared" ref="AF418:AF440" si="458">AD418+(AE418/V418)</f>
        <v>0.2161020175104682</v>
      </c>
      <c r="AG418" s="34">
        <f t="shared" ref="AG418:AG440" si="459">V418*AF418+3%</f>
        <v>1033214.03</v>
      </c>
      <c r="AH418" s="34">
        <f t="shared" ref="AH418:AH440" si="460">(V418)*10%-(Y418+AG418)*10%</f>
        <v>194761.109</v>
      </c>
      <c r="AI418" s="34">
        <f t="shared" ref="AI418:AI440" si="461">V418-(Y418+AG418+AH418)</f>
        <v>1752849.9809999997</v>
      </c>
      <c r="AJ418" s="46">
        <f t="shared" ref="AJ418:AJ439" si="462">AI418-Z418</f>
        <v>549611.68099999963</v>
      </c>
      <c r="AK418" s="40">
        <v>40</v>
      </c>
      <c r="AL418" s="41">
        <f t="shared" ref="AL418:AL439" si="463">(AK418*1.15)*1.12</f>
        <v>51.52</v>
      </c>
      <c r="AM418" s="202"/>
      <c r="AN418" s="205"/>
      <c r="AO418" s="26"/>
      <c r="AP418" s="26"/>
      <c r="AQ418" s="27"/>
      <c r="AR418" s="27"/>
      <c r="AS418" s="27"/>
      <c r="AT418" s="27"/>
      <c r="AU418" s="27"/>
      <c r="AV418" s="27"/>
      <c r="AW418" s="26"/>
      <c r="AX418" s="26"/>
      <c r="AY418" s="26"/>
      <c r="AZ418" s="26"/>
      <c r="BA418" s="26"/>
      <c r="BB418" s="26"/>
      <c r="BC418" s="26"/>
      <c r="BD418" s="26"/>
      <c r="BE418" s="26"/>
      <c r="BF418" s="26"/>
      <c r="BG418" s="26"/>
      <c r="BH418" s="26"/>
      <c r="BI418" s="26"/>
    </row>
    <row r="419" spans="1:61" ht="28.5" customHeight="1">
      <c r="A419" s="26"/>
      <c r="B419" s="200"/>
      <c r="C419" s="42" t="s">
        <v>108</v>
      </c>
      <c r="D419" s="28" t="e">
        <f t="shared" si="447"/>
        <v>#DIV/0!</v>
      </c>
      <c r="E419" s="166">
        <v>0.41199999999999998</v>
      </c>
      <c r="F419" s="30" t="e">
        <f t="shared" si="448"/>
        <v>#DIV/0!</v>
      </c>
      <c r="G419" s="30" t="e">
        <f t="shared" si="449"/>
        <v>#DIV/0!</v>
      </c>
      <c r="H419" s="48"/>
      <c r="I419" s="48"/>
      <c r="J419" s="48"/>
      <c r="K419" s="210"/>
      <c r="L419" s="210"/>
      <c r="M419" s="210"/>
      <c r="N419" s="202"/>
      <c r="O419" s="202">
        <v>0</v>
      </c>
      <c r="P419" s="31">
        <f t="shared" si="450"/>
        <v>0</v>
      </c>
      <c r="Q419" s="36">
        <v>0</v>
      </c>
      <c r="R419" s="203"/>
      <c r="S419" s="36"/>
      <c r="T419" s="34">
        <f t="shared" si="451"/>
        <v>0</v>
      </c>
      <c r="U419" s="31">
        <f t="shared" si="452"/>
        <v>0</v>
      </c>
      <c r="V419" s="34">
        <f t="shared" si="453"/>
        <v>0</v>
      </c>
      <c r="W419" s="43">
        <v>22900</v>
      </c>
      <c r="X419" s="34">
        <f t="shared" si="454"/>
        <v>7913.4719999999998</v>
      </c>
      <c r="Y419" s="34">
        <f t="shared" si="455"/>
        <v>0</v>
      </c>
      <c r="Z419" s="34">
        <f t="shared" si="456"/>
        <v>24742.300000000003</v>
      </c>
      <c r="AA419" s="49">
        <v>22493</v>
      </c>
      <c r="AB419" s="36"/>
      <c r="AC419" s="204">
        <f t="shared" si="457"/>
        <v>0</v>
      </c>
      <c r="AD419" s="149">
        <v>0.1</v>
      </c>
      <c r="AE419" s="31">
        <f>2950*(P419+S419)</f>
        <v>0</v>
      </c>
      <c r="AF419" s="28" t="e">
        <f t="shared" si="458"/>
        <v>#DIV/0!</v>
      </c>
      <c r="AG419" s="34" t="e">
        <f t="shared" si="459"/>
        <v>#DIV/0!</v>
      </c>
      <c r="AH419" s="34" t="e">
        <f t="shared" si="460"/>
        <v>#DIV/0!</v>
      </c>
      <c r="AI419" s="34" t="e">
        <f t="shared" si="461"/>
        <v>#DIV/0!</v>
      </c>
      <c r="AJ419" s="46" t="e">
        <f t="shared" si="462"/>
        <v>#DIV/0!</v>
      </c>
      <c r="AK419" s="40">
        <v>32</v>
      </c>
      <c r="AL419" s="41">
        <f t="shared" si="463"/>
        <v>41.216000000000001</v>
      </c>
      <c r="AM419" s="202"/>
      <c r="AN419" s="205"/>
      <c r="AO419" s="26"/>
      <c r="AP419" s="26"/>
      <c r="AQ419" s="27"/>
      <c r="AR419" s="27"/>
      <c r="AS419" s="27"/>
      <c r="AT419" s="27"/>
      <c r="AU419" s="27"/>
      <c r="AV419" s="27"/>
      <c r="AW419" s="26"/>
      <c r="AX419" s="26"/>
      <c r="AY419" s="26"/>
      <c r="AZ419" s="26"/>
      <c r="BA419" s="26"/>
      <c r="BB419" s="26"/>
      <c r="BC419" s="26"/>
      <c r="BD419" s="26"/>
      <c r="BE419" s="26"/>
      <c r="BF419" s="26"/>
      <c r="BG419" s="26"/>
      <c r="BH419" s="26"/>
      <c r="BI419" s="26"/>
    </row>
    <row r="420" spans="1:61" ht="28.5" customHeight="1">
      <c r="A420" s="336"/>
      <c r="B420" s="323"/>
      <c r="C420" s="42" t="s">
        <v>109</v>
      </c>
      <c r="D420" s="28">
        <f t="shared" si="447"/>
        <v>5.0953703703703668E-2</v>
      </c>
      <c r="E420" s="166">
        <v>0.378</v>
      </c>
      <c r="F420" s="30">
        <f t="shared" si="448"/>
        <v>0.32704629629629633</v>
      </c>
      <c r="G420" s="30" t="e">
        <f t="shared" si="449"/>
        <v>#DIV/0!</v>
      </c>
      <c r="H420" s="48"/>
      <c r="I420" s="48"/>
      <c r="J420" s="48"/>
      <c r="K420" s="48"/>
      <c r="L420" s="334"/>
      <c r="M420" s="48"/>
      <c r="N420" s="202"/>
      <c r="O420" s="202">
        <v>9</v>
      </c>
      <c r="P420" s="31">
        <f t="shared" si="450"/>
        <v>9</v>
      </c>
      <c r="Q420" s="36">
        <v>1</v>
      </c>
      <c r="R420" s="203"/>
      <c r="S420" s="36"/>
      <c r="T420" s="34">
        <f t="shared" si="451"/>
        <v>399600</v>
      </c>
      <c r="U420" s="31">
        <f t="shared" si="452"/>
        <v>0</v>
      </c>
      <c r="V420" s="34">
        <f t="shared" si="453"/>
        <v>399600</v>
      </c>
      <c r="W420" s="43">
        <v>44400</v>
      </c>
      <c r="X420" s="34">
        <f t="shared" si="454"/>
        <v>12278.2464</v>
      </c>
      <c r="Y420" s="34">
        <f t="shared" si="455"/>
        <v>110504.2176</v>
      </c>
      <c r="Z420" s="34">
        <f t="shared" si="456"/>
        <v>128377.70000000001</v>
      </c>
      <c r="AA420" s="49">
        <v>116707</v>
      </c>
      <c r="AB420" s="36"/>
      <c r="AC420" s="204">
        <f t="shared" ref="AC420:AC439" si="464">(1210+1100)*Q420</f>
        <v>2310</v>
      </c>
      <c r="AD420" s="149">
        <v>0.11</v>
      </c>
      <c r="AE420" s="31">
        <f t="shared" ref="AE420:AE421" si="465">4150*(P420+S420)</f>
        <v>37350</v>
      </c>
      <c r="AF420" s="28">
        <f t="shared" si="458"/>
        <v>0.20346846846846847</v>
      </c>
      <c r="AG420" s="34">
        <f t="shared" si="459"/>
        <v>81306.03</v>
      </c>
      <c r="AH420" s="34">
        <f t="shared" si="460"/>
        <v>20778.97524</v>
      </c>
      <c r="AI420" s="34">
        <f t="shared" si="461"/>
        <v>187010.77716</v>
      </c>
      <c r="AJ420" s="46">
        <f t="shared" si="462"/>
        <v>58633.077159999986</v>
      </c>
      <c r="AK420" s="40">
        <v>49.65</v>
      </c>
      <c r="AL420" s="41">
        <f t="shared" si="463"/>
        <v>63.949200000000005</v>
      </c>
      <c r="AM420" s="202"/>
      <c r="AN420" s="205"/>
      <c r="AO420" s="26"/>
      <c r="AP420" s="26"/>
      <c r="AQ420" s="27"/>
      <c r="AR420" s="27"/>
      <c r="AS420" s="27"/>
      <c r="AT420" s="27"/>
      <c r="AU420" s="27"/>
      <c r="AV420" s="27"/>
      <c r="AW420" s="26"/>
      <c r="AX420" s="26"/>
      <c r="AY420" s="26"/>
      <c r="AZ420" s="26"/>
      <c r="BA420" s="26"/>
      <c r="BB420" s="26"/>
      <c r="BC420" s="26"/>
      <c r="BD420" s="26"/>
      <c r="BE420" s="26"/>
      <c r="BF420" s="26"/>
      <c r="BG420" s="26"/>
      <c r="BH420" s="26"/>
      <c r="BI420" s="26"/>
    </row>
    <row r="421" spans="1:61" ht="28.5" customHeight="1">
      <c r="A421" s="311"/>
      <c r="B421" s="324"/>
      <c r="C421" s="42" t="s">
        <v>110</v>
      </c>
      <c r="D421" s="28">
        <f t="shared" si="447"/>
        <v>0.14024394586894584</v>
      </c>
      <c r="E421" s="166">
        <v>0.317</v>
      </c>
      <c r="F421" s="30">
        <f t="shared" si="448"/>
        <v>0.17675605413105416</v>
      </c>
      <c r="G421" s="30" t="e">
        <f t="shared" si="449"/>
        <v>#DIV/0!</v>
      </c>
      <c r="H421" s="48"/>
      <c r="I421" s="48"/>
      <c r="J421" s="48"/>
      <c r="K421" s="48"/>
      <c r="L421" s="310"/>
      <c r="M421" s="48"/>
      <c r="N421" s="202"/>
      <c r="O421" s="202">
        <v>6</v>
      </c>
      <c r="P421" s="31">
        <f t="shared" si="450"/>
        <v>6</v>
      </c>
      <c r="Q421" s="202">
        <v>0</v>
      </c>
      <c r="R421" s="203"/>
      <c r="S421" s="36"/>
      <c r="T421" s="34">
        <f t="shared" si="451"/>
        <v>280800</v>
      </c>
      <c r="U421" s="31">
        <f t="shared" si="452"/>
        <v>0</v>
      </c>
      <c r="V421" s="34">
        <f t="shared" si="453"/>
        <v>280800</v>
      </c>
      <c r="W421" s="43">
        <v>46800</v>
      </c>
      <c r="X421" s="34">
        <f t="shared" si="454"/>
        <v>12772.838400000001</v>
      </c>
      <c r="Y421" s="34">
        <f t="shared" si="455"/>
        <v>76637.030400000003</v>
      </c>
      <c r="Z421" s="34">
        <f t="shared" si="456"/>
        <v>49633.100000000006</v>
      </c>
      <c r="AA421" s="49">
        <v>45121</v>
      </c>
      <c r="AB421" s="36"/>
      <c r="AC421" s="204">
        <f t="shared" si="464"/>
        <v>0</v>
      </c>
      <c r="AD421" s="149">
        <v>0.11</v>
      </c>
      <c r="AE421" s="31">
        <f t="shared" si="465"/>
        <v>24900</v>
      </c>
      <c r="AF421" s="28">
        <f t="shared" si="458"/>
        <v>0.19867521367521368</v>
      </c>
      <c r="AG421" s="34">
        <f t="shared" si="459"/>
        <v>55788.03</v>
      </c>
      <c r="AH421" s="34">
        <f t="shared" si="460"/>
        <v>14837.493959999998</v>
      </c>
      <c r="AI421" s="34">
        <f t="shared" si="461"/>
        <v>133537.44563999999</v>
      </c>
      <c r="AJ421" s="46">
        <f t="shared" si="462"/>
        <v>83904.345639999985</v>
      </c>
      <c r="AK421" s="40">
        <v>51.65</v>
      </c>
      <c r="AL421" s="41">
        <f t="shared" si="463"/>
        <v>66.525199999999998</v>
      </c>
      <c r="AM421" s="202"/>
      <c r="AN421" s="205"/>
      <c r="AO421" s="26"/>
      <c r="AP421" s="26"/>
      <c r="AQ421" s="27"/>
      <c r="AR421" s="27"/>
      <c r="AS421" s="27"/>
      <c r="AT421" s="27"/>
      <c r="AU421" s="27"/>
      <c r="AV421" s="27"/>
      <c r="AW421" s="26"/>
      <c r="AX421" s="26"/>
      <c r="AY421" s="26"/>
      <c r="AZ421" s="26"/>
      <c r="BA421" s="26"/>
      <c r="BB421" s="26"/>
      <c r="BC421" s="26"/>
      <c r="BD421" s="26"/>
      <c r="BE421" s="26"/>
      <c r="BF421" s="26"/>
      <c r="BG421" s="26"/>
      <c r="BH421" s="26"/>
      <c r="BI421" s="26"/>
    </row>
    <row r="422" spans="1:61" ht="28.5" customHeight="1">
      <c r="A422" s="26"/>
      <c r="B422" s="323"/>
      <c r="C422" s="42" t="s">
        <v>32</v>
      </c>
      <c r="D422" s="28">
        <f t="shared" si="447"/>
        <v>-6.4035395763656633E-2</v>
      </c>
      <c r="E422" s="166">
        <v>0.40600000000000003</v>
      </c>
      <c r="F422" s="30">
        <f t="shared" si="448"/>
        <v>0.47003539576365666</v>
      </c>
      <c r="G422" s="30" t="e">
        <f t="shared" si="449"/>
        <v>#DIV/0!</v>
      </c>
      <c r="H422" s="33"/>
      <c r="I422" s="48"/>
      <c r="J422" s="48"/>
      <c r="K422" s="48"/>
      <c r="L422" s="334"/>
      <c r="M422" s="48"/>
      <c r="N422" s="202"/>
      <c r="O422" s="202">
        <v>11</v>
      </c>
      <c r="P422" s="31">
        <f t="shared" si="450"/>
        <v>6</v>
      </c>
      <c r="Q422" s="202">
        <v>3</v>
      </c>
      <c r="R422" s="203"/>
      <c r="S422" s="202">
        <v>5</v>
      </c>
      <c r="T422" s="34">
        <f t="shared" si="451"/>
        <v>657800</v>
      </c>
      <c r="U422" s="31">
        <f t="shared" si="452"/>
        <v>299000</v>
      </c>
      <c r="V422" s="34">
        <f t="shared" si="453"/>
        <v>358800</v>
      </c>
      <c r="W422" s="43">
        <v>59800</v>
      </c>
      <c r="X422" s="34">
        <f t="shared" si="454"/>
        <v>21143.807999999997</v>
      </c>
      <c r="Y422" s="34">
        <f t="shared" si="455"/>
        <v>126862.84799999998</v>
      </c>
      <c r="Z422" s="34">
        <f t="shared" si="456"/>
        <v>161718.70000000001</v>
      </c>
      <c r="AA422" s="49">
        <v>147017</v>
      </c>
      <c r="AB422" s="287">
        <f>((59800*0.015)+(59800*0.19)+2100+4950)*5</f>
        <v>96545</v>
      </c>
      <c r="AC422" s="204">
        <f t="shared" si="464"/>
        <v>6930</v>
      </c>
      <c r="AD422" s="149">
        <v>0.108</v>
      </c>
      <c r="AE422" s="31">
        <f t="shared" ref="AE422:AE423" si="466">4825*(P422+S422)</f>
        <v>53075</v>
      </c>
      <c r="AF422" s="28">
        <f t="shared" si="458"/>
        <v>0.25592363433667781</v>
      </c>
      <c r="AG422" s="34">
        <f t="shared" si="459"/>
        <v>91825.43</v>
      </c>
      <c r="AH422" s="34">
        <f t="shared" si="460"/>
        <v>14011.172200000001</v>
      </c>
      <c r="AI422" s="34">
        <f t="shared" si="461"/>
        <v>126100.54980000001</v>
      </c>
      <c r="AJ422" s="46">
        <f t="shared" si="462"/>
        <v>-35618.150200000004</v>
      </c>
      <c r="AK422" s="40">
        <v>85.5</v>
      </c>
      <c r="AL422" s="41">
        <f t="shared" si="463"/>
        <v>110.124</v>
      </c>
      <c r="AM422" s="202"/>
      <c r="AN422" s="205"/>
      <c r="AO422" s="26"/>
      <c r="AP422" s="26"/>
      <c r="AQ422" s="27"/>
      <c r="AR422" s="27"/>
      <c r="AS422" s="27"/>
      <c r="AT422" s="27"/>
      <c r="AU422" s="27"/>
      <c r="AV422" s="27"/>
      <c r="AW422" s="26"/>
      <c r="AX422" s="26"/>
      <c r="AY422" s="26"/>
      <c r="AZ422" s="26"/>
      <c r="BA422" s="26"/>
      <c r="BB422" s="26"/>
      <c r="BC422" s="26"/>
      <c r="BD422" s="26"/>
      <c r="BE422" s="26"/>
      <c r="BF422" s="26"/>
      <c r="BG422" s="26"/>
      <c r="BH422" s="26"/>
      <c r="BI422" s="26"/>
    </row>
    <row r="423" spans="1:61" ht="28.5" customHeight="1">
      <c r="A423" s="26"/>
      <c r="B423" s="333"/>
      <c r="C423" s="42" t="s">
        <v>33</v>
      </c>
      <c r="D423" s="28">
        <f t="shared" si="447"/>
        <v>0.30178962975884172</v>
      </c>
      <c r="E423" s="166">
        <v>0.40799999999999997</v>
      </c>
      <c r="F423" s="30">
        <f t="shared" si="448"/>
        <v>0.10621037024115826</v>
      </c>
      <c r="G423" s="30" t="e">
        <f t="shared" si="449"/>
        <v>#DIV/0!</v>
      </c>
      <c r="H423" s="48"/>
      <c r="I423" s="48"/>
      <c r="J423" s="48"/>
      <c r="K423" s="48"/>
      <c r="L423" s="310"/>
      <c r="M423" s="48"/>
      <c r="N423" s="202"/>
      <c r="O423" s="202">
        <v>23</v>
      </c>
      <c r="P423" s="31">
        <f t="shared" si="450"/>
        <v>23</v>
      </c>
      <c r="Q423" s="202">
        <v>3</v>
      </c>
      <c r="R423" s="203"/>
      <c r="S423" s="36"/>
      <c r="T423" s="34">
        <f t="shared" si="451"/>
        <v>1605170</v>
      </c>
      <c r="U423" s="31">
        <f t="shared" si="452"/>
        <v>0</v>
      </c>
      <c r="V423" s="34">
        <f t="shared" si="453"/>
        <v>1605170</v>
      </c>
      <c r="W423" s="43">
        <v>69790</v>
      </c>
      <c r="X423" s="34">
        <f t="shared" si="454"/>
        <v>26337.023999999998</v>
      </c>
      <c r="Y423" s="34">
        <f t="shared" si="455"/>
        <v>605751.55199999991</v>
      </c>
      <c r="Z423" s="34">
        <f t="shared" si="456"/>
        <v>163555.70000000001</v>
      </c>
      <c r="AA423" s="49">
        <v>148687</v>
      </c>
      <c r="AB423" s="36"/>
      <c r="AC423" s="204">
        <f t="shared" si="464"/>
        <v>6930</v>
      </c>
      <c r="AD423" s="149">
        <v>0.108</v>
      </c>
      <c r="AE423" s="31">
        <f t="shared" si="466"/>
        <v>110975</v>
      </c>
      <c r="AF423" s="28">
        <f t="shared" si="458"/>
        <v>0.17713597936667144</v>
      </c>
      <c r="AG423" s="34">
        <f t="shared" si="459"/>
        <v>284333.39</v>
      </c>
      <c r="AH423" s="34">
        <f t="shared" si="460"/>
        <v>71508.505799999999</v>
      </c>
      <c r="AI423" s="34">
        <f t="shared" si="461"/>
        <v>643576.55220000003</v>
      </c>
      <c r="AJ423" s="46">
        <f t="shared" si="462"/>
        <v>480020.85220000002</v>
      </c>
      <c r="AK423" s="40">
        <v>106.5</v>
      </c>
      <c r="AL423" s="41">
        <f t="shared" si="463"/>
        <v>137.172</v>
      </c>
      <c r="AM423" s="202"/>
      <c r="AN423" s="205"/>
      <c r="AO423" s="26"/>
      <c r="AP423" s="26"/>
      <c r="AQ423" s="27"/>
      <c r="AR423" s="27"/>
      <c r="AS423" s="27"/>
      <c r="AT423" s="27"/>
      <c r="AU423" s="27"/>
      <c r="AV423" s="27"/>
      <c r="AW423" s="26"/>
      <c r="AX423" s="26"/>
      <c r="AY423" s="26"/>
      <c r="AZ423" s="26"/>
      <c r="BA423" s="26"/>
      <c r="BB423" s="26"/>
      <c r="BC423" s="26"/>
      <c r="BD423" s="26"/>
      <c r="BE423" s="26"/>
      <c r="BF423" s="26"/>
      <c r="BG423" s="26"/>
      <c r="BH423" s="26"/>
      <c r="BI423" s="26"/>
    </row>
    <row r="424" spans="1:61" ht="28.5" customHeight="1">
      <c r="A424" s="26"/>
      <c r="B424" s="333"/>
      <c r="C424" s="42" t="s">
        <v>149</v>
      </c>
      <c r="D424" s="28">
        <f t="shared" si="447"/>
        <v>-3.8395335608646219E-2</v>
      </c>
      <c r="E424" s="166">
        <v>0.40699999999999997</v>
      </c>
      <c r="F424" s="30">
        <f t="shared" si="448"/>
        <v>0.44539533560864619</v>
      </c>
      <c r="G424" s="30" t="e">
        <f t="shared" si="449"/>
        <v>#DIV/0!</v>
      </c>
      <c r="H424" s="48"/>
      <c r="I424" s="48"/>
      <c r="J424" s="48"/>
      <c r="K424" s="48"/>
      <c r="L424" s="334"/>
      <c r="M424" s="48"/>
      <c r="N424" s="202"/>
      <c r="O424" s="202">
        <v>4</v>
      </c>
      <c r="P424" s="31">
        <f t="shared" si="450"/>
        <v>4</v>
      </c>
      <c r="Q424" s="202">
        <v>1</v>
      </c>
      <c r="R424" s="203"/>
      <c r="S424" s="36"/>
      <c r="T424" s="34">
        <f t="shared" si="451"/>
        <v>386760</v>
      </c>
      <c r="U424" s="31">
        <f t="shared" si="452"/>
        <v>0</v>
      </c>
      <c r="V424" s="34">
        <f t="shared" si="453"/>
        <v>386760</v>
      </c>
      <c r="W424" s="43">
        <v>96690</v>
      </c>
      <c r="X424" s="34">
        <f t="shared" si="454"/>
        <v>36723.455999999998</v>
      </c>
      <c r="Y424" s="34">
        <f t="shared" si="455"/>
        <v>146893.82399999999</v>
      </c>
      <c r="Z424" s="34">
        <f t="shared" si="456"/>
        <v>169951.1</v>
      </c>
      <c r="AA424" s="49">
        <v>154501</v>
      </c>
      <c r="AB424" s="36"/>
      <c r="AC424" s="204">
        <f t="shared" si="464"/>
        <v>2310</v>
      </c>
      <c r="AD424" s="149">
        <v>0.108</v>
      </c>
      <c r="AE424" s="31">
        <f t="shared" ref="AE424:AE425" si="467">6200*(P424+S424)</f>
        <v>24800</v>
      </c>
      <c r="AF424" s="28">
        <f t="shared" si="458"/>
        <v>0.17212245320095149</v>
      </c>
      <c r="AG424" s="34">
        <f t="shared" si="459"/>
        <v>66570.11</v>
      </c>
      <c r="AH424" s="34">
        <f t="shared" si="460"/>
        <v>17329.606599999999</v>
      </c>
      <c r="AI424" s="34">
        <f t="shared" si="461"/>
        <v>155966.45939999999</v>
      </c>
      <c r="AJ424" s="206">
        <f t="shared" si="462"/>
        <v>-13984.640600000013</v>
      </c>
      <c r="AK424" s="40">
        <v>148.5</v>
      </c>
      <c r="AL424" s="41">
        <f t="shared" si="463"/>
        <v>191.268</v>
      </c>
      <c r="AM424" s="202"/>
      <c r="AN424" s="205"/>
      <c r="AO424" s="26"/>
      <c r="AP424" s="26"/>
      <c r="AQ424" s="27"/>
      <c r="AR424" s="27"/>
      <c r="AS424" s="27"/>
      <c r="AT424" s="27"/>
      <c r="AU424" s="27"/>
      <c r="AV424" s="27"/>
      <c r="AW424" s="26"/>
      <c r="AX424" s="26"/>
      <c r="AY424" s="26"/>
      <c r="AZ424" s="26"/>
      <c r="BA424" s="26"/>
      <c r="BB424" s="26"/>
      <c r="BC424" s="26"/>
      <c r="BD424" s="26"/>
      <c r="BE424" s="26"/>
      <c r="BF424" s="26"/>
      <c r="BG424" s="26"/>
      <c r="BH424" s="26"/>
      <c r="BI424" s="26"/>
    </row>
    <row r="425" spans="1:61" ht="28.5" customHeight="1">
      <c r="A425" s="26"/>
      <c r="B425" s="324"/>
      <c r="C425" s="42" t="s">
        <v>150</v>
      </c>
      <c r="D425" s="28">
        <f t="shared" si="447"/>
        <v>0.21915095884003735</v>
      </c>
      <c r="E425" s="166">
        <v>0.40899999999999997</v>
      </c>
      <c r="F425" s="30">
        <f t="shared" si="448"/>
        <v>0.18984904115996262</v>
      </c>
      <c r="G425" s="30" t="e">
        <f t="shared" si="449"/>
        <v>#DIV/0!</v>
      </c>
      <c r="H425" s="48"/>
      <c r="I425" s="283"/>
      <c r="J425" s="48"/>
      <c r="K425" s="48"/>
      <c r="L425" s="310"/>
      <c r="M425" s="48"/>
      <c r="N425" s="202"/>
      <c r="O425" s="202">
        <v>8</v>
      </c>
      <c r="P425" s="31">
        <f t="shared" si="450"/>
        <v>8</v>
      </c>
      <c r="Q425" s="202">
        <v>1</v>
      </c>
      <c r="R425" s="203"/>
      <c r="S425" s="36"/>
      <c r="T425" s="34">
        <f t="shared" si="451"/>
        <v>855200</v>
      </c>
      <c r="U425" s="31">
        <f t="shared" si="452"/>
        <v>0</v>
      </c>
      <c r="V425" s="34">
        <f t="shared" si="453"/>
        <v>855200</v>
      </c>
      <c r="W425" s="43">
        <v>106900</v>
      </c>
      <c r="X425" s="34">
        <f t="shared" si="454"/>
        <v>41916.671999999999</v>
      </c>
      <c r="Y425" s="34">
        <f t="shared" si="455"/>
        <v>335333.37599999999</v>
      </c>
      <c r="Z425" s="34">
        <f t="shared" si="456"/>
        <v>160048.90000000002</v>
      </c>
      <c r="AA425" s="49">
        <v>145499</v>
      </c>
      <c r="AB425" s="36"/>
      <c r="AC425" s="204">
        <f t="shared" si="464"/>
        <v>2310</v>
      </c>
      <c r="AD425" s="149">
        <v>0.108</v>
      </c>
      <c r="AE425" s="31">
        <f t="shared" si="467"/>
        <v>49600</v>
      </c>
      <c r="AF425" s="28">
        <f t="shared" si="458"/>
        <v>0.16599812909260991</v>
      </c>
      <c r="AG425" s="34">
        <f t="shared" si="459"/>
        <v>141961.63</v>
      </c>
      <c r="AH425" s="34">
        <f t="shared" si="460"/>
        <v>37790.499400000001</v>
      </c>
      <c r="AI425" s="34">
        <f t="shared" si="461"/>
        <v>340114.49459999998</v>
      </c>
      <c r="AJ425" s="46">
        <f t="shared" si="462"/>
        <v>180065.59459999995</v>
      </c>
      <c r="AK425" s="40">
        <v>169.5</v>
      </c>
      <c r="AL425" s="41">
        <f t="shared" si="463"/>
        <v>218.316</v>
      </c>
      <c r="AM425" s="202"/>
      <c r="AN425" s="205"/>
      <c r="AO425" s="26"/>
      <c r="AP425" s="26"/>
      <c r="AQ425" s="27"/>
      <c r="AR425" s="27"/>
      <c r="AS425" s="27"/>
      <c r="AT425" s="27"/>
      <c r="AU425" s="27"/>
      <c r="AV425" s="27"/>
      <c r="AW425" s="26"/>
      <c r="AX425" s="26"/>
      <c r="AY425" s="26"/>
      <c r="AZ425" s="26"/>
      <c r="BA425" s="26"/>
      <c r="BB425" s="26"/>
      <c r="BC425" s="26"/>
      <c r="BD425" s="26"/>
      <c r="BE425" s="26"/>
      <c r="BF425" s="26"/>
      <c r="BG425" s="26"/>
      <c r="BH425" s="26"/>
      <c r="BI425" s="26"/>
    </row>
    <row r="426" spans="1:61" ht="28.5" customHeight="1">
      <c r="A426" s="26"/>
      <c r="B426" s="200"/>
      <c r="C426" s="42" t="s">
        <v>111</v>
      </c>
      <c r="D426" s="28">
        <f t="shared" si="447"/>
        <v>0.19478212290502789</v>
      </c>
      <c r="E426" s="166">
        <v>0.435</v>
      </c>
      <c r="F426" s="30">
        <f t="shared" si="448"/>
        <v>0.24021787709497211</v>
      </c>
      <c r="G426" s="30" t="e">
        <f t="shared" si="449"/>
        <v>#DIV/0!</v>
      </c>
      <c r="H426" s="48"/>
      <c r="I426" s="48"/>
      <c r="J426" s="48"/>
      <c r="K426" s="210"/>
      <c r="L426" s="210"/>
      <c r="M426" s="210"/>
      <c r="N426" s="202"/>
      <c r="O426" s="202">
        <v>13</v>
      </c>
      <c r="P426" s="31">
        <f t="shared" si="450"/>
        <v>8</v>
      </c>
      <c r="Q426" s="36">
        <v>0</v>
      </c>
      <c r="R426" s="203"/>
      <c r="S426" s="202">
        <v>5</v>
      </c>
      <c r="T426" s="34">
        <f t="shared" si="451"/>
        <v>232700</v>
      </c>
      <c r="U426" s="31">
        <f t="shared" si="452"/>
        <v>89500</v>
      </c>
      <c r="V426" s="34">
        <f t="shared" si="453"/>
        <v>143200</v>
      </c>
      <c r="W426" s="43">
        <v>17900</v>
      </c>
      <c r="X426" s="34">
        <f t="shared" si="454"/>
        <v>5687.8080000000009</v>
      </c>
      <c r="Y426" s="34">
        <f t="shared" si="455"/>
        <v>45502.464000000007</v>
      </c>
      <c r="Z426" s="34">
        <f t="shared" si="456"/>
        <v>34399.200000000004</v>
      </c>
      <c r="AA426" s="49">
        <v>31272</v>
      </c>
      <c r="AB426" s="287">
        <f>((17160*0.015)+(17160*0.25)+2100+4950)*5</f>
        <v>57987</v>
      </c>
      <c r="AC426" s="204">
        <f t="shared" si="464"/>
        <v>0</v>
      </c>
      <c r="AD426" s="149">
        <v>7.8E-2</v>
      </c>
      <c r="AE426" s="31">
        <f>2900*(P426+S426)</f>
        <v>37700</v>
      </c>
      <c r="AF426" s="28">
        <f t="shared" si="458"/>
        <v>0.34126815642458103</v>
      </c>
      <c r="AG426" s="34">
        <f t="shared" si="459"/>
        <v>48869.630000000005</v>
      </c>
      <c r="AH426" s="34">
        <f t="shared" si="460"/>
        <v>4882.7905999999984</v>
      </c>
      <c r="AI426" s="34">
        <f t="shared" si="461"/>
        <v>43945.115399999995</v>
      </c>
      <c r="AJ426" s="46">
        <f t="shared" si="462"/>
        <v>9545.9153999999908</v>
      </c>
      <c r="AK426" s="40">
        <v>23</v>
      </c>
      <c r="AL426" s="41">
        <f t="shared" si="463"/>
        <v>29.624000000000002</v>
      </c>
      <c r="AM426" s="202"/>
      <c r="AN426" s="205"/>
      <c r="AO426" s="26"/>
      <c r="AP426" s="26"/>
      <c r="AQ426" s="27"/>
      <c r="AR426" s="27"/>
      <c r="AS426" s="27"/>
      <c r="AT426" s="27"/>
      <c r="AU426" s="27"/>
      <c r="AV426" s="27"/>
      <c r="AW426" s="26"/>
      <c r="AX426" s="26"/>
      <c r="AY426" s="26"/>
      <c r="AZ426" s="26"/>
      <c r="BA426" s="26"/>
      <c r="BB426" s="26"/>
      <c r="BC426" s="26"/>
      <c r="BD426" s="26"/>
      <c r="BE426" s="26"/>
      <c r="BF426" s="26"/>
      <c r="BG426" s="26"/>
      <c r="BH426" s="26"/>
      <c r="BI426" s="26"/>
    </row>
    <row r="427" spans="1:61" ht="28.5" customHeight="1">
      <c r="A427" s="26"/>
      <c r="B427" s="207"/>
      <c r="C427" s="42" t="s">
        <v>151</v>
      </c>
      <c r="D427" s="28">
        <f t="shared" si="447"/>
        <v>-1.5912737068965521</v>
      </c>
      <c r="E427" s="303">
        <v>0.27600000000000002</v>
      </c>
      <c r="F427" s="30">
        <f t="shared" si="448"/>
        <v>1.8672737068965521</v>
      </c>
      <c r="G427" s="30" t="e">
        <f t="shared" si="449"/>
        <v>#DIV/0!</v>
      </c>
      <c r="H427" s="48"/>
      <c r="I427" s="48"/>
      <c r="J427" s="48"/>
      <c r="K427" s="210"/>
      <c r="L427" s="335"/>
      <c r="M427" s="210"/>
      <c r="N427" s="202"/>
      <c r="O427" s="202">
        <v>2</v>
      </c>
      <c r="P427" s="31">
        <f t="shared" si="450"/>
        <v>2</v>
      </c>
      <c r="Q427" s="36">
        <v>0</v>
      </c>
      <c r="R427" s="203"/>
      <c r="S427" s="36"/>
      <c r="T427" s="34">
        <f t="shared" si="451"/>
        <v>18560</v>
      </c>
      <c r="U427" s="31">
        <f t="shared" si="452"/>
        <v>0</v>
      </c>
      <c r="V427" s="34">
        <f t="shared" si="453"/>
        <v>18560</v>
      </c>
      <c r="W427" s="43">
        <v>9280</v>
      </c>
      <c r="X427" s="34">
        <f t="shared" si="454"/>
        <v>3462.1440000000002</v>
      </c>
      <c r="Y427" s="34">
        <f t="shared" si="455"/>
        <v>6924.2880000000005</v>
      </c>
      <c r="Z427" s="34">
        <f t="shared" si="456"/>
        <v>34656.600000000006</v>
      </c>
      <c r="AA427" s="49">
        <v>31506</v>
      </c>
      <c r="AB427" s="287"/>
      <c r="AC427" s="204">
        <f t="shared" si="464"/>
        <v>0</v>
      </c>
      <c r="AD427" s="149">
        <v>0.1</v>
      </c>
      <c r="AE427" s="31">
        <f t="shared" ref="AE427:AE428" si="468">1900*(P427+S427)</f>
        <v>3800</v>
      </c>
      <c r="AF427" s="28">
        <f t="shared" si="458"/>
        <v>0.30474137931034484</v>
      </c>
      <c r="AG427" s="34">
        <f t="shared" si="459"/>
        <v>5656.03</v>
      </c>
      <c r="AH427" s="34">
        <f t="shared" si="460"/>
        <v>597.96820000000002</v>
      </c>
      <c r="AI427" s="34">
        <f t="shared" si="461"/>
        <v>5381.7138000000014</v>
      </c>
      <c r="AJ427" s="206">
        <f t="shared" si="462"/>
        <v>-29274.886200000004</v>
      </c>
      <c r="AK427" s="40">
        <v>14</v>
      </c>
      <c r="AL427" s="41">
        <f t="shared" si="463"/>
        <v>18.032</v>
      </c>
      <c r="AM427" s="202"/>
      <c r="AN427" s="205"/>
      <c r="AO427" s="26"/>
      <c r="AP427" s="26"/>
      <c r="AQ427" s="27"/>
      <c r="AR427" s="27"/>
      <c r="AS427" s="27"/>
      <c r="AT427" s="27"/>
      <c r="AU427" s="27"/>
      <c r="AV427" s="27"/>
      <c r="AW427" s="26"/>
      <c r="AX427" s="26"/>
      <c r="AY427" s="26"/>
      <c r="AZ427" s="26"/>
      <c r="BA427" s="26"/>
      <c r="BB427" s="26"/>
      <c r="BC427" s="26"/>
      <c r="BD427" s="26"/>
      <c r="BE427" s="26"/>
      <c r="BF427" s="26"/>
      <c r="BG427" s="26"/>
      <c r="BH427" s="26"/>
      <c r="BI427" s="26"/>
    </row>
    <row r="428" spans="1:61" ht="28.5" customHeight="1">
      <c r="A428" s="26"/>
      <c r="B428" s="212"/>
      <c r="C428" s="42" t="s">
        <v>152</v>
      </c>
      <c r="D428" s="28">
        <f t="shared" si="447"/>
        <v>-1.3144584450402146</v>
      </c>
      <c r="E428" s="303">
        <v>0.39700000000000002</v>
      </c>
      <c r="F428" s="30">
        <f t="shared" si="448"/>
        <v>1.7114584450402146</v>
      </c>
      <c r="G428" s="30" t="e">
        <f t="shared" si="449"/>
        <v>#DIV/0!</v>
      </c>
      <c r="H428" s="48"/>
      <c r="I428" s="48"/>
      <c r="J428" s="48"/>
      <c r="K428" s="210"/>
      <c r="L428" s="310"/>
      <c r="M428" s="210"/>
      <c r="N428" s="202"/>
      <c r="O428" s="202">
        <v>1</v>
      </c>
      <c r="P428" s="31">
        <f t="shared" si="450"/>
        <v>1</v>
      </c>
      <c r="Q428" s="36">
        <v>1</v>
      </c>
      <c r="R428" s="203"/>
      <c r="S428" s="36"/>
      <c r="T428" s="34">
        <f t="shared" si="451"/>
        <v>18650</v>
      </c>
      <c r="U428" s="31">
        <f t="shared" si="452"/>
        <v>0</v>
      </c>
      <c r="V428" s="34">
        <f t="shared" si="453"/>
        <v>18650</v>
      </c>
      <c r="W428" s="43">
        <v>18650</v>
      </c>
      <c r="X428" s="34">
        <f t="shared" si="454"/>
        <v>6924.2880000000005</v>
      </c>
      <c r="Y428" s="34">
        <f t="shared" si="455"/>
        <v>6924.2880000000005</v>
      </c>
      <c r="Z428" s="34">
        <f t="shared" si="456"/>
        <v>29608.7</v>
      </c>
      <c r="AA428" s="49">
        <v>26917</v>
      </c>
      <c r="AB428" s="36"/>
      <c r="AC428" s="204">
        <f t="shared" si="464"/>
        <v>2310</v>
      </c>
      <c r="AD428" s="149">
        <v>0.1</v>
      </c>
      <c r="AE428" s="31">
        <f t="shared" si="468"/>
        <v>1900</v>
      </c>
      <c r="AF428" s="28">
        <f t="shared" si="458"/>
        <v>0.20187667560321715</v>
      </c>
      <c r="AG428" s="34">
        <f t="shared" si="459"/>
        <v>3765.03</v>
      </c>
      <c r="AH428" s="34">
        <f t="shared" si="460"/>
        <v>796.06819999999993</v>
      </c>
      <c r="AI428" s="34">
        <f t="shared" si="461"/>
        <v>7164.6137999999992</v>
      </c>
      <c r="AJ428" s="206">
        <f t="shared" si="462"/>
        <v>-22444.086200000002</v>
      </c>
      <c r="AK428" s="40">
        <v>28</v>
      </c>
      <c r="AL428" s="41">
        <f t="shared" si="463"/>
        <v>36.064</v>
      </c>
      <c r="AM428" s="202"/>
      <c r="AN428" s="205"/>
      <c r="AO428" s="26"/>
      <c r="AP428" s="26"/>
      <c r="AQ428" s="27"/>
      <c r="AR428" s="27"/>
      <c r="AS428" s="27"/>
      <c r="AT428" s="27"/>
      <c r="AU428" s="27"/>
      <c r="AV428" s="27"/>
      <c r="AW428" s="26"/>
      <c r="AX428" s="26"/>
      <c r="AY428" s="26"/>
      <c r="AZ428" s="26"/>
      <c r="BA428" s="26"/>
      <c r="BB428" s="26"/>
      <c r="BC428" s="26"/>
      <c r="BD428" s="26"/>
      <c r="BE428" s="26"/>
      <c r="BF428" s="26"/>
      <c r="BG428" s="26"/>
      <c r="BH428" s="26"/>
      <c r="BI428" s="26"/>
    </row>
    <row r="429" spans="1:61" ht="28.5" customHeight="1">
      <c r="A429" s="26"/>
      <c r="B429" s="323"/>
      <c r="C429" s="42" t="s">
        <v>112</v>
      </c>
      <c r="D429" s="28">
        <f t="shared" si="447"/>
        <v>5.8205882352941163E-2</v>
      </c>
      <c r="E429" s="166">
        <v>0.40600000000000003</v>
      </c>
      <c r="F429" s="30">
        <f t="shared" si="448"/>
        <v>0.34779411764705886</v>
      </c>
      <c r="G429" s="30" t="e">
        <f t="shared" si="449"/>
        <v>#DIV/0!</v>
      </c>
      <c r="H429" s="334"/>
      <c r="I429" s="48"/>
      <c r="J429" s="48"/>
      <c r="K429" s="210"/>
      <c r="L429" s="335"/>
      <c r="M429" s="210"/>
      <c r="N429" s="202"/>
      <c r="O429" s="202">
        <v>8</v>
      </c>
      <c r="P429" s="31">
        <f t="shared" si="450"/>
        <v>8</v>
      </c>
      <c r="Q429" s="36">
        <v>2</v>
      </c>
      <c r="R429" s="203"/>
      <c r="S429" s="36"/>
      <c r="T429" s="34">
        <f t="shared" si="451"/>
        <v>308720</v>
      </c>
      <c r="U429" s="31">
        <f t="shared" si="452"/>
        <v>0</v>
      </c>
      <c r="V429" s="34">
        <f t="shared" si="453"/>
        <v>308720</v>
      </c>
      <c r="W429" s="43">
        <v>38590</v>
      </c>
      <c r="X429" s="34">
        <f t="shared" si="454"/>
        <v>15085.056</v>
      </c>
      <c r="Y429" s="34">
        <f t="shared" si="455"/>
        <v>120680.448</v>
      </c>
      <c r="Z429" s="34">
        <f t="shared" si="456"/>
        <v>102751.00000000001</v>
      </c>
      <c r="AA429" s="49">
        <v>93410</v>
      </c>
      <c r="AB429" s="36"/>
      <c r="AC429" s="204">
        <f t="shared" si="464"/>
        <v>4620</v>
      </c>
      <c r="AD429" s="149">
        <v>0.08</v>
      </c>
      <c r="AE429" s="31">
        <f t="shared" ref="AE429:AE430" si="469">4150*(P429+S429)</f>
        <v>33200</v>
      </c>
      <c r="AF429" s="28">
        <f t="shared" si="458"/>
        <v>0.18754081368230113</v>
      </c>
      <c r="AG429" s="34">
        <f t="shared" si="459"/>
        <v>57897.630000000005</v>
      </c>
      <c r="AH429" s="34">
        <f t="shared" si="460"/>
        <v>13014.192199999998</v>
      </c>
      <c r="AI429" s="34">
        <f t="shared" si="461"/>
        <v>117127.7298</v>
      </c>
      <c r="AJ429" s="46">
        <f t="shared" si="462"/>
        <v>14376.729799999986</v>
      </c>
      <c r="AK429" s="40">
        <v>61</v>
      </c>
      <c r="AL429" s="41">
        <f t="shared" si="463"/>
        <v>78.567999999999998</v>
      </c>
      <c r="AM429" s="202"/>
      <c r="AN429" s="205"/>
      <c r="AO429" s="26"/>
      <c r="AP429" s="26"/>
      <c r="AQ429" s="27"/>
      <c r="AR429" s="27"/>
      <c r="AS429" s="27"/>
      <c r="AT429" s="27"/>
      <c r="AU429" s="27"/>
      <c r="AV429" s="27"/>
      <c r="AW429" s="26"/>
      <c r="AX429" s="26"/>
      <c r="AY429" s="26"/>
      <c r="AZ429" s="26"/>
      <c r="BA429" s="26"/>
      <c r="BB429" s="26"/>
      <c r="BC429" s="26"/>
      <c r="BD429" s="26"/>
      <c r="BE429" s="26"/>
      <c r="BF429" s="26"/>
      <c r="BG429" s="26"/>
      <c r="BH429" s="26"/>
      <c r="BI429" s="26"/>
    </row>
    <row r="430" spans="1:61" ht="28.5" customHeight="1">
      <c r="A430" s="26"/>
      <c r="B430" s="324"/>
      <c r="C430" s="42" t="s">
        <v>113</v>
      </c>
      <c r="D430" s="28">
        <f t="shared" si="447"/>
        <v>9.6074358974358953E-2</v>
      </c>
      <c r="E430" s="166">
        <v>0.36099999999999999</v>
      </c>
      <c r="F430" s="30">
        <f t="shared" si="448"/>
        <v>0.26492564102564103</v>
      </c>
      <c r="G430" s="30" t="e">
        <f t="shared" si="449"/>
        <v>#DIV/0!</v>
      </c>
      <c r="H430" s="310"/>
      <c r="I430" s="48"/>
      <c r="J430" s="48"/>
      <c r="K430" s="210"/>
      <c r="L430" s="310"/>
      <c r="M430" s="210"/>
      <c r="N430" s="202"/>
      <c r="O430" s="202">
        <v>10</v>
      </c>
      <c r="P430" s="31">
        <f t="shared" si="450"/>
        <v>10</v>
      </c>
      <c r="Q430" s="36">
        <v>2</v>
      </c>
      <c r="R430" s="203"/>
      <c r="S430" s="36"/>
      <c r="T430" s="34">
        <f t="shared" si="451"/>
        <v>429000</v>
      </c>
      <c r="U430" s="31">
        <f t="shared" si="452"/>
        <v>0</v>
      </c>
      <c r="V430" s="34">
        <f t="shared" si="453"/>
        <v>429000</v>
      </c>
      <c r="W430" s="43">
        <v>42900</v>
      </c>
      <c r="X430" s="34">
        <f t="shared" si="454"/>
        <v>20278.272000000004</v>
      </c>
      <c r="Y430" s="34">
        <f t="shared" si="455"/>
        <v>202782.72000000003</v>
      </c>
      <c r="Z430" s="34">
        <f t="shared" si="456"/>
        <v>109033.1</v>
      </c>
      <c r="AA430" s="49">
        <v>99121</v>
      </c>
      <c r="AB430" s="286"/>
      <c r="AC430" s="204">
        <f t="shared" si="464"/>
        <v>4620</v>
      </c>
      <c r="AD430" s="149">
        <v>7.8E-2</v>
      </c>
      <c r="AE430" s="31">
        <f t="shared" si="469"/>
        <v>41500</v>
      </c>
      <c r="AF430" s="28">
        <f t="shared" si="458"/>
        <v>0.17473659673659675</v>
      </c>
      <c r="AG430" s="34">
        <f t="shared" si="459"/>
        <v>74962.03</v>
      </c>
      <c r="AH430" s="34">
        <f t="shared" si="460"/>
        <v>15125.524999999998</v>
      </c>
      <c r="AI430" s="34">
        <f t="shared" si="461"/>
        <v>136129.72499999998</v>
      </c>
      <c r="AJ430" s="206">
        <f t="shared" si="462"/>
        <v>27096.624999999971</v>
      </c>
      <c r="AK430" s="40">
        <v>82</v>
      </c>
      <c r="AL430" s="41">
        <f t="shared" si="463"/>
        <v>105.61600000000001</v>
      </c>
      <c r="AM430" s="202"/>
      <c r="AN430" s="205"/>
      <c r="AO430" s="26"/>
      <c r="AP430" s="26"/>
      <c r="AQ430" s="27"/>
      <c r="AR430" s="27"/>
      <c r="AS430" s="27"/>
      <c r="AT430" s="27"/>
      <c r="AU430" s="27"/>
      <c r="AV430" s="27"/>
      <c r="AW430" s="26"/>
      <c r="AX430" s="26"/>
      <c r="AY430" s="26"/>
      <c r="AZ430" s="26"/>
      <c r="BA430" s="26"/>
      <c r="BB430" s="26"/>
      <c r="BC430" s="26"/>
      <c r="BD430" s="26"/>
      <c r="BE430" s="26"/>
      <c r="BF430" s="26"/>
      <c r="BG430" s="26"/>
      <c r="BH430" s="26"/>
      <c r="BI430" s="26"/>
    </row>
    <row r="431" spans="1:61" ht="28.5" customHeight="1">
      <c r="A431" s="26"/>
      <c r="B431" s="200"/>
      <c r="C431" s="42" t="s">
        <v>154</v>
      </c>
      <c r="D431" s="28">
        <f t="shared" si="447"/>
        <v>7.6820823244552028E-2</v>
      </c>
      <c r="E431" s="303">
        <v>0.41299999999999998</v>
      </c>
      <c r="F431" s="30">
        <f t="shared" si="448"/>
        <v>0.33617917675544795</v>
      </c>
      <c r="G431" s="30" t="e">
        <f t="shared" si="449"/>
        <v>#DIV/0!</v>
      </c>
      <c r="H431" s="48"/>
      <c r="I431" s="48"/>
      <c r="J431" s="48"/>
      <c r="K431" s="210"/>
      <c r="L431" s="210"/>
      <c r="M431" s="210"/>
      <c r="N431" s="202"/>
      <c r="O431" s="202">
        <v>17</v>
      </c>
      <c r="P431" s="31">
        <f t="shared" si="450"/>
        <v>7</v>
      </c>
      <c r="Q431" s="202">
        <v>0</v>
      </c>
      <c r="R431" s="203"/>
      <c r="S431" s="202">
        <v>10</v>
      </c>
      <c r="T431" s="34">
        <f t="shared" si="451"/>
        <v>200600</v>
      </c>
      <c r="U431" s="31">
        <f t="shared" si="452"/>
        <v>118000</v>
      </c>
      <c r="V431" s="34">
        <f t="shared" si="453"/>
        <v>82600</v>
      </c>
      <c r="W431" s="43">
        <v>11800</v>
      </c>
      <c r="X431" s="34">
        <f t="shared" si="454"/>
        <v>4006.1952000000001</v>
      </c>
      <c r="Y431" s="34">
        <f t="shared" si="455"/>
        <v>28043.366399999999</v>
      </c>
      <c r="Z431" s="34">
        <f t="shared" si="456"/>
        <v>27768.400000000001</v>
      </c>
      <c r="AA431" s="49">
        <v>25244</v>
      </c>
      <c r="AB431" s="286">
        <f>((11800*0.1)+(11800*0.015)+2100+2200)*10</f>
        <v>56570</v>
      </c>
      <c r="AC431" s="204">
        <f t="shared" si="464"/>
        <v>0</v>
      </c>
      <c r="AD431" s="149">
        <v>0.108</v>
      </c>
      <c r="AE431" s="31">
        <f>1900*(P431+S431)</f>
        <v>32300</v>
      </c>
      <c r="AF431" s="28">
        <f t="shared" si="458"/>
        <v>0.49904116222760286</v>
      </c>
      <c r="AG431" s="34">
        <f t="shared" si="459"/>
        <v>41220.829999999994</v>
      </c>
      <c r="AH431" s="34">
        <f t="shared" si="460"/>
        <v>1333.5803600000008</v>
      </c>
      <c r="AI431" s="34">
        <f t="shared" si="461"/>
        <v>12002.223240000007</v>
      </c>
      <c r="AJ431" s="206">
        <f t="shared" si="462"/>
        <v>-15766.176759999995</v>
      </c>
      <c r="AK431" s="40">
        <v>16.2</v>
      </c>
      <c r="AL431" s="41">
        <f t="shared" si="463"/>
        <v>20.865600000000001</v>
      </c>
      <c r="AM431" s="202"/>
      <c r="AN431" s="205"/>
      <c r="AO431" s="26"/>
      <c r="AP431" s="26"/>
      <c r="AQ431" s="27"/>
      <c r="AR431" s="27"/>
      <c r="AS431" s="27"/>
      <c r="AT431" s="27"/>
      <c r="AU431" s="27"/>
      <c r="AV431" s="27"/>
      <c r="AW431" s="26"/>
      <c r="AX431" s="26"/>
      <c r="AY431" s="26"/>
      <c r="AZ431" s="26"/>
      <c r="BA431" s="26"/>
      <c r="BB431" s="26"/>
      <c r="BC431" s="26"/>
      <c r="BD431" s="26"/>
      <c r="BE431" s="26"/>
      <c r="BF431" s="26"/>
      <c r="BG431" s="26"/>
      <c r="BH431" s="26"/>
      <c r="BI431" s="26"/>
    </row>
    <row r="432" spans="1:61" ht="28.5" customHeight="1">
      <c r="A432" s="26"/>
      <c r="B432" s="200"/>
      <c r="C432" s="42" t="s">
        <v>114</v>
      </c>
      <c r="D432" s="28">
        <f t="shared" si="447"/>
        <v>-8.4912421052631637E-2</v>
      </c>
      <c r="E432" s="166">
        <v>0.35599999999999998</v>
      </c>
      <c r="F432" s="30">
        <f t="shared" si="448"/>
        <v>0.44091242105263162</v>
      </c>
      <c r="G432" s="30" t="e">
        <f t="shared" si="449"/>
        <v>#DIV/0!</v>
      </c>
      <c r="H432" s="48"/>
      <c r="I432" s="48"/>
      <c r="J432" s="48"/>
      <c r="K432" s="210"/>
      <c r="L432" s="210"/>
      <c r="M432" s="210"/>
      <c r="N432" s="202"/>
      <c r="O432" s="202">
        <v>25</v>
      </c>
      <c r="P432" s="31">
        <f t="shared" si="450"/>
        <v>25</v>
      </c>
      <c r="Q432" s="202">
        <v>5</v>
      </c>
      <c r="R432" s="203"/>
      <c r="S432" s="36"/>
      <c r="T432" s="34">
        <f t="shared" si="451"/>
        <v>475000</v>
      </c>
      <c r="U432" s="31">
        <f t="shared" si="452"/>
        <v>0</v>
      </c>
      <c r="V432" s="34">
        <f t="shared" si="453"/>
        <v>475000</v>
      </c>
      <c r="W432" s="43">
        <v>19000</v>
      </c>
      <c r="X432" s="34">
        <f t="shared" si="454"/>
        <v>7122.1247999999996</v>
      </c>
      <c r="Y432" s="34">
        <f t="shared" si="455"/>
        <v>178053.12</v>
      </c>
      <c r="Z432" s="34">
        <f t="shared" si="456"/>
        <v>197883.40000000002</v>
      </c>
      <c r="AA432" s="49">
        <v>179894</v>
      </c>
      <c r="AB432" s="287"/>
      <c r="AC432" s="204">
        <f t="shared" si="464"/>
        <v>11550</v>
      </c>
      <c r="AD432" s="149">
        <v>0.08</v>
      </c>
      <c r="AE432" s="31">
        <f>3350*(P432+S432)</f>
        <v>83750</v>
      </c>
      <c r="AF432" s="28">
        <f t="shared" si="458"/>
        <v>0.25631578947368422</v>
      </c>
      <c r="AG432" s="34">
        <f t="shared" si="459"/>
        <v>121750.03</v>
      </c>
      <c r="AH432" s="34">
        <f t="shared" si="460"/>
        <v>17519.684999999998</v>
      </c>
      <c r="AI432" s="34">
        <f t="shared" si="461"/>
        <v>157677.16499999998</v>
      </c>
      <c r="AJ432" s="46">
        <f t="shared" si="462"/>
        <v>-40206.235000000044</v>
      </c>
      <c r="AK432" s="40">
        <v>28.8</v>
      </c>
      <c r="AL432" s="41">
        <f t="shared" si="463"/>
        <v>37.0944</v>
      </c>
      <c r="AM432" s="202"/>
      <c r="AN432" s="205"/>
      <c r="AO432" s="26"/>
      <c r="AP432" s="26"/>
      <c r="AQ432" s="27"/>
      <c r="AR432" s="27"/>
      <c r="AS432" s="27"/>
      <c r="AT432" s="27"/>
      <c r="AU432" s="27"/>
      <c r="AV432" s="27"/>
      <c r="AW432" s="26"/>
      <c r="AX432" s="26"/>
      <c r="AY432" s="26"/>
      <c r="AZ432" s="26"/>
      <c r="BA432" s="26"/>
      <c r="BB432" s="26"/>
      <c r="BC432" s="26"/>
      <c r="BD432" s="26"/>
      <c r="BE432" s="26"/>
      <c r="BF432" s="26"/>
      <c r="BG432" s="26"/>
      <c r="BH432" s="26"/>
      <c r="BI432" s="26"/>
    </row>
    <row r="433" spans="1:61" ht="28.5" customHeight="1">
      <c r="A433" s="26"/>
      <c r="B433" s="326"/>
      <c r="C433" s="42" t="s">
        <v>115</v>
      </c>
      <c r="D433" s="28">
        <f t="shared" si="447"/>
        <v>0.19820346715328468</v>
      </c>
      <c r="E433" s="166">
        <v>0.45300000000000001</v>
      </c>
      <c r="F433" s="30">
        <f t="shared" si="448"/>
        <v>0.25479653284671533</v>
      </c>
      <c r="G433" s="30" t="e">
        <f t="shared" si="449"/>
        <v>#DIV/0!</v>
      </c>
      <c r="H433" s="48"/>
      <c r="I433" s="48"/>
      <c r="J433" s="48"/>
      <c r="K433" s="210"/>
      <c r="L433" s="210"/>
      <c r="M433" s="210"/>
      <c r="N433" s="202"/>
      <c r="O433" s="202">
        <v>2</v>
      </c>
      <c r="P433" s="31">
        <f t="shared" si="450"/>
        <v>2</v>
      </c>
      <c r="Q433" s="202">
        <v>1</v>
      </c>
      <c r="R433" s="203"/>
      <c r="S433" s="36"/>
      <c r="T433" s="34">
        <f t="shared" si="451"/>
        <v>109600</v>
      </c>
      <c r="U433" s="31">
        <f t="shared" si="452"/>
        <v>0</v>
      </c>
      <c r="V433" s="34">
        <f t="shared" si="453"/>
        <v>109600</v>
      </c>
      <c r="W433" s="43">
        <v>54800</v>
      </c>
      <c r="X433" s="34">
        <f t="shared" si="454"/>
        <v>20030.976000000002</v>
      </c>
      <c r="Y433" s="34">
        <f t="shared" si="455"/>
        <v>40061.952000000005</v>
      </c>
      <c r="Z433" s="34">
        <f t="shared" si="456"/>
        <v>25615.7</v>
      </c>
      <c r="AA433" s="49">
        <v>23287</v>
      </c>
      <c r="AB433" s="36"/>
      <c r="AC433" s="204">
        <f t="shared" si="464"/>
        <v>2310</v>
      </c>
      <c r="AD433" s="149">
        <v>7.8E-2</v>
      </c>
      <c r="AE433" s="31">
        <f t="shared" ref="AE433:AE434" si="470">4825*(P433+S433)</f>
        <v>9650</v>
      </c>
      <c r="AF433" s="28">
        <f t="shared" si="458"/>
        <v>0.16604744525547444</v>
      </c>
      <c r="AG433" s="34">
        <f t="shared" si="459"/>
        <v>18198.829999999998</v>
      </c>
      <c r="AH433" s="34">
        <f t="shared" si="460"/>
        <v>5133.9217999999992</v>
      </c>
      <c r="AI433" s="34">
        <f t="shared" si="461"/>
        <v>46205.296199999997</v>
      </c>
      <c r="AJ433" s="46">
        <f t="shared" si="462"/>
        <v>20589.596199999996</v>
      </c>
      <c r="AK433" s="40">
        <v>81</v>
      </c>
      <c r="AL433" s="41">
        <f t="shared" si="463"/>
        <v>104.328</v>
      </c>
      <c r="AM433" s="202"/>
      <c r="AN433" s="205"/>
      <c r="AO433" s="26"/>
      <c r="AP433" s="26"/>
      <c r="AQ433" s="27"/>
      <c r="AR433" s="27"/>
      <c r="AS433" s="27"/>
      <c r="AT433" s="27"/>
      <c r="AU433" s="27"/>
      <c r="AV433" s="27"/>
      <c r="AW433" s="26"/>
      <c r="AX433" s="26"/>
      <c r="AY433" s="26"/>
      <c r="AZ433" s="26"/>
      <c r="BA433" s="26"/>
      <c r="BB433" s="26"/>
      <c r="BC433" s="26"/>
      <c r="BD433" s="26"/>
      <c r="BE433" s="26"/>
      <c r="BF433" s="26"/>
      <c r="BG433" s="26"/>
      <c r="BH433" s="26"/>
      <c r="BI433" s="26"/>
    </row>
    <row r="434" spans="1:61" ht="28.5" customHeight="1">
      <c r="A434" s="26"/>
      <c r="B434" s="324"/>
      <c r="C434" s="42" t="s">
        <v>116</v>
      </c>
      <c r="D434" s="28">
        <f t="shared" si="447"/>
        <v>0.30995473251028804</v>
      </c>
      <c r="E434" s="166">
        <v>0.45300000000000001</v>
      </c>
      <c r="F434" s="30">
        <f t="shared" si="448"/>
        <v>0.14304526748971194</v>
      </c>
      <c r="G434" s="30" t="e">
        <f t="shared" si="449"/>
        <v>#DIV/0!</v>
      </c>
      <c r="H434" s="48"/>
      <c r="I434" s="48"/>
      <c r="J434" s="48"/>
      <c r="K434" s="210"/>
      <c r="L434" s="210"/>
      <c r="M434" s="210"/>
      <c r="N434" s="202"/>
      <c r="O434" s="202">
        <v>3</v>
      </c>
      <c r="P434" s="31">
        <f t="shared" si="450"/>
        <v>3</v>
      </c>
      <c r="Q434" s="202">
        <v>1</v>
      </c>
      <c r="R434" s="203"/>
      <c r="S434" s="36"/>
      <c r="T434" s="34">
        <f t="shared" si="451"/>
        <v>194400</v>
      </c>
      <c r="U434" s="31">
        <f t="shared" si="452"/>
        <v>0</v>
      </c>
      <c r="V434" s="34">
        <f t="shared" si="453"/>
        <v>194400</v>
      </c>
      <c r="W434" s="43">
        <v>64800</v>
      </c>
      <c r="X434" s="34">
        <f t="shared" si="454"/>
        <v>25224.192000000003</v>
      </c>
      <c r="Y434" s="34">
        <f t="shared" si="455"/>
        <v>75672.576000000001</v>
      </c>
      <c r="Z434" s="34">
        <f t="shared" si="456"/>
        <v>25498.000000000004</v>
      </c>
      <c r="AA434" s="49">
        <v>23180</v>
      </c>
      <c r="AB434" s="36"/>
      <c r="AC434" s="204">
        <f t="shared" si="464"/>
        <v>2310</v>
      </c>
      <c r="AD434" s="149">
        <v>7.8E-2</v>
      </c>
      <c r="AE434" s="31">
        <f t="shared" si="470"/>
        <v>14475</v>
      </c>
      <c r="AF434" s="28">
        <f t="shared" si="458"/>
        <v>0.15245987654320986</v>
      </c>
      <c r="AG434" s="34">
        <f t="shared" si="459"/>
        <v>29638.229999999996</v>
      </c>
      <c r="AH434" s="34">
        <f t="shared" si="460"/>
        <v>8908.9193999999989</v>
      </c>
      <c r="AI434" s="34">
        <f t="shared" si="461"/>
        <v>80180.274600000004</v>
      </c>
      <c r="AJ434" s="46">
        <f t="shared" si="462"/>
        <v>54682.274600000004</v>
      </c>
      <c r="AK434" s="40">
        <v>102</v>
      </c>
      <c r="AL434" s="41">
        <f t="shared" si="463"/>
        <v>131.376</v>
      </c>
      <c r="AM434" s="202"/>
      <c r="AN434" s="205"/>
      <c r="AO434" s="26"/>
      <c r="AP434" s="26"/>
      <c r="AQ434" s="27"/>
      <c r="AR434" s="27"/>
      <c r="AS434" s="27"/>
      <c r="AT434" s="27"/>
      <c r="AU434" s="27"/>
      <c r="AV434" s="27"/>
      <c r="AW434" s="26"/>
      <c r="AX434" s="26"/>
      <c r="AY434" s="26"/>
      <c r="AZ434" s="26"/>
      <c r="BA434" s="26"/>
      <c r="BB434" s="26"/>
      <c r="BC434" s="26"/>
      <c r="BD434" s="26"/>
      <c r="BE434" s="26"/>
      <c r="BF434" s="26"/>
      <c r="BG434" s="26"/>
      <c r="BH434" s="26"/>
      <c r="BI434" s="26"/>
    </row>
    <row r="435" spans="1:61" ht="28.5" customHeight="1">
      <c r="A435" s="26"/>
      <c r="B435" s="200"/>
      <c r="C435" s="42" t="s">
        <v>117</v>
      </c>
      <c r="D435" s="28">
        <f t="shared" si="447"/>
        <v>0.35575016620823607</v>
      </c>
      <c r="E435" s="303">
        <v>0.51100000000000001</v>
      </c>
      <c r="F435" s="30">
        <f t="shared" si="448"/>
        <v>0.15524983379176391</v>
      </c>
      <c r="G435" s="30" t="e">
        <f t="shared" si="449"/>
        <v>#DIV/0!</v>
      </c>
      <c r="H435" s="48"/>
      <c r="I435" s="48"/>
      <c r="J435" s="48"/>
      <c r="K435" s="210"/>
      <c r="L435" s="210"/>
      <c r="M435" s="210"/>
      <c r="N435" s="202"/>
      <c r="O435" s="202">
        <v>82</v>
      </c>
      <c r="P435" s="31">
        <f t="shared" si="450"/>
        <v>82</v>
      </c>
      <c r="Q435" s="202">
        <v>6</v>
      </c>
      <c r="R435" s="203"/>
      <c r="S435" s="36"/>
      <c r="T435" s="34">
        <f t="shared" si="451"/>
        <v>1534220</v>
      </c>
      <c r="U435" s="31">
        <f t="shared" si="452"/>
        <v>0</v>
      </c>
      <c r="V435" s="34">
        <f t="shared" si="453"/>
        <v>1534220</v>
      </c>
      <c r="W435" s="43">
        <v>18710</v>
      </c>
      <c r="X435" s="34">
        <f t="shared" si="454"/>
        <v>4451.3280000000004</v>
      </c>
      <c r="Y435" s="34">
        <f t="shared" si="455"/>
        <v>365008.89600000001</v>
      </c>
      <c r="Z435" s="34">
        <f t="shared" si="456"/>
        <v>224327.40000000002</v>
      </c>
      <c r="AA435" s="49">
        <v>203934</v>
      </c>
      <c r="AB435" s="36"/>
      <c r="AC435" s="204">
        <f t="shared" si="464"/>
        <v>13860</v>
      </c>
      <c r="AD435" s="149">
        <v>7.8E-2</v>
      </c>
      <c r="AE435" s="31">
        <f t="shared" ref="AE435:AE437" si="471">1900*(P435+S435)</f>
        <v>155800</v>
      </c>
      <c r="AF435" s="28">
        <f t="shared" si="458"/>
        <v>0.17954997327632283</v>
      </c>
      <c r="AG435" s="34">
        <f t="shared" si="459"/>
        <v>275469.19000000006</v>
      </c>
      <c r="AH435" s="34">
        <f t="shared" si="460"/>
        <v>89374.191399999982</v>
      </c>
      <c r="AI435" s="34">
        <f t="shared" si="461"/>
        <v>804367.72259999986</v>
      </c>
      <c r="AJ435" s="46">
        <f t="shared" si="462"/>
        <v>580040.32259999984</v>
      </c>
      <c r="AK435" s="40">
        <v>18</v>
      </c>
      <c r="AL435" s="41">
        <f t="shared" si="463"/>
        <v>23.184000000000001</v>
      </c>
      <c r="AM435" s="202"/>
      <c r="AN435" s="205"/>
      <c r="AO435" s="26"/>
      <c r="AP435" s="26"/>
      <c r="AQ435" s="27"/>
      <c r="AR435" s="27"/>
      <c r="AS435" s="27"/>
      <c r="AT435" s="27"/>
      <c r="AU435" s="27"/>
      <c r="AV435" s="27"/>
      <c r="AW435" s="26"/>
      <c r="AX435" s="26"/>
      <c r="AY435" s="26"/>
      <c r="AZ435" s="26"/>
      <c r="BA435" s="26"/>
      <c r="BB435" s="26"/>
      <c r="BC435" s="26"/>
      <c r="BD435" s="26"/>
      <c r="BE435" s="26"/>
      <c r="BF435" s="26"/>
      <c r="BG435" s="26"/>
      <c r="BH435" s="26"/>
      <c r="BI435" s="26"/>
    </row>
    <row r="436" spans="1:61" ht="28.5" customHeight="1">
      <c r="A436" s="26"/>
      <c r="B436" s="200"/>
      <c r="C436" s="42" t="s">
        <v>31</v>
      </c>
      <c r="D436" s="28">
        <f t="shared" si="447"/>
        <v>0.1006805555555555</v>
      </c>
      <c r="E436" s="303">
        <v>0.44700000000000001</v>
      </c>
      <c r="F436" s="30">
        <f t="shared" si="448"/>
        <v>0.34631944444444451</v>
      </c>
      <c r="G436" s="30" t="e">
        <f t="shared" si="449"/>
        <v>#DIV/0!</v>
      </c>
      <c r="H436" s="48"/>
      <c r="I436" s="48"/>
      <c r="J436" s="48"/>
      <c r="K436" s="210"/>
      <c r="L436" s="210"/>
      <c r="M436" s="210"/>
      <c r="N436" s="202"/>
      <c r="O436" s="202">
        <v>9</v>
      </c>
      <c r="P436" s="31">
        <f t="shared" si="450"/>
        <v>4</v>
      </c>
      <c r="Q436" s="36">
        <v>0</v>
      </c>
      <c r="R436" s="203"/>
      <c r="S436" s="202">
        <v>5</v>
      </c>
      <c r="T436" s="34">
        <f t="shared" si="451"/>
        <v>178200</v>
      </c>
      <c r="U436" s="31">
        <f t="shared" si="452"/>
        <v>99000</v>
      </c>
      <c r="V436" s="34">
        <f t="shared" si="453"/>
        <v>79200</v>
      </c>
      <c r="W436" s="43">
        <v>19800</v>
      </c>
      <c r="X436" s="34">
        <f t="shared" si="454"/>
        <v>7418.88</v>
      </c>
      <c r="Y436" s="34">
        <f t="shared" si="455"/>
        <v>29675.52</v>
      </c>
      <c r="Z436" s="34">
        <f t="shared" si="456"/>
        <v>27428.500000000004</v>
      </c>
      <c r="AA436" s="49">
        <v>24935</v>
      </c>
      <c r="AB436" s="286">
        <f>((19800*0.1)+(19800*0.015)+2100+2200)*5</f>
        <v>32885</v>
      </c>
      <c r="AC436" s="204">
        <f t="shared" si="464"/>
        <v>0</v>
      </c>
      <c r="AD436" s="149">
        <v>0.08</v>
      </c>
      <c r="AE436" s="31">
        <f t="shared" si="471"/>
        <v>17100</v>
      </c>
      <c r="AF436" s="28">
        <f t="shared" si="458"/>
        <v>0.2959090909090909</v>
      </c>
      <c r="AG436" s="34">
        <f t="shared" si="459"/>
        <v>23436.03</v>
      </c>
      <c r="AH436" s="34">
        <f t="shared" si="460"/>
        <v>2608.8449999999993</v>
      </c>
      <c r="AI436" s="34">
        <f t="shared" si="461"/>
        <v>23479.604999999996</v>
      </c>
      <c r="AJ436" s="206">
        <f t="shared" si="462"/>
        <v>-3948.8950000000077</v>
      </c>
      <c r="AK436" s="40">
        <v>30</v>
      </c>
      <c r="AL436" s="41">
        <f t="shared" si="463"/>
        <v>38.64</v>
      </c>
      <c r="AM436" s="202"/>
      <c r="AN436" s="205"/>
      <c r="AO436" s="26"/>
      <c r="AP436" s="26"/>
      <c r="AQ436" s="27"/>
      <c r="AR436" s="27"/>
      <c r="AS436" s="27"/>
      <c r="AT436" s="27"/>
      <c r="AU436" s="27"/>
      <c r="AV436" s="27"/>
      <c r="AW436" s="26"/>
      <c r="AX436" s="26"/>
      <c r="AY436" s="26"/>
      <c r="AZ436" s="26"/>
      <c r="BA436" s="26"/>
      <c r="BB436" s="26"/>
      <c r="BC436" s="26"/>
      <c r="BD436" s="26"/>
      <c r="BE436" s="26"/>
      <c r="BF436" s="26"/>
      <c r="BG436" s="26"/>
      <c r="BH436" s="26"/>
      <c r="BI436" s="26"/>
    </row>
    <row r="437" spans="1:61" ht="28.5" customHeight="1">
      <c r="A437" s="26"/>
      <c r="B437" s="200"/>
      <c r="C437" s="42" t="s">
        <v>118</v>
      </c>
      <c r="D437" s="28" t="e">
        <f t="shared" si="447"/>
        <v>#DIV/0!</v>
      </c>
      <c r="E437" s="303">
        <v>0.36599999999999999</v>
      </c>
      <c r="F437" s="30" t="e">
        <f t="shared" si="448"/>
        <v>#DIV/0!</v>
      </c>
      <c r="G437" s="30" t="e">
        <f t="shared" si="449"/>
        <v>#DIV/0!</v>
      </c>
      <c r="H437" s="48"/>
      <c r="I437" s="48"/>
      <c r="J437" s="48"/>
      <c r="K437" s="210"/>
      <c r="L437" s="210"/>
      <c r="M437" s="210"/>
      <c r="N437" s="202"/>
      <c r="O437" s="202">
        <v>0</v>
      </c>
      <c r="P437" s="31">
        <f t="shared" si="450"/>
        <v>0</v>
      </c>
      <c r="Q437" s="36">
        <v>0</v>
      </c>
      <c r="R437" s="203"/>
      <c r="S437" s="36"/>
      <c r="T437" s="34">
        <f t="shared" si="451"/>
        <v>0</v>
      </c>
      <c r="U437" s="31">
        <f t="shared" si="452"/>
        <v>0</v>
      </c>
      <c r="V437" s="34">
        <f t="shared" si="453"/>
        <v>0</v>
      </c>
      <c r="W437" s="43">
        <v>24800</v>
      </c>
      <c r="X437" s="34">
        <f t="shared" si="454"/>
        <v>10386.432000000001</v>
      </c>
      <c r="Y437" s="34">
        <f t="shared" si="455"/>
        <v>0</v>
      </c>
      <c r="Z437" s="34">
        <f t="shared" si="456"/>
        <v>0</v>
      </c>
      <c r="AA437" s="49">
        <v>0</v>
      </c>
      <c r="AB437" s="286"/>
      <c r="AC437" s="204">
        <f t="shared" si="464"/>
        <v>0</v>
      </c>
      <c r="AD437" s="149">
        <v>0.1</v>
      </c>
      <c r="AE437" s="31">
        <f t="shared" si="471"/>
        <v>0</v>
      </c>
      <c r="AF437" s="28" t="e">
        <f t="shared" si="458"/>
        <v>#DIV/0!</v>
      </c>
      <c r="AG437" s="34" t="e">
        <f t="shared" si="459"/>
        <v>#DIV/0!</v>
      </c>
      <c r="AH437" s="34" t="e">
        <f t="shared" si="460"/>
        <v>#DIV/0!</v>
      </c>
      <c r="AI437" s="34" t="e">
        <f t="shared" si="461"/>
        <v>#DIV/0!</v>
      </c>
      <c r="AJ437" s="206" t="e">
        <f t="shared" si="462"/>
        <v>#DIV/0!</v>
      </c>
      <c r="AK437" s="40">
        <v>42</v>
      </c>
      <c r="AL437" s="41">
        <f t="shared" si="463"/>
        <v>54.096000000000004</v>
      </c>
      <c r="AM437" s="202"/>
      <c r="AN437" s="284"/>
      <c r="AO437" s="26"/>
      <c r="AP437" s="26"/>
      <c r="AQ437" s="27"/>
      <c r="AR437" s="27"/>
      <c r="AS437" s="27"/>
      <c r="AT437" s="27"/>
      <c r="AU437" s="27"/>
      <c r="AV437" s="27"/>
      <c r="AW437" s="26"/>
      <c r="AX437" s="26"/>
      <c r="AY437" s="26"/>
      <c r="AZ437" s="26"/>
      <c r="BA437" s="26"/>
      <c r="BB437" s="26"/>
      <c r="BC437" s="26"/>
      <c r="BD437" s="26"/>
      <c r="BE437" s="26"/>
      <c r="BF437" s="26"/>
      <c r="BG437" s="26"/>
      <c r="BH437" s="26"/>
      <c r="BI437" s="26"/>
    </row>
    <row r="438" spans="1:61" ht="28.5" customHeight="1">
      <c r="A438" s="26"/>
      <c r="B438" s="200"/>
      <c r="C438" s="42" t="s">
        <v>119</v>
      </c>
      <c r="D438" s="28">
        <f t="shared" si="447"/>
        <v>0.26448991935483868</v>
      </c>
      <c r="E438" s="166">
        <v>0.433</v>
      </c>
      <c r="F438" s="30">
        <f t="shared" si="448"/>
        <v>0.16851008064516129</v>
      </c>
      <c r="G438" s="30" t="e">
        <f t="shared" si="449"/>
        <v>#DIV/0!</v>
      </c>
      <c r="H438" s="48"/>
      <c r="I438" s="48"/>
      <c r="J438" s="48"/>
      <c r="K438" s="210"/>
      <c r="L438" s="210"/>
      <c r="M438" s="210"/>
      <c r="N438" s="202"/>
      <c r="O438" s="202">
        <v>22</v>
      </c>
      <c r="P438" s="31">
        <f t="shared" si="450"/>
        <v>22</v>
      </c>
      <c r="Q438" s="202">
        <v>3</v>
      </c>
      <c r="R438" s="203"/>
      <c r="S438" s="36"/>
      <c r="T438" s="34">
        <f t="shared" si="451"/>
        <v>545600</v>
      </c>
      <c r="U438" s="31">
        <f t="shared" si="452"/>
        <v>0</v>
      </c>
      <c r="V438" s="34">
        <f t="shared" si="453"/>
        <v>545600</v>
      </c>
      <c r="W438" s="43">
        <v>24800</v>
      </c>
      <c r="X438" s="34">
        <f t="shared" si="454"/>
        <v>7666.1760000000013</v>
      </c>
      <c r="Y438" s="34">
        <f t="shared" si="455"/>
        <v>168655.87200000003</v>
      </c>
      <c r="Z438" s="34">
        <f t="shared" si="456"/>
        <v>85009.1</v>
      </c>
      <c r="AA438" s="49">
        <v>77281</v>
      </c>
      <c r="AB438" s="36"/>
      <c r="AC438" s="204">
        <f t="shared" si="464"/>
        <v>6930</v>
      </c>
      <c r="AD438" s="149">
        <v>0.108</v>
      </c>
      <c r="AE438" s="31">
        <f>3150*(P438+S438)</f>
        <v>69300</v>
      </c>
      <c r="AF438" s="28">
        <f t="shared" si="458"/>
        <v>0.23501612903225805</v>
      </c>
      <c r="AG438" s="34">
        <f t="shared" si="459"/>
        <v>128224.82999999999</v>
      </c>
      <c r="AH438" s="34">
        <f t="shared" si="460"/>
        <v>24871.929799999994</v>
      </c>
      <c r="AI438" s="34">
        <f t="shared" si="461"/>
        <v>223847.36819999997</v>
      </c>
      <c r="AJ438" s="46">
        <f t="shared" si="462"/>
        <v>138838.26819999996</v>
      </c>
      <c r="AK438" s="40">
        <v>31</v>
      </c>
      <c r="AL438" s="41">
        <f t="shared" si="463"/>
        <v>39.928000000000004</v>
      </c>
      <c r="AM438" s="202"/>
      <c r="AN438" s="205"/>
      <c r="AO438" s="26"/>
      <c r="AP438" s="26"/>
      <c r="AQ438" s="27"/>
      <c r="AR438" s="27"/>
      <c r="AS438" s="27"/>
      <c r="AT438" s="27"/>
      <c r="AU438" s="27"/>
      <c r="AV438" s="27"/>
      <c r="AW438" s="26"/>
      <c r="AX438" s="26"/>
      <c r="AY438" s="26"/>
      <c r="AZ438" s="26"/>
      <c r="BA438" s="26"/>
      <c r="BB438" s="26"/>
      <c r="BC438" s="26"/>
      <c r="BD438" s="26"/>
      <c r="BE438" s="26"/>
      <c r="BF438" s="26"/>
      <c r="BG438" s="26"/>
      <c r="BH438" s="26"/>
      <c r="BI438" s="26"/>
    </row>
    <row r="439" spans="1:61" ht="28.5" customHeight="1">
      <c r="A439" s="26"/>
      <c r="B439" s="200"/>
      <c r="C439" s="42" t="s">
        <v>120</v>
      </c>
      <c r="D439" s="28">
        <f t="shared" si="447"/>
        <v>0.27885301507537685</v>
      </c>
      <c r="E439" s="166">
        <v>0.41199999999999998</v>
      </c>
      <c r="F439" s="30">
        <f t="shared" si="448"/>
        <v>0.13314698492462312</v>
      </c>
      <c r="G439" s="30" t="e">
        <f t="shared" si="449"/>
        <v>#DIV/0!</v>
      </c>
      <c r="H439" s="48"/>
      <c r="I439" s="48"/>
      <c r="J439" s="48"/>
      <c r="K439" s="210"/>
      <c r="L439" s="210"/>
      <c r="M439" s="210"/>
      <c r="N439" s="202"/>
      <c r="O439" s="202">
        <v>2</v>
      </c>
      <c r="P439" s="31">
        <f t="shared" si="450"/>
        <v>2</v>
      </c>
      <c r="Q439" s="36">
        <v>0</v>
      </c>
      <c r="R439" s="203"/>
      <c r="S439" s="36"/>
      <c r="T439" s="34">
        <f t="shared" si="451"/>
        <v>79600</v>
      </c>
      <c r="U439" s="31">
        <f t="shared" si="452"/>
        <v>0</v>
      </c>
      <c r="V439" s="34">
        <f t="shared" si="453"/>
        <v>79600</v>
      </c>
      <c r="W439" s="43">
        <v>39800</v>
      </c>
      <c r="X439" s="34">
        <f t="shared" si="454"/>
        <v>7666.1760000000013</v>
      </c>
      <c r="Y439" s="34">
        <f t="shared" si="455"/>
        <v>15332.352000000003</v>
      </c>
      <c r="Z439" s="34">
        <f t="shared" si="456"/>
        <v>10598.5</v>
      </c>
      <c r="AA439" s="49">
        <v>9635</v>
      </c>
      <c r="AB439" s="36"/>
      <c r="AC439" s="204">
        <f t="shared" si="464"/>
        <v>0</v>
      </c>
      <c r="AD439" s="152">
        <v>0.108</v>
      </c>
      <c r="AE439" s="31">
        <f>3550*(P439+S439)</f>
        <v>7100</v>
      </c>
      <c r="AF439" s="28">
        <f t="shared" si="458"/>
        <v>0.1971959798994975</v>
      </c>
      <c r="AG439" s="34">
        <f t="shared" si="459"/>
        <v>15696.830000000002</v>
      </c>
      <c r="AH439" s="34">
        <f t="shared" si="460"/>
        <v>4857.0817999999999</v>
      </c>
      <c r="AI439" s="34">
        <f t="shared" si="461"/>
        <v>43713.736199999999</v>
      </c>
      <c r="AJ439" s="206">
        <f t="shared" si="462"/>
        <v>33115.236199999999</v>
      </c>
      <c r="AK439" s="40">
        <v>31</v>
      </c>
      <c r="AL439" s="41">
        <f t="shared" si="463"/>
        <v>39.928000000000004</v>
      </c>
      <c r="AM439" s="202"/>
      <c r="AN439" s="205"/>
      <c r="AO439" s="26"/>
      <c r="AP439" s="26"/>
      <c r="AQ439" s="27"/>
      <c r="AR439" s="27"/>
      <c r="AS439" s="27"/>
      <c r="AT439" s="27"/>
      <c r="AU439" s="27"/>
      <c r="AV439" s="27"/>
      <c r="AW439" s="26"/>
      <c r="AX439" s="26"/>
      <c r="AY439" s="26"/>
      <c r="AZ439" s="26"/>
      <c r="BA439" s="26"/>
      <c r="BB439" s="26"/>
      <c r="BC439" s="26"/>
      <c r="BD439" s="26"/>
      <c r="BE439" s="26"/>
      <c r="BF439" s="26"/>
      <c r="BG439" s="26"/>
      <c r="BH439" s="26"/>
      <c r="BI439" s="26"/>
    </row>
    <row r="440" spans="1:61" ht="28.5" customHeight="1">
      <c r="A440" s="26"/>
      <c r="B440" s="216"/>
      <c r="C440" s="217"/>
      <c r="D440" s="298">
        <f>AJ440/V440</f>
        <v>0.14865137780923887</v>
      </c>
      <c r="E440" s="298">
        <f>AI440/V440</f>
        <v>0.40404128559604335</v>
      </c>
      <c r="F440" s="52">
        <f>(Z440)/V440</f>
        <v>0.23615685860275493</v>
      </c>
      <c r="G440" s="219"/>
      <c r="H440" s="55"/>
      <c r="I440" s="55"/>
      <c r="J440" s="55"/>
      <c r="K440" s="55"/>
      <c r="L440" s="55"/>
      <c r="M440" s="55"/>
      <c r="N440" s="130"/>
      <c r="O440" s="130">
        <f t="shared" ref="O440:R440" si="472">SUM(O418:O439)</f>
        <v>439</v>
      </c>
      <c r="P440" s="130">
        <f t="shared" si="472"/>
        <v>414</v>
      </c>
      <c r="Q440" s="130">
        <f t="shared" si="472"/>
        <v>48</v>
      </c>
      <c r="R440" s="130">
        <f t="shared" si="472"/>
        <v>0</v>
      </c>
      <c r="S440" s="36"/>
      <c r="T440" s="130">
        <f t="shared" ref="T440:V440" si="473">SUM(T418:T439)</f>
        <v>13291320</v>
      </c>
      <c r="U440" s="130">
        <f t="shared" si="473"/>
        <v>605500</v>
      </c>
      <c r="V440" s="130">
        <f t="shared" si="473"/>
        <v>12685820</v>
      </c>
      <c r="W440" s="55"/>
      <c r="X440" s="130">
        <f t="shared" ref="X440:AC440" si="474">SUM(X418:X439)</f>
        <v>314387.4047999999</v>
      </c>
      <c r="Y440" s="130">
        <f t="shared" si="474"/>
        <v>4485615.590400001</v>
      </c>
      <c r="Z440" s="130">
        <f t="shared" si="474"/>
        <v>2995843.4000000004</v>
      </c>
      <c r="AA440" s="130">
        <f t="shared" si="474"/>
        <v>2723494</v>
      </c>
      <c r="AB440" s="287">
        <f t="shared" si="474"/>
        <v>243987</v>
      </c>
      <c r="AC440" s="130">
        <f t="shared" si="474"/>
        <v>108396</v>
      </c>
      <c r="AD440" s="154">
        <v>0.09</v>
      </c>
      <c r="AE440" s="130">
        <f>SUM(AE418:AE439)</f>
        <v>1363375</v>
      </c>
      <c r="AF440" s="53">
        <f t="shared" si="458"/>
        <v>0.19747235890151366</v>
      </c>
      <c r="AG440" s="56">
        <f t="shared" si="459"/>
        <v>2505098.8299999996</v>
      </c>
      <c r="AH440" s="56">
        <f t="shared" si="460"/>
        <v>569510.55795999989</v>
      </c>
      <c r="AI440" s="56">
        <f t="shared" si="461"/>
        <v>5125595.021639999</v>
      </c>
      <c r="AJ440" s="46">
        <f>AI440-Z440-AB440</f>
        <v>1885764.6216399986</v>
      </c>
      <c r="AK440" s="54"/>
      <c r="AL440" s="222"/>
      <c r="AM440" s="131">
        <f t="shared" ref="AM440:AN440" si="475">SUM(AM418:AM419)</f>
        <v>0</v>
      </c>
      <c r="AN440" s="132">
        <f t="shared" si="475"/>
        <v>0</v>
      </c>
      <c r="AO440" s="26"/>
      <c r="AP440" s="26"/>
      <c r="AQ440" s="27"/>
      <c r="AR440" s="27"/>
      <c r="AS440" s="27"/>
      <c r="AT440" s="27"/>
      <c r="AU440" s="27"/>
      <c r="AV440" s="27"/>
      <c r="AW440" s="26"/>
      <c r="AX440" s="26"/>
      <c r="AY440" s="26"/>
      <c r="AZ440" s="26"/>
      <c r="BA440" s="26"/>
      <c r="BB440" s="26"/>
      <c r="BC440" s="26"/>
      <c r="BD440" s="26"/>
      <c r="BE440" s="26"/>
      <c r="BF440" s="26"/>
      <c r="BG440" s="26"/>
      <c r="BH440" s="26"/>
      <c r="BI440" s="26"/>
    </row>
    <row r="441" spans="1:61" ht="28.5" customHeight="1">
      <c r="A441" s="1"/>
      <c r="B441" s="290"/>
      <c r="C441" s="291"/>
      <c r="D441" s="2"/>
      <c r="E441" s="2"/>
      <c r="F441" s="2"/>
      <c r="G441" s="2"/>
      <c r="H441" s="2"/>
      <c r="I441" s="2"/>
      <c r="J441" s="2"/>
      <c r="K441" s="2"/>
      <c r="L441" s="2"/>
      <c r="M441" s="2"/>
      <c r="N441" s="292"/>
      <c r="O441" s="292"/>
      <c r="P441" s="2"/>
      <c r="Q441" s="2"/>
      <c r="R441" s="2"/>
      <c r="S441" s="293"/>
      <c r="T441" s="2"/>
      <c r="U441" s="2"/>
      <c r="V441" s="2"/>
      <c r="W441" s="2"/>
      <c r="X441" s="2"/>
      <c r="Y441" s="2"/>
      <c r="Z441" s="2"/>
      <c r="AA441" s="2"/>
      <c r="AB441" s="2"/>
      <c r="AC441" s="2"/>
      <c r="AD441" s="2"/>
      <c r="AE441" s="2"/>
      <c r="AF441" s="1"/>
      <c r="AG441" s="1"/>
      <c r="AH441" s="1"/>
      <c r="AI441" s="1"/>
      <c r="AJ441" s="1"/>
      <c r="AK441" s="1"/>
      <c r="AL441" s="1"/>
      <c r="AM441" s="1"/>
      <c r="AN441" s="1"/>
      <c r="AO441" s="1"/>
      <c r="AP441" s="1"/>
      <c r="AQ441" s="1"/>
      <c r="AR441" s="1"/>
      <c r="AS441" s="1"/>
      <c r="AT441" s="7"/>
      <c r="AU441" s="7"/>
      <c r="AV441" s="7"/>
      <c r="AW441" s="47"/>
      <c r="AX441" s="47"/>
      <c r="AY441" s="47"/>
      <c r="AZ441" s="47"/>
      <c r="BA441" s="47"/>
      <c r="BB441" s="47"/>
      <c r="BC441" s="47"/>
      <c r="BD441" s="47"/>
      <c r="BE441" s="47"/>
      <c r="BF441" s="47"/>
      <c r="BG441" s="47"/>
      <c r="BH441" s="47"/>
      <c r="BI441" s="47"/>
    </row>
    <row r="442" spans="1:61" ht="28.5" customHeight="1">
      <c r="A442" s="26"/>
      <c r="B442" s="189"/>
      <c r="C442" s="134">
        <v>45887</v>
      </c>
      <c r="D442" s="190" t="s">
        <v>0</v>
      </c>
      <c r="E442" s="190" t="s">
        <v>1</v>
      </c>
      <c r="F442" s="190" t="s">
        <v>2</v>
      </c>
      <c r="G442" s="190" t="s">
        <v>3</v>
      </c>
      <c r="H442" s="304" t="s">
        <v>4</v>
      </c>
      <c r="I442" s="192" t="s">
        <v>5</v>
      </c>
      <c r="J442" s="192" t="s">
        <v>90</v>
      </c>
      <c r="K442" s="193"/>
      <c r="L442" s="193" t="s">
        <v>6</v>
      </c>
      <c r="M442" s="194" t="s">
        <v>7</v>
      </c>
      <c r="N442" s="123" t="s">
        <v>125</v>
      </c>
      <c r="O442" s="123" t="s">
        <v>8</v>
      </c>
      <c r="P442" s="123" t="s">
        <v>9</v>
      </c>
      <c r="Q442" s="15" t="s">
        <v>10</v>
      </c>
      <c r="R442" s="123" t="s">
        <v>92</v>
      </c>
      <c r="S442" s="196" t="s">
        <v>11</v>
      </c>
      <c r="T442" s="17" t="s">
        <v>12</v>
      </c>
      <c r="U442" s="17" t="s">
        <v>13</v>
      </c>
      <c r="V442" s="17" t="s">
        <v>14</v>
      </c>
      <c r="W442" s="17" t="s">
        <v>15</v>
      </c>
      <c r="X442" s="17" t="s">
        <v>16</v>
      </c>
      <c r="Y442" s="17" t="s">
        <v>17</v>
      </c>
      <c r="Z442" s="19" t="s">
        <v>18</v>
      </c>
      <c r="AA442" s="19" t="s">
        <v>19</v>
      </c>
      <c r="AB442" s="20" t="s">
        <v>20</v>
      </c>
      <c r="AC442" s="22" t="s">
        <v>93</v>
      </c>
      <c r="AD442" s="197" t="s">
        <v>21</v>
      </c>
      <c r="AE442" s="21" t="s">
        <v>22</v>
      </c>
      <c r="AF442" s="23" t="s">
        <v>23</v>
      </c>
      <c r="AG442" s="23" t="s">
        <v>21</v>
      </c>
      <c r="AH442" s="23" t="s">
        <v>24</v>
      </c>
      <c r="AI442" s="24" t="s">
        <v>26</v>
      </c>
      <c r="AJ442" s="23" t="s">
        <v>27</v>
      </c>
      <c r="AK442" s="21" t="s">
        <v>147</v>
      </c>
      <c r="AL442" s="282" t="s">
        <v>148</v>
      </c>
      <c r="AM442" s="124" t="s">
        <v>94</v>
      </c>
      <c r="AN442" s="125" t="s">
        <v>95</v>
      </c>
      <c r="AO442" s="26"/>
      <c r="AP442" s="26"/>
      <c r="AQ442" s="27"/>
      <c r="AR442" s="27"/>
      <c r="AS442" s="27"/>
      <c r="AT442" s="27"/>
      <c r="AU442" s="27"/>
      <c r="AV442" s="27"/>
      <c r="AW442" s="26"/>
      <c r="AX442" s="26"/>
      <c r="AY442" s="26"/>
      <c r="AZ442" s="26"/>
      <c r="BA442" s="26"/>
      <c r="BB442" s="26"/>
      <c r="BC442" s="26"/>
      <c r="BD442" s="26"/>
      <c r="BE442" s="26"/>
      <c r="BF442" s="26"/>
      <c r="BG442" s="26"/>
      <c r="BH442" s="26"/>
      <c r="BI442" s="26"/>
    </row>
    <row r="443" spans="1:61" ht="28.5" customHeight="1">
      <c r="A443" s="26"/>
      <c r="B443" s="200"/>
      <c r="C443" s="42" t="s">
        <v>107</v>
      </c>
      <c r="D443" s="28">
        <f t="shared" ref="D443:D464" si="476">E443-F443</f>
        <v>0.38735401598781882</v>
      </c>
      <c r="E443" s="166">
        <v>0.39700000000000002</v>
      </c>
      <c r="F443" s="30">
        <f t="shared" ref="F443:F464" si="477">(Z443+AC443)/V443</f>
        <v>9.6459840121811951E-3</v>
      </c>
      <c r="G443" s="30" t="e">
        <f t="shared" ref="G443:G464" si="478">R443/AN443</f>
        <v>#DIV/0!</v>
      </c>
      <c r="H443" s="35">
        <v>1200</v>
      </c>
      <c r="I443" s="48"/>
      <c r="J443" s="48"/>
      <c r="K443" s="35"/>
      <c r="L443" s="35">
        <v>2030</v>
      </c>
      <c r="M443" s="48"/>
      <c r="N443" s="202"/>
      <c r="O443" s="202">
        <v>180</v>
      </c>
      <c r="P443" s="31">
        <f t="shared" ref="P443:P464" si="479">O443-S443</f>
        <v>180</v>
      </c>
      <c r="Q443" s="202">
        <v>21</v>
      </c>
      <c r="R443" s="203"/>
      <c r="S443" s="36"/>
      <c r="T443" s="34">
        <f t="shared" ref="T443:T464" si="480">W443*O443</f>
        <v>4728600</v>
      </c>
      <c r="U443" s="31">
        <f t="shared" ref="U443:U464" si="481">W443*S443</f>
        <v>0</v>
      </c>
      <c r="V443" s="34">
        <f t="shared" ref="V443:V464" si="482">T443-U443</f>
        <v>4728600</v>
      </c>
      <c r="W443" s="43">
        <v>26270</v>
      </c>
      <c r="X443" s="34">
        <f t="shared" ref="X443:X464" si="483">AL443*$A$2</f>
        <v>9891.84</v>
      </c>
      <c r="Y443" s="34">
        <f t="shared" ref="Y443:Y464" si="484">X443*P443</f>
        <v>1780531.2</v>
      </c>
      <c r="Z443" s="34">
        <f t="shared" ref="Z443:Z464" si="485">AA443*1.1</f>
        <v>0</v>
      </c>
      <c r="AA443" s="49"/>
      <c r="AB443" s="36"/>
      <c r="AC443" s="204">
        <f t="shared" ref="AC443:AC444" si="486">(1072+1100)*Q443</f>
        <v>45612</v>
      </c>
      <c r="AD443" s="149">
        <v>0.1</v>
      </c>
      <c r="AE443" s="31">
        <f>3050*(P443+S443)</f>
        <v>549000</v>
      </c>
      <c r="AF443" s="28">
        <f t="shared" ref="AF443:AF465" si="487">AD443+(AE443/V443)</f>
        <v>0.2161020175104682</v>
      </c>
      <c r="AG443" s="34">
        <f t="shared" ref="AG443:AG465" si="488">V443*AF443+3%</f>
        <v>1021860.03</v>
      </c>
      <c r="AH443" s="34">
        <f t="shared" ref="AH443:AH465" si="489">(V443)*10%-(Y443+AG443)*10%</f>
        <v>192620.87699999998</v>
      </c>
      <c r="AI443" s="34">
        <f t="shared" ref="AI443:AI465" si="490">V443-(Y443+AG443+AH443)</f>
        <v>1733587.8930000002</v>
      </c>
      <c r="AJ443" s="46">
        <f t="shared" ref="AJ443:AJ464" si="491">AI443-Z443</f>
        <v>1733587.8930000002</v>
      </c>
      <c r="AK443" s="40">
        <v>40</v>
      </c>
      <c r="AL443" s="41">
        <f t="shared" ref="AL443:AL464" si="492">(AK443*1.15)*1.12</f>
        <v>51.52</v>
      </c>
      <c r="AM443" s="202"/>
      <c r="AN443" s="205"/>
      <c r="AO443" s="26"/>
      <c r="AP443" s="26"/>
      <c r="AQ443" s="27"/>
      <c r="AR443" s="27"/>
      <c r="AS443" s="27"/>
      <c r="AT443" s="27"/>
      <c r="AU443" s="27"/>
      <c r="AV443" s="27"/>
      <c r="AW443" s="26"/>
      <c r="AX443" s="26"/>
      <c r="AY443" s="26"/>
      <c r="AZ443" s="26"/>
      <c r="BA443" s="26"/>
      <c r="BB443" s="26"/>
      <c r="BC443" s="26"/>
      <c r="BD443" s="26"/>
      <c r="BE443" s="26"/>
      <c r="BF443" s="26"/>
      <c r="BG443" s="26"/>
      <c r="BH443" s="26"/>
      <c r="BI443" s="26"/>
    </row>
    <row r="444" spans="1:61" ht="28.5" customHeight="1">
      <c r="A444" s="26"/>
      <c r="B444" s="200"/>
      <c r="C444" s="42" t="s">
        <v>108</v>
      </c>
      <c r="D444" s="28">
        <f t="shared" si="476"/>
        <v>0.41</v>
      </c>
      <c r="E444" s="166">
        <v>0.41</v>
      </c>
      <c r="F444" s="30">
        <f t="shared" si="477"/>
        <v>0</v>
      </c>
      <c r="G444" s="30" t="e">
        <f t="shared" si="478"/>
        <v>#DIV/0!</v>
      </c>
      <c r="H444" s="35">
        <v>460</v>
      </c>
      <c r="I444" s="48"/>
      <c r="J444" s="48"/>
      <c r="K444" s="38"/>
      <c r="L444" s="38">
        <v>599</v>
      </c>
      <c r="M444" s="210"/>
      <c r="N444" s="202"/>
      <c r="O444" s="202">
        <v>1</v>
      </c>
      <c r="P444" s="31">
        <f t="shared" si="479"/>
        <v>1</v>
      </c>
      <c r="Q444" s="36">
        <v>0</v>
      </c>
      <c r="R444" s="203"/>
      <c r="S444" s="36"/>
      <c r="T444" s="34">
        <f t="shared" si="480"/>
        <v>22770</v>
      </c>
      <c r="U444" s="31">
        <f t="shared" si="481"/>
        <v>0</v>
      </c>
      <c r="V444" s="34">
        <f t="shared" si="482"/>
        <v>22770</v>
      </c>
      <c r="W444" s="43">
        <v>22770</v>
      </c>
      <c r="X444" s="34">
        <f t="shared" si="483"/>
        <v>7913.4719999999998</v>
      </c>
      <c r="Y444" s="34">
        <f t="shared" si="484"/>
        <v>7913.4719999999998</v>
      </c>
      <c r="Z444" s="34">
        <f t="shared" si="485"/>
        <v>0</v>
      </c>
      <c r="AA444" s="49"/>
      <c r="AB444" s="36"/>
      <c r="AC444" s="204">
        <f t="shared" si="486"/>
        <v>0</v>
      </c>
      <c r="AD444" s="149">
        <v>0.1</v>
      </c>
      <c r="AE444" s="31">
        <f>2950*(P444+S444)</f>
        <v>2950</v>
      </c>
      <c r="AF444" s="28">
        <f t="shared" si="487"/>
        <v>0.22955643390426</v>
      </c>
      <c r="AG444" s="34">
        <f t="shared" si="488"/>
        <v>5227.03</v>
      </c>
      <c r="AH444" s="34">
        <f t="shared" si="489"/>
        <v>962.94979999999987</v>
      </c>
      <c r="AI444" s="34">
        <f t="shared" si="490"/>
        <v>8666.5481999999993</v>
      </c>
      <c r="AJ444" s="46">
        <f t="shared" si="491"/>
        <v>8666.5481999999993</v>
      </c>
      <c r="AK444" s="40">
        <v>32</v>
      </c>
      <c r="AL444" s="41">
        <f t="shared" si="492"/>
        <v>41.216000000000001</v>
      </c>
      <c r="AM444" s="202"/>
      <c r="AN444" s="205"/>
      <c r="AO444" s="26"/>
      <c r="AP444" s="26"/>
      <c r="AQ444" s="27"/>
      <c r="AR444" s="27"/>
      <c r="AS444" s="27"/>
      <c r="AT444" s="27"/>
      <c r="AU444" s="27"/>
      <c r="AV444" s="27"/>
      <c r="AW444" s="26"/>
      <c r="AX444" s="26"/>
      <c r="AY444" s="26"/>
      <c r="AZ444" s="26"/>
      <c r="BA444" s="26"/>
      <c r="BB444" s="26"/>
      <c r="BC444" s="26"/>
      <c r="BD444" s="26"/>
      <c r="BE444" s="26"/>
      <c r="BF444" s="26"/>
      <c r="BG444" s="26"/>
      <c r="BH444" s="26"/>
      <c r="BI444" s="26"/>
    </row>
    <row r="445" spans="1:61" ht="28.5" customHeight="1">
      <c r="A445" s="336"/>
      <c r="B445" s="323"/>
      <c r="C445" s="42" t="s">
        <v>109</v>
      </c>
      <c r="D445" s="28">
        <f t="shared" si="476"/>
        <v>0.378</v>
      </c>
      <c r="E445" s="166">
        <v>0.378</v>
      </c>
      <c r="F445" s="30">
        <f t="shared" si="477"/>
        <v>0</v>
      </c>
      <c r="G445" s="30" t="e">
        <f t="shared" si="478"/>
        <v>#DIV/0!</v>
      </c>
      <c r="H445" s="35">
        <v>0</v>
      </c>
      <c r="I445" s="48"/>
      <c r="J445" s="48"/>
      <c r="K445" s="35"/>
      <c r="L445" s="312">
        <v>687</v>
      </c>
      <c r="M445" s="48"/>
      <c r="N445" s="202"/>
      <c r="O445" s="202">
        <v>3</v>
      </c>
      <c r="P445" s="31">
        <f t="shared" si="479"/>
        <v>3</v>
      </c>
      <c r="Q445" s="36">
        <v>0</v>
      </c>
      <c r="R445" s="203"/>
      <c r="S445" s="36"/>
      <c r="T445" s="34">
        <f t="shared" si="480"/>
        <v>133200</v>
      </c>
      <c r="U445" s="31">
        <f t="shared" si="481"/>
        <v>0</v>
      </c>
      <c r="V445" s="34">
        <f t="shared" si="482"/>
        <v>133200</v>
      </c>
      <c r="W445" s="43">
        <v>44400</v>
      </c>
      <c r="X445" s="34">
        <f t="shared" si="483"/>
        <v>12278.2464</v>
      </c>
      <c r="Y445" s="34">
        <f t="shared" si="484"/>
        <v>36834.739199999996</v>
      </c>
      <c r="Z445" s="34">
        <f t="shared" si="485"/>
        <v>0</v>
      </c>
      <c r="AA445" s="49"/>
      <c r="AB445" s="36"/>
      <c r="AC445" s="204">
        <f t="shared" ref="AC445:AC464" si="493">(1210+1100)*Q445</f>
        <v>0</v>
      </c>
      <c r="AD445" s="149">
        <v>0.11</v>
      </c>
      <c r="AE445" s="31">
        <f t="shared" ref="AE445:AE446" si="494">4150*(P445+S445)</f>
        <v>12450</v>
      </c>
      <c r="AF445" s="28">
        <f t="shared" si="487"/>
        <v>0.20346846846846847</v>
      </c>
      <c r="AG445" s="34">
        <f t="shared" si="488"/>
        <v>27102.03</v>
      </c>
      <c r="AH445" s="34">
        <f t="shared" si="489"/>
        <v>6926.3230800000001</v>
      </c>
      <c r="AI445" s="34">
        <f t="shared" si="490"/>
        <v>62336.907720000003</v>
      </c>
      <c r="AJ445" s="46">
        <f t="shared" si="491"/>
        <v>62336.907720000003</v>
      </c>
      <c r="AK445" s="40">
        <v>49.65</v>
      </c>
      <c r="AL445" s="41">
        <f t="shared" si="492"/>
        <v>63.949200000000005</v>
      </c>
      <c r="AM445" s="202"/>
      <c r="AN445" s="205"/>
      <c r="AO445" s="26"/>
      <c r="AP445" s="26"/>
      <c r="AQ445" s="27"/>
      <c r="AR445" s="27"/>
      <c r="AS445" s="27"/>
      <c r="AT445" s="27"/>
      <c r="AU445" s="27"/>
      <c r="AV445" s="27"/>
      <c r="AW445" s="26"/>
      <c r="AX445" s="26"/>
      <c r="AY445" s="26"/>
      <c r="AZ445" s="26"/>
      <c r="BA445" s="26"/>
      <c r="BB445" s="26"/>
      <c r="BC445" s="26"/>
      <c r="BD445" s="26"/>
      <c r="BE445" s="26"/>
      <c r="BF445" s="26"/>
      <c r="BG445" s="26"/>
      <c r="BH445" s="26"/>
      <c r="BI445" s="26"/>
    </row>
    <row r="446" spans="1:61" ht="28.5" customHeight="1">
      <c r="A446" s="311"/>
      <c r="B446" s="324"/>
      <c r="C446" s="42" t="s">
        <v>110</v>
      </c>
      <c r="D446" s="28">
        <f t="shared" si="476"/>
        <v>0.36635897435897435</v>
      </c>
      <c r="E446" s="166">
        <v>0.317</v>
      </c>
      <c r="F446" s="30">
        <f t="shared" si="477"/>
        <v>-4.9358974358974357E-2</v>
      </c>
      <c r="G446" s="30" t="e">
        <f t="shared" si="478"/>
        <v>#DIV/0!</v>
      </c>
      <c r="H446" s="35">
        <v>0</v>
      </c>
      <c r="I446" s="48"/>
      <c r="J446" s="48"/>
      <c r="K446" s="35"/>
      <c r="L446" s="310"/>
      <c r="M446" s="48"/>
      <c r="N446" s="202"/>
      <c r="O446" s="202">
        <v>-1</v>
      </c>
      <c r="P446" s="31">
        <f t="shared" si="479"/>
        <v>-1</v>
      </c>
      <c r="Q446" s="202">
        <v>1</v>
      </c>
      <c r="R446" s="203"/>
      <c r="S446" s="36"/>
      <c r="T446" s="34">
        <f t="shared" si="480"/>
        <v>-46800</v>
      </c>
      <c r="U446" s="31">
        <f t="shared" si="481"/>
        <v>0</v>
      </c>
      <c r="V446" s="34">
        <f t="shared" si="482"/>
        <v>-46800</v>
      </c>
      <c r="W446" s="43">
        <v>46800</v>
      </c>
      <c r="X446" s="34">
        <f t="shared" si="483"/>
        <v>12772.838400000001</v>
      </c>
      <c r="Y446" s="34">
        <f t="shared" si="484"/>
        <v>-12772.838400000001</v>
      </c>
      <c r="Z446" s="34">
        <f t="shared" si="485"/>
        <v>0</v>
      </c>
      <c r="AA446" s="49"/>
      <c r="AB446" s="36"/>
      <c r="AC446" s="204">
        <f t="shared" si="493"/>
        <v>2310</v>
      </c>
      <c r="AD446" s="149">
        <v>0.11</v>
      </c>
      <c r="AE446" s="31">
        <f t="shared" si="494"/>
        <v>-4150</v>
      </c>
      <c r="AF446" s="28">
        <f t="shared" si="487"/>
        <v>0.19867521367521368</v>
      </c>
      <c r="AG446" s="34">
        <f t="shared" si="488"/>
        <v>-9297.9699999999993</v>
      </c>
      <c r="AH446" s="34">
        <f t="shared" si="489"/>
        <v>-2472.9191599999999</v>
      </c>
      <c r="AI446" s="34">
        <f t="shared" si="490"/>
        <v>-22256.272439999997</v>
      </c>
      <c r="AJ446" s="46">
        <f t="shared" si="491"/>
        <v>-22256.272439999997</v>
      </c>
      <c r="AK446" s="40">
        <v>51.65</v>
      </c>
      <c r="AL446" s="41">
        <f t="shared" si="492"/>
        <v>66.525199999999998</v>
      </c>
      <c r="AM446" s="202"/>
      <c r="AN446" s="205"/>
      <c r="AO446" s="26"/>
      <c r="AP446" s="26"/>
      <c r="AQ446" s="27"/>
      <c r="AR446" s="27"/>
      <c r="AS446" s="27"/>
      <c r="AT446" s="27"/>
      <c r="AU446" s="27"/>
      <c r="AV446" s="27"/>
      <c r="AW446" s="26"/>
      <c r="AX446" s="26"/>
      <c r="AY446" s="26"/>
      <c r="AZ446" s="26"/>
      <c r="BA446" s="26"/>
      <c r="BB446" s="26"/>
      <c r="BC446" s="26"/>
      <c r="BD446" s="26"/>
      <c r="BE446" s="26"/>
      <c r="BF446" s="26"/>
      <c r="BG446" s="26"/>
      <c r="BH446" s="26"/>
      <c r="BI446" s="26"/>
    </row>
    <row r="447" spans="1:61" ht="28.5" customHeight="1">
      <c r="A447" s="26"/>
      <c r="B447" s="323"/>
      <c r="C447" s="42" t="s">
        <v>32</v>
      </c>
      <c r="D447" s="28">
        <f t="shared" si="476"/>
        <v>0.37840802675585289</v>
      </c>
      <c r="E447" s="166">
        <v>0.40600000000000003</v>
      </c>
      <c r="F447" s="30">
        <f t="shared" si="477"/>
        <v>2.7591973244147156E-2</v>
      </c>
      <c r="G447" s="30" t="e">
        <f t="shared" si="478"/>
        <v>#DIV/0!</v>
      </c>
      <c r="H447" s="37">
        <v>3504</v>
      </c>
      <c r="I447" s="48"/>
      <c r="J447" s="48"/>
      <c r="K447" s="35"/>
      <c r="L447" s="312">
        <v>3165</v>
      </c>
      <c r="M447" s="48"/>
      <c r="N447" s="202"/>
      <c r="O447" s="202">
        <v>12</v>
      </c>
      <c r="P447" s="31">
        <f t="shared" si="479"/>
        <v>7</v>
      </c>
      <c r="Q447" s="202">
        <v>5</v>
      </c>
      <c r="R447" s="203"/>
      <c r="S447" s="202">
        <v>5</v>
      </c>
      <c r="T447" s="34">
        <f t="shared" si="480"/>
        <v>717600</v>
      </c>
      <c r="U447" s="31">
        <f t="shared" si="481"/>
        <v>299000</v>
      </c>
      <c r="V447" s="34">
        <f t="shared" si="482"/>
        <v>418600</v>
      </c>
      <c r="W447" s="43">
        <v>59800</v>
      </c>
      <c r="X447" s="34">
        <f t="shared" si="483"/>
        <v>21143.807999999997</v>
      </c>
      <c r="Y447" s="34">
        <f t="shared" si="484"/>
        <v>148006.65599999999</v>
      </c>
      <c r="Z447" s="34">
        <f t="shared" si="485"/>
        <v>0</v>
      </c>
      <c r="AA447" s="49"/>
      <c r="AB447" s="287"/>
      <c r="AC447" s="204">
        <f t="shared" si="493"/>
        <v>11550</v>
      </c>
      <c r="AD447" s="149">
        <v>0.108</v>
      </c>
      <c r="AE447" s="31">
        <f t="shared" ref="AE447:AE448" si="495">4825*(P447+S447)</f>
        <v>57900</v>
      </c>
      <c r="AF447" s="28">
        <f t="shared" si="487"/>
        <v>0.24631820353559486</v>
      </c>
      <c r="AG447" s="34">
        <f t="shared" si="488"/>
        <v>103108.83</v>
      </c>
      <c r="AH447" s="34">
        <f t="shared" si="489"/>
        <v>16748.451400000002</v>
      </c>
      <c r="AI447" s="34">
        <f t="shared" si="490"/>
        <v>150736.0626</v>
      </c>
      <c r="AJ447" s="46">
        <f t="shared" si="491"/>
        <v>150736.0626</v>
      </c>
      <c r="AK447" s="40">
        <v>85.5</v>
      </c>
      <c r="AL447" s="41">
        <f t="shared" si="492"/>
        <v>110.124</v>
      </c>
      <c r="AM447" s="202"/>
      <c r="AN447" s="205"/>
      <c r="AO447" s="26"/>
      <c r="AP447" s="26"/>
      <c r="AQ447" s="27"/>
      <c r="AR447" s="27"/>
      <c r="AS447" s="27"/>
      <c r="AT447" s="27"/>
      <c r="AU447" s="27"/>
      <c r="AV447" s="27"/>
      <c r="AW447" s="26"/>
      <c r="AX447" s="26"/>
      <c r="AY447" s="26"/>
      <c r="AZ447" s="26"/>
      <c r="BA447" s="26"/>
      <c r="BB447" s="26"/>
      <c r="BC447" s="26"/>
      <c r="BD447" s="26"/>
      <c r="BE447" s="26"/>
      <c r="BF447" s="26"/>
      <c r="BG447" s="26"/>
      <c r="BH447" s="26"/>
      <c r="BI447" s="26"/>
    </row>
    <row r="448" spans="1:61" ht="28.5" customHeight="1">
      <c r="A448" s="26"/>
      <c r="B448" s="333"/>
      <c r="C448" s="42" t="s">
        <v>33</v>
      </c>
      <c r="D448" s="28">
        <f t="shared" si="476"/>
        <v>0.38938164493480437</v>
      </c>
      <c r="E448" s="166">
        <v>0.40799999999999997</v>
      </c>
      <c r="F448" s="30">
        <f t="shared" si="477"/>
        <v>1.8618355065195588E-2</v>
      </c>
      <c r="G448" s="30" t="e">
        <f t="shared" si="478"/>
        <v>#DIV/0!</v>
      </c>
      <c r="H448" s="35">
        <v>0</v>
      </c>
      <c r="I448" s="48"/>
      <c r="J448" s="48"/>
      <c r="K448" s="35"/>
      <c r="L448" s="310"/>
      <c r="M448" s="48"/>
      <c r="N448" s="202"/>
      <c r="O448" s="202">
        <v>16</v>
      </c>
      <c r="P448" s="31">
        <f t="shared" si="479"/>
        <v>16</v>
      </c>
      <c r="Q448" s="202">
        <v>9</v>
      </c>
      <c r="R448" s="203"/>
      <c r="S448" s="36"/>
      <c r="T448" s="34">
        <f t="shared" si="480"/>
        <v>1116640</v>
      </c>
      <c r="U448" s="31">
        <f t="shared" si="481"/>
        <v>0</v>
      </c>
      <c r="V448" s="34">
        <f t="shared" si="482"/>
        <v>1116640</v>
      </c>
      <c r="W448" s="43">
        <v>69790</v>
      </c>
      <c r="X448" s="34">
        <f t="shared" si="483"/>
        <v>26337.023999999998</v>
      </c>
      <c r="Y448" s="34">
        <f t="shared" si="484"/>
        <v>421392.38399999996</v>
      </c>
      <c r="Z448" s="34">
        <f t="shared" si="485"/>
        <v>0</v>
      </c>
      <c r="AA448" s="49"/>
      <c r="AB448" s="36"/>
      <c r="AC448" s="204">
        <f t="shared" si="493"/>
        <v>20790</v>
      </c>
      <c r="AD448" s="149">
        <v>0.108</v>
      </c>
      <c r="AE448" s="31">
        <f t="shared" si="495"/>
        <v>77200</v>
      </c>
      <c r="AF448" s="28">
        <f t="shared" si="487"/>
        <v>0.17713597936667144</v>
      </c>
      <c r="AG448" s="34">
        <f t="shared" si="488"/>
        <v>197797.15</v>
      </c>
      <c r="AH448" s="34">
        <f t="shared" si="489"/>
        <v>49745.046600000001</v>
      </c>
      <c r="AI448" s="34">
        <f t="shared" si="490"/>
        <v>447705.41940000001</v>
      </c>
      <c r="AJ448" s="46">
        <f t="shared" si="491"/>
        <v>447705.41940000001</v>
      </c>
      <c r="AK448" s="40">
        <v>106.5</v>
      </c>
      <c r="AL448" s="41">
        <f t="shared" si="492"/>
        <v>137.172</v>
      </c>
      <c r="AM448" s="202"/>
      <c r="AN448" s="205"/>
      <c r="AO448" s="26"/>
      <c r="AP448" s="26"/>
      <c r="AQ448" s="27"/>
      <c r="AR448" s="27"/>
      <c r="AS448" s="27"/>
      <c r="AT448" s="27"/>
      <c r="AU448" s="27"/>
      <c r="AV448" s="27"/>
      <c r="AW448" s="26"/>
      <c r="AX448" s="26"/>
      <c r="AY448" s="26"/>
      <c r="AZ448" s="26"/>
      <c r="BA448" s="26"/>
      <c r="BB448" s="26"/>
      <c r="BC448" s="26"/>
      <c r="BD448" s="26"/>
      <c r="BE448" s="26"/>
      <c r="BF448" s="26"/>
      <c r="BG448" s="26"/>
      <c r="BH448" s="26"/>
      <c r="BI448" s="26"/>
    </row>
    <row r="449" spans="1:61" ht="28.5" customHeight="1">
      <c r="A449" s="26"/>
      <c r="B449" s="333"/>
      <c r="C449" s="42" t="s">
        <v>149</v>
      </c>
      <c r="D449" s="28">
        <f t="shared" si="476"/>
        <v>0.38644368600682594</v>
      </c>
      <c r="E449" s="166">
        <v>0.39600000000000002</v>
      </c>
      <c r="F449" s="30">
        <f t="shared" si="477"/>
        <v>9.5563139931740607E-3</v>
      </c>
      <c r="G449" s="30" t="e">
        <f t="shared" si="478"/>
        <v>#DIV/0!</v>
      </c>
      <c r="H449" s="35">
        <v>700</v>
      </c>
      <c r="I449" s="48"/>
      <c r="J449" s="48"/>
      <c r="K449" s="35"/>
      <c r="L449" s="312">
        <v>240</v>
      </c>
      <c r="M449" s="48"/>
      <c r="N449" s="202"/>
      <c r="O449" s="202">
        <v>5</v>
      </c>
      <c r="P449" s="31">
        <f t="shared" si="479"/>
        <v>5</v>
      </c>
      <c r="Q449" s="202">
        <v>2</v>
      </c>
      <c r="R449" s="203"/>
      <c r="S449" s="36"/>
      <c r="T449" s="34">
        <f t="shared" si="480"/>
        <v>483450</v>
      </c>
      <c r="U449" s="31">
        <f t="shared" si="481"/>
        <v>0</v>
      </c>
      <c r="V449" s="34">
        <f t="shared" si="482"/>
        <v>483450</v>
      </c>
      <c r="W449" s="43">
        <v>96690</v>
      </c>
      <c r="X449" s="34">
        <f t="shared" si="483"/>
        <v>36723.455999999998</v>
      </c>
      <c r="Y449" s="34">
        <f t="shared" si="484"/>
        <v>183617.28</v>
      </c>
      <c r="Z449" s="34">
        <f t="shared" si="485"/>
        <v>0</v>
      </c>
      <c r="AA449" s="49"/>
      <c r="AB449" s="36"/>
      <c r="AC449" s="204">
        <f t="shared" si="493"/>
        <v>4620</v>
      </c>
      <c r="AD449" s="149">
        <v>0.108</v>
      </c>
      <c r="AE449" s="31">
        <f t="shared" ref="AE449:AE450" si="496">6200*(P449+S449)</f>
        <v>31000</v>
      </c>
      <c r="AF449" s="28">
        <f t="shared" si="487"/>
        <v>0.17212245320095149</v>
      </c>
      <c r="AG449" s="34">
        <f t="shared" si="488"/>
        <v>83212.62999999999</v>
      </c>
      <c r="AH449" s="34">
        <f t="shared" si="489"/>
        <v>21662.009000000002</v>
      </c>
      <c r="AI449" s="34">
        <f t="shared" si="490"/>
        <v>194958.08100000001</v>
      </c>
      <c r="AJ449" s="206">
        <f t="shared" si="491"/>
        <v>194958.08100000001</v>
      </c>
      <c r="AK449" s="40">
        <v>148.5</v>
      </c>
      <c r="AL449" s="41">
        <f t="shared" si="492"/>
        <v>191.268</v>
      </c>
      <c r="AM449" s="202"/>
      <c r="AN449" s="205"/>
      <c r="AO449" s="26"/>
      <c r="AP449" s="26"/>
      <c r="AQ449" s="27"/>
      <c r="AR449" s="27"/>
      <c r="AS449" s="27"/>
      <c r="AT449" s="27"/>
      <c r="AU449" s="27"/>
      <c r="AV449" s="27"/>
      <c r="AW449" s="26"/>
      <c r="AX449" s="26"/>
      <c r="AY449" s="26"/>
      <c r="AZ449" s="26"/>
      <c r="BA449" s="26"/>
      <c r="BB449" s="26"/>
      <c r="BC449" s="26"/>
      <c r="BD449" s="26"/>
      <c r="BE449" s="26"/>
      <c r="BF449" s="26"/>
      <c r="BG449" s="26"/>
      <c r="BH449" s="26"/>
      <c r="BI449" s="26"/>
    </row>
    <row r="450" spans="1:61" ht="28.5" customHeight="1">
      <c r="A450" s="26"/>
      <c r="B450" s="324"/>
      <c r="C450" s="42" t="s">
        <v>150</v>
      </c>
      <c r="D450" s="28">
        <f t="shared" si="476"/>
        <v>0.38729887745556596</v>
      </c>
      <c r="E450" s="166">
        <v>0.39</v>
      </c>
      <c r="F450" s="30">
        <f t="shared" si="477"/>
        <v>2.7011225444340506E-3</v>
      </c>
      <c r="G450" s="30" t="e">
        <f t="shared" si="478"/>
        <v>#DIV/0!</v>
      </c>
      <c r="H450" s="35">
        <v>0</v>
      </c>
      <c r="I450" s="283"/>
      <c r="J450" s="48"/>
      <c r="K450" s="35"/>
      <c r="L450" s="310"/>
      <c r="M450" s="48"/>
      <c r="N450" s="202"/>
      <c r="O450" s="202">
        <v>8</v>
      </c>
      <c r="P450" s="31">
        <f t="shared" si="479"/>
        <v>8</v>
      </c>
      <c r="Q450" s="202">
        <v>1</v>
      </c>
      <c r="R450" s="203"/>
      <c r="S450" s="36"/>
      <c r="T450" s="34">
        <f t="shared" si="480"/>
        <v>855200</v>
      </c>
      <c r="U450" s="31">
        <f t="shared" si="481"/>
        <v>0</v>
      </c>
      <c r="V450" s="34">
        <f t="shared" si="482"/>
        <v>855200</v>
      </c>
      <c r="W450" s="43">
        <v>106900</v>
      </c>
      <c r="X450" s="34">
        <f t="shared" si="483"/>
        <v>41916.671999999999</v>
      </c>
      <c r="Y450" s="34">
        <f t="shared" si="484"/>
        <v>335333.37599999999</v>
      </c>
      <c r="Z450" s="34">
        <f t="shared" si="485"/>
        <v>0</v>
      </c>
      <c r="AA450" s="49"/>
      <c r="AB450" s="36"/>
      <c r="AC450" s="204">
        <f t="shared" si="493"/>
        <v>2310</v>
      </c>
      <c r="AD450" s="149">
        <v>0.108</v>
      </c>
      <c r="AE450" s="31">
        <f t="shared" si="496"/>
        <v>49600</v>
      </c>
      <c r="AF450" s="28">
        <f t="shared" si="487"/>
        <v>0.16599812909260991</v>
      </c>
      <c r="AG450" s="34">
        <f t="shared" si="488"/>
        <v>141961.63</v>
      </c>
      <c r="AH450" s="34">
        <f t="shared" si="489"/>
        <v>37790.499400000001</v>
      </c>
      <c r="AI450" s="34">
        <f t="shared" si="490"/>
        <v>340114.49459999998</v>
      </c>
      <c r="AJ450" s="46">
        <f t="shared" si="491"/>
        <v>340114.49459999998</v>
      </c>
      <c r="AK450" s="40">
        <v>169.5</v>
      </c>
      <c r="AL450" s="41">
        <f t="shared" si="492"/>
        <v>218.316</v>
      </c>
      <c r="AM450" s="202"/>
      <c r="AN450" s="205"/>
      <c r="AO450" s="26"/>
      <c r="AP450" s="26"/>
      <c r="AQ450" s="27"/>
      <c r="AR450" s="27"/>
      <c r="AS450" s="27"/>
      <c r="AT450" s="27"/>
      <c r="AU450" s="27"/>
      <c r="AV450" s="27"/>
      <c r="AW450" s="26"/>
      <c r="AX450" s="26"/>
      <c r="AY450" s="26"/>
      <c r="AZ450" s="26"/>
      <c r="BA450" s="26"/>
      <c r="BB450" s="26"/>
      <c r="BC450" s="26"/>
      <c r="BD450" s="26"/>
      <c r="BE450" s="26"/>
      <c r="BF450" s="26"/>
      <c r="BG450" s="26"/>
      <c r="BH450" s="26"/>
      <c r="BI450" s="26"/>
    </row>
    <row r="451" spans="1:61" ht="28.5" customHeight="1">
      <c r="A451" s="26"/>
      <c r="B451" s="200"/>
      <c r="C451" s="42" t="s">
        <v>111</v>
      </c>
      <c r="D451" s="28">
        <f t="shared" si="476"/>
        <v>0.41299999999999998</v>
      </c>
      <c r="E451" s="166">
        <v>0.41299999999999998</v>
      </c>
      <c r="F451" s="30">
        <f t="shared" si="477"/>
        <v>0</v>
      </c>
      <c r="G451" s="30" t="e">
        <f t="shared" si="478"/>
        <v>#DIV/0!</v>
      </c>
      <c r="H451" s="35">
        <v>1000</v>
      </c>
      <c r="I451" s="48"/>
      <c r="J451" s="48"/>
      <c r="K451" s="38"/>
      <c r="L451" s="38">
        <v>546</v>
      </c>
      <c r="M451" s="210"/>
      <c r="N451" s="202"/>
      <c r="O451" s="202">
        <v>11</v>
      </c>
      <c r="P451" s="31">
        <f t="shared" si="479"/>
        <v>6</v>
      </c>
      <c r="Q451" s="36">
        <v>0</v>
      </c>
      <c r="R451" s="203"/>
      <c r="S451" s="202">
        <v>5</v>
      </c>
      <c r="T451" s="34">
        <f t="shared" si="480"/>
        <v>186780</v>
      </c>
      <c r="U451" s="31">
        <f t="shared" si="481"/>
        <v>84900</v>
      </c>
      <c r="V451" s="34">
        <f t="shared" si="482"/>
        <v>101880</v>
      </c>
      <c r="W451" s="43">
        <v>16980</v>
      </c>
      <c r="X451" s="34">
        <f t="shared" si="483"/>
        <v>5687.8080000000009</v>
      </c>
      <c r="Y451" s="34">
        <f t="shared" si="484"/>
        <v>34126.848000000005</v>
      </c>
      <c r="Z451" s="34">
        <f t="shared" si="485"/>
        <v>0</v>
      </c>
      <c r="AA451" s="49"/>
      <c r="AB451" s="287"/>
      <c r="AC451" s="204">
        <f t="shared" si="493"/>
        <v>0</v>
      </c>
      <c r="AD451" s="149">
        <v>7.8E-2</v>
      </c>
      <c r="AE451" s="31">
        <f>2900*(P451+S451)</f>
        <v>31900</v>
      </c>
      <c r="AF451" s="28">
        <f t="shared" si="487"/>
        <v>0.39111346682371417</v>
      </c>
      <c r="AG451" s="34">
        <f t="shared" si="488"/>
        <v>39846.67</v>
      </c>
      <c r="AH451" s="34">
        <f t="shared" si="489"/>
        <v>2790.6481999999987</v>
      </c>
      <c r="AI451" s="34">
        <f t="shared" si="490"/>
        <v>25115.833799999993</v>
      </c>
      <c r="AJ451" s="46">
        <f t="shared" si="491"/>
        <v>25115.833799999993</v>
      </c>
      <c r="AK451" s="40">
        <v>23</v>
      </c>
      <c r="AL451" s="41">
        <f t="shared" si="492"/>
        <v>29.624000000000002</v>
      </c>
      <c r="AM451" s="202"/>
      <c r="AN451" s="205"/>
      <c r="AO451" s="26"/>
      <c r="AP451" s="26"/>
      <c r="AQ451" s="27"/>
      <c r="AR451" s="27"/>
      <c r="AS451" s="27"/>
      <c r="AT451" s="27"/>
      <c r="AU451" s="27"/>
      <c r="AV451" s="27"/>
      <c r="AW451" s="26"/>
      <c r="AX451" s="26"/>
      <c r="AY451" s="26"/>
      <c r="AZ451" s="26"/>
      <c r="BA451" s="26"/>
      <c r="BB451" s="26"/>
      <c r="BC451" s="26"/>
      <c r="BD451" s="26"/>
      <c r="BE451" s="26"/>
      <c r="BF451" s="26"/>
      <c r="BG451" s="26"/>
      <c r="BH451" s="26"/>
      <c r="BI451" s="26"/>
    </row>
    <row r="452" spans="1:61" ht="28.5" customHeight="1">
      <c r="A452" s="26"/>
      <c r="B452" s="207"/>
      <c r="C452" s="42" t="s">
        <v>151</v>
      </c>
      <c r="D452" s="28">
        <f t="shared" si="476"/>
        <v>0.21376939655172417</v>
      </c>
      <c r="E452" s="303">
        <v>0.27600000000000002</v>
      </c>
      <c r="F452" s="30">
        <f t="shared" si="477"/>
        <v>6.2230603448275863E-2</v>
      </c>
      <c r="G452" s="30" t="e">
        <f t="shared" si="478"/>
        <v>#DIV/0!</v>
      </c>
      <c r="H452" s="35">
        <v>0</v>
      </c>
      <c r="I452" s="48"/>
      <c r="J452" s="48"/>
      <c r="K452" s="38"/>
      <c r="L452" s="309">
        <v>2910</v>
      </c>
      <c r="M452" s="210"/>
      <c r="N452" s="202"/>
      <c r="O452" s="202">
        <v>4</v>
      </c>
      <c r="P452" s="31">
        <f t="shared" si="479"/>
        <v>4</v>
      </c>
      <c r="Q452" s="36">
        <v>1</v>
      </c>
      <c r="R452" s="203"/>
      <c r="S452" s="36"/>
      <c r="T452" s="34">
        <f t="shared" si="480"/>
        <v>37120</v>
      </c>
      <c r="U452" s="31">
        <f t="shared" si="481"/>
        <v>0</v>
      </c>
      <c r="V452" s="34">
        <f t="shared" si="482"/>
        <v>37120</v>
      </c>
      <c r="W452" s="43">
        <v>9280</v>
      </c>
      <c r="X452" s="34">
        <f t="shared" si="483"/>
        <v>3462.1440000000002</v>
      </c>
      <c r="Y452" s="34">
        <f t="shared" si="484"/>
        <v>13848.576000000001</v>
      </c>
      <c r="Z452" s="34">
        <f t="shared" si="485"/>
        <v>0</v>
      </c>
      <c r="AA452" s="49"/>
      <c r="AB452" s="209"/>
      <c r="AC452" s="204">
        <f t="shared" si="493"/>
        <v>2310</v>
      </c>
      <c r="AD452" s="149">
        <v>0.1</v>
      </c>
      <c r="AE452" s="31">
        <f t="shared" ref="AE452:AE453" si="497">1900*(P452+S452)</f>
        <v>7600</v>
      </c>
      <c r="AF452" s="28">
        <f t="shared" si="487"/>
        <v>0.30474137931034484</v>
      </c>
      <c r="AG452" s="34">
        <f t="shared" si="488"/>
        <v>11312.03</v>
      </c>
      <c r="AH452" s="34">
        <f t="shared" si="489"/>
        <v>1195.9393999999998</v>
      </c>
      <c r="AI452" s="34">
        <f t="shared" si="490"/>
        <v>10763.454600000001</v>
      </c>
      <c r="AJ452" s="206">
        <f t="shared" si="491"/>
        <v>10763.454600000001</v>
      </c>
      <c r="AK452" s="40">
        <v>14</v>
      </c>
      <c r="AL452" s="41">
        <f t="shared" si="492"/>
        <v>18.032</v>
      </c>
      <c r="AM452" s="202"/>
      <c r="AN452" s="205"/>
      <c r="AO452" s="26"/>
      <c r="AP452" s="26"/>
      <c r="AQ452" s="27"/>
      <c r="AR452" s="27"/>
      <c r="AS452" s="27"/>
      <c r="AT452" s="27"/>
      <c r="AU452" s="27"/>
      <c r="AV452" s="27"/>
      <c r="AW452" s="26"/>
      <c r="AX452" s="26"/>
      <c r="AY452" s="26"/>
      <c r="AZ452" s="26"/>
      <c r="BA452" s="26"/>
      <c r="BB452" s="26"/>
      <c r="BC452" s="26"/>
      <c r="BD452" s="26"/>
      <c r="BE452" s="26"/>
      <c r="BF452" s="26"/>
      <c r="BG452" s="26"/>
      <c r="BH452" s="26"/>
      <c r="BI452" s="26"/>
    </row>
    <row r="453" spans="1:61" ht="28.5" customHeight="1">
      <c r="A453" s="26"/>
      <c r="B453" s="212"/>
      <c r="C453" s="42" t="s">
        <v>152</v>
      </c>
      <c r="D453" s="28">
        <f t="shared" si="476"/>
        <v>0.39700000000000002</v>
      </c>
      <c r="E453" s="303">
        <v>0.39700000000000002</v>
      </c>
      <c r="F453" s="30">
        <f t="shared" si="477"/>
        <v>0</v>
      </c>
      <c r="G453" s="30" t="e">
        <f t="shared" si="478"/>
        <v>#DIV/0!</v>
      </c>
      <c r="H453" s="35">
        <v>0</v>
      </c>
      <c r="I453" s="48"/>
      <c r="J453" s="48"/>
      <c r="K453" s="38"/>
      <c r="L453" s="310"/>
      <c r="M453" s="210"/>
      <c r="N453" s="202"/>
      <c r="O453" s="202">
        <v>2</v>
      </c>
      <c r="P453" s="31">
        <f t="shared" si="479"/>
        <v>2</v>
      </c>
      <c r="Q453" s="36">
        <v>0</v>
      </c>
      <c r="R453" s="203"/>
      <c r="S453" s="36"/>
      <c r="T453" s="34">
        <f t="shared" si="480"/>
        <v>37300</v>
      </c>
      <c r="U453" s="31">
        <f t="shared" si="481"/>
        <v>0</v>
      </c>
      <c r="V453" s="34">
        <f t="shared" si="482"/>
        <v>37300</v>
      </c>
      <c r="W453" s="43">
        <v>18650</v>
      </c>
      <c r="X453" s="34">
        <f t="shared" si="483"/>
        <v>6924.2880000000005</v>
      </c>
      <c r="Y453" s="34">
        <f t="shared" si="484"/>
        <v>13848.576000000001</v>
      </c>
      <c r="Z453" s="34">
        <f t="shared" si="485"/>
        <v>0</v>
      </c>
      <c r="AA453" s="49"/>
      <c r="AB453" s="36"/>
      <c r="AC453" s="204">
        <f t="shared" si="493"/>
        <v>0</v>
      </c>
      <c r="AD453" s="149">
        <v>0.1</v>
      </c>
      <c r="AE453" s="31">
        <f t="shared" si="497"/>
        <v>3800</v>
      </c>
      <c r="AF453" s="28">
        <f t="shared" si="487"/>
        <v>0.20187667560321715</v>
      </c>
      <c r="AG453" s="34">
        <f t="shared" si="488"/>
        <v>7530.03</v>
      </c>
      <c r="AH453" s="34">
        <f t="shared" si="489"/>
        <v>1592.1394</v>
      </c>
      <c r="AI453" s="34">
        <f t="shared" si="490"/>
        <v>14329.2546</v>
      </c>
      <c r="AJ453" s="206">
        <f t="shared" si="491"/>
        <v>14329.2546</v>
      </c>
      <c r="AK453" s="40">
        <v>28</v>
      </c>
      <c r="AL453" s="41">
        <f t="shared" si="492"/>
        <v>36.064</v>
      </c>
      <c r="AM453" s="202"/>
      <c r="AN453" s="205"/>
      <c r="AO453" s="26"/>
      <c r="AP453" s="26"/>
      <c r="AQ453" s="27"/>
      <c r="AR453" s="27"/>
      <c r="AS453" s="27"/>
      <c r="AT453" s="27"/>
      <c r="AU453" s="27"/>
      <c r="AV453" s="27"/>
      <c r="AW453" s="26"/>
      <c r="AX453" s="26"/>
      <c r="AY453" s="26"/>
      <c r="AZ453" s="26"/>
      <c r="BA453" s="26"/>
      <c r="BB453" s="26"/>
      <c r="BC453" s="26"/>
      <c r="BD453" s="26"/>
      <c r="BE453" s="26"/>
      <c r="BF453" s="26"/>
      <c r="BG453" s="26"/>
      <c r="BH453" s="26"/>
      <c r="BI453" s="26"/>
    </row>
    <row r="454" spans="1:61" ht="28.5" customHeight="1">
      <c r="A454" s="26"/>
      <c r="B454" s="323"/>
      <c r="C454" s="42" t="s">
        <v>112</v>
      </c>
      <c r="D454" s="28">
        <f t="shared" si="476"/>
        <v>0.40300000000000002</v>
      </c>
      <c r="E454" s="166">
        <v>0.40300000000000002</v>
      </c>
      <c r="F454" s="30">
        <f t="shared" si="477"/>
        <v>0</v>
      </c>
      <c r="G454" s="30" t="e">
        <f t="shared" si="478"/>
        <v>#DIV/0!</v>
      </c>
      <c r="H454" s="312">
        <v>0</v>
      </c>
      <c r="I454" s="48"/>
      <c r="J454" s="48"/>
      <c r="K454" s="38"/>
      <c r="L454" s="309">
        <v>1074</v>
      </c>
      <c r="M454" s="210"/>
      <c r="N454" s="202"/>
      <c r="O454" s="202">
        <v>6</v>
      </c>
      <c r="P454" s="31">
        <f t="shared" si="479"/>
        <v>6</v>
      </c>
      <c r="Q454" s="36">
        <v>0</v>
      </c>
      <c r="R454" s="203"/>
      <c r="S454" s="36"/>
      <c r="T454" s="34">
        <f t="shared" si="480"/>
        <v>229800</v>
      </c>
      <c r="U454" s="31">
        <f t="shared" si="481"/>
        <v>0</v>
      </c>
      <c r="V454" s="34">
        <f t="shared" si="482"/>
        <v>229800</v>
      </c>
      <c r="W454" s="43">
        <v>38300</v>
      </c>
      <c r="X454" s="34">
        <f t="shared" si="483"/>
        <v>15085.056</v>
      </c>
      <c r="Y454" s="34">
        <f t="shared" si="484"/>
        <v>90510.33600000001</v>
      </c>
      <c r="Z454" s="34">
        <f t="shared" si="485"/>
        <v>0</v>
      </c>
      <c r="AA454" s="49"/>
      <c r="AB454" s="36"/>
      <c r="AC454" s="204">
        <f t="shared" si="493"/>
        <v>0</v>
      </c>
      <c r="AD454" s="149">
        <v>0.08</v>
      </c>
      <c r="AE454" s="31">
        <f t="shared" ref="AE454:AE455" si="498">4150*(P454+S454)</f>
        <v>24900</v>
      </c>
      <c r="AF454" s="28">
        <f t="shared" si="487"/>
        <v>0.18835509138381201</v>
      </c>
      <c r="AG454" s="34">
        <f t="shared" si="488"/>
        <v>43284.03</v>
      </c>
      <c r="AH454" s="34">
        <f t="shared" si="489"/>
        <v>9600.5633999999991</v>
      </c>
      <c r="AI454" s="34">
        <f t="shared" si="490"/>
        <v>86405.070599999977</v>
      </c>
      <c r="AJ454" s="46">
        <f t="shared" si="491"/>
        <v>86405.070599999977</v>
      </c>
      <c r="AK454" s="40">
        <v>61</v>
      </c>
      <c r="AL454" s="41">
        <f t="shared" si="492"/>
        <v>78.567999999999998</v>
      </c>
      <c r="AM454" s="202"/>
      <c r="AN454" s="205"/>
      <c r="AO454" s="26"/>
      <c r="AP454" s="26"/>
      <c r="AQ454" s="27"/>
      <c r="AR454" s="27"/>
      <c r="AS454" s="27"/>
      <c r="AT454" s="27"/>
      <c r="AU454" s="27"/>
      <c r="AV454" s="27"/>
      <c r="AW454" s="26"/>
      <c r="AX454" s="26"/>
      <c r="AY454" s="26"/>
      <c r="AZ454" s="26"/>
      <c r="BA454" s="26"/>
      <c r="BB454" s="26"/>
      <c r="BC454" s="26"/>
      <c r="BD454" s="26"/>
      <c r="BE454" s="26"/>
      <c r="BF454" s="26"/>
      <c r="BG454" s="26"/>
      <c r="BH454" s="26"/>
      <c r="BI454" s="26"/>
    </row>
    <row r="455" spans="1:61" ht="28.5" customHeight="1">
      <c r="A455" s="26"/>
      <c r="B455" s="324"/>
      <c r="C455" s="42" t="s">
        <v>113</v>
      </c>
      <c r="D455" s="28">
        <f t="shared" si="476"/>
        <v>0.35330769230769232</v>
      </c>
      <c r="E455" s="166">
        <v>0.36099999999999999</v>
      </c>
      <c r="F455" s="30">
        <f t="shared" si="477"/>
        <v>7.6923076923076927E-3</v>
      </c>
      <c r="G455" s="30" t="e">
        <f t="shared" si="478"/>
        <v>#DIV/0!</v>
      </c>
      <c r="H455" s="310"/>
      <c r="I455" s="48"/>
      <c r="J455" s="48"/>
      <c r="K455" s="38"/>
      <c r="L455" s="310"/>
      <c r="M455" s="210"/>
      <c r="N455" s="202"/>
      <c r="O455" s="202">
        <v>7</v>
      </c>
      <c r="P455" s="31">
        <f t="shared" si="479"/>
        <v>7</v>
      </c>
      <c r="Q455" s="36">
        <v>1</v>
      </c>
      <c r="R455" s="203"/>
      <c r="S455" s="36"/>
      <c r="T455" s="34">
        <f t="shared" si="480"/>
        <v>300300</v>
      </c>
      <c r="U455" s="31">
        <f t="shared" si="481"/>
        <v>0</v>
      </c>
      <c r="V455" s="34">
        <f t="shared" si="482"/>
        <v>300300</v>
      </c>
      <c r="W455" s="43">
        <v>42900</v>
      </c>
      <c r="X455" s="34">
        <f t="shared" si="483"/>
        <v>20278.272000000004</v>
      </c>
      <c r="Y455" s="34">
        <f t="shared" si="484"/>
        <v>141947.90400000004</v>
      </c>
      <c r="Z455" s="34">
        <f t="shared" si="485"/>
        <v>0</v>
      </c>
      <c r="AA455" s="49"/>
      <c r="AB455" s="209"/>
      <c r="AC455" s="204">
        <f t="shared" si="493"/>
        <v>2310</v>
      </c>
      <c r="AD455" s="149">
        <v>7.8E-2</v>
      </c>
      <c r="AE455" s="31">
        <f t="shared" si="498"/>
        <v>29050</v>
      </c>
      <c r="AF455" s="28">
        <f t="shared" si="487"/>
        <v>0.17473659673659675</v>
      </c>
      <c r="AG455" s="34">
        <f t="shared" si="488"/>
        <v>52473.43</v>
      </c>
      <c r="AH455" s="34">
        <f t="shared" si="489"/>
        <v>10587.866599999998</v>
      </c>
      <c r="AI455" s="34">
        <f t="shared" si="490"/>
        <v>95290.79939999996</v>
      </c>
      <c r="AJ455" s="206">
        <f t="shared" si="491"/>
        <v>95290.79939999996</v>
      </c>
      <c r="AK455" s="40">
        <v>82</v>
      </c>
      <c r="AL455" s="41">
        <f t="shared" si="492"/>
        <v>105.61600000000001</v>
      </c>
      <c r="AM455" s="202"/>
      <c r="AN455" s="205"/>
      <c r="AO455" s="26"/>
      <c r="AP455" s="26"/>
      <c r="AQ455" s="27"/>
      <c r="AR455" s="27"/>
      <c r="AS455" s="27"/>
      <c r="AT455" s="27"/>
      <c r="AU455" s="27"/>
      <c r="AV455" s="27"/>
      <c r="AW455" s="26"/>
      <c r="AX455" s="26"/>
      <c r="AY455" s="26"/>
      <c r="AZ455" s="26"/>
      <c r="BA455" s="26"/>
      <c r="BB455" s="26"/>
      <c r="BC455" s="26"/>
      <c r="BD455" s="26"/>
      <c r="BE455" s="26"/>
      <c r="BF455" s="26"/>
      <c r="BG455" s="26"/>
      <c r="BH455" s="26"/>
      <c r="BI455" s="26"/>
    </row>
    <row r="456" spans="1:61" ht="28.5" customHeight="1">
      <c r="A456" s="26"/>
      <c r="B456" s="200"/>
      <c r="C456" s="42" t="s">
        <v>154</v>
      </c>
      <c r="D456" s="28">
        <f t="shared" si="476"/>
        <v>0.2172372881355932</v>
      </c>
      <c r="E456" s="303">
        <v>0.41299999999999998</v>
      </c>
      <c r="F456" s="30">
        <f t="shared" si="477"/>
        <v>0.19576271186440677</v>
      </c>
      <c r="G456" s="30" t="e">
        <f t="shared" si="478"/>
        <v>#DIV/0!</v>
      </c>
      <c r="H456" s="35">
        <v>20000</v>
      </c>
      <c r="I456" s="48"/>
      <c r="J456" s="48"/>
      <c r="K456" s="38"/>
      <c r="L456" s="38">
        <v>39870</v>
      </c>
      <c r="M456" s="210"/>
      <c r="N456" s="202"/>
      <c r="O456" s="202">
        <v>1</v>
      </c>
      <c r="P456" s="31">
        <f t="shared" si="479"/>
        <v>1</v>
      </c>
      <c r="Q456" s="202">
        <v>1</v>
      </c>
      <c r="R456" s="203"/>
      <c r="S456" s="202"/>
      <c r="T456" s="34">
        <f t="shared" si="480"/>
        <v>11800</v>
      </c>
      <c r="U456" s="31">
        <f t="shared" si="481"/>
        <v>0</v>
      </c>
      <c r="V456" s="34">
        <f t="shared" si="482"/>
        <v>11800</v>
      </c>
      <c r="W456" s="43">
        <v>11800</v>
      </c>
      <c r="X456" s="34">
        <f t="shared" si="483"/>
        <v>4006.1952000000001</v>
      </c>
      <c r="Y456" s="34">
        <f t="shared" si="484"/>
        <v>4006.1952000000001</v>
      </c>
      <c r="Z456" s="34">
        <f t="shared" si="485"/>
        <v>0</v>
      </c>
      <c r="AA456" s="49"/>
      <c r="AB456" s="287"/>
      <c r="AC456" s="204">
        <f t="shared" si="493"/>
        <v>2310</v>
      </c>
      <c r="AD456" s="149">
        <v>0.108</v>
      </c>
      <c r="AE456" s="31">
        <f>1900*(P456+S456)</f>
        <v>1900</v>
      </c>
      <c r="AF456" s="28">
        <f t="shared" si="487"/>
        <v>0.26901694915254237</v>
      </c>
      <c r="AG456" s="34">
        <f t="shared" si="488"/>
        <v>3174.4300000000003</v>
      </c>
      <c r="AH456" s="34">
        <f t="shared" si="489"/>
        <v>461.93747999999994</v>
      </c>
      <c r="AI456" s="34">
        <f t="shared" si="490"/>
        <v>4157.43732</v>
      </c>
      <c r="AJ456" s="206">
        <f t="shared" si="491"/>
        <v>4157.43732</v>
      </c>
      <c r="AK456" s="40">
        <v>16.2</v>
      </c>
      <c r="AL456" s="41">
        <f t="shared" si="492"/>
        <v>20.865600000000001</v>
      </c>
      <c r="AM456" s="202"/>
      <c r="AN456" s="205"/>
      <c r="AO456" s="26"/>
      <c r="AP456" s="26"/>
      <c r="AQ456" s="27"/>
      <c r="AR456" s="27"/>
      <c r="AS456" s="27"/>
      <c r="AT456" s="27"/>
      <c r="AU456" s="27"/>
      <c r="AV456" s="27"/>
      <c r="AW456" s="26"/>
      <c r="AX456" s="26"/>
      <c r="AY456" s="26"/>
      <c r="AZ456" s="26"/>
      <c r="BA456" s="26"/>
      <c r="BB456" s="26"/>
      <c r="BC456" s="26"/>
      <c r="BD456" s="26"/>
      <c r="BE456" s="26"/>
      <c r="BF456" s="26"/>
      <c r="BG456" s="26"/>
      <c r="BH456" s="26"/>
      <c r="BI456" s="26"/>
    </row>
    <row r="457" spans="1:61" ht="28.5" customHeight="1">
      <c r="A457" s="26"/>
      <c r="B457" s="200"/>
      <c r="C457" s="42" t="s">
        <v>114</v>
      </c>
      <c r="D457" s="28">
        <f t="shared" si="476"/>
        <v>0.33096904024767798</v>
      </c>
      <c r="E457" s="166">
        <v>0.35599999999999998</v>
      </c>
      <c r="F457" s="30">
        <f t="shared" si="477"/>
        <v>2.5030959752321981E-2</v>
      </c>
      <c r="G457" s="30" t="e">
        <f t="shared" si="478"/>
        <v>#DIV/0!</v>
      </c>
      <c r="H457" s="35">
        <v>1750</v>
      </c>
      <c r="I457" s="48"/>
      <c r="J457" s="48"/>
      <c r="K457" s="38"/>
      <c r="L457" s="38">
        <v>1388</v>
      </c>
      <c r="M457" s="210"/>
      <c r="N457" s="202"/>
      <c r="O457" s="202">
        <v>34</v>
      </c>
      <c r="P457" s="31">
        <f t="shared" si="479"/>
        <v>34</v>
      </c>
      <c r="Q457" s="202">
        <v>7</v>
      </c>
      <c r="R457" s="203"/>
      <c r="S457" s="36"/>
      <c r="T457" s="34">
        <f t="shared" si="480"/>
        <v>646000</v>
      </c>
      <c r="U457" s="31">
        <f t="shared" si="481"/>
        <v>0</v>
      </c>
      <c r="V457" s="34">
        <f t="shared" si="482"/>
        <v>646000</v>
      </c>
      <c r="W457" s="43">
        <v>19000</v>
      </c>
      <c r="X457" s="34">
        <f t="shared" si="483"/>
        <v>7122.1247999999996</v>
      </c>
      <c r="Y457" s="34">
        <f t="shared" si="484"/>
        <v>242152.2432</v>
      </c>
      <c r="Z457" s="34">
        <f t="shared" si="485"/>
        <v>0</v>
      </c>
      <c r="AA457" s="49"/>
      <c r="AB457" s="209"/>
      <c r="AC457" s="204">
        <f t="shared" si="493"/>
        <v>16170</v>
      </c>
      <c r="AD457" s="149">
        <v>0.08</v>
      </c>
      <c r="AE457" s="31">
        <f>3350*(P457+S457)</f>
        <v>113900</v>
      </c>
      <c r="AF457" s="28">
        <f t="shared" si="487"/>
        <v>0.25631578947368422</v>
      </c>
      <c r="AG457" s="34">
        <f t="shared" si="488"/>
        <v>165580.03</v>
      </c>
      <c r="AH457" s="34">
        <f t="shared" si="489"/>
        <v>23826.772679999995</v>
      </c>
      <c r="AI457" s="34">
        <f t="shared" si="490"/>
        <v>214440.95412000001</v>
      </c>
      <c r="AJ457" s="46">
        <f t="shared" si="491"/>
        <v>214440.95412000001</v>
      </c>
      <c r="AK457" s="40">
        <v>28.8</v>
      </c>
      <c r="AL457" s="41">
        <f t="shared" si="492"/>
        <v>37.0944</v>
      </c>
      <c r="AM457" s="202"/>
      <c r="AN457" s="205"/>
      <c r="AO457" s="26"/>
      <c r="AP457" s="26"/>
      <c r="AQ457" s="27"/>
      <c r="AR457" s="27"/>
      <c r="AS457" s="27"/>
      <c r="AT457" s="27"/>
      <c r="AU457" s="27"/>
      <c r="AV457" s="27"/>
      <c r="AW457" s="26"/>
      <c r="AX457" s="26"/>
      <c r="AY457" s="26"/>
      <c r="AZ457" s="26"/>
      <c r="BA457" s="26"/>
      <c r="BB457" s="26"/>
      <c r="BC457" s="26"/>
      <c r="BD457" s="26"/>
      <c r="BE457" s="26"/>
      <c r="BF457" s="26"/>
      <c r="BG457" s="26"/>
      <c r="BH457" s="26"/>
      <c r="BI457" s="26"/>
    </row>
    <row r="458" spans="1:61" ht="28.5" customHeight="1">
      <c r="A458" s="26"/>
      <c r="B458" s="326"/>
      <c r="C458" s="42" t="s">
        <v>115</v>
      </c>
      <c r="D458" s="28">
        <f t="shared" si="476"/>
        <v>0.44095620437956207</v>
      </c>
      <c r="E458" s="166">
        <v>0.45300000000000001</v>
      </c>
      <c r="F458" s="30">
        <f t="shared" si="477"/>
        <v>1.2043795620437956E-2</v>
      </c>
      <c r="G458" s="30" t="e">
        <f t="shared" si="478"/>
        <v>#DIV/0!</v>
      </c>
      <c r="H458" s="35">
        <v>0</v>
      </c>
      <c r="I458" s="48"/>
      <c r="J458" s="48"/>
      <c r="K458" s="38"/>
      <c r="L458" s="38">
        <v>876</v>
      </c>
      <c r="M458" s="210"/>
      <c r="N458" s="202"/>
      <c r="O458" s="202">
        <v>7</v>
      </c>
      <c r="P458" s="31">
        <f t="shared" si="479"/>
        <v>7</v>
      </c>
      <c r="Q458" s="202">
        <v>2</v>
      </c>
      <c r="R458" s="203"/>
      <c r="S458" s="36"/>
      <c r="T458" s="34">
        <f t="shared" si="480"/>
        <v>383600</v>
      </c>
      <c r="U458" s="31">
        <f t="shared" si="481"/>
        <v>0</v>
      </c>
      <c r="V458" s="34">
        <f t="shared" si="482"/>
        <v>383600</v>
      </c>
      <c r="W458" s="43">
        <v>54800</v>
      </c>
      <c r="X458" s="34">
        <f t="shared" si="483"/>
        <v>20030.976000000002</v>
      </c>
      <c r="Y458" s="34">
        <f t="shared" si="484"/>
        <v>140216.83200000002</v>
      </c>
      <c r="Z458" s="34">
        <f t="shared" si="485"/>
        <v>0</v>
      </c>
      <c r="AA458" s="49"/>
      <c r="AB458" s="36"/>
      <c r="AC458" s="204">
        <f t="shared" si="493"/>
        <v>4620</v>
      </c>
      <c r="AD458" s="149">
        <v>7.8E-2</v>
      </c>
      <c r="AE458" s="31">
        <f t="shared" ref="AE458:AE459" si="499">4825*(P458+S458)</f>
        <v>33775</v>
      </c>
      <c r="AF458" s="28">
        <f t="shared" si="487"/>
        <v>0.16604744525547444</v>
      </c>
      <c r="AG458" s="34">
        <f t="shared" si="488"/>
        <v>63695.829999999994</v>
      </c>
      <c r="AH458" s="34">
        <f t="shared" si="489"/>
        <v>17968.733799999998</v>
      </c>
      <c r="AI458" s="34">
        <f t="shared" si="490"/>
        <v>161718.6042</v>
      </c>
      <c r="AJ458" s="46">
        <f t="shared" si="491"/>
        <v>161718.6042</v>
      </c>
      <c r="AK458" s="40">
        <v>81</v>
      </c>
      <c r="AL458" s="41">
        <f t="shared" si="492"/>
        <v>104.328</v>
      </c>
      <c r="AM458" s="202"/>
      <c r="AN458" s="205"/>
      <c r="AO458" s="26"/>
      <c r="AP458" s="26"/>
      <c r="AQ458" s="27"/>
      <c r="AR458" s="27"/>
      <c r="AS458" s="27"/>
      <c r="AT458" s="27"/>
      <c r="AU458" s="27"/>
      <c r="AV458" s="27"/>
      <c r="AW458" s="26"/>
      <c r="AX458" s="26"/>
      <c r="AY458" s="26"/>
      <c r="AZ458" s="26"/>
      <c r="BA458" s="26"/>
      <c r="BB458" s="26"/>
      <c r="BC458" s="26"/>
      <c r="BD458" s="26"/>
      <c r="BE458" s="26"/>
      <c r="BF458" s="26"/>
      <c r="BG458" s="26"/>
      <c r="BH458" s="26"/>
      <c r="BI458" s="26"/>
    </row>
    <row r="459" spans="1:61" ht="28.5" customHeight="1">
      <c r="A459" s="26"/>
      <c r="B459" s="324"/>
      <c r="C459" s="42" t="s">
        <v>116</v>
      </c>
      <c r="D459" s="28" t="e">
        <f t="shared" si="476"/>
        <v>#DIV/0!</v>
      </c>
      <c r="E459" s="166">
        <v>0.45300000000000001</v>
      </c>
      <c r="F459" s="30" t="e">
        <f t="shared" si="477"/>
        <v>#DIV/0!</v>
      </c>
      <c r="G459" s="30" t="e">
        <f t="shared" si="478"/>
        <v>#DIV/0!</v>
      </c>
      <c r="H459" s="35">
        <v>0</v>
      </c>
      <c r="I459" s="48"/>
      <c r="J459" s="48"/>
      <c r="K459" s="38"/>
      <c r="L459" s="38">
        <v>0</v>
      </c>
      <c r="M459" s="210"/>
      <c r="N459" s="202"/>
      <c r="O459" s="202">
        <v>0</v>
      </c>
      <c r="P459" s="31">
        <f t="shared" si="479"/>
        <v>0</v>
      </c>
      <c r="Q459" s="202">
        <v>2</v>
      </c>
      <c r="R459" s="203"/>
      <c r="S459" s="36"/>
      <c r="T459" s="34">
        <f t="shared" si="480"/>
        <v>0</v>
      </c>
      <c r="U459" s="31">
        <f t="shared" si="481"/>
        <v>0</v>
      </c>
      <c r="V459" s="34">
        <f t="shared" si="482"/>
        <v>0</v>
      </c>
      <c r="W459" s="43">
        <v>64800</v>
      </c>
      <c r="X459" s="34">
        <f t="shared" si="483"/>
        <v>25224.192000000003</v>
      </c>
      <c r="Y459" s="34">
        <f t="shared" si="484"/>
        <v>0</v>
      </c>
      <c r="Z459" s="34">
        <f t="shared" si="485"/>
        <v>0</v>
      </c>
      <c r="AA459" s="49"/>
      <c r="AB459" s="36"/>
      <c r="AC459" s="204">
        <f t="shared" si="493"/>
        <v>4620</v>
      </c>
      <c r="AD459" s="149">
        <v>7.8E-2</v>
      </c>
      <c r="AE459" s="31">
        <f t="shared" si="499"/>
        <v>0</v>
      </c>
      <c r="AF459" s="28" t="e">
        <f t="shared" si="487"/>
        <v>#DIV/0!</v>
      </c>
      <c r="AG459" s="34" t="e">
        <f t="shared" si="488"/>
        <v>#DIV/0!</v>
      </c>
      <c r="AH459" s="34" t="e">
        <f t="shared" si="489"/>
        <v>#DIV/0!</v>
      </c>
      <c r="AI459" s="34" t="e">
        <f t="shared" si="490"/>
        <v>#DIV/0!</v>
      </c>
      <c r="AJ459" s="46" t="e">
        <f t="shared" si="491"/>
        <v>#DIV/0!</v>
      </c>
      <c r="AK459" s="40">
        <v>102</v>
      </c>
      <c r="AL459" s="41">
        <f t="shared" si="492"/>
        <v>131.376</v>
      </c>
      <c r="AM459" s="202"/>
      <c r="AN459" s="205"/>
      <c r="AO459" s="26"/>
      <c r="AP459" s="26"/>
      <c r="AQ459" s="27"/>
      <c r="AR459" s="27"/>
      <c r="AS459" s="27"/>
      <c r="AT459" s="27"/>
      <c r="AU459" s="27"/>
      <c r="AV459" s="27"/>
      <c r="AW459" s="26"/>
      <c r="AX459" s="26"/>
      <c r="AY459" s="26"/>
      <c r="AZ459" s="26"/>
      <c r="BA459" s="26"/>
      <c r="BB459" s="26"/>
      <c r="BC459" s="26"/>
      <c r="BD459" s="26"/>
      <c r="BE459" s="26"/>
      <c r="BF459" s="26"/>
      <c r="BG459" s="26"/>
      <c r="BH459" s="26"/>
      <c r="BI459" s="26"/>
    </row>
    <row r="460" spans="1:61" ht="28.5" customHeight="1">
      <c r="A460" s="26"/>
      <c r="B460" s="200"/>
      <c r="C460" s="42" t="s">
        <v>117</v>
      </c>
      <c r="D460" s="28">
        <f t="shared" si="476"/>
        <v>0.48748316408337788</v>
      </c>
      <c r="E460" s="303">
        <v>0.51100000000000001</v>
      </c>
      <c r="F460" s="30">
        <f t="shared" si="477"/>
        <v>2.3516835916622129E-2</v>
      </c>
      <c r="G460" s="30" t="e">
        <f t="shared" si="478"/>
        <v>#DIV/0!</v>
      </c>
      <c r="H460" s="35">
        <v>4040</v>
      </c>
      <c r="I460" s="48"/>
      <c r="J460" s="48"/>
      <c r="K460" s="38"/>
      <c r="L460" s="38">
        <v>987</v>
      </c>
      <c r="M460" s="210"/>
      <c r="N460" s="202"/>
      <c r="O460" s="202">
        <v>63</v>
      </c>
      <c r="P460" s="31">
        <f t="shared" si="479"/>
        <v>63</v>
      </c>
      <c r="Q460" s="202">
        <v>12</v>
      </c>
      <c r="R460" s="203"/>
      <c r="S460" s="36"/>
      <c r="T460" s="34">
        <f t="shared" si="480"/>
        <v>1178730</v>
      </c>
      <c r="U460" s="31">
        <f t="shared" si="481"/>
        <v>0</v>
      </c>
      <c r="V460" s="34">
        <f t="shared" si="482"/>
        <v>1178730</v>
      </c>
      <c r="W460" s="43">
        <v>18710</v>
      </c>
      <c r="X460" s="34">
        <f t="shared" si="483"/>
        <v>4451.3280000000004</v>
      </c>
      <c r="Y460" s="34">
        <f t="shared" si="484"/>
        <v>280433.66400000005</v>
      </c>
      <c r="Z460" s="34">
        <f t="shared" si="485"/>
        <v>0</v>
      </c>
      <c r="AA460" s="49"/>
      <c r="AB460" s="36"/>
      <c r="AC460" s="204">
        <f t="shared" si="493"/>
        <v>27720</v>
      </c>
      <c r="AD460" s="149">
        <v>7.8E-2</v>
      </c>
      <c r="AE460" s="31">
        <f t="shared" ref="AE460:AE462" si="500">1900*(P460+S460)</f>
        <v>119700</v>
      </c>
      <c r="AF460" s="28">
        <f t="shared" si="487"/>
        <v>0.17954997327632283</v>
      </c>
      <c r="AG460" s="34">
        <f t="shared" si="488"/>
        <v>211640.97</v>
      </c>
      <c r="AH460" s="34">
        <f t="shared" si="489"/>
        <v>68665.536599999992</v>
      </c>
      <c r="AI460" s="34">
        <f t="shared" si="490"/>
        <v>617989.82939999993</v>
      </c>
      <c r="AJ460" s="46">
        <f t="shared" si="491"/>
        <v>617989.82939999993</v>
      </c>
      <c r="AK460" s="40">
        <v>18</v>
      </c>
      <c r="AL460" s="41">
        <f t="shared" si="492"/>
        <v>23.184000000000001</v>
      </c>
      <c r="AM460" s="202"/>
      <c r="AN460" s="205"/>
      <c r="AO460" s="26"/>
      <c r="AP460" s="26"/>
      <c r="AQ460" s="27"/>
      <c r="AR460" s="27"/>
      <c r="AS460" s="27"/>
      <c r="AT460" s="27"/>
      <c r="AU460" s="27"/>
      <c r="AV460" s="27"/>
      <c r="AW460" s="26"/>
      <c r="AX460" s="26"/>
      <c r="AY460" s="26"/>
      <c r="AZ460" s="26"/>
      <c r="BA460" s="26"/>
      <c r="BB460" s="26"/>
      <c r="BC460" s="26"/>
      <c r="BD460" s="26"/>
      <c r="BE460" s="26"/>
      <c r="BF460" s="26"/>
      <c r="BG460" s="26"/>
      <c r="BH460" s="26"/>
      <c r="BI460" s="26"/>
    </row>
    <row r="461" spans="1:61" ht="28.5" customHeight="1">
      <c r="A461" s="26"/>
      <c r="B461" s="200"/>
      <c r="C461" s="42" t="s">
        <v>31</v>
      </c>
      <c r="D461" s="28">
        <f t="shared" si="476"/>
        <v>0.40811111111111109</v>
      </c>
      <c r="E461" s="303">
        <v>0.44700000000000001</v>
      </c>
      <c r="F461" s="30">
        <f t="shared" si="477"/>
        <v>3.888888888888889E-2</v>
      </c>
      <c r="G461" s="30" t="e">
        <f t="shared" si="478"/>
        <v>#DIV/0!</v>
      </c>
      <c r="H461" s="35">
        <v>0</v>
      </c>
      <c r="I461" s="48"/>
      <c r="J461" s="48"/>
      <c r="K461" s="38"/>
      <c r="L461" s="38">
        <v>952</v>
      </c>
      <c r="M461" s="210"/>
      <c r="N461" s="202"/>
      <c r="O461" s="202">
        <v>11</v>
      </c>
      <c r="P461" s="31">
        <f t="shared" si="479"/>
        <v>3</v>
      </c>
      <c r="Q461" s="36">
        <v>1</v>
      </c>
      <c r="R461" s="203"/>
      <c r="S461" s="202">
        <v>8</v>
      </c>
      <c r="T461" s="34">
        <f t="shared" si="480"/>
        <v>217800</v>
      </c>
      <c r="U461" s="31">
        <f t="shared" si="481"/>
        <v>158400</v>
      </c>
      <c r="V461" s="34">
        <f t="shared" si="482"/>
        <v>59400</v>
      </c>
      <c r="W461" s="43">
        <v>19800</v>
      </c>
      <c r="X461" s="34">
        <f t="shared" si="483"/>
        <v>7418.88</v>
      </c>
      <c r="Y461" s="34">
        <f t="shared" si="484"/>
        <v>22256.639999999999</v>
      </c>
      <c r="Z461" s="34">
        <f t="shared" si="485"/>
        <v>0</v>
      </c>
      <c r="AA461" s="49"/>
      <c r="AB461" s="287"/>
      <c r="AC461" s="204">
        <f t="shared" si="493"/>
        <v>2310</v>
      </c>
      <c r="AD461" s="149">
        <v>0.08</v>
      </c>
      <c r="AE461" s="31">
        <f t="shared" si="500"/>
        <v>20900</v>
      </c>
      <c r="AF461" s="28">
        <f t="shared" si="487"/>
        <v>0.43185185185185188</v>
      </c>
      <c r="AG461" s="34">
        <f t="shared" si="488"/>
        <v>25652.03</v>
      </c>
      <c r="AH461" s="34">
        <f t="shared" si="489"/>
        <v>1149.1329999999998</v>
      </c>
      <c r="AI461" s="34">
        <f t="shared" si="490"/>
        <v>10342.197</v>
      </c>
      <c r="AJ461" s="206">
        <f t="shared" si="491"/>
        <v>10342.197</v>
      </c>
      <c r="AK461" s="40">
        <v>30</v>
      </c>
      <c r="AL461" s="41">
        <f t="shared" si="492"/>
        <v>38.64</v>
      </c>
      <c r="AM461" s="202"/>
      <c r="AN461" s="205"/>
      <c r="AO461" s="26"/>
      <c r="AP461" s="26"/>
      <c r="AQ461" s="27"/>
      <c r="AR461" s="27"/>
      <c r="AS461" s="27"/>
      <c r="AT461" s="27"/>
      <c r="AU461" s="27"/>
      <c r="AV461" s="27"/>
      <c r="AW461" s="26"/>
      <c r="AX461" s="26"/>
      <c r="AY461" s="26"/>
      <c r="AZ461" s="26"/>
      <c r="BA461" s="26"/>
      <c r="BB461" s="26"/>
      <c r="BC461" s="26"/>
      <c r="BD461" s="26"/>
      <c r="BE461" s="26"/>
      <c r="BF461" s="26"/>
      <c r="BG461" s="26"/>
      <c r="BH461" s="26"/>
      <c r="BI461" s="26"/>
    </row>
    <row r="462" spans="1:61" ht="28.5" customHeight="1">
      <c r="A462" s="26"/>
      <c r="B462" s="200"/>
      <c r="C462" s="42" t="s">
        <v>118</v>
      </c>
      <c r="D462" s="28" t="e">
        <f t="shared" si="476"/>
        <v>#DIV/0!</v>
      </c>
      <c r="E462" s="303">
        <v>0.36599999999999999</v>
      </c>
      <c r="F462" s="30" t="e">
        <f t="shared" si="477"/>
        <v>#DIV/0!</v>
      </c>
      <c r="G462" s="30" t="e">
        <f t="shared" si="478"/>
        <v>#DIV/0!</v>
      </c>
      <c r="H462" s="35">
        <v>0</v>
      </c>
      <c r="I462" s="48"/>
      <c r="J462" s="48"/>
      <c r="K462" s="38"/>
      <c r="L462" s="38">
        <v>483</v>
      </c>
      <c r="M462" s="210"/>
      <c r="N462" s="202"/>
      <c r="O462" s="202">
        <v>0</v>
      </c>
      <c r="P462" s="31">
        <f t="shared" si="479"/>
        <v>0</v>
      </c>
      <c r="Q462" s="36">
        <v>0</v>
      </c>
      <c r="R462" s="203"/>
      <c r="S462" s="36"/>
      <c r="T462" s="34">
        <f t="shared" si="480"/>
        <v>0</v>
      </c>
      <c r="U462" s="31">
        <f t="shared" si="481"/>
        <v>0</v>
      </c>
      <c r="V462" s="34">
        <f t="shared" si="482"/>
        <v>0</v>
      </c>
      <c r="W462" s="43">
        <v>24800</v>
      </c>
      <c r="X462" s="34">
        <f t="shared" si="483"/>
        <v>10386.432000000001</v>
      </c>
      <c r="Y462" s="34">
        <f t="shared" si="484"/>
        <v>0</v>
      </c>
      <c r="Z462" s="34">
        <f t="shared" si="485"/>
        <v>0</v>
      </c>
      <c r="AA462" s="49"/>
      <c r="AB462" s="209"/>
      <c r="AC462" s="204">
        <f t="shared" si="493"/>
        <v>0</v>
      </c>
      <c r="AD462" s="149">
        <v>0.1</v>
      </c>
      <c r="AE462" s="31">
        <f t="shared" si="500"/>
        <v>0</v>
      </c>
      <c r="AF462" s="28" t="e">
        <f t="shared" si="487"/>
        <v>#DIV/0!</v>
      </c>
      <c r="AG462" s="34" t="e">
        <f t="shared" si="488"/>
        <v>#DIV/0!</v>
      </c>
      <c r="AH462" s="34" t="e">
        <f t="shared" si="489"/>
        <v>#DIV/0!</v>
      </c>
      <c r="AI462" s="34" t="e">
        <f t="shared" si="490"/>
        <v>#DIV/0!</v>
      </c>
      <c r="AJ462" s="206" t="e">
        <f t="shared" si="491"/>
        <v>#DIV/0!</v>
      </c>
      <c r="AK462" s="40">
        <v>42</v>
      </c>
      <c r="AL462" s="41">
        <f t="shared" si="492"/>
        <v>54.096000000000004</v>
      </c>
      <c r="AM462" s="202"/>
      <c r="AN462" s="284"/>
      <c r="AO462" s="26"/>
      <c r="AP462" s="26"/>
      <c r="AQ462" s="27"/>
      <c r="AR462" s="27"/>
      <c r="AS462" s="27"/>
      <c r="AT462" s="27"/>
      <c r="AU462" s="27"/>
      <c r="AV462" s="27"/>
      <c r="AW462" s="26"/>
      <c r="AX462" s="26"/>
      <c r="AY462" s="26"/>
      <c r="AZ462" s="26"/>
      <c r="BA462" s="26"/>
      <c r="BB462" s="26"/>
      <c r="BC462" s="26"/>
      <c r="BD462" s="26"/>
      <c r="BE462" s="26"/>
      <c r="BF462" s="26"/>
      <c r="BG462" s="26"/>
      <c r="BH462" s="26"/>
      <c r="BI462" s="26"/>
    </row>
    <row r="463" spans="1:61" ht="28.5" customHeight="1">
      <c r="A463" s="26"/>
      <c r="B463" s="305" t="s">
        <v>163</v>
      </c>
      <c r="C463" s="42" t="s">
        <v>119</v>
      </c>
      <c r="D463" s="28">
        <f t="shared" si="476"/>
        <v>0.42368548387096772</v>
      </c>
      <c r="E463" s="166">
        <v>0.433</v>
      </c>
      <c r="F463" s="30">
        <f t="shared" si="477"/>
        <v>9.3145161290322572E-3</v>
      </c>
      <c r="G463" s="30" t="e">
        <f t="shared" si="478"/>
        <v>#DIV/0!</v>
      </c>
      <c r="H463" s="35">
        <v>1000</v>
      </c>
      <c r="I463" s="48"/>
      <c r="J463" s="48"/>
      <c r="K463" s="38"/>
      <c r="L463" s="38">
        <v>551</v>
      </c>
      <c r="M463" s="210"/>
      <c r="N463" s="202"/>
      <c r="O463" s="202">
        <v>20</v>
      </c>
      <c r="P463" s="31">
        <f t="shared" si="479"/>
        <v>20</v>
      </c>
      <c r="Q463" s="202">
        <v>2</v>
      </c>
      <c r="R463" s="203"/>
      <c r="S463" s="36"/>
      <c r="T463" s="34">
        <f t="shared" si="480"/>
        <v>496000</v>
      </c>
      <c r="U463" s="31">
        <f t="shared" si="481"/>
        <v>0</v>
      </c>
      <c r="V463" s="34">
        <f t="shared" si="482"/>
        <v>496000</v>
      </c>
      <c r="W463" s="43">
        <v>24800</v>
      </c>
      <c r="X463" s="34">
        <f t="shared" si="483"/>
        <v>7666.1760000000013</v>
      </c>
      <c r="Y463" s="34">
        <f t="shared" si="484"/>
        <v>153323.52000000002</v>
      </c>
      <c r="Z463" s="34">
        <f t="shared" si="485"/>
        <v>0</v>
      </c>
      <c r="AA463" s="49"/>
      <c r="AB463" s="36"/>
      <c r="AC463" s="204">
        <f t="shared" si="493"/>
        <v>4620</v>
      </c>
      <c r="AD463" s="149">
        <v>0.108</v>
      </c>
      <c r="AE463" s="31">
        <f>3150*(P463+S463)</f>
        <v>63000</v>
      </c>
      <c r="AF463" s="28">
        <f t="shared" si="487"/>
        <v>0.23501612903225805</v>
      </c>
      <c r="AG463" s="34">
        <f t="shared" si="488"/>
        <v>116568.02999999998</v>
      </c>
      <c r="AH463" s="34">
        <f t="shared" si="489"/>
        <v>22610.845000000001</v>
      </c>
      <c r="AI463" s="34">
        <f t="shared" si="490"/>
        <v>203497.60499999998</v>
      </c>
      <c r="AJ463" s="46">
        <f t="shared" si="491"/>
        <v>203497.60499999998</v>
      </c>
      <c r="AK463" s="40">
        <v>31</v>
      </c>
      <c r="AL463" s="41">
        <f t="shared" si="492"/>
        <v>39.928000000000004</v>
      </c>
      <c r="AM463" s="202"/>
      <c r="AN463" s="205"/>
      <c r="AO463" s="26"/>
      <c r="AP463" s="26"/>
      <c r="AQ463" s="27"/>
      <c r="AR463" s="27"/>
      <c r="AS463" s="27"/>
      <c r="AT463" s="27"/>
      <c r="AU463" s="27"/>
      <c r="AV463" s="27"/>
      <c r="AW463" s="26"/>
      <c r="AX463" s="26"/>
      <c r="AY463" s="26"/>
      <c r="AZ463" s="26"/>
      <c r="BA463" s="26"/>
      <c r="BB463" s="26"/>
      <c r="BC463" s="26"/>
      <c r="BD463" s="26"/>
      <c r="BE463" s="26"/>
      <c r="BF463" s="26"/>
      <c r="BG463" s="26"/>
      <c r="BH463" s="26"/>
      <c r="BI463" s="26"/>
    </row>
    <row r="464" spans="1:61" ht="28.5" customHeight="1">
      <c r="A464" s="26"/>
      <c r="B464" s="127"/>
      <c r="C464" s="42" t="s">
        <v>120</v>
      </c>
      <c r="D464" s="28">
        <f t="shared" si="476"/>
        <v>0.41199999999999998</v>
      </c>
      <c r="E464" s="166">
        <v>0.41199999999999998</v>
      </c>
      <c r="F464" s="30">
        <f t="shared" si="477"/>
        <v>0</v>
      </c>
      <c r="G464" s="30" t="e">
        <f t="shared" si="478"/>
        <v>#DIV/0!</v>
      </c>
      <c r="H464" s="35"/>
      <c r="I464" s="48"/>
      <c r="J464" s="48"/>
      <c r="K464" s="38"/>
      <c r="L464" s="38"/>
      <c r="M464" s="210"/>
      <c r="N464" s="202"/>
      <c r="O464" s="202">
        <v>1</v>
      </c>
      <c r="P464" s="31">
        <f t="shared" si="479"/>
        <v>1</v>
      </c>
      <c r="Q464" s="36">
        <v>0</v>
      </c>
      <c r="R464" s="203"/>
      <c r="S464" s="36"/>
      <c r="T464" s="34">
        <f t="shared" si="480"/>
        <v>39800</v>
      </c>
      <c r="U464" s="31">
        <f t="shared" si="481"/>
        <v>0</v>
      </c>
      <c r="V464" s="34">
        <f t="shared" si="482"/>
        <v>39800</v>
      </c>
      <c r="W464" s="43">
        <v>39800</v>
      </c>
      <c r="X464" s="34">
        <f t="shared" si="483"/>
        <v>7666.1760000000013</v>
      </c>
      <c r="Y464" s="34">
        <f t="shared" si="484"/>
        <v>7666.1760000000013</v>
      </c>
      <c r="Z464" s="34">
        <f t="shared" si="485"/>
        <v>0</v>
      </c>
      <c r="AA464" s="49"/>
      <c r="AB464" s="36"/>
      <c r="AC464" s="204">
        <f t="shared" si="493"/>
        <v>0</v>
      </c>
      <c r="AD464" s="152">
        <v>0.108</v>
      </c>
      <c r="AE464" s="31">
        <f>3550*(P464+S464)</f>
        <v>3550</v>
      </c>
      <c r="AF464" s="28">
        <f t="shared" si="487"/>
        <v>0.1971959798994975</v>
      </c>
      <c r="AG464" s="34">
        <f t="shared" si="488"/>
        <v>7848.43</v>
      </c>
      <c r="AH464" s="34">
        <f t="shared" si="489"/>
        <v>2428.5393999999997</v>
      </c>
      <c r="AI464" s="34">
        <f t="shared" si="490"/>
        <v>21856.854599999999</v>
      </c>
      <c r="AJ464" s="206">
        <f t="shared" si="491"/>
        <v>21856.854599999999</v>
      </c>
      <c r="AK464" s="40">
        <v>31</v>
      </c>
      <c r="AL464" s="41">
        <f t="shared" si="492"/>
        <v>39.928000000000004</v>
      </c>
      <c r="AM464" s="202"/>
      <c r="AN464" s="205"/>
      <c r="AO464" s="26"/>
      <c r="AP464" s="26"/>
      <c r="AQ464" s="27"/>
      <c r="AR464" s="27"/>
      <c r="AS464" s="27"/>
      <c r="AT464" s="27"/>
      <c r="AU464" s="27"/>
      <c r="AV464" s="27"/>
      <c r="AW464" s="26"/>
      <c r="AX464" s="26"/>
      <c r="AY464" s="26"/>
      <c r="AZ464" s="26"/>
      <c r="BA464" s="26"/>
      <c r="BB464" s="26"/>
      <c r="BC464" s="26"/>
      <c r="BD464" s="26"/>
      <c r="BE464" s="26"/>
      <c r="BF464" s="26"/>
      <c r="BG464" s="26"/>
      <c r="BH464" s="26"/>
      <c r="BI464" s="26"/>
    </row>
    <row r="465" spans="1:61" ht="28.5" customHeight="1">
      <c r="A465" s="26"/>
      <c r="B465" s="216"/>
      <c r="C465" s="217"/>
      <c r="D465" s="298">
        <f>AJ465/V465</f>
        <v>0.3963665003814521</v>
      </c>
      <c r="E465" s="298">
        <f>AI465/V465</f>
        <v>0.3963665003814521</v>
      </c>
      <c r="F465" s="52">
        <f>(Z465)/V465</f>
        <v>0</v>
      </c>
      <c r="G465" s="219"/>
      <c r="H465" s="289"/>
      <c r="I465" s="55"/>
      <c r="J465" s="55"/>
      <c r="K465" s="289"/>
      <c r="L465" s="289"/>
      <c r="M465" s="55"/>
      <c r="N465" s="130"/>
      <c r="O465" s="130">
        <f t="shared" ref="O465:R465" si="501">SUM(O443:O464)</f>
        <v>391</v>
      </c>
      <c r="P465" s="130">
        <f t="shared" si="501"/>
        <v>373</v>
      </c>
      <c r="Q465" s="130">
        <f t="shared" si="501"/>
        <v>68</v>
      </c>
      <c r="R465" s="130">
        <f t="shared" si="501"/>
        <v>0</v>
      </c>
      <c r="S465" s="36"/>
      <c r="T465" s="130">
        <f t="shared" ref="T465:V465" si="502">SUM(T443:T464)</f>
        <v>11775690</v>
      </c>
      <c r="U465" s="130">
        <f t="shared" si="502"/>
        <v>542300</v>
      </c>
      <c r="V465" s="130">
        <f t="shared" si="502"/>
        <v>11233390</v>
      </c>
      <c r="W465" s="55"/>
      <c r="X465" s="130">
        <f t="shared" ref="X465:AC465" si="503">SUM(X443:X464)</f>
        <v>314387.4047999999</v>
      </c>
      <c r="Y465" s="130">
        <f t="shared" si="503"/>
        <v>4045193.7791999998</v>
      </c>
      <c r="Z465" s="130">
        <f t="shared" si="503"/>
        <v>0</v>
      </c>
      <c r="AA465" s="130">
        <f t="shared" si="503"/>
        <v>0</v>
      </c>
      <c r="AB465" s="287">
        <f t="shared" si="503"/>
        <v>0</v>
      </c>
      <c r="AC465" s="130">
        <f t="shared" si="503"/>
        <v>154182</v>
      </c>
      <c r="AD465" s="154">
        <v>0.09</v>
      </c>
      <c r="AE465" s="130">
        <f>SUM(AE443:AE464)</f>
        <v>1229925</v>
      </c>
      <c r="AF465" s="53">
        <f t="shared" si="487"/>
        <v>0.19948832008859302</v>
      </c>
      <c r="AG465" s="56">
        <f t="shared" si="488"/>
        <v>2240930.13</v>
      </c>
      <c r="AH465" s="56">
        <f t="shared" si="489"/>
        <v>494726.60907999997</v>
      </c>
      <c r="AI465" s="56">
        <f t="shared" si="490"/>
        <v>4452539.4817200005</v>
      </c>
      <c r="AJ465" s="46">
        <f>AI465-Z465-AB465</f>
        <v>4452539.4817200005</v>
      </c>
      <c r="AK465" s="54"/>
      <c r="AL465" s="222"/>
      <c r="AM465" s="131">
        <f t="shared" ref="AM465:AN465" si="504">SUM(AM443:AM444)</f>
        <v>0</v>
      </c>
      <c r="AN465" s="132">
        <f t="shared" si="504"/>
        <v>0</v>
      </c>
      <c r="AO465" s="26"/>
      <c r="AP465" s="26"/>
      <c r="AQ465" s="27"/>
      <c r="AR465" s="27"/>
      <c r="AS465" s="27"/>
      <c r="AT465" s="27"/>
      <c r="AU465" s="27"/>
      <c r="AV465" s="27"/>
      <c r="AW465" s="26"/>
      <c r="AX465" s="26"/>
      <c r="AY465" s="26"/>
      <c r="AZ465" s="26"/>
      <c r="BA465" s="26"/>
      <c r="BB465" s="26"/>
      <c r="BC465" s="26"/>
      <c r="BD465" s="26"/>
      <c r="BE465" s="26"/>
      <c r="BF465" s="26"/>
      <c r="BG465" s="26"/>
      <c r="BH465" s="26"/>
      <c r="BI465" s="26"/>
    </row>
    <row r="466" spans="1:61" ht="28.5" customHeight="1">
      <c r="A466" s="1"/>
      <c r="B466" s="290"/>
      <c r="C466" s="291"/>
      <c r="D466" s="2"/>
      <c r="E466" s="2"/>
      <c r="F466" s="2"/>
      <c r="G466" s="2"/>
      <c r="H466" s="2"/>
      <c r="I466" s="2"/>
      <c r="J466" s="2"/>
      <c r="K466" s="2"/>
      <c r="L466" s="2"/>
      <c r="M466" s="2"/>
      <c r="N466" s="292"/>
      <c r="O466" s="292"/>
      <c r="P466" s="2"/>
      <c r="Q466" s="2"/>
      <c r="R466" s="2"/>
      <c r="S466" s="293"/>
      <c r="T466" s="2"/>
      <c r="U466" s="2"/>
      <c r="V466" s="2"/>
      <c r="W466" s="2"/>
      <c r="X466" s="2"/>
      <c r="Y466" s="2"/>
      <c r="Z466" s="2"/>
      <c r="AA466" s="2"/>
      <c r="AB466" s="2"/>
      <c r="AC466" s="2"/>
      <c r="AD466" s="2"/>
      <c r="AE466" s="2"/>
      <c r="AF466" s="1"/>
      <c r="AG466" s="1"/>
      <c r="AH466" s="1"/>
      <c r="AI466" s="1"/>
      <c r="AJ466" s="1"/>
      <c r="AK466" s="1"/>
      <c r="AL466" s="1"/>
      <c r="AM466" s="1"/>
      <c r="AN466" s="1"/>
      <c r="AO466" s="1"/>
      <c r="AP466" s="1"/>
      <c r="AQ466" s="1"/>
      <c r="AR466" s="1"/>
      <c r="AS466" s="1"/>
      <c r="AT466" s="7"/>
      <c r="AU466" s="7"/>
      <c r="AV466" s="7"/>
      <c r="AW466" s="47"/>
      <c r="AX466" s="47"/>
      <c r="AY466" s="47"/>
      <c r="AZ466" s="47"/>
      <c r="BA466" s="47"/>
      <c r="BB466" s="47"/>
      <c r="BC466" s="47"/>
      <c r="BD466" s="47"/>
      <c r="BE466" s="47"/>
      <c r="BF466" s="47"/>
      <c r="BG466" s="47"/>
      <c r="BH466" s="47"/>
      <c r="BI466" s="47"/>
    </row>
    <row r="467" spans="1:61" ht="28.5" customHeight="1">
      <c r="A467" s="26"/>
      <c r="B467" s="189"/>
      <c r="C467" s="134">
        <v>45888</v>
      </c>
      <c r="D467" s="190" t="s">
        <v>0</v>
      </c>
      <c r="E467" s="190" t="s">
        <v>1</v>
      </c>
      <c r="F467" s="190" t="s">
        <v>2</v>
      </c>
      <c r="G467" s="190" t="s">
        <v>3</v>
      </c>
      <c r="H467" s="304" t="s">
        <v>4</v>
      </c>
      <c r="I467" s="192" t="s">
        <v>5</v>
      </c>
      <c r="J467" s="192" t="s">
        <v>90</v>
      </c>
      <c r="K467" s="193"/>
      <c r="L467" s="193" t="s">
        <v>6</v>
      </c>
      <c r="M467" s="194" t="s">
        <v>7</v>
      </c>
      <c r="N467" s="123" t="s">
        <v>125</v>
      </c>
      <c r="O467" s="123" t="s">
        <v>8</v>
      </c>
      <c r="P467" s="123" t="s">
        <v>9</v>
      </c>
      <c r="Q467" s="15" t="s">
        <v>10</v>
      </c>
      <c r="R467" s="123" t="s">
        <v>92</v>
      </c>
      <c r="S467" s="196" t="s">
        <v>11</v>
      </c>
      <c r="T467" s="17" t="s">
        <v>12</v>
      </c>
      <c r="U467" s="17" t="s">
        <v>13</v>
      </c>
      <c r="V467" s="17" t="s">
        <v>14</v>
      </c>
      <c r="W467" s="17" t="s">
        <v>15</v>
      </c>
      <c r="X467" s="17" t="s">
        <v>16</v>
      </c>
      <c r="Y467" s="17" t="s">
        <v>17</v>
      </c>
      <c r="Z467" s="19" t="s">
        <v>18</v>
      </c>
      <c r="AA467" s="19" t="s">
        <v>19</v>
      </c>
      <c r="AB467" s="20" t="s">
        <v>20</v>
      </c>
      <c r="AC467" s="22" t="s">
        <v>93</v>
      </c>
      <c r="AD467" s="197" t="s">
        <v>21</v>
      </c>
      <c r="AE467" s="21" t="s">
        <v>22</v>
      </c>
      <c r="AF467" s="23" t="s">
        <v>23</v>
      </c>
      <c r="AG467" s="23" t="s">
        <v>21</v>
      </c>
      <c r="AH467" s="23" t="s">
        <v>24</v>
      </c>
      <c r="AI467" s="24" t="s">
        <v>26</v>
      </c>
      <c r="AJ467" s="23" t="s">
        <v>27</v>
      </c>
      <c r="AK467" s="21" t="s">
        <v>147</v>
      </c>
      <c r="AL467" s="282" t="s">
        <v>148</v>
      </c>
      <c r="AM467" s="124" t="s">
        <v>94</v>
      </c>
      <c r="AN467" s="125" t="s">
        <v>95</v>
      </c>
      <c r="AO467" s="26"/>
      <c r="AP467" s="26"/>
      <c r="AQ467" s="27"/>
      <c r="AR467" s="27"/>
      <c r="AS467" s="27"/>
      <c r="AT467" s="27"/>
      <c r="AU467" s="27"/>
      <c r="AV467" s="27"/>
      <c r="AW467" s="26"/>
      <c r="AX467" s="26"/>
      <c r="AY467" s="26"/>
      <c r="AZ467" s="26"/>
      <c r="BA467" s="26"/>
      <c r="BB467" s="26"/>
      <c r="BC467" s="26"/>
      <c r="BD467" s="26"/>
      <c r="BE467" s="26"/>
      <c r="BF467" s="26"/>
      <c r="BG467" s="26"/>
      <c r="BH467" s="26"/>
      <c r="BI467" s="26"/>
    </row>
    <row r="468" spans="1:61" ht="28.5" customHeight="1">
      <c r="A468" s="26"/>
      <c r="B468" s="200"/>
      <c r="C468" s="42" t="s">
        <v>107</v>
      </c>
      <c r="D468" s="28" t="e">
        <f t="shared" ref="D468:D489" si="505">E468-F468</f>
        <v>#DIV/0!</v>
      </c>
      <c r="E468" s="166">
        <v>0.39700000000000002</v>
      </c>
      <c r="F468" s="30" t="e">
        <f t="shared" ref="F468:F489" si="506">(Z468+AC468)/V468</f>
        <v>#DIV/0!</v>
      </c>
      <c r="G468" s="30" t="e">
        <f t="shared" ref="G468:G489" si="507">R468/AN468</f>
        <v>#DIV/0!</v>
      </c>
      <c r="H468" s="35">
        <v>1200</v>
      </c>
      <c r="I468" s="48"/>
      <c r="J468" s="48"/>
      <c r="K468" s="35"/>
      <c r="L468" s="35">
        <v>2030</v>
      </c>
      <c r="M468" s="48">
        <v>1876</v>
      </c>
      <c r="N468" s="202"/>
      <c r="O468" s="202"/>
      <c r="P468" s="31">
        <f t="shared" ref="P468:P489" si="508">O468-S468</f>
        <v>0</v>
      </c>
      <c r="Q468" s="202"/>
      <c r="R468" s="203"/>
      <c r="S468" s="36"/>
      <c r="T468" s="34">
        <f t="shared" ref="T468:T489" si="509">W468*O468</f>
        <v>0</v>
      </c>
      <c r="U468" s="31">
        <f t="shared" ref="U468:U489" si="510">W468*S468</f>
        <v>0</v>
      </c>
      <c r="V468" s="34">
        <f t="shared" ref="V468:V489" si="511">T468-U468</f>
        <v>0</v>
      </c>
      <c r="W468" s="43">
        <v>26270</v>
      </c>
      <c r="X468" s="34">
        <f t="shared" ref="X468:X489" si="512">AL468*$A$2</f>
        <v>9891.84</v>
      </c>
      <c r="Y468" s="34">
        <f t="shared" ref="Y468:Y489" si="513">X468*P468</f>
        <v>0</v>
      </c>
      <c r="Z468" s="34">
        <f t="shared" ref="Z468:Z489" si="514">AA468*1.1</f>
        <v>0</v>
      </c>
      <c r="AA468" s="49"/>
      <c r="AB468" s="36"/>
      <c r="AC468" s="204">
        <f t="shared" ref="AC468:AC469" si="515">(1072+1100)*Q468</f>
        <v>0</v>
      </c>
      <c r="AD468" s="149">
        <v>0.1</v>
      </c>
      <c r="AE468" s="31">
        <f>3050*(P468+S468)</f>
        <v>0</v>
      </c>
      <c r="AF468" s="28" t="e">
        <f t="shared" ref="AF468:AF490" si="516">AD468+(AE468/V468)</f>
        <v>#DIV/0!</v>
      </c>
      <c r="AG468" s="34" t="e">
        <f t="shared" ref="AG468:AG490" si="517">V468*AF468+3%</f>
        <v>#DIV/0!</v>
      </c>
      <c r="AH468" s="34" t="e">
        <f t="shared" ref="AH468:AH490" si="518">(V468)*10%-(Y468+AG468)*10%</f>
        <v>#DIV/0!</v>
      </c>
      <c r="AI468" s="34" t="e">
        <f t="shared" ref="AI468:AI490" si="519">V468-(Y468+AG468+AH468)</f>
        <v>#DIV/0!</v>
      </c>
      <c r="AJ468" s="46" t="e">
        <f t="shared" ref="AJ468:AJ489" si="520">AI468-Z468</f>
        <v>#DIV/0!</v>
      </c>
      <c r="AK468" s="40">
        <v>40</v>
      </c>
      <c r="AL468" s="41">
        <f t="shared" ref="AL468:AL489" si="521">(AK468*1.15)*1.12</f>
        <v>51.52</v>
      </c>
      <c r="AM468" s="202"/>
      <c r="AN468" s="205"/>
      <c r="AO468" s="26"/>
      <c r="AP468" s="26"/>
      <c r="AQ468" s="27"/>
      <c r="AR468" s="27"/>
      <c r="AS468" s="27"/>
      <c r="AT468" s="27"/>
      <c r="AU468" s="27"/>
      <c r="AV468" s="27"/>
      <c r="AW468" s="26"/>
      <c r="AX468" s="26"/>
      <c r="AY468" s="26"/>
      <c r="AZ468" s="26"/>
      <c r="BA468" s="26"/>
      <c r="BB468" s="26"/>
      <c r="BC468" s="26"/>
      <c r="BD468" s="26"/>
      <c r="BE468" s="26"/>
      <c r="BF468" s="26"/>
      <c r="BG468" s="26"/>
      <c r="BH468" s="26"/>
      <c r="BI468" s="26"/>
    </row>
    <row r="469" spans="1:61" ht="28.5" customHeight="1">
      <c r="A469" s="26"/>
      <c r="B469" s="200"/>
      <c r="C469" s="42" t="s">
        <v>108</v>
      </c>
      <c r="D469" s="28" t="e">
        <f t="shared" si="505"/>
        <v>#DIV/0!</v>
      </c>
      <c r="E469" s="166">
        <v>0.41</v>
      </c>
      <c r="F469" s="30" t="e">
        <f t="shared" si="506"/>
        <v>#DIV/0!</v>
      </c>
      <c r="G469" s="30" t="e">
        <f t="shared" si="507"/>
        <v>#DIV/0!</v>
      </c>
      <c r="H469" s="35">
        <v>460</v>
      </c>
      <c r="I469" s="48"/>
      <c r="J469" s="48"/>
      <c r="K469" s="38"/>
      <c r="L469" s="38">
        <v>599</v>
      </c>
      <c r="M469" s="210">
        <v>186</v>
      </c>
      <c r="N469" s="202"/>
      <c r="O469" s="202"/>
      <c r="P469" s="31">
        <f t="shared" si="508"/>
        <v>0</v>
      </c>
      <c r="Q469" s="36"/>
      <c r="R469" s="203"/>
      <c r="S469" s="36"/>
      <c r="T469" s="34">
        <f t="shared" si="509"/>
        <v>0</v>
      </c>
      <c r="U469" s="31">
        <f t="shared" si="510"/>
        <v>0</v>
      </c>
      <c r="V469" s="34">
        <f t="shared" si="511"/>
        <v>0</v>
      </c>
      <c r="W469" s="43">
        <v>22770</v>
      </c>
      <c r="X469" s="34">
        <f t="shared" si="512"/>
        <v>7913.4719999999998</v>
      </c>
      <c r="Y469" s="34">
        <f t="shared" si="513"/>
        <v>0</v>
      </c>
      <c r="Z469" s="34">
        <f t="shared" si="514"/>
        <v>0</v>
      </c>
      <c r="AA469" s="49"/>
      <c r="AB469" s="36"/>
      <c r="AC469" s="204">
        <f t="shared" si="515"/>
        <v>0</v>
      </c>
      <c r="AD469" s="149">
        <v>0.1</v>
      </c>
      <c r="AE469" s="31">
        <f>2950*(P469+S469)</f>
        <v>0</v>
      </c>
      <c r="AF469" s="28" t="e">
        <f t="shared" si="516"/>
        <v>#DIV/0!</v>
      </c>
      <c r="AG469" s="34" t="e">
        <f t="shared" si="517"/>
        <v>#DIV/0!</v>
      </c>
      <c r="AH469" s="34" t="e">
        <f t="shared" si="518"/>
        <v>#DIV/0!</v>
      </c>
      <c r="AI469" s="34" t="e">
        <f t="shared" si="519"/>
        <v>#DIV/0!</v>
      </c>
      <c r="AJ469" s="46" t="e">
        <f t="shared" si="520"/>
        <v>#DIV/0!</v>
      </c>
      <c r="AK469" s="40">
        <v>32</v>
      </c>
      <c r="AL469" s="41">
        <f t="shared" si="521"/>
        <v>41.216000000000001</v>
      </c>
      <c r="AM469" s="202"/>
      <c r="AN469" s="205"/>
      <c r="AO469" s="26"/>
      <c r="AP469" s="26"/>
      <c r="AQ469" s="27"/>
      <c r="AR469" s="27"/>
      <c r="AS469" s="27"/>
      <c r="AT469" s="27"/>
      <c r="AU469" s="27"/>
      <c r="AV469" s="27"/>
      <c r="AW469" s="26"/>
      <c r="AX469" s="26"/>
      <c r="AY469" s="26"/>
      <c r="AZ469" s="26"/>
      <c r="BA469" s="26"/>
      <c r="BB469" s="26"/>
      <c r="BC469" s="26"/>
      <c r="BD469" s="26"/>
      <c r="BE469" s="26"/>
      <c r="BF469" s="26"/>
      <c r="BG469" s="26"/>
      <c r="BH469" s="26"/>
      <c r="BI469" s="26"/>
    </row>
    <row r="470" spans="1:61" ht="28.5" customHeight="1">
      <c r="A470" s="336"/>
      <c r="B470" s="323"/>
      <c r="C470" s="42" t="s">
        <v>109</v>
      </c>
      <c r="D470" s="28" t="e">
        <f t="shared" si="505"/>
        <v>#DIV/0!</v>
      </c>
      <c r="E470" s="166">
        <v>0.378</v>
      </c>
      <c r="F470" s="30" t="e">
        <f t="shared" si="506"/>
        <v>#DIV/0!</v>
      </c>
      <c r="G470" s="30" t="e">
        <f t="shared" si="507"/>
        <v>#DIV/0!</v>
      </c>
      <c r="H470" s="35">
        <v>0</v>
      </c>
      <c r="I470" s="48"/>
      <c r="J470" s="48"/>
      <c r="K470" s="35"/>
      <c r="L470" s="312">
        <v>687</v>
      </c>
      <c r="M470" s="48"/>
      <c r="N470" s="202"/>
      <c r="O470" s="202"/>
      <c r="P470" s="31">
        <f t="shared" si="508"/>
        <v>0</v>
      </c>
      <c r="Q470" s="36"/>
      <c r="R470" s="203"/>
      <c r="S470" s="36"/>
      <c r="T470" s="34">
        <f t="shared" si="509"/>
        <v>0</v>
      </c>
      <c r="U470" s="31">
        <f t="shared" si="510"/>
        <v>0</v>
      </c>
      <c r="V470" s="34">
        <f t="shared" si="511"/>
        <v>0</v>
      </c>
      <c r="W470" s="43">
        <v>44400</v>
      </c>
      <c r="X470" s="34">
        <f t="shared" si="512"/>
        <v>12278.2464</v>
      </c>
      <c r="Y470" s="34">
        <f t="shared" si="513"/>
        <v>0</v>
      </c>
      <c r="Z470" s="34">
        <f t="shared" si="514"/>
        <v>0</v>
      </c>
      <c r="AA470" s="49"/>
      <c r="AB470" s="36"/>
      <c r="AC470" s="204">
        <f t="shared" ref="AC470:AC489" si="522">(1210+1100)*Q470</f>
        <v>0</v>
      </c>
      <c r="AD470" s="149">
        <v>0.11</v>
      </c>
      <c r="AE470" s="31">
        <f t="shared" ref="AE470:AE471" si="523">4150*(P470+S470)</f>
        <v>0</v>
      </c>
      <c r="AF470" s="28" t="e">
        <f t="shared" si="516"/>
        <v>#DIV/0!</v>
      </c>
      <c r="AG470" s="34" t="e">
        <f t="shared" si="517"/>
        <v>#DIV/0!</v>
      </c>
      <c r="AH470" s="34" t="e">
        <f t="shared" si="518"/>
        <v>#DIV/0!</v>
      </c>
      <c r="AI470" s="34" t="e">
        <f t="shared" si="519"/>
        <v>#DIV/0!</v>
      </c>
      <c r="AJ470" s="46" t="e">
        <f t="shared" si="520"/>
        <v>#DIV/0!</v>
      </c>
      <c r="AK470" s="40">
        <v>49.65</v>
      </c>
      <c r="AL470" s="41">
        <f t="shared" si="521"/>
        <v>63.949200000000005</v>
      </c>
      <c r="AM470" s="202"/>
      <c r="AN470" s="205"/>
      <c r="AO470" s="26"/>
      <c r="AP470" s="26"/>
      <c r="AQ470" s="27"/>
      <c r="AR470" s="27"/>
      <c r="AS470" s="27"/>
      <c r="AT470" s="27"/>
      <c r="AU470" s="27"/>
      <c r="AV470" s="27"/>
      <c r="AW470" s="26"/>
      <c r="AX470" s="26"/>
      <c r="AY470" s="26"/>
      <c r="AZ470" s="26"/>
      <c r="BA470" s="26"/>
      <c r="BB470" s="26"/>
      <c r="BC470" s="26"/>
      <c r="BD470" s="26"/>
      <c r="BE470" s="26"/>
      <c r="BF470" s="26"/>
      <c r="BG470" s="26"/>
      <c r="BH470" s="26"/>
      <c r="BI470" s="26"/>
    </row>
    <row r="471" spans="1:61" ht="28.5" customHeight="1">
      <c r="A471" s="311"/>
      <c r="B471" s="324"/>
      <c r="C471" s="42" t="s">
        <v>110</v>
      </c>
      <c r="D471" s="28" t="e">
        <f t="shared" si="505"/>
        <v>#DIV/0!</v>
      </c>
      <c r="E471" s="166">
        <v>0.317</v>
      </c>
      <c r="F471" s="30" t="e">
        <f t="shared" si="506"/>
        <v>#DIV/0!</v>
      </c>
      <c r="G471" s="30" t="e">
        <f t="shared" si="507"/>
        <v>#DIV/0!</v>
      </c>
      <c r="H471" s="35">
        <v>0</v>
      </c>
      <c r="I471" s="48"/>
      <c r="J471" s="48"/>
      <c r="K471" s="35"/>
      <c r="L471" s="310"/>
      <c r="M471" s="48"/>
      <c r="N471" s="202"/>
      <c r="O471" s="202"/>
      <c r="P471" s="31">
        <f t="shared" si="508"/>
        <v>0</v>
      </c>
      <c r="Q471" s="202"/>
      <c r="R471" s="203"/>
      <c r="S471" s="36"/>
      <c r="T471" s="34">
        <f t="shared" si="509"/>
        <v>0</v>
      </c>
      <c r="U471" s="31">
        <f t="shared" si="510"/>
        <v>0</v>
      </c>
      <c r="V471" s="34">
        <f t="shared" si="511"/>
        <v>0</v>
      </c>
      <c r="W471" s="43">
        <v>46800</v>
      </c>
      <c r="X471" s="34">
        <f t="shared" si="512"/>
        <v>12772.838400000001</v>
      </c>
      <c r="Y471" s="34">
        <f t="shared" si="513"/>
        <v>0</v>
      </c>
      <c r="Z471" s="34">
        <f t="shared" si="514"/>
        <v>0</v>
      </c>
      <c r="AA471" s="49"/>
      <c r="AB471" s="36"/>
      <c r="AC471" s="204">
        <f t="shared" si="522"/>
        <v>0</v>
      </c>
      <c r="AD471" s="149">
        <v>0.11</v>
      </c>
      <c r="AE471" s="31">
        <f t="shared" si="523"/>
        <v>0</v>
      </c>
      <c r="AF471" s="28" t="e">
        <f t="shared" si="516"/>
        <v>#DIV/0!</v>
      </c>
      <c r="AG471" s="34" t="e">
        <f t="shared" si="517"/>
        <v>#DIV/0!</v>
      </c>
      <c r="AH471" s="34" t="e">
        <f t="shared" si="518"/>
        <v>#DIV/0!</v>
      </c>
      <c r="AI471" s="34" t="e">
        <f t="shared" si="519"/>
        <v>#DIV/0!</v>
      </c>
      <c r="AJ471" s="46" t="e">
        <f t="shared" si="520"/>
        <v>#DIV/0!</v>
      </c>
      <c r="AK471" s="40">
        <v>51.65</v>
      </c>
      <c r="AL471" s="41">
        <f t="shared" si="521"/>
        <v>66.525199999999998</v>
      </c>
      <c r="AM471" s="202"/>
      <c r="AN471" s="205"/>
      <c r="AO471" s="26"/>
      <c r="AP471" s="26"/>
      <c r="AQ471" s="27"/>
      <c r="AR471" s="27"/>
      <c r="AS471" s="27"/>
      <c r="AT471" s="27"/>
      <c r="AU471" s="27"/>
      <c r="AV471" s="27"/>
      <c r="AW471" s="26"/>
      <c r="AX471" s="26"/>
      <c r="AY471" s="26"/>
      <c r="AZ471" s="26"/>
      <c r="BA471" s="26"/>
      <c r="BB471" s="26"/>
      <c r="BC471" s="26"/>
      <c r="BD471" s="26"/>
      <c r="BE471" s="26"/>
      <c r="BF471" s="26"/>
      <c r="BG471" s="26"/>
      <c r="BH471" s="26"/>
      <c r="BI471" s="26"/>
    </row>
    <row r="472" spans="1:61" ht="28.5" customHeight="1">
      <c r="A472" s="26"/>
      <c r="B472" s="323"/>
      <c r="C472" s="42" t="s">
        <v>32</v>
      </c>
      <c r="D472" s="28" t="e">
        <f t="shared" si="505"/>
        <v>#DIV/0!</v>
      </c>
      <c r="E472" s="166">
        <v>0.40600000000000003</v>
      </c>
      <c r="F472" s="30" t="e">
        <f t="shared" si="506"/>
        <v>#DIV/0!</v>
      </c>
      <c r="G472" s="30" t="e">
        <f t="shared" si="507"/>
        <v>#DIV/0!</v>
      </c>
      <c r="H472" s="37">
        <v>3504</v>
      </c>
      <c r="I472" s="48"/>
      <c r="J472" s="48"/>
      <c r="K472" s="35"/>
      <c r="L472" s="312">
        <v>3165</v>
      </c>
      <c r="M472" s="48"/>
      <c r="N472" s="202"/>
      <c r="O472" s="202"/>
      <c r="P472" s="31">
        <f t="shared" si="508"/>
        <v>0</v>
      </c>
      <c r="Q472" s="202"/>
      <c r="R472" s="203"/>
      <c r="S472" s="202"/>
      <c r="T472" s="34">
        <f t="shared" si="509"/>
        <v>0</v>
      </c>
      <c r="U472" s="31">
        <f t="shared" si="510"/>
        <v>0</v>
      </c>
      <c r="V472" s="34">
        <f t="shared" si="511"/>
        <v>0</v>
      </c>
      <c r="W472" s="43">
        <v>59800</v>
      </c>
      <c r="X472" s="34">
        <f t="shared" si="512"/>
        <v>21143.807999999997</v>
      </c>
      <c r="Y472" s="34">
        <f t="shared" si="513"/>
        <v>0</v>
      </c>
      <c r="Z472" s="34">
        <f t="shared" si="514"/>
        <v>0</v>
      </c>
      <c r="AA472" s="49"/>
      <c r="AB472" s="287"/>
      <c r="AC472" s="204">
        <f t="shared" si="522"/>
        <v>0</v>
      </c>
      <c r="AD472" s="149">
        <v>0.108</v>
      </c>
      <c r="AE472" s="31">
        <f t="shared" ref="AE472:AE473" si="524">4825*(P472+S472)</f>
        <v>0</v>
      </c>
      <c r="AF472" s="28" t="e">
        <f t="shared" si="516"/>
        <v>#DIV/0!</v>
      </c>
      <c r="AG472" s="34" t="e">
        <f t="shared" si="517"/>
        <v>#DIV/0!</v>
      </c>
      <c r="AH472" s="34" t="e">
        <f t="shared" si="518"/>
        <v>#DIV/0!</v>
      </c>
      <c r="AI472" s="34" t="e">
        <f t="shared" si="519"/>
        <v>#DIV/0!</v>
      </c>
      <c r="AJ472" s="46" t="e">
        <f t="shared" si="520"/>
        <v>#DIV/0!</v>
      </c>
      <c r="AK472" s="40">
        <v>85.5</v>
      </c>
      <c r="AL472" s="41">
        <f t="shared" si="521"/>
        <v>110.124</v>
      </c>
      <c r="AM472" s="202"/>
      <c r="AN472" s="205"/>
      <c r="AO472" s="26"/>
      <c r="AP472" s="26"/>
      <c r="AQ472" s="27"/>
      <c r="AR472" s="27"/>
      <c r="AS472" s="27"/>
      <c r="AT472" s="27"/>
      <c r="AU472" s="27"/>
      <c r="AV472" s="27"/>
      <c r="AW472" s="26"/>
      <c r="AX472" s="26"/>
      <c r="AY472" s="26"/>
      <c r="AZ472" s="26"/>
      <c r="BA472" s="26"/>
      <c r="BB472" s="26"/>
      <c r="BC472" s="26"/>
      <c r="BD472" s="26"/>
      <c r="BE472" s="26"/>
      <c r="BF472" s="26"/>
      <c r="BG472" s="26"/>
      <c r="BH472" s="26"/>
      <c r="BI472" s="26"/>
    </row>
    <row r="473" spans="1:61" ht="28.5" customHeight="1">
      <c r="A473" s="26"/>
      <c r="B473" s="333"/>
      <c r="C473" s="42" t="s">
        <v>33</v>
      </c>
      <c r="D473" s="28" t="e">
        <f t="shared" si="505"/>
        <v>#DIV/0!</v>
      </c>
      <c r="E473" s="166">
        <v>0.40799999999999997</v>
      </c>
      <c r="F473" s="30" t="e">
        <f t="shared" si="506"/>
        <v>#DIV/0!</v>
      </c>
      <c r="G473" s="30" t="e">
        <f t="shared" si="507"/>
        <v>#DIV/0!</v>
      </c>
      <c r="H473" s="35">
        <v>0</v>
      </c>
      <c r="I473" s="48"/>
      <c r="J473" s="48"/>
      <c r="K473" s="35"/>
      <c r="L473" s="310"/>
      <c r="M473" s="48"/>
      <c r="N473" s="202"/>
      <c r="O473" s="202"/>
      <c r="P473" s="31">
        <f t="shared" si="508"/>
        <v>0</v>
      </c>
      <c r="Q473" s="202"/>
      <c r="R473" s="203"/>
      <c r="S473" s="36"/>
      <c r="T473" s="34">
        <f t="shared" si="509"/>
        <v>0</v>
      </c>
      <c r="U473" s="31">
        <f t="shared" si="510"/>
        <v>0</v>
      </c>
      <c r="V473" s="34">
        <f t="shared" si="511"/>
        <v>0</v>
      </c>
      <c r="W473" s="43">
        <v>69790</v>
      </c>
      <c r="X473" s="34">
        <f t="shared" si="512"/>
        <v>26337.023999999998</v>
      </c>
      <c r="Y473" s="34">
        <f t="shared" si="513"/>
        <v>0</v>
      </c>
      <c r="Z473" s="34">
        <f t="shared" si="514"/>
        <v>0</v>
      </c>
      <c r="AA473" s="49"/>
      <c r="AB473" s="36"/>
      <c r="AC473" s="204">
        <f t="shared" si="522"/>
        <v>0</v>
      </c>
      <c r="AD473" s="149">
        <v>0.108</v>
      </c>
      <c r="AE473" s="31">
        <f t="shared" si="524"/>
        <v>0</v>
      </c>
      <c r="AF473" s="28" t="e">
        <f t="shared" si="516"/>
        <v>#DIV/0!</v>
      </c>
      <c r="AG473" s="34" t="e">
        <f t="shared" si="517"/>
        <v>#DIV/0!</v>
      </c>
      <c r="AH473" s="34" t="e">
        <f t="shared" si="518"/>
        <v>#DIV/0!</v>
      </c>
      <c r="AI473" s="34" t="e">
        <f t="shared" si="519"/>
        <v>#DIV/0!</v>
      </c>
      <c r="AJ473" s="46" t="e">
        <f t="shared" si="520"/>
        <v>#DIV/0!</v>
      </c>
      <c r="AK473" s="40">
        <v>106.5</v>
      </c>
      <c r="AL473" s="41">
        <f t="shared" si="521"/>
        <v>137.172</v>
      </c>
      <c r="AM473" s="202"/>
      <c r="AN473" s="205"/>
      <c r="AO473" s="26"/>
      <c r="AP473" s="26"/>
      <c r="AQ473" s="27"/>
      <c r="AR473" s="27"/>
      <c r="AS473" s="27"/>
      <c r="AT473" s="27"/>
      <c r="AU473" s="27"/>
      <c r="AV473" s="27"/>
      <c r="AW473" s="26"/>
      <c r="AX473" s="26"/>
      <c r="AY473" s="26"/>
      <c r="AZ473" s="26"/>
      <c r="BA473" s="26"/>
      <c r="BB473" s="26"/>
      <c r="BC473" s="26"/>
      <c r="BD473" s="26"/>
      <c r="BE473" s="26"/>
      <c r="BF473" s="26"/>
      <c r="BG473" s="26"/>
      <c r="BH473" s="26"/>
      <c r="BI473" s="26"/>
    </row>
    <row r="474" spans="1:61" ht="28.5" customHeight="1">
      <c r="A474" s="26"/>
      <c r="B474" s="333"/>
      <c r="C474" s="42" t="s">
        <v>149</v>
      </c>
      <c r="D474" s="28" t="e">
        <f t="shared" si="505"/>
        <v>#DIV/0!</v>
      </c>
      <c r="E474" s="166">
        <v>0.39600000000000002</v>
      </c>
      <c r="F474" s="30" t="e">
        <f t="shared" si="506"/>
        <v>#DIV/0!</v>
      </c>
      <c r="G474" s="30" t="e">
        <f t="shared" si="507"/>
        <v>#DIV/0!</v>
      </c>
      <c r="H474" s="35">
        <v>700</v>
      </c>
      <c r="I474" s="48"/>
      <c r="J474" s="48"/>
      <c r="K474" s="35"/>
      <c r="L474" s="312">
        <v>240</v>
      </c>
      <c r="M474" s="48"/>
      <c r="N474" s="202"/>
      <c r="O474" s="202"/>
      <c r="P474" s="31">
        <f t="shared" si="508"/>
        <v>0</v>
      </c>
      <c r="Q474" s="202"/>
      <c r="R474" s="203"/>
      <c r="S474" s="36"/>
      <c r="T474" s="34">
        <f t="shared" si="509"/>
        <v>0</v>
      </c>
      <c r="U474" s="31">
        <f t="shared" si="510"/>
        <v>0</v>
      </c>
      <c r="V474" s="34">
        <f t="shared" si="511"/>
        <v>0</v>
      </c>
      <c r="W474" s="43">
        <v>96690</v>
      </c>
      <c r="X474" s="34">
        <f t="shared" si="512"/>
        <v>36723.455999999998</v>
      </c>
      <c r="Y474" s="34">
        <f t="shared" si="513"/>
        <v>0</v>
      </c>
      <c r="Z474" s="34">
        <f t="shared" si="514"/>
        <v>0</v>
      </c>
      <c r="AA474" s="49"/>
      <c r="AB474" s="36"/>
      <c r="AC474" s="204">
        <f t="shared" si="522"/>
        <v>0</v>
      </c>
      <c r="AD474" s="149">
        <v>0.108</v>
      </c>
      <c r="AE474" s="31">
        <f t="shared" ref="AE474:AE475" si="525">6200*(P474+S474)</f>
        <v>0</v>
      </c>
      <c r="AF474" s="28" t="e">
        <f t="shared" si="516"/>
        <v>#DIV/0!</v>
      </c>
      <c r="AG474" s="34" t="e">
        <f t="shared" si="517"/>
        <v>#DIV/0!</v>
      </c>
      <c r="AH474" s="34" t="e">
        <f t="shared" si="518"/>
        <v>#DIV/0!</v>
      </c>
      <c r="AI474" s="34" t="e">
        <f t="shared" si="519"/>
        <v>#DIV/0!</v>
      </c>
      <c r="AJ474" s="206" t="e">
        <f t="shared" si="520"/>
        <v>#DIV/0!</v>
      </c>
      <c r="AK474" s="40">
        <v>148.5</v>
      </c>
      <c r="AL474" s="41">
        <f t="shared" si="521"/>
        <v>191.268</v>
      </c>
      <c r="AM474" s="202"/>
      <c r="AN474" s="205"/>
      <c r="AO474" s="26"/>
      <c r="AP474" s="26"/>
      <c r="AQ474" s="27"/>
      <c r="AR474" s="27"/>
      <c r="AS474" s="27"/>
      <c r="AT474" s="27"/>
      <c r="AU474" s="27"/>
      <c r="AV474" s="27"/>
      <c r="AW474" s="26"/>
      <c r="AX474" s="26"/>
      <c r="AY474" s="26"/>
      <c r="AZ474" s="26"/>
      <c r="BA474" s="26"/>
      <c r="BB474" s="26"/>
      <c r="BC474" s="26"/>
      <c r="BD474" s="26"/>
      <c r="BE474" s="26"/>
      <c r="BF474" s="26"/>
      <c r="BG474" s="26"/>
      <c r="BH474" s="26"/>
      <c r="BI474" s="26"/>
    </row>
    <row r="475" spans="1:61" ht="28.5" customHeight="1">
      <c r="A475" s="26"/>
      <c r="B475" s="324"/>
      <c r="C475" s="42" t="s">
        <v>150</v>
      </c>
      <c r="D475" s="28" t="e">
        <f t="shared" si="505"/>
        <v>#DIV/0!</v>
      </c>
      <c r="E475" s="166">
        <v>0.39</v>
      </c>
      <c r="F475" s="30" t="e">
        <f t="shared" si="506"/>
        <v>#DIV/0!</v>
      </c>
      <c r="G475" s="30" t="e">
        <f t="shared" si="507"/>
        <v>#DIV/0!</v>
      </c>
      <c r="H475" s="35">
        <v>0</v>
      </c>
      <c r="I475" s="283"/>
      <c r="J475" s="48"/>
      <c r="K475" s="35"/>
      <c r="L475" s="310"/>
      <c r="M475" s="48"/>
      <c r="N475" s="202"/>
      <c r="O475" s="202"/>
      <c r="P475" s="31">
        <f t="shared" si="508"/>
        <v>0</v>
      </c>
      <c r="Q475" s="202"/>
      <c r="R475" s="203"/>
      <c r="S475" s="36"/>
      <c r="T475" s="34">
        <f t="shared" si="509"/>
        <v>0</v>
      </c>
      <c r="U475" s="31">
        <f t="shared" si="510"/>
        <v>0</v>
      </c>
      <c r="V475" s="34">
        <f t="shared" si="511"/>
        <v>0</v>
      </c>
      <c r="W475" s="43">
        <v>106900</v>
      </c>
      <c r="X475" s="34">
        <f t="shared" si="512"/>
        <v>41916.671999999999</v>
      </c>
      <c r="Y475" s="34">
        <f t="shared" si="513"/>
        <v>0</v>
      </c>
      <c r="Z475" s="34">
        <f t="shared" si="514"/>
        <v>0</v>
      </c>
      <c r="AA475" s="49"/>
      <c r="AB475" s="36"/>
      <c r="AC475" s="204">
        <f t="shared" si="522"/>
        <v>0</v>
      </c>
      <c r="AD475" s="149">
        <v>0.108</v>
      </c>
      <c r="AE475" s="31">
        <f t="shared" si="525"/>
        <v>0</v>
      </c>
      <c r="AF475" s="28" t="e">
        <f t="shared" si="516"/>
        <v>#DIV/0!</v>
      </c>
      <c r="AG475" s="34" t="e">
        <f t="shared" si="517"/>
        <v>#DIV/0!</v>
      </c>
      <c r="AH475" s="34" t="e">
        <f t="shared" si="518"/>
        <v>#DIV/0!</v>
      </c>
      <c r="AI475" s="34" t="e">
        <f t="shared" si="519"/>
        <v>#DIV/0!</v>
      </c>
      <c r="AJ475" s="46" t="e">
        <f t="shared" si="520"/>
        <v>#DIV/0!</v>
      </c>
      <c r="AK475" s="40">
        <v>169.5</v>
      </c>
      <c r="AL475" s="41">
        <f t="shared" si="521"/>
        <v>218.316</v>
      </c>
      <c r="AM475" s="202"/>
      <c r="AN475" s="205"/>
      <c r="AO475" s="26"/>
      <c r="AP475" s="26"/>
      <c r="AQ475" s="27"/>
      <c r="AR475" s="27"/>
      <c r="AS475" s="27"/>
      <c r="AT475" s="27"/>
      <c r="AU475" s="27"/>
      <c r="AV475" s="27"/>
      <c r="AW475" s="26"/>
      <c r="AX475" s="26"/>
      <c r="AY475" s="26"/>
      <c r="AZ475" s="26"/>
      <c r="BA475" s="26"/>
      <c r="BB475" s="26"/>
      <c r="BC475" s="26"/>
      <c r="BD475" s="26"/>
      <c r="BE475" s="26"/>
      <c r="BF475" s="26"/>
      <c r="BG475" s="26"/>
      <c r="BH475" s="26"/>
      <c r="BI475" s="26"/>
    </row>
    <row r="476" spans="1:61" ht="28.5" customHeight="1">
      <c r="A476" s="26"/>
      <c r="B476" s="200"/>
      <c r="C476" s="42" t="s">
        <v>111</v>
      </c>
      <c r="D476" s="28" t="e">
        <f t="shared" si="505"/>
        <v>#DIV/0!</v>
      </c>
      <c r="E476" s="166">
        <v>0.41299999999999998</v>
      </c>
      <c r="F476" s="30" t="e">
        <f t="shared" si="506"/>
        <v>#DIV/0!</v>
      </c>
      <c r="G476" s="30" t="e">
        <f t="shared" si="507"/>
        <v>#DIV/0!</v>
      </c>
      <c r="H476" s="35">
        <v>1000</v>
      </c>
      <c r="I476" s="48"/>
      <c r="J476" s="48"/>
      <c r="K476" s="38"/>
      <c r="L476" s="38">
        <v>546</v>
      </c>
      <c r="M476" s="210"/>
      <c r="N476" s="202"/>
      <c r="O476" s="202"/>
      <c r="P476" s="31">
        <f t="shared" si="508"/>
        <v>0</v>
      </c>
      <c r="Q476" s="36"/>
      <c r="R476" s="203"/>
      <c r="S476" s="202"/>
      <c r="T476" s="34">
        <f t="shared" si="509"/>
        <v>0</v>
      </c>
      <c r="U476" s="31">
        <f t="shared" si="510"/>
        <v>0</v>
      </c>
      <c r="V476" s="34">
        <f t="shared" si="511"/>
        <v>0</v>
      </c>
      <c r="W476" s="43">
        <v>16980</v>
      </c>
      <c r="X476" s="34">
        <f t="shared" si="512"/>
        <v>5687.8080000000009</v>
      </c>
      <c r="Y476" s="34">
        <f t="shared" si="513"/>
        <v>0</v>
      </c>
      <c r="Z476" s="34">
        <f t="shared" si="514"/>
        <v>0</v>
      </c>
      <c r="AA476" s="49"/>
      <c r="AB476" s="287"/>
      <c r="AC476" s="204">
        <f t="shared" si="522"/>
        <v>0</v>
      </c>
      <c r="AD476" s="149">
        <v>7.8E-2</v>
      </c>
      <c r="AE476" s="31">
        <f>2900*(P476+S476)</f>
        <v>0</v>
      </c>
      <c r="AF476" s="28" t="e">
        <f t="shared" si="516"/>
        <v>#DIV/0!</v>
      </c>
      <c r="AG476" s="34" t="e">
        <f t="shared" si="517"/>
        <v>#DIV/0!</v>
      </c>
      <c r="AH476" s="34" t="e">
        <f t="shared" si="518"/>
        <v>#DIV/0!</v>
      </c>
      <c r="AI476" s="34" t="e">
        <f t="shared" si="519"/>
        <v>#DIV/0!</v>
      </c>
      <c r="AJ476" s="46" t="e">
        <f t="shared" si="520"/>
        <v>#DIV/0!</v>
      </c>
      <c r="AK476" s="40">
        <v>23</v>
      </c>
      <c r="AL476" s="41">
        <f t="shared" si="521"/>
        <v>29.624000000000002</v>
      </c>
      <c r="AM476" s="202"/>
      <c r="AN476" s="205"/>
      <c r="AO476" s="26"/>
      <c r="AP476" s="26"/>
      <c r="AQ476" s="27"/>
      <c r="AR476" s="27"/>
      <c r="AS476" s="27"/>
      <c r="AT476" s="27"/>
      <c r="AU476" s="27"/>
      <c r="AV476" s="27"/>
      <c r="AW476" s="26"/>
      <c r="AX476" s="26"/>
      <c r="AY476" s="26"/>
      <c r="AZ476" s="26"/>
      <c r="BA476" s="26"/>
      <c r="BB476" s="26"/>
      <c r="BC476" s="26"/>
      <c r="BD476" s="26"/>
      <c r="BE476" s="26"/>
      <c r="BF476" s="26"/>
      <c r="BG476" s="26"/>
      <c r="BH476" s="26"/>
      <c r="BI476" s="26"/>
    </row>
    <row r="477" spans="1:61" ht="28.5" customHeight="1">
      <c r="A477" s="26"/>
      <c r="B477" s="207"/>
      <c r="C477" s="42" t="s">
        <v>151</v>
      </c>
      <c r="D477" s="28" t="e">
        <f t="shared" si="505"/>
        <v>#DIV/0!</v>
      </c>
      <c r="E477" s="303">
        <v>0.27600000000000002</v>
      </c>
      <c r="F477" s="30" t="e">
        <f t="shared" si="506"/>
        <v>#DIV/0!</v>
      </c>
      <c r="G477" s="30" t="e">
        <f t="shared" si="507"/>
        <v>#DIV/0!</v>
      </c>
      <c r="H477" s="35">
        <v>0</v>
      </c>
      <c r="I477" s="48"/>
      <c r="J477" s="48"/>
      <c r="K477" s="38"/>
      <c r="L477" s="309">
        <v>2910</v>
      </c>
      <c r="M477" s="210"/>
      <c r="N477" s="202"/>
      <c r="O477" s="202"/>
      <c r="P477" s="31">
        <f t="shared" si="508"/>
        <v>0</v>
      </c>
      <c r="Q477" s="36"/>
      <c r="R477" s="203"/>
      <c r="S477" s="36"/>
      <c r="T477" s="34">
        <f t="shared" si="509"/>
        <v>0</v>
      </c>
      <c r="U477" s="31">
        <f t="shared" si="510"/>
        <v>0</v>
      </c>
      <c r="V477" s="34">
        <f t="shared" si="511"/>
        <v>0</v>
      </c>
      <c r="W477" s="43">
        <v>9280</v>
      </c>
      <c r="X477" s="34">
        <f t="shared" si="512"/>
        <v>3462.1440000000002</v>
      </c>
      <c r="Y477" s="34">
        <f t="shared" si="513"/>
        <v>0</v>
      </c>
      <c r="Z477" s="34">
        <f t="shared" si="514"/>
        <v>0</v>
      </c>
      <c r="AA477" s="49"/>
      <c r="AB477" s="209"/>
      <c r="AC477" s="204">
        <f t="shared" si="522"/>
        <v>0</v>
      </c>
      <c r="AD477" s="149">
        <v>0.1</v>
      </c>
      <c r="AE477" s="31">
        <f t="shared" ref="AE477:AE478" si="526">1900*(P477+S477)</f>
        <v>0</v>
      </c>
      <c r="AF477" s="28" t="e">
        <f t="shared" si="516"/>
        <v>#DIV/0!</v>
      </c>
      <c r="AG477" s="34" t="e">
        <f t="shared" si="517"/>
        <v>#DIV/0!</v>
      </c>
      <c r="AH477" s="34" t="e">
        <f t="shared" si="518"/>
        <v>#DIV/0!</v>
      </c>
      <c r="AI477" s="34" t="e">
        <f t="shared" si="519"/>
        <v>#DIV/0!</v>
      </c>
      <c r="AJ477" s="206" t="e">
        <f t="shared" si="520"/>
        <v>#DIV/0!</v>
      </c>
      <c r="AK477" s="40">
        <v>14</v>
      </c>
      <c r="AL477" s="41">
        <f t="shared" si="521"/>
        <v>18.032</v>
      </c>
      <c r="AM477" s="202"/>
      <c r="AN477" s="205"/>
      <c r="AO477" s="26"/>
      <c r="AP477" s="26"/>
      <c r="AQ477" s="27"/>
      <c r="AR477" s="27"/>
      <c r="AS477" s="27"/>
      <c r="AT477" s="27"/>
      <c r="AU477" s="27"/>
      <c r="AV477" s="27"/>
      <c r="AW477" s="26"/>
      <c r="AX477" s="26"/>
      <c r="AY477" s="26"/>
      <c r="AZ477" s="26"/>
      <c r="BA477" s="26"/>
      <c r="BB477" s="26"/>
      <c r="BC477" s="26"/>
      <c r="BD477" s="26"/>
      <c r="BE477" s="26"/>
      <c r="BF477" s="26"/>
      <c r="BG477" s="26"/>
      <c r="BH477" s="26"/>
      <c r="BI477" s="26"/>
    </row>
    <row r="478" spans="1:61" ht="28.5" customHeight="1">
      <c r="A478" s="26"/>
      <c r="B478" s="212"/>
      <c r="C478" s="42" t="s">
        <v>152</v>
      </c>
      <c r="D478" s="28" t="e">
        <f t="shared" si="505"/>
        <v>#DIV/0!</v>
      </c>
      <c r="E478" s="303">
        <v>0.39700000000000002</v>
      </c>
      <c r="F478" s="30" t="e">
        <f t="shared" si="506"/>
        <v>#DIV/0!</v>
      </c>
      <c r="G478" s="30" t="e">
        <f t="shared" si="507"/>
        <v>#DIV/0!</v>
      </c>
      <c r="H478" s="35">
        <v>0</v>
      </c>
      <c r="I478" s="48"/>
      <c r="J478" s="48"/>
      <c r="K478" s="38"/>
      <c r="L478" s="310"/>
      <c r="M478" s="210"/>
      <c r="N478" s="202"/>
      <c r="O478" s="202"/>
      <c r="P478" s="31">
        <f t="shared" si="508"/>
        <v>0</v>
      </c>
      <c r="Q478" s="36"/>
      <c r="R478" s="203"/>
      <c r="S478" s="36"/>
      <c r="T478" s="34">
        <f t="shared" si="509"/>
        <v>0</v>
      </c>
      <c r="U478" s="31">
        <f t="shared" si="510"/>
        <v>0</v>
      </c>
      <c r="V478" s="34">
        <f t="shared" si="511"/>
        <v>0</v>
      </c>
      <c r="W478" s="43">
        <v>18650</v>
      </c>
      <c r="X478" s="34">
        <f t="shared" si="512"/>
        <v>6924.2880000000005</v>
      </c>
      <c r="Y478" s="34">
        <f t="shared" si="513"/>
        <v>0</v>
      </c>
      <c r="Z478" s="34">
        <f t="shared" si="514"/>
        <v>0</v>
      </c>
      <c r="AA478" s="49"/>
      <c r="AB478" s="36"/>
      <c r="AC478" s="204">
        <f t="shared" si="522"/>
        <v>0</v>
      </c>
      <c r="AD478" s="149">
        <v>0.1</v>
      </c>
      <c r="AE478" s="31">
        <f t="shared" si="526"/>
        <v>0</v>
      </c>
      <c r="AF478" s="28" t="e">
        <f t="shared" si="516"/>
        <v>#DIV/0!</v>
      </c>
      <c r="AG478" s="34" t="e">
        <f t="shared" si="517"/>
        <v>#DIV/0!</v>
      </c>
      <c r="AH478" s="34" t="e">
        <f t="shared" si="518"/>
        <v>#DIV/0!</v>
      </c>
      <c r="AI478" s="34" t="e">
        <f t="shared" si="519"/>
        <v>#DIV/0!</v>
      </c>
      <c r="AJ478" s="206" t="e">
        <f t="shared" si="520"/>
        <v>#DIV/0!</v>
      </c>
      <c r="AK478" s="40">
        <v>28</v>
      </c>
      <c r="AL478" s="41">
        <f t="shared" si="521"/>
        <v>36.064</v>
      </c>
      <c r="AM478" s="202"/>
      <c r="AN478" s="205"/>
      <c r="AO478" s="26"/>
      <c r="AP478" s="26"/>
      <c r="AQ478" s="27"/>
      <c r="AR478" s="27"/>
      <c r="AS478" s="27"/>
      <c r="AT478" s="27"/>
      <c r="AU478" s="27"/>
      <c r="AV478" s="27"/>
      <c r="AW478" s="26"/>
      <c r="AX478" s="26"/>
      <c r="AY478" s="26"/>
      <c r="AZ478" s="26"/>
      <c r="BA478" s="26"/>
      <c r="BB478" s="26"/>
      <c r="BC478" s="26"/>
      <c r="BD478" s="26"/>
      <c r="BE478" s="26"/>
      <c r="BF478" s="26"/>
      <c r="BG478" s="26"/>
      <c r="BH478" s="26"/>
      <c r="BI478" s="26"/>
    </row>
    <row r="479" spans="1:61" ht="28.5" customHeight="1">
      <c r="A479" s="26"/>
      <c r="B479" s="323"/>
      <c r="C479" s="42" t="s">
        <v>112</v>
      </c>
      <c r="D479" s="28" t="e">
        <f t="shared" si="505"/>
        <v>#DIV/0!</v>
      </c>
      <c r="E479" s="166">
        <v>0.40300000000000002</v>
      </c>
      <c r="F479" s="30" t="e">
        <f t="shared" si="506"/>
        <v>#DIV/0!</v>
      </c>
      <c r="G479" s="30" t="e">
        <f t="shared" si="507"/>
        <v>#DIV/0!</v>
      </c>
      <c r="H479" s="312">
        <v>0</v>
      </c>
      <c r="I479" s="48"/>
      <c r="J479" s="48"/>
      <c r="K479" s="38"/>
      <c r="L479" s="309">
        <v>1074</v>
      </c>
      <c r="M479" s="210"/>
      <c r="N479" s="202"/>
      <c r="O479" s="202"/>
      <c r="P479" s="31">
        <f t="shared" si="508"/>
        <v>0</v>
      </c>
      <c r="Q479" s="36"/>
      <c r="R479" s="203"/>
      <c r="S479" s="36"/>
      <c r="T479" s="34">
        <f t="shared" si="509"/>
        <v>0</v>
      </c>
      <c r="U479" s="31">
        <f t="shared" si="510"/>
        <v>0</v>
      </c>
      <c r="V479" s="34">
        <f t="shared" si="511"/>
        <v>0</v>
      </c>
      <c r="W479" s="43">
        <v>38300</v>
      </c>
      <c r="X479" s="34">
        <f t="shared" si="512"/>
        <v>15085.056</v>
      </c>
      <c r="Y479" s="34">
        <f t="shared" si="513"/>
        <v>0</v>
      </c>
      <c r="Z479" s="34">
        <f t="shared" si="514"/>
        <v>0</v>
      </c>
      <c r="AA479" s="49"/>
      <c r="AB479" s="36"/>
      <c r="AC479" s="204">
        <f t="shared" si="522"/>
        <v>0</v>
      </c>
      <c r="AD479" s="149">
        <v>0.08</v>
      </c>
      <c r="AE479" s="31">
        <f t="shared" ref="AE479:AE480" si="527">4150*(P479+S479)</f>
        <v>0</v>
      </c>
      <c r="AF479" s="28" t="e">
        <f t="shared" si="516"/>
        <v>#DIV/0!</v>
      </c>
      <c r="AG479" s="34" t="e">
        <f t="shared" si="517"/>
        <v>#DIV/0!</v>
      </c>
      <c r="AH479" s="34" t="e">
        <f t="shared" si="518"/>
        <v>#DIV/0!</v>
      </c>
      <c r="AI479" s="34" t="e">
        <f t="shared" si="519"/>
        <v>#DIV/0!</v>
      </c>
      <c r="AJ479" s="46" t="e">
        <f t="shared" si="520"/>
        <v>#DIV/0!</v>
      </c>
      <c r="AK479" s="40">
        <v>61</v>
      </c>
      <c r="AL479" s="41">
        <f t="shared" si="521"/>
        <v>78.567999999999998</v>
      </c>
      <c r="AM479" s="202"/>
      <c r="AN479" s="205"/>
      <c r="AO479" s="26"/>
      <c r="AP479" s="26"/>
      <c r="AQ479" s="27"/>
      <c r="AR479" s="27"/>
      <c r="AS479" s="27"/>
      <c r="AT479" s="27"/>
      <c r="AU479" s="27"/>
      <c r="AV479" s="27"/>
      <c r="AW479" s="26"/>
      <c r="AX479" s="26"/>
      <c r="AY479" s="26"/>
      <c r="AZ479" s="26"/>
      <c r="BA479" s="26"/>
      <c r="BB479" s="26"/>
      <c r="BC479" s="26"/>
      <c r="BD479" s="26"/>
      <c r="BE479" s="26"/>
      <c r="BF479" s="26"/>
      <c r="BG479" s="26"/>
      <c r="BH479" s="26"/>
      <c r="BI479" s="26"/>
    </row>
    <row r="480" spans="1:61" ht="28.5" customHeight="1">
      <c r="A480" s="26"/>
      <c r="B480" s="324"/>
      <c r="C480" s="42" t="s">
        <v>113</v>
      </c>
      <c r="D480" s="28" t="e">
        <f t="shared" si="505"/>
        <v>#DIV/0!</v>
      </c>
      <c r="E480" s="166">
        <v>0.36099999999999999</v>
      </c>
      <c r="F480" s="30" t="e">
        <f t="shared" si="506"/>
        <v>#DIV/0!</v>
      </c>
      <c r="G480" s="30" t="e">
        <f t="shared" si="507"/>
        <v>#DIV/0!</v>
      </c>
      <c r="H480" s="310"/>
      <c r="I480" s="48"/>
      <c r="J480" s="48"/>
      <c r="K480" s="38"/>
      <c r="L480" s="310"/>
      <c r="M480" s="210"/>
      <c r="N480" s="202"/>
      <c r="O480" s="202"/>
      <c r="P480" s="31">
        <f t="shared" si="508"/>
        <v>0</v>
      </c>
      <c r="Q480" s="36"/>
      <c r="R480" s="203"/>
      <c r="S480" s="36"/>
      <c r="T480" s="34">
        <f t="shared" si="509"/>
        <v>0</v>
      </c>
      <c r="U480" s="31">
        <f t="shared" si="510"/>
        <v>0</v>
      </c>
      <c r="V480" s="34">
        <f t="shared" si="511"/>
        <v>0</v>
      </c>
      <c r="W480" s="43">
        <v>42900</v>
      </c>
      <c r="X480" s="34">
        <f t="shared" si="512"/>
        <v>20278.272000000004</v>
      </c>
      <c r="Y480" s="34">
        <f t="shared" si="513"/>
        <v>0</v>
      </c>
      <c r="Z480" s="34">
        <f t="shared" si="514"/>
        <v>0</v>
      </c>
      <c r="AA480" s="49"/>
      <c r="AB480" s="209"/>
      <c r="AC480" s="204">
        <f t="shared" si="522"/>
        <v>0</v>
      </c>
      <c r="AD480" s="149">
        <v>7.8E-2</v>
      </c>
      <c r="AE480" s="31">
        <f t="shared" si="527"/>
        <v>0</v>
      </c>
      <c r="AF480" s="28" t="e">
        <f t="shared" si="516"/>
        <v>#DIV/0!</v>
      </c>
      <c r="AG480" s="34" t="e">
        <f t="shared" si="517"/>
        <v>#DIV/0!</v>
      </c>
      <c r="AH480" s="34" t="e">
        <f t="shared" si="518"/>
        <v>#DIV/0!</v>
      </c>
      <c r="AI480" s="34" t="e">
        <f t="shared" si="519"/>
        <v>#DIV/0!</v>
      </c>
      <c r="AJ480" s="206" t="e">
        <f t="shared" si="520"/>
        <v>#DIV/0!</v>
      </c>
      <c r="AK480" s="40">
        <v>82</v>
      </c>
      <c r="AL480" s="41">
        <f t="shared" si="521"/>
        <v>105.61600000000001</v>
      </c>
      <c r="AM480" s="202"/>
      <c r="AN480" s="205"/>
      <c r="AO480" s="26"/>
      <c r="AP480" s="26"/>
      <c r="AQ480" s="27"/>
      <c r="AR480" s="27"/>
      <c r="AS480" s="27"/>
      <c r="AT480" s="27"/>
      <c r="AU480" s="27"/>
      <c r="AV480" s="27"/>
      <c r="AW480" s="26"/>
      <c r="AX480" s="26"/>
      <c r="AY480" s="26"/>
      <c r="AZ480" s="26"/>
      <c r="BA480" s="26"/>
      <c r="BB480" s="26"/>
      <c r="BC480" s="26"/>
      <c r="BD480" s="26"/>
      <c r="BE480" s="26"/>
      <c r="BF480" s="26"/>
      <c r="BG480" s="26"/>
      <c r="BH480" s="26"/>
      <c r="BI480" s="26"/>
    </row>
    <row r="481" spans="1:61" ht="28.5" customHeight="1">
      <c r="A481" s="26"/>
      <c r="B481" s="200"/>
      <c r="C481" s="42" t="s">
        <v>154</v>
      </c>
      <c r="D481" s="28" t="e">
        <f t="shared" si="505"/>
        <v>#DIV/0!</v>
      </c>
      <c r="E481" s="303">
        <v>0.41299999999999998</v>
      </c>
      <c r="F481" s="30" t="e">
        <f t="shared" si="506"/>
        <v>#DIV/0!</v>
      </c>
      <c r="G481" s="30" t="e">
        <f t="shared" si="507"/>
        <v>#DIV/0!</v>
      </c>
      <c r="H481" s="35">
        <v>20000</v>
      </c>
      <c r="I481" s="48"/>
      <c r="J481" s="48"/>
      <c r="K481" s="38"/>
      <c r="L481" s="38">
        <v>39870</v>
      </c>
      <c r="M481" s="210"/>
      <c r="N481" s="202"/>
      <c r="O481" s="202"/>
      <c r="P481" s="31">
        <f t="shared" si="508"/>
        <v>0</v>
      </c>
      <c r="Q481" s="202"/>
      <c r="R481" s="203"/>
      <c r="S481" s="202"/>
      <c r="T481" s="34">
        <f t="shared" si="509"/>
        <v>0</v>
      </c>
      <c r="U481" s="31">
        <f t="shared" si="510"/>
        <v>0</v>
      </c>
      <c r="V481" s="34">
        <f t="shared" si="511"/>
        <v>0</v>
      </c>
      <c r="W481" s="43">
        <v>11800</v>
      </c>
      <c r="X481" s="34">
        <f t="shared" si="512"/>
        <v>4006.1952000000001</v>
      </c>
      <c r="Y481" s="34">
        <f t="shared" si="513"/>
        <v>0</v>
      </c>
      <c r="Z481" s="34">
        <f t="shared" si="514"/>
        <v>0</v>
      </c>
      <c r="AA481" s="49"/>
      <c r="AB481" s="287"/>
      <c r="AC481" s="204">
        <f t="shared" si="522"/>
        <v>0</v>
      </c>
      <c r="AD481" s="149">
        <v>0.108</v>
      </c>
      <c r="AE481" s="31">
        <f>1900*(P481+S481)</f>
        <v>0</v>
      </c>
      <c r="AF481" s="28" t="e">
        <f t="shared" si="516"/>
        <v>#DIV/0!</v>
      </c>
      <c r="AG481" s="34" t="e">
        <f t="shared" si="517"/>
        <v>#DIV/0!</v>
      </c>
      <c r="AH481" s="34" t="e">
        <f t="shared" si="518"/>
        <v>#DIV/0!</v>
      </c>
      <c r="AI481" s="34" t="e">
        <f t="shared" si="519"/>
        <v>#DIV/0!</v>
      </c>
      <c r="AJ481" s="206" t="e">
        <f t="shared" si="520"/>
        <v>#DIV/0!</v>
      </c>
      <c r="AK481" s="40">
        <v>16.2</v>
      </c>
      <c r="AL481" s="41">
        <f t="shared" si="521"/>
        <v>20.865600000000001</v>
      </c>
      <c r="AM481" s="202"/>
      <c r="AN481" s="205"/>
      <c r="AO481" s="26"/>
      <c r="AP481" s="26"/>
      <c r="AQ481" s="27"/>
      <c r="AR481" s="27"/>
      <c r="AS481" s="27"/>
      <c r="AT481" s="27"/>
      <c r="AU481" s="27"/>
      <c r="AV481" s="27"/>
      <c r="AW481" s="26"/>
      <c r="AX481" s="26"/>
      <c r="AY481" s="26"/>
      <c r="AZ481" s="26"/>
      <c r="BA481" s="26"/>
      <c r="BB481" s="26"/>
      <c r="BC481" s="26"/>
      <c r="BD481" s="26"/>
      <c r="BE481" s="26"/>
      <c r="BF481" s="26"/>
      <c r="BG481" s="26"/>
      <c r="BH481" s="26"/>
      <c r="BI481" s="26"/>
    </row>
    <row r="482" spans="1:61" ht="28.5" customHeight="1">
      <c r="A482" s="26"/>
      <c r="B482" s="200"/>
      <c r="C482" s="42" t="s">
        <v>114</v>
      </c>
      <c r="D482" s="28" t="e">
        <f t="shared" si="505"/>
        <v>#DIV/0!</v>
      </c>
      <c r="E482" s="166">
        <v>0.35599999999999998</v>
      </c>
      <c r="F482" s="30" t="e">
        <f t="shared" si="506"/>
        <v>#DIV/0!</v>
      </c>
      <c r="G482" s="30" t="e">
        <f t="shared" si="507"/>
        <v>#DIV/0!</v>
      </c>
      <c r="H482" s="35">
        <v>1750</v>
      </c>
      <c r="I482" s="48"/>
      <c r="J482" s="48"/>
      <c r="K482" s="38"/>
      <c r="L482" s="38">
        <v>1388</v>
      </c>
      <c r="M482" s="210"/>
      <c r="N482" s="202"/>
      <c r="O482" s="202"/>
      <c r="P482" s="31">
        <f t="shared" si="508"/>
        <v>0</v>
      </c>
      <c r="Q482" s="202"/>
      <c r="R482" s="203"/>
      <c r="S482" s="36"/>
      <c r="T482" s="34">
        <f t="shared" si="509"/>
        <v>0</v>
      </c>
      <c r="U482" s="31">
        <f t="shared" si="510"/>
        <v>0</v>
      </c>
      <c r="V482" s="34">
        <f t="shared" si="511"/>
        <v>0</v>
      </c>
      <c r="W482" s="43">
        <v>19000</v>
      </c>
      <c r="X482" s="34">
        <f t="shared" si="512"/>
        <v>7122.1247999999996</v>
      </c>
      <c r="Y482" s="34">
        <f t="shared" si="513"/>
        <v>0</v>
      </c>
      <c r="Z482" s="34">
        <f t="shared" si="514"/>
        <v>0</v>
      </c>
      <c r="AA482" s="49"/>
      <c r="AB482" s="209"/>
      <c r="AC482" s="204">
        <f t="shared" si="522"/>
        <v>0</v>
      </c>
      <c r="AD482" s="149">
        <v>0.08</v>
      </c>
      <c r="AE482" s="31">
        <f>3350*(P482+S482)</f>
        <v>0</v>
      </c>
      <c r="AF482" s="28" t="e">
        <f t="shared" si="516"/>
        <v>#DIV/0!</v>
      </c>
      <c r="AG482" s="34" t="e">
        <f t="shared" si="517"/>
        <v>#DIV/0!</v>
      </c>
      <c r="AH482" s="34" t="e">
        <f t="shared" si="518"/>
        <v>#DIV/0!</v>
      </c>
      <c r="AI482" s="34" t="e">
        <f t="shared" si="519"/>
        <v>#DIV/0!</v>
      </c>
      <c r="AJ482" s="46" t="e">
        <f t="shared" si="520"/>
        <v>#DIV/0!</v>
      </c>
      <c r="AK482" s="40">
        <v>28.8</v>
      </c>
      <c r="AL482" s="41">
        <f t="shared" si="521"/>
        <v>37.0944</v>
      </c>
      <c r="AM482" s="202"/>
      <c r="AN482" s="205"/>
      <c r="AO482" s="26"/>
      <c r="AP482" s="26"/>
      <c r="AQ482" s="27"/>
      <c r="AR482" s="27"/>
      <c r="AS482" s="27"/>
      <c r="AT482" s="27"/>
      <c r="AU482" s="27"/>
      <c r="AV482" s="27"/>
      <c r="AW482" s="26"/>
      <c r="AX482" s="26"/>
      <c r="AY482" s="26"/>
      <c r="AZ482" s="26"/>
      <c r="BA482" s="26"/>
      <c r="BB482" s="26"/>
      <c r="BC482" s="26"/>
      <c r="BD482" s="26"/>
      <c r="BE482" s="26"/>
      <c r="BF482" s="26"/>
      <c r="BG482" s="26"/>
      <c r="BH482" s="26"/>
      <c r="BI482" s="26"/>
    </row>
    <row r="483" spans="1:61" ht="28.5" customHeight="1">
      <c r="A483" s="26"/>
      <c r="B483" s="326"/>
      <c r="C483" s="42" t="s">
        <v>115</v>
      </c>
      <c r="D483" s="28" t="e">
        <f t="shared" si="505"/>
        <v>#DIV/0!</v>
      </c>
      <c r="E483" s="166">
        <v>0.45300000000000001</v>
      </c>
      <c r="F483" s="30" t="e">
        <f t="shared" si="506"/>
        <v>#DIV/0!</v>
      </c>
      <c r="G483" s="30" t="e">
        <f t="shared" si="507"/>
        <v>#DIV/0!</v>
      </c>
      <c r="H483" s="35">
        <v>0</v>
      </c>
      <c r="I483" s="48"/>
      <c r="J483" s="48"/>
      <c r="K483" s="38"/>
      <c r="L483" s="38">
        <v>876</v>
      </c>
      <c r="M483" s="210"/>
      <c r="N483" s="202"/>
      <c r="O483" s="202"/>
      <c r="P483" s="31">
        <f t="shared" si="508"/>
        <v>0</v>
      </c>
      <c r="Q483" s="202"/>
      <c r="R483" s="203"/>
      <c r="S483" s="36"/>
      <c r="T483" s="34">
        <f t="shared" si="509"/>
        <v>0</v>
      </c>
      <c r="U483" s="31">
        <f t="shared" si="510"/>
        <v>0</v>
      </c>
      <c r="V483" s="34">
        <f t="shared" si="511"/>
        <v>0</v>
      </c>
      <c r="W483" s="43">
        <v>54800</v>
      </c>
      <c r="X483" s="34">
        <f t="shared" si="512"/>
        <v>20030.976000000002</v>
      </c>
      <c r="Y483" s="34">
        <f t="shared" si="513"/>
        <v>0</v>
      </c>
      <c r="Z483" s="34">
        <f t="shared" si="514"/>
        <v>0</v>
      </c>
      <c r="AA483" s="49"/>
      <c r="AB483" s="36"/>
      <c r="AC483" s="204">
        <f t="shared" si="522"/>
        <v>0</v>
      </c>
      <c r="AD483" s="149">
        <v>7.8E-2</v>
      </c>
      <c r="AE483" s="31">
        <f t="shared" ref="AE483:AE484" si="528">4825*(P483+S483)</f>
        <v>0</v>
      </c>
      <c r="AF483" s="28" t="e">
        <f t="shared" si="516"/>
        <v>#DIV/0!</v>
      </c>
      <c r="AG483" s="34" t="e">
        <f t="shared" si="517"/>
        <v>#DIV/0!</v>
      </c>
      <c r="AH483" s="34" t="e">
        <f t="shared" si="518"/>
        <v>#DIV/0!</v>
      </c>
      <c r="AI483" s="34" t="e">
        <f t="shared" si="519"/>
        <v>#DIV/0!</v>
      </c>
      <c r="AJ483" s="46" t="e">
        <f t="shared" si="520"/>
        <v>#DIV/0!</v>
      </c>
      <c r="AK483" s="40">
        <v>81</v>
      </c>
      <c r="AL483" s="41">
        <f t="shared" si="521"/>
        <v>104.328</v>
      </c>
      <c r="AM483" s="202"/>
      <c r="AN483" s="205"/>
      <c r="AO483" s="26"/>
      <c r="AP483" s="26"/>
      <c r="AQ483" s="27"/>
      <c r="AR483" s="27"/>
      <c r="AS483" s="27"/>
      <c r="AT483" s="27"/>
      <c r="AU483" s="27"/>
      <c r="AV483" s="27"/>
      <c r="AW483" s="26"/>
      <c r="AX483" s="26"/>
      <c r="AY483" s="26"/>
      <c r="AZ483" s="26"/>
      <c r="BA483" s="26"/>
      <c r="BB483" s="26"/>
      <c r="BC483" s="26"/>
      <c r="BD483" s="26"/>
      <c r="BE483" s="26"/>
      <c r="BF483" s="26"/>
      <c r="BG483" s="26"/>
      <c r="BH483" s="26"/>
      <c r="BI483" s="26"/>
    </row>
    <row r="484" spans="1:61" ht="28.5" customHeight="1">
      <c r="A484" s="26"/>
      <c r="B484" s="324"/>
      <c r="C484" s="42" t="s">
        <v>116</v>
      </c>
      <c r="D484" s="28" t="e">
        <f t="shared" si="505"/>
        <v>#DIV/0!</v>
      </c>
      <c r="E484" s="166">
        <v>0.45300000000000001</v>
      </c>
      <c r="F484" s="30" t="e">
        <f t="shared" si="506"/>
        <v>#DIV/0!</v>
      </c>
      <c r="G484" s="30" t="e">
        <f t="shared" si="507"/>
        <v>#DIV/0!</v>
      </c>
      <c r="H484" s="35">
        <v>0</v>
      </c>
      <c r="I484" s="48"/>
      <c r="J484" s="48"/>
      <c r="K484" s="38"/>
      <c r="L484" s="38">
        <v>0</v>
      </c>
      <c r="M484" s="210"/>
      <c r="N484" s="202"/>
      <c r="O484" s="202"/>
      <c r="P484" s="31">
        <f t="shared" si="508"/>
        <v>0</v>
      </c>
      <c r="Q484" s="202"/>
      <c r="R484" s="203"/>
      <c r="S484" s="36"/>
      <c r="T484" s="34">
        <f t="shared" si="509"/>
        <v>0</v>
      </c>
      <c r="U484" s="31">
        <f t="shared" si="510"/>
        <v>0</v>
      </c>
      <c r="V484" s="34">
        <f t="shared" si="511"/>
        <v>0</v>
      </c>
      <c r="W484" s="43">
        <v>64800</v>
      </c>
      <c r="X484" s="34">
        <f t="shared" si="512"/>
        <v>25224.192000000003</v>
      </c>
      <c r="Y484" s="34">
        <f t="shared" si="513"/>
        <v>0</v>
      </c>
      <c r="Z484" s="34">
        <f t="shared" si="514"/>
        <v>0</v>
      </c>
      <c r="AA484" s="49"/>
      <c r="AB484" s="36"/>
      <c r="AC484" s="204">
        <f t="shared" si="522"/>
        <v>0</v>
      </c>
      <c r="AD484" s="149">
        <v>7.8E-2</v>
      </c>
      <c r="AE484" s="31">
        <f t="shared" si="528"/>
        <v>0</v>
      </c>
      <c r="AF484" s="28" t="e">
        <f t="shared" si="516"/>
        <v>#DIV/0!</v>
      </c>
      <c r="AG484" s="34" t="e">
        <f t="shared" si="517"/>
        <v>#DIV/0!</v>
      </c>
      <c r="AH484" s="34" t="e">
        <f t="shared" si="518"/>
        <v>#DIV/0!</v>
      </c>
      <c r="AI484" s="34" t="e">
        <f t="shared" si="519"/>
        <v>#DIV/0!</v>
      </c>
      <c r="AJ484" s="46" t="e">
        <f t="shared" si="520"/>
        <v>#DIV/0!</v>
      </c>
      <c r="AK484" s="40">
        <v>102</v>
      </c>
      <c r="AL484" s="41">
        <f t="shared" si="521"/>
        <v>131.376</v>
      </c>
      <c r="AM484" s="202"/>
      <c r="AN484" s="205"/>
      <c r="AO484" s="26"/>
      <c r="AP484" s="26"/>
      <c r="AQ484" s="27"/>
      <c r="AR484" s="27"/>
      <c r="AS484" s="27"/>
      <c r="AT484" s="27"/>
      <c r="AU484" s="27"/>
      <c r="AV484" s="27"/>
      <c r="AW484" s="26"/>
      <c r="AX484" s="26"/>
      <c r="AY484" s="26"/>
      <c r="AZ484" s="26"/>
      <c r="BA484" s="26"/>
      <c r="BB484" s="26"/>
      <c r="BC484" s="26"/>
      <c r="BD484" s="26"/>
      <c r="BE484" s="26"/>
      <c r="BF484" s="26"/>
      <c r="BG484" s="26"/>
      <c r="BH484" s="26"/>
      <c r="BI484" s="26"/>
    </row>
    <row r="485" spans="1:61" ht="28.5" customHeight="1">
      <c r="A485" s="26"/>
      <c r="B485" s="200"/>
      <c r="C485" s="42" t="s">
        <v>117</v>
      </c>
      <c r="D485" s="28" t="e">
        <f t="shared" si="505"/>
        <v>#DIV/0!</v>
      </c>
      <c r="E485" s="303">
        <v>0.51100000000000001</v>
      </c>
      <c r="F485" s="30" t="e">
        <f t="shared" si="506"/>
        <v>#DIV/0!</v>
      </c>
      <c r="G485" s="30" t="e">
        <f t="shared" si="507"/>
        <v>#DIV/0!</v>
      </c>
      <c r="H485" s="35">
        <v>4040</v>
      </c>
      <c r="I485" s="48"/>
      <c r="J485" s="48"/>
      <c r="K485" s="38"/>
      <c r="L485" s="38">
        <v>987</v>
      </c>
      <c r="M485" s="210"/>
      <c r="N485" s="202"/>
      <c r="O485" s="202"/>
      <c r="P485" s="31">
        <f t="shared" si="508"/>
        <v>0</v>
      </c>
      <c r="Q485" s="202"/>
      <c r="R485" s="203"/>
      <c r="S485" s="36"/>
      <c r="T485" s="34">
        <f t="shared" si="509"/>
        <v>0</v>
      </c>
      <c r="U485" s="31">
        <f t="shared" si="510"/>
        <v>0</v>
      </c>
      <c r="V485" s="34">
        <f t="shared" si="511"/>
        <v>0</v>
      </c>
      <c r="W485" s="43">
        <v>18710</v>
      </c>
      <c r="X485" s="34">
        <f t="shared" si="512"/>
        <v>4451.3280000000004</v>
      </c>
      <c r="Y485" s="34">
        <f t="shared" si="513"/>
        <v>0</v>
      </c>
      <c r="Z485" s="34">
        <f t="shared" si="514"/>
        <v>0</v>
      </c>
      <c r="AA485" s="49"/>
      <c r="AB485" s="36"/>
      <c r="AC485" s="204">
        <f t="shared" si="522"/>
        <v>0</v>
      </c>
      <c r="AD485" s="149">
        <v>7.8E-2</v>
      </c>
      <c r="AE485" s="31">
        <f t="shared" ref="AE485:AE487" si="529">1900*(P485+S485)</f>
        <v>0</v>
      </c>
      <c r="AF485" s="28" t="e">
        <f t="shared" si="516"/>
        <v>#DIV/0!</v>
      </c>
      <c r="AG485" s="34" t="e">
        <f t="shared" si="517"/>
        <v>#DIV/0!</v>
      </c>
      <c r="AH485" s="34" t="e">
        <f t="shared" si="518"/>
        <v>#DIV/0!</v>
      </c>
      <c r="AI485" s="34" t="e">
        <f t="shared" si="519"/>
        <v>#DIV/0!</v>
      </c>
      <c r="AJ485" s="46" t="e">
        <f t="shared" si="520"/>
        <v>#DIV/0!</v>
      </c>
      <c r="AK485" s="40">
        <v>18</v>
      </c>
      <c r="AL485" s="41">
        <f t="shared" si="521"/>
        <v>23.184000000000001</v>
      </c>
      <c r="AM485" s="202"/>
      <c r="AN485" s="205"/>
      <c r="AO485" s="26"/>
      <c r="AP485" s="26"/>
      <c r="AQ485" s="27"/>
      <c r="AR485" s="27"/>
      <c r="AS485" s="27"/>
      <c r="AT485" s="27"/>
      <c r="AU485" s="27"/>
      <c r="AV485" s="27"/>
      <c r="AW485" s="26"/>
      <c r="AX485" s="26"/>
      <c r="AY485" s="26"/>
      <c r="AZ485" s="26"/>
      <c r="BA485" s="26"/>
      <c r="BB485" s="26"/>
      <c r="BC485" s="26"/>
      <c r="BD485" s="26"/>
      <c r="BE485" s="26"/>
      <c r="BF485" s="26"/>
      <c r="BG485" s="26"/>
      <c r="BH485" s="26"/>
      <c r="BI485" s="26"/>
    </row>
    <row r="486" spans="1:61" ht="28.5" customHeight="1">
      <c r="A486" s="26"/>
      <c r="B486" s="200"/>
      <c r="C486" s="42" t="s">
        <v>31</v>
      </c>
      <c r="D486" s="28" t="e">
        <f t="shared" si="505"/>
        <v>#DIV/0!</v>
      </c>
      <c r="E486" s="303">
        <v>0.44700000000000001</v>
      </c>
      <c r="F486" s="30" t="e">
        <f t="shared" si="506"/>
        <v>#DIV/0!</v>
      </c>
      <c r="G486" s="30" t="e">
        <f t="shared" si="507"/>
        <v>#DIV/0!</v>
      </c>
      <c r="H486" s="35">
        <v>0</v>
      </c>
      <c r="I486" s="48"/>
      <c r="J486" s="48"/>
      <c r="K486" s="38"/>
      <c r="L486" s="38">
        <v>952</v>
      </c>
      <c r="M486" s="210"/>
      <c r="N486" s="202"/>
      <c r="O486" s="202"/>
      <c r="P486" s="31">
        <f t="shared" si="508"/>
        <v>0</v>
      </c>
      <c r="Q486" s="36"/>
      <c r="R486" s="203"/>
      <c r="S486" s="202"/>
      <c r="T486" s="34">
        <f t="shared" si="509"/>
        <v>0</v>
      </c>
      <c r="U486" s="31">
        <f t="shared" si="510"/>
        <v>0</v>
      </c>
      <c r="V486" s="34">
        <f t="shared" si="511"/>
        <v>0</v>
      </c>
      <c r="W486" s="43">
        <v>19800</v>
      </c>
      <c r="X486" s="34">
        <f t="shared" si="512"/>
        <v>7418.88</v>
      </c>
      <c r="Y486" s="34">
        <f t="shared" si="513"/>
        <v>0</v>
      </c>
      <c r="Z486" s="34">
        <f t="shared" si="514"/>
        <v>0</v>
      </c>
      <c r="AA486" s="49"/>
      <c r="AB486" s="287"/>
      <c r="AC486" s="204">
        <f t="shared" si="522"/>
        <v>0</v>
      </c>
      <c r="AD486" s="149">
        <v>0.08</v>
      </c>
      <c r="AE486" s="31">
        <f t="shared" si="529"/>
        <v>0</v>
      </c>
      <c r="AF486" s="28" t="e">
        <f t="shared" si="516"/>
        <v>#DIV/0!</v>
      </c>
      <c r="AG486" s="34" t="e">
        <f t="shared" si="517"/>
        <v>#DIV/0!</v>
      </c>
      <c r="AH486" s="34" t="e">
        <f t="shared" si="518"/>
        <v>#DIV/0!</v>
      </c>
      <c r="AI486" s="34" t="e">
        <f t="shared" si="519"/>
        <v>#DIV/0!</v>
      </c>
      <c r="AJ486" s="206" t="e">
        <f t="shared" si="520"/>
        <v>#DIV/0!</v>
      </c>
      <c r="AK486" s="40">
        <v>30</v>
      </c>
      <c r="AL486" s="41">
        <f t="shared" si="521"/>
        <v>38.64</v>
      </c>
      <c r="AM486" s="202"/>
      <c r="AN486" s="205"/>
      <c r="AO486" s="26"/>
      <c r="AP486" s="26"/>
      <c r="AQ486" s="27"/>
      <c r="AR486" s="27"/>
      <c r="AS486" s="27"/>
      <c r="AT486" s="27"/>
      <c r="AU486" s="27"/>
      <c r="AV486" s="27"/>
      <c r="AW486" s="26"/>
      <c r="AX486" s="26"/>
      <c r="AY486" s="26"/>
      <c r="AZ486" s="26"/>
      <c r="BA486" s="26"/>
      <c r="BB486" s="26"/>
      <c r="BC486" s="26"/>
      <c r="BD486" s="26"/>
      <c r="BE486" s="26"/>
      <c r="BF486" s="26"/>
      <c r="BG486" s="26"/>
      <c r="BH486" s="26"/>
      <c r="BI486" s="26"/>
    </row>
    <row r="487" spans="1:61" ht="28.5" customHeight="1">
      <c r="A487" s="26"/>
      <c r="B487" s="200"/>
      <c r="C487" s="42" t="s">
        <v>118</v>
      </c>
      <c r="D487" s="28" t="e">
        <f t="shared" si="505"/>
        <v>#DIV/0!</v>
      </c>
      <c r="E487" s="303">
        <v>0.36599999999999999</v>
      </c>
      <c r="F487" s="30" t="e">
        <f t="shared" si="506"/>
        <v>#DIV/0!</v>
      </c>
      <c r="G487" s="30" t="e">
        <f t="shared" si="507"/>
        <v>#DIV/0!</v>
      </c>
      <c r="H487" s="35">
        <v>0</v>
      </c>
      <c r="I487" s="48"/>
      <c r="J487" s="48"/>
      <c r="K487" s="38"/>
      <c r="L487" s="38">
        <v>483</v>
      </c>
      <c r="M487" s="210"/>
      <c r="N487" s="202"/>
      <c r="O487" s="202"/>
      <c r="P487" s="31">
        <f t="shared" si="508"/>
        <v>0</v>
      </c>
      <c r="Q487" s="36"/>
      <c r="R487" s="203"/>
      <c r="S487" s="36"/>
      <c r="T487" s="34">
        <f t="shared" si="509"/>
        <v>0</v>
      </c>
      <c r="U487" s="31">
        <f t="shared" si="510"/>
        <v>0</v>
      </c>
      <c r="V487" s="34">
        <f t="shared" si="511"/>
        <v>0</v>
      </c>
      <c r="W487" s="43">
        <v>24800</v>
      </c>
      <c r="X487" s="34">
        <f t="shared" si="512"/>
        <v>10386.432000000001</v>
      </c>
      <c r="Y487" s="34">
        <f t="shared" si="513"/>
        <v>0</v>
      </c>
      <c r="Z487" s="34">
        <f t="shared" si="514"/>
        <v>0</v>
      </c>
      <c r="AA487" s="49"/>
      <c r="AB487" s="209"/>
      <c r="AC487" s="204">
        <f t="shared" si="522"/>
        <v>0</v>
      </c>
      <c r="AD487" s="149">
        <v>0.1</v>
      </c>
      <c r="AE487" s="31">
        <f t="shared" si="529"/>
        <v>0</v>
      </c>
      <c r="AF487" s="28" t="e">
        <f t="shared" si="516"/>
        <v>#DIV/0!</v>
      </c>
      <c r="AG487" s="34" t="e">
        <f t="shared" si="517"/>
        <v>#DIV/0!</v>
      </c>
      <c r="AH487" s="34" t="e">
        <f t="shared" si="518"/>
        <v>#DIV/0!</v>
      </c>
      <c r="AI487" s="34" t="e">
        <f t="shared" si="519"/>
        <v>#DIV/0!</v>
      </c>
      <c r="AJ487" s="206" t="e">
        <f t="shared" si="520"/>
        <v>#DIV/0!</v>
      </c>
      <c r="AK487" s="40">
        <v>42</v>
      </c>
      <c r="AL487" s="41">
        <f t="shared" si="521"/>
        <v>54.096000000000004</v>
      </c>
      <c r="AM487" s="202"/>
      <c r="AN487" s="284"/>
      <c r="AO487" s="26"/>
      <c r="AP487" s="26"/>
      <c r="AQ487" s="27"/>
      <c r="AR487" s="27"/>
      <c r="AS487" s="27"/>
      <c r="AT487" s="27"/>
      <c r="AU487" s="27"/>
      <c r="AV487" s="27"/>
      <c r="AW487" s="26"/>
      <c r="AX487" s="26"/>
      <c r="AY487" s="26"/>
      <c r="AZ487" s="26"/>
      <c r="BA487" s="26"/>
      <c r="BB487" s="26"/>
      <c r="BC487" s="26"/>
      <c r="BD487" s="26"/>
      <c r="BE487" s="26"/>
      <c r="BF487" s="26"/>
      <c r="BG487" s="26"/>
      <c r="BH487" s="26"/>
      <c r="BI487" s="26"/>
    </row>
    <row r="488" spans="1:61" ht="28.5" customHeight="1">
      <c r="A488" s="26"/>
      <c r="B488" s="305" t="s">
        <v>163</v>
      </c>
      <c r="C488" s="42" t="s">
        <v>119</v>
      </c>
      <c r="D488" s="28" t="e">
        <f t="shared" si="505"/>
        <v>#DIV/0!</v>
      </c>
      <c r="E488" s="166">
        <v>0.433</v>
      </c>
      <c r="F488" s="30" t="e">
        <f t="shared" si="506"/>
        <v>#DIV/0!</v>
      </c>
      <c r="G488" s="30" t="e">
        <f t="shared" si="507"/>
        <v>#DIV/0!</v>
      </c>
      <c r="H488" s="35">
        <v>1000</v>
      </c>
      <c r="I488" s="48"/>
      <c r="J488" s="48"/>
      <c r="K488" s="38"/>
      <c r="L488" s="38">
        <v>551</v>
      </c>
      <c r="M488" s="210"/>
      <c r="N488" s="202"/>
      <c r="O488" s="202"/>
      <c r="P488" s="31">
        <f t="shared" si="508"/>
        <v>0</v>
      </c>
      <c r="Q488" s="202"/>
      <c r="R488" s="203"/>
      <c r="S488" s="36"/>
      <c r="T488" s="34">
        <f t="shared" si="509"/>
        <v>0</v>
      </c>
      <c r="U488" s="31">
        <f t="shared" si="510"/>
        <v>0</v>
      </c>
      <c r="V488" s="34">
        <f t="shared" si="511"/>
        <v>0</v>
      </c>
      <c r="W488" s="43">
        <v>24800</v>
      </c>
      <c r="X488" s="34">
        <f t="shared" si="512"/>
        <v>7666.1760000000013</v>
      </c>
      <c r="Y488" s="34">
        <f t="shared" si="513"/>
        <v>0</v>
      </c>
      <c r="Z488" s="34">
        <f t="shared" si="514"/>
        <v>0</v>
      </c>
      <c r="AA488" s="49"/>
      <c r="AB488" s="36"/>
      <c r="AC488" s="204">
        <f t="shared" si="522"/>
        <v>0</v>
      </c>
      <c r="AD488" s="149">
        <v>0.108</v>
      </c>
      <c r="AE488" s="31">
        <f>3150*(P488+S488)</f>
        <v>0</v>
      </c>
      <c r="AF488" s="28" t="e">
        <f t="shared" si="516"/>
        <v>#DIV/0!</v>
      </c>
      <c r="AG488" s="34" t="e">
        <f t="shared" si="517"/>
        <v>#DIV/0!</v>
      </c>
      <c r="AH488" s="34" t="e">
        <f t="shared" si="518"/>
        <v>#DIV/0!</v>
      </c>
      <c r="AI488" s="34" t="e">
        <f t="shared" si="519"/>
        <v>#DIV/0!</v>
      </c>
      <c r="AJ488" s="46" t="e">
        <f t="shared" si="520"/>
        <v>#DIV/0!</v>
      </c>
      <c r="AK488" s="40">
        <v>31</v>
      </c>
      <c r="AL488" s="41">
        <f t="shared" si="521"/>
        <v>39.928000000000004</v>
      </c>
      <c r="AM488" s="202"/>
      <c r="AN488" s="205"/>
      <c r="AO488" s="26"/>
      <c r="AP488" s="26"/>
      <c r="AQ488" s="27"/>
      <c r="AR488" s="27"/>
      <c r="AS488" s="27"/>
      <c r="AT488" s="27"/>
      <c r="AU488" s="27"/>
      <c r="AV488" s="27"/>
      <c r="AW488" s="26"/>
      <c r="AX488" s="26"/>
      <c r="AY488" s="26"/>
      <c r="AZ488" s="26"/>
      <c r="BA488" s="26"/>
      <c r="BB488" s="26"/>
      <c r="BC488" s="26"/>
      <c r="BD488" s="26"/>
      <c r="BE488" s="26"/>
      <c r="BF488" s="26"/>
      <c r="BG488" s="26"/>
      <c r="BH488" s="26"/>
      <c r="BI488" s="26"/>
    </row>
    <row r="489" spans="1:61" ht="28.5" customHeight="1">
      <c r="A489" s="26"/>
      <c r="B489" s="127"/>
      <c r="C489" s="42" t="s">
        <v>120</v>
      </c>
      <c r="D489" s="28" t="e">
        <f t="shared" si="505"/>
        <v>#DIV/0!</v>
      </c>
      <c r="E489" s="166">
        <v>0.41199999999999998</v>
      </c>
      <c r="F489" s="30" t="e">
        <f t="shared" si="506"/>
        <v>#DIV/0!</v>
      </c>
      <c r="G489" s="30" t="e">
        <f t="shared" si="507"/>
        <v>#DIV/0!</v>
      </c>
      <c r="H489" s="35"/>
      <c r="I489" s="48"/>
      <c r="J489" s="48"/>
      <c r="K489" s="38"/>
      <c r="L489" s="38"/>
      <c r="M489" s="210"/>
      <c r="N489" s="202"/>
      <c r="O489" s="202"/>
      <c r="P489" s="31">
        <f t="shared" si="508"/>
        <v>0</v>
      </c>
      <c r="Q489" s="36"/>
      <c r="R489" s="203"/>
      <c r="S489" s="36"/>
      <c r="T489" s="34">
        <f t="shared" si="509"/>
        <v>0</v>
      </c>
      <c r="U489" s="31">
        <f t="shared" si="510"/>
        <v>0</v>
      </c>
      <c r="V489" s="34">
        <f t="shared" si="511"/>
        <v>0</v>
      </c>
      <c r="W489" s="43">
        <v>39800</v>
      </c>
      <c r="X489" s="34">
        <f t="shared" si="512"/>
        <v>7666.1760000000013</v>
      </c>
      <c r="Y489" s="34">
        <f t="shared" si="513"/>
        <v>0</v>
      </c>
      <c r="Z489" s="34">
        <f t="shared" si="514"/>
        <v>0</v>
      </c>
      <c r="AA489" s="49"/>
      <c r="AB489" s="36"/>
      <c r="AC489" s="204">
        <f t="shared" si="522"/>
        <v>0</v>
      </c>
      <c r="AD489" s="152">
        <v>0.108</v>
      </c>
      <c r="AE489" s="31">
        <f>3550*(P489+S489)</f>
        <v>0</v>
      </c>
      <c r="AF489" s="28" t="e">
        <f t="shared" si="516"/>
        <v>#DIV/0!</v>
      </c>
      <c r="AG489" s="34" t="e">
        <f t="shared" si="517"/>
        <v>#DIV/0!</v>
      </c>
      <c r="AH489" s="34" t="e">
        <f t="shared" si="518"/>
        <v>#DIV/0!</v>
      </c>
      <c r="AI489" s="34" t="e">
        <f t="shared" si="519"/>
        <v>#DIV/0!</v>
      </c>
      <c r="AJ489" s="206" t="e">
        <f t="shared" si="520"/>
        <v>#DIV/0!</v>
      </c>
      <c r="AK489" s="40">
        <v>31</v>
      </c>
      <c r="AL489" s="41">
        <f t="shared" si="521"/>
        <v>39.928000000000004</v>
      </c>
      <c r="AM489" s="202"/>
      <c r="AN489" s="205"/>
      <c r="AO489" s="26"/>
      <c r="AP489" s="26"/>
      <c r="AQ489" s="27"/>
      <c r="AR489" s="27"/>
      <c r="AS489" s="27"/>
      <c r="AT489" s="27"/>
      <c r="AU489" s="27"/>
      <c r="AV489" s="27"/>
      <c r="AW489" s="26"/>
      <c r="AX489" s="26"/>
      <c r="AY489" s="26"/>
      <c r="AZ489" s="26"/>
      <c r="BA489" s="26"/>
      <c r="BB489" s="26"/>
      <c r="BC489" s="26"/>
      <c r="BD489" s="26"/>
      <c r="BE489" s="26"/>
      <c r="BF489" s="26"/>
      <c r="BG489" s="26"/>
      <c r="BH489" s="26"/>
      <c r="BI489" s="26"/>
    </row>
    <row r="490" spans="1:61" ht="28.5" customHeight="1">
      <c r="A490" s="26"/>
      <c r="B490" s="216"/>
      <c r="C490" s="217"/>
      <c r="D490" s="298" t="e">
        <f>AJ490/V490</f>
        <v>#DIV/0!</v>
      </c>
      <c r="E490" s="298" t="e">
        <f>AI490/V490</f>
        <v>#DIV/0!</v>
      </c>
      <c r="F490" s="52" t="e">
        <f>(Z490)/V490</f>
        <v>#DIV/0!</v>
      </c>
      <c r="G490" s="219"/>
      <c r="H490" s="289"/>
      <c r="I490" s="55"/>
      <c r="J490" s="55"/>
      <c r="K490" s="289"/>
      <c r="L490" s="289"/>
      <c r="M490" s="55"/>
      <c r="N490" s="130"/>
      <c r="O490" s="130">
        <f t="shared" ref="O490:R490" si="530">SUM(O468:O489)</f>
        <v>0</v>
      </c>
      <c r="P490" s="130">
        <f t="shared" si="530"/>
        <v>0</v>
      </c>
      <c r="Q490" s="130">
        <f t="shared" si="530"/>
        <v>0</v>
      </c>
      <c r="R490" s="130">
        <f t="shared" si="530"/>
        <v>0</v>
      </c>
      <c r="S490" s="36"/>
      <c r="T490" s="130">
        <f t="shared" ref="T490:V490" si="531">SUM(T468:T489)</f>
        <v>0</v>
      </c>
      <c r="U490" s="130">
        <f t="shared" si="531"/>
        <v>0</v>
      </c>
      <c r="V490" s="130">
        <f t="shared" si="531"/>
        <v>0</v>
      </c>
      <c r="W490" s="55"/>
      <c r="X490" s="130">
        <f t="shared" ref="X490:AC490" si="532">SUM(X468:X489)</f>
        <v>314387.4047999999</v>
      </c>
      <c r="Y490" s="130">
        <f t="shared" si="532"/>
        <v>0</v>
      </c>
      <c r="Z490" s="130">
        <f t="shared" si="532"/>
        <v>0</v>
      </c>
      <c r="AA490" s="130">
        <f t="shared" si="532"/>
        <v>0</v>
      </c>
      <c r="AB490" s="287">
        <f t="shared" si="532"/>
        <v>0</v>
      </c>
      <c r="AC490" s="130">
        <f t="shared" si="532"/>
        <v>0</v>
      </c>
      <c r="AD490" s="154">
        <v>0.09</v>
      </c>
      <c r="AE490" s="130">
        <f>SUM(AE468:AE489)</f>
        <v>0</v>
      </c>
      <c r="AF490" s="53" t="e">
        <f t="shared" si="516"/>
        <v>#DIV/0!</v>
      </c>
      <c r="AG490" s="56" t="e">
        <f t="shared" si="517"/>
        <v>#DIV/0!</v>
      </c>
      <c r="AH490" s="56" t="e">
        <f t="shared" si="518"/>
        <v>#DIV/0!</v>
      </c>
      <c r="AI490" s="56" t="e">
        <f t="shared" si="519"/>
        <v>#DIV/0!</v>
      </c>
      <c r="AJ490" s="46" t="e">
        <f>AI490-Z490-AB490</f>
        <v>#DIV/0!</v>
      </c>
      <c r="AK490" s="54"/>
      <c r="AL490" s="222"/>
      <c r="AM490" s="131">
        <f t="shared" ref="AM490:AN490" si="533">SUM(AM468:AM469)</f>
        <v>0</v>
      </c>
      <c r="AN490" s="132">
        <f t="shared" si="533"/>
        <v>0</v>
      </c>
      <c r="AO490" s="26"/>
      <c r="AP490" s="26"/>
      <c r="AQ490" s="27"/>
      <c r="AR490" s="27"/>
      <c r="AS490" s="27"/>
      <c r="AT490" s="27"/>
      <c r="AU490" s="27"/>
      <c r="AV490" s="27"/>
      <c r="AW490" s="26"/>
      <c r="AX490" s="26"/>
      <c r="AY490" s="26"/>
      <c r="AZ490" s="26"/>
      <c r="BA490" s="26"/>
      <c r="BB490" s="26"/>
      <c r="BC490" s="26"/>
      <c r="BD490" s="26"/>
      <c r="BE490" s="26"/>
      <c r="BF490" s="26"/>
      <c r="BG490" s="26"/>
      <c r="BH490" s="26"/>
      <c r="BI490" s="26"/>
    </row>
    <row r="491" spans="1:61" ht="28.5" customHeight="1">
      <c r="A491" s="1"/>
      <c r="B491" s="290"/>
      <c r="C491" s="291"/>
      <c r="D491" s="2"/>
      <c r="E491" s="2"/>
      <c r="F491" s="2"/>
      <c r="G491" s="2"/>
      <c r="H491" s="2"/>
      <c r="I491" s="2"/>
      <c r="J491" s="2"/>
      <c r="K491" s="2"/>
      <c r="L491" s="2"/>
      <c r="M491" s="2"/>
      <c r="N491" s="292"/>
      <c r="O491" s="292"/>
      <c r="P491" s="2"/>
      <c r="Q491" s="2"/>
      <c r="R491" s="2"/>
      <c r="S491" s="293"/>
      <c r="T491" s="2"/>
      <c r="U491" s="2"/>
      <c r="V491" s="2"/>
      <c r="W491" s="2"/>
      <c r="X491" s="2"/>
      <c r="Y491" s="2"/>
      <c r="Z491" s="2"/>
      <c r="AA491" s="2"/>
      <c r="AB491" s="2"/>
      <c r="AC491" s="2"/>
      <c r="AD491" s="2"/>
      <c r="AE491" s="2"/>
      <c r="AF491" s="1"/>
      <c r="AG491" s="1"/>
      <c r="AH491" s="1"/>
      <c r="AI491" s="1"/>
      <c r="AJ491" s="1"/>
      <c r="AK491" s="1"/>
      <c r="AL491" s="1"/>
      <c r="AM491" s="1"/>
      <c r="AN491" s="1"/>
      <c r="AO491" s="1"/>
      <c r="AP491" s="1"/>
      <c r="AQ491" s="1"/>
      <c r="AR491" s="1"/>
      <c r="AS491" s="1"/>
      <c r="AT491" s="7"/>
      <c r="AU491" s="7"/>
      <c r="AV491" s="7"/>
      <c r="AW491" s="47"/>
      <c r="AX491" s="47"/>
      <c r="AY491" s="47"/>
      <c r="AZ491" s="47"/>
      <c r="BA491" s="47"/>
      <c r="BB491" s="47"/>
      <c r="BC491" s="47"/>
      <c r="BD491" s="47"/>
      <c r="BE491" s="47"/>
      <c r="BF491" s="47"/>
      <c r="BG491" s="47"/>
      <c r="BH491" s="47"/>
      <c r="BI491" s="47"/>
    </row>
    <row r="492" spans="1:61" ht="28.5" customHeight="1">
      <c r="A492" s="1"/>
      <c r="B492" s="189"/>
      <c r="C492" s="134">
        <v>45889</v>
      </c>
      <c r="D492" s="190" t="s">
        <v>0</v>
      </c>
      <c r="E492" s="190" t="s">
        <v>1</v>
      </c>
      <c r="F492" s="190" t="s">
        <v>2</v>
      </c>
      <c r="G492" s="190" t="s">
        <v>3</v>
      </c>
      <c r="H492" s="304" t="s">
        <v>4</v>
      </c>
      <c r="I492" s="192" t="s">
        <v>5</v>
      </c>
      <c r="J492" s="192" t="s">
        <v>90</v>
      </c>
      <c r="K492" s="193"/>
      <c r="L492" s="193" t="s">
        <v>6</v>
      </c>
      <c r="M492" s="194" t="s">
        <v>7</v>
      </c>
      <c r="N492" s="123" t="s">
        <v>125</v>
      </c>
      <c r="O492" s="123" t="s">
        <v>8</v>
      </c>
      <c r="P492" s="123" t="s">
        <v>9</v>
      </c>
      <c r="Q492" s="15" t="s">
        <v>10</v>
      </c>
      <c r="R492" s="123" t="s">
        <v>92</v>
      </c>
      <c r="S492" s="196" t="s">
        <v>11</v>
      </c>
      <c r="T492" s="17" t="s">
        <v>12</v>
      </c>
      <c r="U492" s="17" t="s">
        <v>13</v>
      </c>
      <c r="V492" s="17" t="s">
        <v>14</v>
      </c>
      <c r="W492" s="17" t="s">
        <v>15</v>
      </c>
      <c r="X492" s="17" t="s">
        <v>16</v>
      </c>
      <c r="Y492" s="17" t="s">
        <v>17</v>
      </c>
      <c r="Z492" s="19" t="s">
        <v>18</v>
      </c>
      <c r="AA492" s="19" t="s">
        <v>19</v>
      </c>
      <c r="AB492" s="20" t="s">
        <v>20</v>
      </c>
      <c r="AC492" s="22" t="s">
        <v>93</v>
      </c>
      <c r="AD492" s="197" t="s">
        <v>21</v>
      </c>
      <c r="AE492" s="21" t="s">
        <v>22</v>
      </c>
      <c r="AF492" s="23" t="s">
        <v>23</v>
      </c>
      <c r="AG492" s="23" t="s">
        <v>21</v>
      </c>
      <c r="AH492" s="23" t="s">
        <v>24</v>
      </c>
      <c r="AI492" s="24" t="s">
        <v>26</v>
      </c>
      <c r="AJ492" s="23" t="s">
        <v>27</v>
      </c>
      <c r="AK492" s="21" t="s">
        <v>147</v>
      </c>
      <c r="AL492" s="282" t="s">
        <v>148</v>
      </c>
      <c r="AM492" s="124" t="s">
        <v>94</v>
      </c>
      <c r="AN492" s="125" t="s">
        <v>95</v>
      </c>
      <c r="AO492" s="1"/>
      <c r="AP492" s="1"/>
      <c r="AQ492" s="1"/>
      <c r="AR492" s="1"/>
      <c r="AS492" s="1"/>
      <c r="AT492" s="7"/>
      <c r="AU492" s="7"/>
      <c r="AV492" s="7"/>
      <c r="AW492" s="47"/>
      <c r="AX492" s="47"/>
      <c r="AY492" s="47"/>
      <c r="AZ492" s="47"/>
      <c r="BA492" s="47"/>
      <c r="BB492" s="47"/>
      <c r="BC492" s="47"/>
      <c r="BD492" s="47"/>
      <c r="BE492" s="47"/>
      <c r="BF492" s="47"/>
      <c r="BG492" s="47"/>
      <c r="BH492" s="47"/>
      <c r="BI492" s="47"/>
    </row>
    <row r="493" spans="1:61" ht="28.5" customHeight="1">
      <c r="A493" s="1"/>
      <c r="B493" s="200"/>
      <c r="C493" s="42" t="s">
        <v>107</v>
      </c>
      <c r="D493" s="28" t="e">
        <f t="shared" ref="D493:D514" si="534">E493-F493</f>
        <v>#DIV/0!</v>
      </c>
      <c r="E493" s="166">
        <v>0.39700000000000002</v>
      </c>
      <c r="F493" s="30" t="e">
        <f t="shared" ref="F493:F514" si="535">(Z493+AC493)/V493</f>
        <v>#DIV/0!</v>
      </c>
      <c r="G493" s="30" t="e">
        <f t="shared" ref="G493:G514" si="536">R493/AN493</f>
        <v>#DIV/0!</v>
      </c>
      <c r="H493" s="35">
        <v>3600</v>
      </c>
      <c r="I493" s="48"/>
      <c r="J493" s="48"/>
      <c r="K493" s="35"/>
      <c r="L493" s="35"/>
      <c r="M493" s="48">
        <v>2348</v>
      </c>
      <c r="N493" s="202"/>
      <c r="O493" s="202"/>
      <c r="P493" s="31">
        <f t="shared" ref="P493:P514" si="537">O493-S493</f>
        <v>0</v>
      </c>
      <c r="Q493" s="202"/>
      <c r="R493" s="203"/>
      <c r="S493" s="36"/>
      <c r="T493" s="34">
        <f t="shared" ref="T493:T514" si="538">W493*O493</f>
        <v>0</v>
      </c>
      <c r="U493" s="31">
        <f t="shared" ref="U493:U514" si="539">W493*S493</f>
        <v>0</v>
      </c>
      <c r="V493" s="34">
        <f t="shared" ref="V493:V514" si="540">T493-U493</f>
        <v>0</v>
      </c>
      <c r="W493" s="43">
        <v>26270</v>
      </c>
      <c r="X493" s="34">
        <f t="shared" ref="X493:X514" si="541">AL493*$A$2</f>
        <v>9891.84</v>
      </c>
      <c r="Y493" s="34">
        <f t="shared" ref="Y493:Y514" si="542">X493*P493</f>
        <v>0</v>
      </c>
      <c r="Z493" s="34">
        <f t="shared" ref="Z493:Z514" si="543">AA493*1.1</f>
        <v>0</v>
      </c>
      <c r="AA493" s="49"/>
      <c r="AB493" s="36"/>
      <c r="AC493" s="204">
        <f t="shared" ref="AC493:AC494" si="544">(1072+1100)*Q493</f>
        <v>0</v>
      </c>
      <c r="AD493" s="149">
        <v>0.1</v>
      </c>
      <c r="AE493" s="31">
        <f>3050*(P493+S493)</f>
        <v>0</v>
      </c>
      <c r="AF493" s="28" t="e">
        <f t="shared" ref="AF493:AF515" si="545">AD493+(AE493/V493)</f>
        <v>#DIV/0!</v>
      </c>
      <c r="AG493" s="34" t="e">
        <f t="shared" ref="AG493:AG515" si="546">V493*AF493+3%</f>
        <v>#DIV/0!</v>
      </c>
      <c r="AH493" s="34" t="e">
        <f t="shared" ref="AH493:AH515" si="547">(V493)*10%-(Y493+AG493)*10%</f>
        <v>#DIV/0!</v>
      </c>
      <c r="AI493" s="34" t="e">
        <f t="shared" ref="AI493:AI515" si="548">V493-(Y493+AG493+AH493)</f>
        <v>#DIV/0!</v>
      </c>
      <c r="AJ493" s="46" t="e">
        <f t="shared" ref="AJ493:AJ514" si="549">AI493-Z493</f>
        <v>#DIV/0!</v>
      </c>
      <c r="AK493" s="40">
        <v>40</v>
      </c>
      <c r="AL493" s="41">
        <f t="shared" ref="AL493:AL514" si="550">(AK493*1.15)*1.12</f>
        <v>51.52</v>
      </c>
      <c r="AM493" s="202"/>
      <c r="AN493" s="205"/>
      <c r="AO493" s="1"/>
      <c r="AP493" s="1"/>
      <c r="AQ493" s="1"/>
      <c r="AR493" s="1"/>
      <c r="AS493" s="1"/>
      <c r="AT493" s="7"/>
      <c r="AU493" s="7"/>
      <c r="AV493" s="7"/>
      <c r="AW493" s="47"/>
      <c r="AX493" s="47"/>
      <c r="AY493" s="47"/>
      <c r="AZ493" s="47"/>
      <c r="BA493" s="47"/>
      <c r="BB493" s="47"/>
      <c r="BC493" s="47"/>
      <c r="BD493" s="47"/>
      <c r="BE493" s="47"/>
      <c r="BF493" s="47"/>
      <c r="BG493" s="47"/>
      <c r="BH493" s="47"/>
      <c r="BI493" s="47"/>
    </row>
    <row r="494" spans="1:61" ht="28.5" customHeight="1">
      <c r="A494" s="1"/>
      <c r="B494" s="200"/>
      <c r="C494" s="42" t="s">
        <v>108</v>
      </c>
      <c r="D494" s="28" t="e">
        <f t="shared" si="534"/>
        <v>#DIV/0!</v>
      </c>
      <c r="E494" s="166">
        <v>0.41</v>
      </c>
      <c r="F494" s="30" t="e">
        <f t="shared" si="535"/>
        <v>#DIV/0!</v>
      </c>
      <c r="G494" s="30" t="e">
        <f t="shared" si="536"/>
        <v>#DIV/0!</v>
      </c>
      <c r="H494" s="35">
        <v>460</v>
      </c>
      <c r="I494" s="48"/>
      <c r="J494" s="48"/>
      <c r="K494" s="38"/>
      <c r="L494" s="38"/>
      <c r="M494" s="210">
        <v>136</v>
      </c>
      <c r="N494" s="202"/>
      <c r="O494" s="202"/>
      <c r="P494" s="31">
        <f t="shared" si="537"/>
        <v>0</v>
      </c>
      <c r="Q494" s="36"/>
      <c r="R494" s="203"/>
      <c r="S494" s="36"/>
      <c r="T494" s="34">
        <f t="shared" si="538"/>
        <v>0</v>
      </c>
      <c r="U494" s="31">
        <f t="shared" si="539"/>
        <v>0</v>
      </c>
      <c r="V494" s="34">
        <f t="shared" si="540"/>
        <v>0</v>
      </c>
      <c r="W494" s="43">
        <v>22770</v>
      </c>
      <c r="X494" s="34">
        <f t="shared" si="541"/>
        <v>7913.4719999999998</v>
      </c>
      <c r="Y494" s="34">
        <f t="shared" si="542"/>
        <v>0</v>
      </c>
      <c r="Z494" s="34">
        <f t="shared" si="543"/>
        <v>0</v>
      </c>
      <c r="AA494" s="49"/>
      <c r="AB494" s="36"/>
      <c r="AC494" s="204">
        <f t="shared" si="544"/>
        <v>0</v>
      </c>
      <c r="AD494" s="149">
        <v>0.1</v>
      </c>
      <c r="AE494" s="31">
        <f>2950*(P494+S494)</f>
        <v>0</v>
      </c>
      <c r="AF494" s="28" t="e">
        <f t="shared" si="545"/>
        <v>#DIV/0!</v>
      </c>
      <c r="AG494" s="34" t="e">
        <f t="shared" si="546"/>
        <v>#DIV/0!</v>
      </c>
      <c r="AH494" s="34" t="e">
        <f t="shared" si="547"/>
        <v>#DIV/0!</v>
      </c>
      <c r="AI494" s="34" t="e">
        <f t="shared" si="548"/>
        <v>#DIV/0!</v>
      </c>
      <c r="AJ494" s="46" t="e">
        <f t="shared" si="549"/>
        <v>#DIV/0!</v>
      </c>
      <c r="AK494" s="40">
        <v>32</v>
      </c>
      <c r="AL494" s="41">
        <f t="shared" si="550"/>
        <v>41.216000000000001</v>
      </c>
      <c r="AM494" s="202"/>
      <c r="AN494" s="205"/>
      <c r="AO494" s="1"/>
      <c r="AP494" s="1"/>
      <c r="AQ494" s="1"/>
      <c r="AR494" s="1"/>
      <c r="AS494" s="1"/>
      <c r="AT494" s="7"/>
      <c r="AU494" s="7"/>
      <c r="AV494" s="7"/>
      <c r="AW494" s="47"/>
      <c r="AX494" s="47"/>
      <c r="AY494" s="47"/>
      <c r="AZ494" s="47"/>
      <c r="BA494" s="47"/>
      <c r="BB494" s="47"/>
      <c r="BC494" s="47"/>
      <c r="BD494" s="47"/>
      <c r="BE494" s="47"/>
      <c r="BF494" s="47"/>
      <c r="BG494" s="47"/>
      <c r="BH494" s="47"/>
      <c r="BI494" s="47"/>
    </row>
    <row r="495" spans="1:61" ht="28.5" customHeight="1">
      <c r="A495" s="1"/>
      <c r="B495" s="323"/>
      <c r="C495" s="42" t="s">
        <v>109</v>
      </c>
      <c r="D495" s="28" t="e">
        <f t="shared" si="534"/>
        <v>#DIV/0!</v>
      </c>
      <c r="E495" s="166">
        <v>0.378</v>
      </c>
      <c r="F495" s="30" t="e">
        <f t="shared" si="535"/>
        <v>#DIV/0!</v>
      </c>
      <c r="G495" s="30" t="e">
        <f t="shared" si="536"/>
        <v>#DIV/0!</v>
      </c>
      <c r="H495" s="35">
        <v>0</v>
      </c>
      <c r="I495" s="48"/>
      <c r="J495" s="48"/>
      <c r="K495" s="35"/>
      <c r="L495" s="312"/>
      <c r="M495" s="48"/>
      <c r="N495" s="202"/>
      <c r="O495" s="202"/>
      <c r="P495" s="31">
        <f t="shared" si="537"/>
        <v>0</v>
      </c>
      <c r="Q495" s="36"/>
      <c r="R495" s="203"/>
      <c r="S495" s="36"/>
      <c r="T495" s="34">
        <f t="shared" si="538"/>
        <v>0</v>
      </c>
      <c r="U495" s="31">
        <f t="shared" si="539"/>
        <v>0</v>
      </c>
      <c r="V495" s="34">
        <f t="shared" si="540"/>
        <v>0</v>
      </c>
      <c r="W495" s="43">
        <v>44400</v>
      </c>
      <c r="X495" s="34">
        <f t="shared" si="541"/>
        <v>12278.2464</v>
      </c>
      <c r="Y495" s="34">
        <f t="shared" si="542"/>
        <v>0</v>
      </c>
      <c r="Z495" s="34">
        <f t="shared" si="543"/>
        <v>0</v>
      </c>
      <c r="AA495" s="49"/>
      <c r="AB495" s="36"/>
      <c r="AC495" s="204">
        <f t="shared" ref="AC495:AC514" si="551">(1210+1100)*Q495</f>
        <v>0</v>
      </c>
      <c r="AD495" s="149">
        <v>0.11</v>
      </c>
      <c r="AE495" s="31">
        <f t="shared" ref="AE495:AE496" si="552">4150*(P495+S495)</f>
        <v>0</v>
      </c>
      <c r="AF495" s="28" t="e">
        <f t="shared" si="545"/>
        <v>#DIV/0!</v>
      </c>
      <c r="AG495" s="34" t="e">
        <f t="shared" si="546"/>
        <v>#DIV/0!</v>
      </c>
      <c r="AH495" s="34" t="e">
        <f t="shared" si="547"/>
        <v>#DIV/0!</v>
      </c>
      <c r="AI495" s="34" t="e">
        <f t="shared" si="548"/>
        <v>#DIV/0!</v>
      </c>
      <c r="AJ495" s="46" t="e">
        <f t="shared" si="549"/>
        <v>#DIV/0!</v>
      </c>
      <c r="AK495" s="40">
        <v>49.65</v>
      </c>
      <c r="AL495" s="41">
        <f t="shared" si="550"/>
        <v>63.949200000000005</v>
      </c>
      <c r="AM495" s="202"/>
      <c r="AN495" s="205"/>
      <c r="AO495" s="1"/>
      <c r="AP495" s="1"/>
      <c r="AQ495" s="1"/>
      <c r="AR495" s="1"/>
      <c r="AS495" s="1"/>
      <c r="AT495" s="7"/>
      <c r="AU495" s="7"/>
      <c r="AV495" s="7"/>
      <c r="AW495" s="47"/>
      <c r="AX495" s="47"/>
      <c r="AY495" s="47"/>
      <c r="AZ495" s="47"/>
      <c r="BA495" s="47"/>
      <c r="BB495" s="47"/>
      <c r="BC495" s="47"/>
      <c r="BD495" s="47"/>
      <c r="BE495" s="47"/>
      <c r="BF495" s="47"/>
      <c r="BG495" s="47"/>
      <c r="BH495" s="47"/>
      <c r="BI495" s="47"/>
    </row>
    <row r="496" spans="1:61" ht="28.5" customHeight="1">
      <c r="A496" s="1"/>
      <c r="B496" s="324"/>
      <c r="C496" s="42" t="s">
        <v>110</v>
      </c>
      <c r="D496" s="28" t="e">
        <f t="shared" si="534"/>
        <v>#DIV/0!</v>
      </c>
      <c r="E496" s="166">
        <v>0.317</v>
      </c>
      <c r="F496" s="30" t="e">
        <f t="shared" si="535"/>
        <v>#DIV/0!</v>
      </c>
      <c r="G496" s="30" t="e">
        <f t="shared" si="536"/>
        <v>#DIV/0!</v>
      </c>
      <c r="H496" s="35">
        <v>0</v>
      </c>
      <c r="I496" s="48"/>
      <c r="J496" s="48"/>
      <c r="K496" s="35"/>
      <c r="L496" s="310"/>
      <c r="M496" s="48">
        <v>100</v>
      </c>
      <c r="N496" s="202"/>
      <c r="O496" s="202"/>
      <c r="P496" s="31">
        <f t="shared" si="537"/>
        <v>0</v>
      </c>
      <c r="Q496" s="202"/>
      <c r="R496" s="203"/>
      <c r="S496" s="36"/>
      <c r="T496" s="34">
        <f t="shared" si="538"/>
        <v>0</v>
      </c>
      <c r="U496" s="31">
        <f t="shared" si="539"/>
        <v>0</v>
      </c>
      <c r="V496" s="34">
        <f t="shared" si="540"/>
        <v>0</v>
      </c>
      <c r="W496" s="43">
        <v>46800</v>
      </c>
      <c r="X496" s="34">
        <f t="shared" si="541"/>
        <v>12772.838400000001</v>
      </c>
      <c r="Y496" s="34">
        <f t="shared" si="542"/>
        <v>0</v>
      </c>
      <c r="Z496" s="34">
        <f t="shared" si="543"/>
        <v>0</v>
      </c>
      <c r="AA496" s="49"/>
      <c r="AB496" s="36"/>
      <c r="AC496" s="204">
        <f t="shared" si="551"/>
        <v>0</v>
      </c>
      <c r="AD496" s="149">
        <v>0.11</v>
      </c>
      <c r="AE496" s="31">
        <f t="shared" si="552"/>
        <v>0</v>
      </c>
      <c r="AF496" s="28" t="e">
        <f t="shared" si="545"/>
        <v>#DIV/0!</v>
      </c>
      <c r="AG496" s="34" t="e">
        <f t="shared" si="546"/>
        <v>#DIV/0!</v>
      </c>
      <c r="AH496" s="34" t="e">
        <f t="shared" si="547"/>
        <v>#DIV/0!</v>
      </c>
      <c r="AI496" s="34" t="e">
        <f t="shared" si="548"/>
        <v>#DIV/0!</v>
      </c>
      <c r="AJ496" s="46" t="e">
        <f t="shared" si="549"/>
        <v>#DIV/0!</v>
      </c>
      <c r="AK496" s="40">
        <v>51.65</v>
      </c>
      <c r="AL496" s="41">
        <f t="shared" si="550"/>
        <v>66.525199999999998</v>
      </c>
      <c r="AM496" s="202"/>
      <c r="AN496" s="205"/>
      <c r="AO496" s="1"/>
      <c r="AP496" s="1"/>
      <c r="AQ496" s="1"/>
      <c r="AR496" s="1"/>
      <c r="AS496" s="1"/>
      <c r="AT496" s="7"/>
      <c r="AU496" s="7"/>
      <c r="AV496" s="7"/>
      <c r="AW496" s="47"/>
      <c r="AX496" s="47"/>
      <c r="AY496" s="47"/>
      <c r="AZ496" s="47"/>
      <c r="BA496" s="47"/>
      <c r="BB496" s="47"/>
      <c r="BC496" s="47"/>
      <c r="BD496" s="47"/>
      <c r="BE496" s="47"/>
      <c r="BF496" s="47"/>
      <c r="BG496" s="47"/>
      <c r="BH496" s="47"/>
      <c r="BI496" s="47"/>
    </row>
    <row r="497" spans="1:61" ht="28.5" customHeight="1">
      <c r="A497" s="1"/>
      <c r="B497" s="323"/>
      <c r="C497" s="42" t="s">
        <v>32</v>
      </c>
      <c r="D497" s="28" t="e">
        <f t="shared" si="534"/>
        <v>#DIV/0!</v>
      </c>
      <c r="E497" s="166">
        <v>0.40600000000000003</v>
      </c>
      <c r="F497" s="30" t="e">
        <f t="shared" si="535"/>
        <v>#DIV/0!</v>
      </c>
      <c r="G497" s="30" t="e">
        <f t="shared" si="536"/>
        <v>#DIV/0!</v>
      </c>
      <c r="H497" s="37">
        <v>3504</v>
      </c>
      <c r="I497" s="48"/>
      <c r="J497" s="48"/>
      <c r="K497" s="35"/>
      <c r="L497" s="312"/>
      <c r="M497" s="48"/>
      <c r="N497" s="202"/>
      <c r="O497" s="202"/>
      <c r="P497" s="31">
        <f t="shared" si="537"/>
        <v>0</v>
      </c>
      <c r="Q497" s="202"/>
      <c r="R497" s="203"/>
      <c r="S497" s="202"/>
      <c r="T497" s="34">
        <f t="shared" si="538"/>
        <v>0</v>
      </c>
      <c r="U497" s="31">
        <f t="shared" si="539"/>
        <v>0</v>
      </c>
      <c r="V497" s="34">
        <f t="shared" si="540"/>
        <v>0</v>
      </c>
      <c r="W497" s="43">
        <v>59800</v>
      </c>
      <c r="X497" s="34">
        <f t="shared" si="541"/>
        <v>21143.807999999997</v>
      </c>
      <c r="Y497" s="34">
        <f t="shared" si="542"/>
        <v>0</v>
      </c>
      <c r="Z497" s="34">
        <f t="shared" si="543"/>
        <v>0</v>
      </c>
      <c r="AA497" s="49"/>
      <c r="AB497" s="287"/>
      <c r="AC497" s="204">
        <f t="shared" si="551"/>
        <v>0</v>
      </c>
      <c r="AD497" s="149">
        <v>0.108</v>
      </c>
      <c r="AE497" s="31">
        <f t="shared" ref="AE497:AE498" si="553">4825*(P497+S497)</f>
        <v>0</v>
      </c>
      <c r="AF497" s="28" t="e">
        <f t="shared" si="545"/>
        <v>#DIV/0!</v>
      </c>
      <c r="AG497" s="34" t="e">
        <f t="shared" si="546"/>
        <v>#DIV/0!</v>
      </c>
      <c r="AH497" s="34" t="e">
        <f t="shared" si="547"/>
        <v>#DIV/0!</v>
      </c>
      <c r="AI497" s="34" t="e">
        <f t="shared" si="548"/>
        <v>#DIV/0!</v>
      </c>
      <c r="AJ497" s="46" t="e">
        <f t="shared" si="549"/>
        <v>#DIV/0!</v>
      </c>
      <c r="AK497" s="40">
        <v>85.5</v>
      </c>
      <c r="AL497" s="41">
        <f t="shared" si="550"/>
        <v>110.124</v>
      </c>
      <c r="AM497" s="202"/>
      <c r="AN497" s="205"/>
      <c r="AO497" s="1"/>
      <c r="AP497" s="1"/>
      <c r="AQ497" s="1"/>
      <c r="AR497" s="1"/>
      <c r="AS497" s="1"/>
      <c r="AT497" s="7"/>
      <c r="AU497" s="7"/>
      <c r="AV497" s="7"/>
      <c r="AW497" s="47"/>
      <c r="AX497" s="47"/>
      <c r="AY497" s="47"/>
      <c r="AZ497" s="47"/>
      <c r="BA497" s="47"/>
      <c r="BB497" s="47"/>
      <c r="BC497" s="47"/>
      <c r="BD497" s="47"/>
      <c r="BE497" s="47"/>
      <c r="BF497" s="47"/>
      <c r="BG497" s="47"/>
      <c r="BH497" s="47"/>
      <c r="BI497" s="47"/>
    </row>
    <row r="498" spans="1:61" ht="28.5" customHeight="1">
      <c r="A498" s="1"/>
      <c r="B498" s="333"/>
      <c r="C498" s="42" t="s">
        <v>33</v>
      </c>
      <c r="D498" s="28" t="e">
        <f t="shared" si="534"/>
        <v>#DIV/0!</v>
      </c>
      <c r="E498" s="166">
        <v>0.40799999999999997</v>
      </c>
      <c r="F498" s="30" t="e">
        <f t="shared" si="535"/>
        <v>#DIV/0!</v>
      </c>
      <c r="G498" s="30" t="e">
        <f t="shared" si="536"/>
        <v>#DIV/0!</v>
      </c>
      <c r="H498" s="35">
        <v>0</v>
      </c>
      <c r="I498" s="48"/>
      <c r="J498" s="48"/>
      <c r="K498" s="35"/>
      <c r="L498" s="310"/>
      <c r="M498" s="48">
        <v>191</v>
      </c>
      <c r="N498" s="202"/>
      <c r="O498" s="202"/>
      <c r="P498" s="31">
        <f t="shared" si="537"/>
        <v>0</v>
      </c>
      <c r="Q498" s="202"/>
      <c r="R498" s="203"/>
      <c r="S498" s="36"/>
      <c r="T498" s="34">
        <f t="shared" si="538"/>
        <v>0</v>
      </c>
      <c r="U498" s="31">
        <f t="shared" si="539"/>
        <v>0</v>
      </c>
      <c r="V498" s="34">
        <f t="shared" si="540"/>
        <v>0</v>
      </c>
      <c r="W498" s="43">
        <v>69790</v>
      </c>
      <c r="X498" s="34">
        <f t="shared" si="541"/>
        <v>26337.023999999998</v>
      </c>
      <c r="Y498" s="34">
        <f t="shared" si="542"/>
        <v>0</v>
      </c>
      <c r="Z498" s="34">
        <f t="shared" si="543"/>
        <v>0</v>
      </c>
      <c r="AA498" s="49"/>
      <c r="AB498" s="36"/>
      <c r="AC498" s="204">
        <f t="shared" si="551"/>
        <v>0</v>
      </c>
      <c r="AD498" s="149">
        <v>0.108</v>
      </c>
      <c r="AE498" s="31">
        <f t="shared" si="553"/>
        <v>0</v>
      </c>
      <c r="AF498" s="28" t="e">
        <f t="shared" si="545"/>
        <v>#DIV/0!</v>
      </c>
      <c r="AG498" s="34" t="e">
        <f t="shared" si="546"/>
        <v>#DIV/0!</v>
      </c>
      <c r="AH498" s="34" t="e">
        <f t="shared" si="547"/>
        <v>#DIV/0!</v>
      </c>
      <c r="AI498" s="34" t="e">
        <f t="shared" si="548"/>
        <v>#DIV/0!</v>
      </c>
      <c r="AJ498" s="46" t="e">
        <f t="shared" si="549"/>
        <v>#DIV/0!</v>
      </c>
      <c r="AK498" s="40">
        <v>106.5</v>
      </c>
      <c r="AL498" s="41">
        <f t="shared" si="550"/>
        <v>137.172</v>
      </c>
      <c r="AM498" s="202"/>
      <c r="AN498" s="205"/>
      <c r="AO498" s="1"/>
      <c r="AP498" s="1"/>
      <c r="AQ498" s="1"/>
      <c r="AR498" s="1"/>
      <c r="AS498" s="1"/>
      <c r="AT498" s="7"/>
      <c r="AU498" s="7"/>
      <c r="AV498" s="7"/>
      <c r="AW498" s="47"/>
      <c r="AX498" s="47"/>
      <c r="AY498" s="47"/>
      <c r="AZ498" s="47"/>
      <c r="BA498" s="47"/>
      <c r="BB498" s="47"/>
      <c r="BC498" s="47"/>
      <c r="BD498" s="47"/>
      <c r="BE498" s="47"/>
      <c r="BF498" s="47"/>
      <c r="BG498" s="47"/>
      <c r="BH498" s="47"/>
      <c r="BI498" s="47"/>
    </row>
    <row r="499" spans="1:61" ht="28.5" customHeight="1">
      <c r="A499" s="1"/>
      <c r="B499" s="333"/>
      <c r="C499" s="42" t="s">
        <v>149</v>
      </c>
      <c r="D499" s="28" t="e">
        <f t="shared" si="534"/>
        <v>#DIV/0!</v>
      </c>
      <c r="E499" s="166">
        <v>0.39600000000000002</v>
      </c>
      <c r="F499" s="30" t="e">
        <f t="shared" si="535"/>
        <v>#DIV/0!</v>
      </c>
      <c r="G499" s="30" t="e">
        <f t="shared" si="536"/>
        <v>#DIV/0!</v>
      </c>
      <c r="H499" s="35">
        <v>500</v>
      </c>
      <c r="I499" s="48"/>
      <c r="J499" s="48"/>
      <c r="K499" s="35"/>
      <c r="L499" s="312"/>
      <c r="M499" s="48"/>
      <c r="N499" s="202"/>
      <c r="O499" s="202"/>
      <c r="P499" s="31">
        <f t="shared" si="537"/>
        <v>0</v>
      </c>
      <c r="Q499" s="202"/>
      <c r="R499" s="203"/>
      <c r="S499" s="36"/>
      <c r="T499" s="34">
        <f t="shared" si="538"/>
        <v>0</v>
      </c>
      <c r="U499" s="31">
        <f t="shared" si="539"/>
        <v>0</v>
      </c>
      <c r="V499" s="34">
        <f t="shared" si="540"/>
        <v>0</v>
      </c>
      <c r="W499" s="43">
        <v>96690</v>
      </c>
      <c r="X499" s="34">
        <f t="shared" si="541"/>
        <v>36723.455999999998</v>
      </c>
      <c r="Y499" s="34">
        <f t="shared" si="542"/>
        <v>0</v>
      </c>
      <c r="Z499" s="34">
        <f t="shared" si="543"/>
        <v>0</v>
      </c>
      <c r="AA499" s="49"/>
      <c r="AB499" s="36"/>
      <c r="AC499" s="204">
        <f t="shared" si="551"/>
        <v>0</v>
      </c>
      <c r="AD499" s="149">
        <v>0.108</v>
      </c>
      <c r="AE499" s="31">
        <f t="shared" ref="AE499:AE500" si="554">6200*(P499+S499)</f>
        <v>0</v>
      </c>
      <c r="AF499" s="28" t="e">
        <f t="shared" si="545"/>
        <v>#DIV/0!</v>
      </c>
      <c r="AG499" s="34" t="e">
        <f t="shared" si="546"/>
        <v>#DIV/0!</v>
      </c>
      <c r="AH499" s="34" t="e">
        <f t="shared" si="547"/>
        <v>#DIV/0!</v>
      </c>
      <c r="AI499" s="34" t="e">
        <f t="shared" si="548"/>
        <v>#DIV/0!</v>
      </c>
      <c r="AJ499" s="206" t="e">
        <f t="shared" si="549"/>
        <v>#DIV/0!</v>
      </c>
      <c r="AK499" s="40">
        <v>148.5</v>
      </c>
      <c r="AL499" s="41">
        <f t="shared" si="550"/>
        <v>191.268</v>
      </c>
      <c r="AM499" s="202"/>
      <c r="AN499" s="205"/>
      <c r="AO499" s="1"/>
      <c r="AP499" s="1"/>
      <c r="AQ499" s="1"/>
      <c r="AR499" s="1"/>
      <c r="AS499" s="1"/>
      <c r="AT499" s="7"/>
      <c r="AU499" s="7"/>
      <c r="AV499" s="7"/>
      <c r="AW499" s="47"/>
      <c r="AX499" s="47"/>
      <c r="AY499" s="47"/>
      <c r="AZ499" s="47"/>
      <c r="BA499" s="47"/>
      <c r="BB499" s="47"/>
      <c r="BC499" s="47"/>
      <c r="BD499" s="47"/>
      <c r="BE499" s="47"/>
      <c r="BF499" s="47"/>
      <c r="BG499" s="47"/>
      <c r="BH499" s="47"/>
      <c r="BI499" s="47"/>
    </row>
    <row r="500" spans="1:61" ht="28.5" customHeight="1">
      <c r="A500" s="1"/>
      <c r="B500" s="324"/>
      <c r="C500" s="42" t="s">
        <v>150</v>
      </c>
      <c r="D500" s="28" t="e">
        <f t="shared" si="534"/>
        <v>#DIV/0!</v>
      </c>
      <c r="E500" s="166">
        <v>0.39</v>
      </c>
      <c r="F500" s="30" t="e">
        <f t="shared" si="535"/>
        <v>#DIV/0!</v>
      </c>
      <c r="G500" s="30" t="e">
        <f t="shared" si="536"/>
        <v>#DIV/0!</v>
      </c>
      <c r="H500" s="35">
        <v>0</v>
      </c>
      <c r="I500" s="283"/>
      <c r="J500" s="48"/>
      <c r="K500" s="35"/>
      <c r="L500" s="310"/>
      <c r="M500" s="48"/>
      <c r="N500" s="202"/>
      <c r="O500" s="202"/>
      <c r="P500" s="31">
        <f t="shared" si="537"/>
        <v>0</v>
      </c>
      <c r="Q500" s="202"/>
      <c r="R500" s="203"/>
      <c r="S500" s="36"/>
      <c r="T500" s="34">
        <f t="shared" si="538"/>
        <v>0</v>
      </c>
      <c r="U500" s="31">
        <f t="shared" si="539"/>
        <v>0</v>
      </c>
      <c r="V500" s="34">
        <f t="shared" si="540"/>
        <v>0</v>
      </c>
      <c r="W500" s="43">
        <v>106900</v>
      </c>
      <c r="X500" s="34">
        <f t="shared" si="541"/>
        <v>41916.671999999999</v>
      </c>
      <c r="Y500" s="34">
        <f t="shared" si="542"/>
        <v>0</v>
      </c>
      <c r="Z500" s="34">
        <f t="shared" si="543"/>
        <v>0</v>
      </c>
      <c r="AA500" s="49"/>
      <c r="AB500" s="36"/>
      <c r="AC500" s="204">
        <f t="shared" si="551"/>
        <v>0</v>
      </c>
      <c r="AD500" s="149">
        <v>0.108</v>
      </c>
      <c r="AE500" s="31">
        <f t="shared" si="554"/>
        <v>0</v>
      </c>
      <c r="AF500" s="28" t="e">
        <f t="shared" si="545"/>
        <v>#DIV/0!</v>
      </c>
      <c r="AG500" s="34" t="e">
        <f t="shared" si="546"/>
        <v>#DIV/0!</v>
      </c>
      <c r="AH500" s="34" t="e">
        <f t="shared" si="547"/>
        <v>#DIV/0!</v>
      </c>
      <c r="AI500" s="34" t="e">
        <f t="shared" si="548"/>
        <v>#DIV/0!</v>
      </c>
      <c r="AJ500" s="46" t="e">
        <f t="shared" si="549"/>
        <v>#DIV/0!</v>
      </c>
      <c r="AK500" s="40">
        <v>169.5</v>
      </c>
      <c r="AL500" s="41">
        <f t="shared" si="550"/>
        <v>218.316</v>
      </c>
      <c r="AM500" s="202"/>
      <c r="AN500" s="205"/>
      <c r="AO500" s="1"/>
      <c r="AP500" s="1"/>
      <c r="AQ500" s="1"/>
      <c r="AR500" s="1"/>
      <c r="AS500" s="1"/>
      <c r="AT500" s="7"/>
      <c r="AU500" s="7"/>
      <c r="AV500" s="7"/>
      <c r="AW500" s="47"/>
      <c r="AX500" s="47"/>
      <c r="AY500" s="47"/>
      <c r="AZ500" s="47"/>
      <c r="BA500" s="47"/>
      <c r="BB500" s="47"/>
      <c r="BC500" s="47"/>
      <c r="BD500" s="47"/>
      <c r="BE500" s="47"/>
      <c r="BF500" s="47"/>
      <c r="BG500" s="47"/>
      <c r="BH500" s="47"/>
      <c r="BI500" s="47"/>
    </row>
    <row r="501" spans="1:61" ht="28.5" customHeight="1">
      <c r="A501" s="1"/>
      <c r="B501" s="200"/>
      <c r="C501" s="42" t="s">
        <v>111</v>
      </c>
      <c r="D501" s="28" t="e">
        <f t="shared" si="534"/>
        <v>#DIV/0!</v>
      </c>
      <c r="E501" s="166">
        <v>0.41299999999999998</v>
      </c>
      <c r="F501" s="30" t="e">
        <f t="shared" si="535"/>
        <v>#DIV/0!</v>
      </c>
      <c r="G501" s="30" t="e">
        <f t="shared" si="536"/>
        <v>#DIV/0!</v>
      </c>
      <c r="H501" s="35">
        <v>1000</v>
      </c>
      <c r="I501" s="48"/>
      <c r="J501" s="48"/>
      <c r="K501" s="38"/>
      <c r="L501" s="38"/>
      <c r="M501" s="210"/>
      <c r="N501" s="202"/>
      <c r="O501" s="202"/>
      <c r="P501" s="31">
        <f t="shared" si="537"/>
        <v>0</v>
      </c>
      <c r="Q501" s="36"/>
      <c r="R501" s="203"/>
      <c r="S501" s="202"/>
      <c r="T501" s="34">
        <f t="shared" si="538"/>
        <v>0</v>
      </c>
      <c r="U501" s="31">
        <f t="shared" si="539"/>
        <v>0</v>
      </c>
      <c r="V501" s="34">
        <f t="shared" si="540"/>
        <v>0</v>
      </c>
      <c r="W501" s="43">
        <v>16980</v>
      </c>
      <c r="X501" s="34">
        <f t="shared" si="541"/>
        <v>5687.8080000000009</v>
      </c>
      <c r="Y501" s="34">
        <f t="shared" si="542"/>
        <v>0</v>
      </c>
      <c r="Z501" s="34">
        <f t="shared" si="543"/>
        <v>0</v>
      </c>
      <c r="AA501" s="49"/>
      <c r="AB501" s="287"/>
      <c r="AC501" s="204">
        <f t="shared" si="551"/>
        <v>0</v>
      </c>
      <c r="AD501" s="149">
        <v>7.8E-2</v>
      </c>
      <c r="AE501" s="31">
        <f>2900*(P501+S501)</f>
        <v>0</v>
      </c>
      <c r="AF501" s="28" t="e">
        <f t="shared" si="545"/>
        <v>#DIV/0!</v>
      </c>
      <c r="AG501" s="34" t="e">
        <f t="shared" si="546"/>
        <v>#DIV/0!</v>
      </c>
      <c r="AH501" s="34" t="e">
        <f t="shared" si="547"/>
        <v>#DIV/0!</v>
      </c>
      <c r="AI501" s="34" t="e">
        <f t="shared" si="548"/>
        <v>#DIV/0!</v>
      </c>
      <c r="AJ501" s="46" t="e">
        <f t="shared" si="549"/>
        <v>#DIV/0!</v>
      </c>
      <c r="AK501" s="40">
        <v>23</v>
      </c>
      <c r="AL501" s="41">
        <f t="shared" si="550"/>
        <v>29.624000000000002</v>
      </c>
      <c r="AM501" s="202"/>
      <c r="AN501" s="205"/>
      <c r="AO501" s="1"/>
      <c r="AP501" s="1"/>
      <c r="AQ501" s="1"/>
      <c r="AR501" s="1"/>
      <c r="AS501" s="1"/>
      <c r="AT501" s="7"/>
      <c r="AU501" s="7"/>
      <c r="AV501" s="7"/>
      <c r="AW501" s="47"/>
      <c r="AX501" s="47"/>
      <c r="AY501" s="47"/>
      <c r="AZ501" s="47"/>
      <c r="BA501" s="47"/>
      <c r="BB501" s="47"/>
      <c r="BC501" s="47"/>
      <c r="BD501" s="47"/>
      <c r="BE501" s="47"/>
      <c r="BF501" s="47"/>
      <c r="BG501" s="47"/>
      <c r="BH501" s="47"/>
      <c r="BI501" s="47"/>
    </row>
    <row r="502" spans="1:61" ht="28.5" customHeight="1">
      <c r="A502" s="1"/>
      <c r="B502" s="207"/>
      <c r="C502" s="42" t="s">
        <v>151</v>
      </c>
      <c r="D502" s="28" t="e">
        <f t="shared" si="534"/>
        <v>#DIV/0!</v>
      </c>
      <c r="E502" s="303">
        <v>0.27600000000000002</v>
      </c>
      <c r="F502" s="30" t="e">
        <f t="shared" si="535"/>
        <v>#DIV/0!</v>
      </c>
      <c r="G502" s="30" t="e">
        <f t="shared" si="536"/>
        <v>#DIV/0!</v>
      </c>
      <c r="H502" s="35">
        <v>0</v>
      </c>
      <c r="I502" s="48"/>
      <c r="J502" s="48"/>
      <c r="K502" s="38"/>
      <c r="L502" s="309"/>
      <c r="M502" s="210"/>
      <c r="N502" s="202"/>
      <c r="O502" s="202"/>
      <c r="P502" s="31">
        <f t="shared" si="537"/>
        <v>0</v>
      </c>
      <c r="Q502" s="36"/>
      <c r="R502" s="203"/>
      <c r="S502" s="36"/>
      <c r="T502" s="34">
        <f t="shared" si="538"/>
        <v>0</v>
      </c>
      <c r="U502" s="31">
        <f t="shared" si="539"/>
        <v>0</v>
      </c>
      <c r="V502" s="34">
        <f t="shared" si="540"/>
        <v>0</v>
      </c>
      <c r="W502" s="43">
        <v>9280</v>
      </c>
      <c r="X502" s="34">
        <f t="shared" si="541"/>
        <v>3462.1440000000002</v>
      </c>
      <c r="Y502" s="34">
        <f t="shared" si="542"/>
        <v>0</v>
      </c>
      <c r="Z502" s="34">
        <f t="shared" si="543"/>
        <v>0</v>
      </c>
      <c r="AA502" s="49"/>
      <c r="AB502" s="209"/>
      <c r="AC502" s="204">
        <f t="shared" si="551"/>
        <v>0</v>
      </c>
      <c r="AD502" s="149">
        <v>0.1</v>
      </c>
      <c r="AE502" s="31">
        <f t="shared" ref="AE502:AE503" si="555">1900*(P502+S502)</f>
        <v>0</v>
      </c>
      <c r="AF502" s="28" t="e">
        <f t="shared" si="545"/>
        <v>#DIV/0!</v>
      </c>
      <c r="AG502" s="34" t="e">
        <f t="shared" si="546"/>
        <v>#DIV/0!</v>
      </c>
      <c r="AH502" s="34" t="e">
        <f t="shared" si="547"/>
        <v>#DIV/0!</v>
      </c>
      <c r="AI502" s="34" t="e">
        <f t="shared" si="548"/>
        <v>#DIV/0!</v>
      </c>
      <c r="AJ502" s="206" t="e">
        <f t="shared" si="549"/>
        <v>#DIV/0!</v>
      </c>
      <c r="AK502" s="40">
        <v>14</v>
      </c>
      <c r="AL502" s="41">
        <f t="shared" si="550"/>
        <v>18.032</v>
      </c>
      <c r="AM502" s="202"/>
      <c r="AN502" s="205"/>
      <c r="AO502" s="1"/>
      <c r="AP502" s="1"/>
      <c r="AQ502" s="1"/>
      <c r="AR502" s="1"/>
      <c r="AS502" s="1"/>
      <c r="AT502" s="7"/>
      <c r="AU502" s="7"/>
      <c r="AV502" s="7"/>
      <c r="AW502" s="47"/>
      <c r="AX502" s="47"/>
      <c r="AY502" s="47"/>
      <c r="AZ502" s="47"/>
      <c r="BA502" s="47"/>
      <c r="BB502" s="47"/>
      <c r="BC502" s="47"/>
      <c r="BD502" s="47"/>
      <c r="BE502" s="47"/>
      <c r="BF502" s="47"/>
      <c r="BG502" s="47"/>
      <c r="BH502" s="47"/>
      <c r="BI502" s="47"/>
    </row>
    <row r="503" spans="1:61" ht="28.5" customHeight="1">
      <c r="A503" s="1"/>
      <c r="B503" s="212"/>
      <c r="C503" s="42" t="s">
        <v>152</v>
      </c>
      <c r="D503" s="28" t="e">
        <f t="shared" si="534"/>
        <v>#DIV/0!</v>
      </c>
      <c r="E503" s="303">
        <v>0.39700000000000002</v>
      </c>
      <c r="F503" s="30" t="e">
        <f t="shared" si="535"/>
        <v>#DIV/0!</v>
      </c>
      <c r="G503" s="30" t="e">
        <f t="shared" si="536"/>
        <v>#DIV/0!</v>
      </c>
      <c r="H503" s="35">
        <v>0</v>
      </c>
      <c r="I503" s="48"/>
      <c r="J503" s="48"/>
      <c r="K503" s="38"/>
      <c r="L503" s="310"/>
      <c r="M503" s="210"/>
      <c r="N503" s="202"/>
      <c r="O503" s="202"/>
      <c r="P503" s="31">
        <f t="shared" si="537"/>
        <v>0</v>
      </c>
      <c r="Q503" s="36"/>
      <c r="R503" s="203"/>
      <c r="S503" s="36"/>
      <c r="T503" s="34">
        <f t="shared" si="538"/>
        <v>0</v>
      </c>
      <c r="U503" s="31">
        <f t="shared" si="539"/>
        <v>0</v>
      </c>
      <c r="V503" s="34">
        <f t="shared" si="540"/>
        <v>0</v>
      </c>
      <c r="W503" s="43">
        <v>18650</v>
      </c>
      <c r="X503" s="34">
        <f t="shared" si="541"/>
        <v>6924.2880000000005</v>
      </c>
      <c r="Y503" s="34">
        <f t="shared" si="542"/>
        <v>0</v>
      </c>
      <c r="Z503" s="34">
        <f t="shared" si="543"/>
        <v>0</v>
      </c>
      <c r="AA503" s="49"/>
      <c r="AB503" s="36"/>
      <c r="AC503" s="204">
        <f t="shared" si="551"/>
        <v>0</v>
      </c>
      <c r="AD503" s="149">
        <v>0.1</v>
      </c>
      <c r="AE503" s="31">
        <f t="shared" si="555"/>
        <v>0</v>
      </c>
      <c r="AF503" s="28" t="e">
        <f t="shared" si="545"/>
        <v>#DIV/0!</v>
      </c>
      <c r="AG503" s="34" t="e">
        <f t="shared" si="546"/>
        <v>#DIV/0!</v>
      </c>
      <c r="AH503" s="34" t="e">
        <f t="shared" si="547"/>
        <v>#DIV/0!</v>
      </c>
      <c r="AI503" s="34" t="e">
        <f t="shared" si="548"/>
        <v>#DIV/0!</v>
      </c>
      <c r="AJ503" s="206" t="e">
        <f t="shared" si="549"/>
        <v>#DIV/0!</v>
      </c>
      <c r="AK503" s="40">
        <v>28</v>
      </c>
      <c r="AL503" s="41">
        <f t="shared" si="550"/>
        <v>36.064</v>
      </c>
      <c r="AM503" s="202"/>
      <c r="AN503" s="205"/>
      <c r="AO503" s="1"/>
      <c r="AP503" s="1"/>
      <c r="AQ503" s="1"/>
      <c r="AR503" s="1"/>
      <c r="AS503" s="1"/>
      <c r="AT503" s="7"/>
      <c r="AU503" s="7"/>
      <c r="AV503" s="7"/>
      <c r="AW503" s="47"/>
      <c r="AX503" s="47"/>
      <c r="AY503" s="47"/>
      <c r="AZ503" s="47"/>
      <c r="BA503" s="47"/>
      <c r="BB503" s="47"/>
      <c r="BC503" s="47"/>
      <c r="BD503" s="47"/>
      <c r="BE503" s="47"/>
      <c r="BF503" s="47"/>
      <c r="BG503" s="47"/>
      <c r="BH503" s="47"/>
      <c r="BI503" s="47"/>
    </row>
    <row r="504" spans="1:61" ht="28.5" customHeight="1">
      <c r="A504" s="1"/>
      <c r="B504" s="323"/>
      <c r="C504" s="42" t="s">
        <v>112</v>
      </c>
      <c r="D504" s="28" t="e">
        <f t="shared" si="534"/>
        <v>#DIV/0!</v>
      </c>
      <c r="E504" s="166">
        <v>0.40300000000000002</v>
      </c>
      <c r="F504" s="30" t="e">
        <f t="shared" si="535"/>
        <v>#DIV/0!</v>
      </c>
      <c r="G504" s="30" t="e">
        <f t="shared" si="536"/>
        <v>#DIV/0!</v>
      </c>
      <c r="H504" s="312">
        <v>0</v>
      </c>
      <c r="I504" s="48"/>
      <c r="J504" s="48"/>
      <c r="K504" s="38"/>
      <c r="L504" s="309"/>
      <c r="M504" s="210"/>
      <c r="N504" s="202"/>
      <c r="O504" s="202"/>
      <c r="P504" s="31">
        <f t="shared" si="537"/>
        <v>0</v>
      </c>
      <c r="Q504" s="36"/>
      <c r="R504" s="203"/>
      <c r="S504" s="36"/>
      <c r="T504" s="34">
        <f t="shared" si="538"/>
        <v>0</v>
      </c>
      <c r="U504" s="31">
        <f t="shared" si="539"/>
        <v>0</v>
      </c>
      <c r="V504" s="34">
        <f t="shared" si="540"/>
        <v>0</v>
      </c>
      <c r="W504" s="43">
        <v>38300</v>
      </c>
      <c r="X504" s="34">
        <f t="shared" si="541"/>
        <v>15085.056</v>
      </c>
      <c r="Y504" s="34">
        <f t="shared" si="542"/>
        <v>0</v>
      </c>
      <c r="Z504" s="34">
        <f t="shared" si="543"/>
        <v>0</v>
      </c>
      <c r="AA504" s="49"/>
      <c r="AB504" s="36"/>
      <c r="AC504" s="204">
        <f t="shared" si="551"/>
        <v>0</v>
      </c>
      <c r="AD504" s="149">
        <v>0.08</v>
      </c>
      <c r="AE504" s="31">
        <f t="shared" ref="AE504:AE505" si="556">4150*(P504+S504)</f>
        <v>0</v>
      </c>
      <c r="AF504" s="28" t="e">
        <f t="shared" si="545"/>
        <v>#DIV/0!</v>
      </c>
      <c r="AG504" s="34" t="e">
        <f t="shared" si="546"/>
        <v>#DIV/0!</v>
      </c>
      <c r="AH504" s="34" t="e">
        <f t="shared" si="547"/>
        <v>#DIV/0!</v>
      </c>
      <c r="AI504" s="34" t="e">
        <f t="shared" si="548"/>
        <v>#DIV/0!</v>
      </c>
      <c r="AJ504" s="46" t="e">
        <f t="shared" si="549"/>
        <v>#DIV/0!</v>
      </c>
      <c r="AK504" s="40">
        <v>61</v>
      </c>
      <c r="AL504" s="41">
        <f t="shared" si="550"/>
        <v>78.567999999999998</v>
      </c>
      <c r="AM504" s="202"/>
      <c r="AN504" s="205"/>
      <c r="AO504" s="1"/>
      <c r="AP504" s="1"/>
      <c r="AQ504" s="1"/>
      <c r="AR504" s="1"/>
      <c r="AS504" s="1"/>
      <c r="AT504" s="7"/>
      <c r="AU504" s="7"/>
      <c r="AV504" s="7"/>
      <c r="AW504" s="47"/>
      <c r="AX504" s="47"/>
      <c r="AY504" s="47"/>
      <c r="AZ504" s="47"/>
      <c r="BA504" s="47"/>
      <c r="BB504" s="47"/>
      <c r="BC504" s="47"/>
      <c r="BD504" s="47"/>
      <c r="BE504" s="47"/>
      <c r="BF504" s="47"/>
      <c r="BG504" s="47"/>
      <c r="BH504" s="47"/>
      <c r="BI504" s="47"/>
    </row>
    <row r="505" spans="1:61" ht="28.5" customHeight="1">
      <c r="A505" s="1"/>
      <c r="B505" s="324"/>
      <c r="C505" s="42" t="s">
        <v>113</v>
      </c>
      <c r="D505" s="28" t="e">
        <f t="shared" si="534"/>
        <v>#DIV/0!</v>
      </c>
      <c r="E505" s="166">
        <v>0.36099999999999999</v>
      </c>
      <c r="F505" s="30" t="e">
        <f t="shared" si="535"/>
        <v>#DIV/0!</v>
      </c>
      <c r="G505" s="30" t="e">
        <f t="shared" si="536"/>
        <v>#DIV/0!</v>
      </c>
      <c r="H505" s="310"/>
      <c r="I505" s="48"/>
      <c r="J505" s="48"/>
      <c r="K505" s="38"/>
      <c r="L505" s="310"/>
      <c r="M505" s="210"/>
      <c r="N505" s="202"/>
      <c r="O505" s="202"/>
      <c r="P505" s="31">
        <f t="shared" si="537"/>
        <v>0</v>
      </c>
      <c r="Q505" s="36"/>
      <c r="R505" s="203"/>
      <c r="S505" s="36"/>
      <c r="T505" s="34">
        <f t="shared" si="538"/>
        <v>0</v>
      </c>
      <c r="U505" s="31">
        <f t="shared" si="539"/>
        <v>0</v>
      </c>
      <c r="V505" s="34">
        <f t="shared" si="540"/>
        <v>0</v>
      </c>
      <c r="W505" s="43">
        <v>42900</v>
      </c>
      <c r="X505" s="34">
        <f t="shared" si="541"/>
        <v>20278.272000000004</v>
      </c>
      <c r="Y505" s="34">
        <f t="shared" si="542"/>
        <v>0</v>
      </c>
      <c r="Z505" s="34">
        <f t="shared" si="543"/>
        <v>0</v>
      </c>
      <c r="AA505" s="49"/>
      <c r="AB505" s="209"/>
      <c r="AC505" s="204">
        <f t="shared" si="551"/>
        <v>0</v>
      </c>
      <c r="AD505" s="149">
        <v>7.8E-2</v>
      </c>
      <c r="AE505" s="31">
        <f t="shared" si="556"/>
        <v>0</v>
      </c>
      <c r="AF505" s="28" t="e">
        <f t="shared" si="545"/>
        <v>#DIV/0!</v>
      </c>
      <c r="AG505" s="34" t="e">
        <f t="shared" si="546"/>
        <v>#DIV/0!</v>
      </c>
      <c r="AH505" s="34" t="e">
        <f t="shared" si="547"/>
        <v>#DIV/0!</v>
      </c>
      <c r="AI505" s="34" t="e">
        <f t="shared" si="548"/>
        <v>#DIV/0!</v>
      </c>
      <c r="AJ505" s="206" t="e">
        <f t="shared" si="549"/>
        <v>#DIV/0!</v>
      </c>
      <c r="AK505" s="40">
        <v>82</v>
      </c>
      <c r="AL505" s="41">
        <f t="shared" si="550"/>
        <v>105.61600000000001</v>
      </c>
      <c r="AM505" s="202"/>
      <c r="AN505" s="205"/>
      <c r="AO505" s="1"/>
      <c r="AP505" s="1"/>
      <c r="AQ505" s="1"/>
      <c r="AR505" s="1"/>
      <c r="AS505" s="1"/>
      <c r="AT505" s="7"/>
      <c r="AU505" s="7"/>
      <c r="AV505" s="7"/>
      <c r="AW505" s="47"/>
      <c r="AX505" s="47"/>
      <c r="AY505" s="47"/>
      <c r="AZ505" s="47"/>
      <c r="BA505" s="47"/>
      <c r="BB505" s="47"/>
      <c r="BC505" s="47"/>
      <c r="BD505" s="47"/>
      <c r="BE505" s="47"/>
      <c r="BF505" s="47"/>
      <c r="BG505" s="47"/>
      <c r="BH505" s="47"/>
      <c r="BI505" s="47"/>
    </row>
    <row r="506" spans="1:61" ht="28.5" customHeight="1">
      <c r="A506" s="1"/>
      <c r="B506" s="200"/>
      <c r="C506" s="42" t="s">
        <v>154</v>
      </c>
      <c r="D506" s="28" t="e">
        <f t="shared" si="534"/>
        <v>#DIV/0!</v>
      </c>
      <c r="E506" s="303">
        <v>0.41299999999999998</v>
      </c>
      <c r="F506" s="30" t="e">
        <f t="shared" si="535"/>
        <v>#DIV/0!</v>
      </c>
      <c r="G506" s="30" t="e">
        <f t="shared" si="536"/>
        <v>#DIV/0!</v>
      </c>
      <c r="H506" s="35">
        <v>20000</v>
      </c>
      <c r="I506" s="48"/>
      <c r="J506" s="48"/>
      <c r="K506" s="38"/>
      <c r="L506" s="38"/>
      <c r="M506" s="210"/>
      <c r="N506" s="202"/>
      <c r="O506" s="202"/>
      <c r="P506" s="31">
        <f t="shared" si="537"/>
        <v>0</v>
      </c>
      <c r="Q506" s="202"/>
      <c r="R506" s="203"/>
      <c r="S506" s="202"/>
      <c r="T506" s="34">
        <f t="shared" si="538"/>
        <v>0</v>
      </c>
      <c r="U506" s="31">
        <f t="shared" si="539"/>
        <v>0</v>
      </c>
      <c r="V506" s="34">
        <f t="shared" si="540"/>
        <v>0</v>
      </c>
      <c r="W506" s="43">
        <v>11800</v>
      </c>
      <c r="X506" s="34">
        <f t="shared" si="541"/>
        <v>4006.1952000000001</v>
      </c>
      <c r="Y506" s="34">
        <f t="shared" si="542"/>
        <v>0</v>
      </c>
      <c r="Z506" s="34">
        <f t="shared" si="543"/>
        <v>0</v>
      </c>
      <c r="AA506" s="49"/>
      <c r="AB506" s="287"/>
      <c r="AC506" s="204">
        <f t="shared" si="551"/>
        <v>0</v>
      </c>
      <c r="AD506" s="149">
        <v>0.108</v>
      </c>
      <c r="AE506" s="31">
        <f>1900*(P506+S506)</f>
        <v>0</v>
      </c>
      <c r="AF506" s="28" t="e">
        <f t="shared" si="545"/>
        <v>#DIV/0!</v>
      </c>
      <c r="AG506" s="34" t="e">
        <f t="shared" si="546"/>
        <v>#DIV/0!</v>
      </c>
      <c r="AH506" s="34" t="e">
        <f t="shared" si="547"/>
        <v>#DIV/0!</v>
      </c>
      <c r="AI506" s="34" t="e">
        <f t="shared" si="548"/>
        <v>#DIV/0!</v>
      </c>
      <c r="AJ506" s="206" t="e">
        <f t="shared" si="549"/>
        <v>#DIV/0!</v>
      </c>
      <c r="AK506" s="40">
        <v>16.2</v>
      </c>
      <c r="AL506" s="41">
        <f t="shared" si="550"/>
        <v>20.865600000000001</v>
      </c>
      <c r="AM506" s="202"/>
      <c r="AN506" s="205"/>
      <c r="AO506" s="1"/>
      <c r="AP506" s="1"/>
      <c r="AQ506" s="1"/>
      <c r="AR506" s="1"/>
      <c r="AS506" s="1"/>
      <c r="AT506" s="7"/>
      <c r="AU506" s="7"/>
      <c r="AV506" s="7"/>
      <c r="AW506" s="47"/>
      <c r="AX506" s="47"/>
      <c r="AY506" s="47"/>
      <c r="AZ506" s="47"/>
      <c r="BA506" s="47"/>
      <c r="BB506" s="47"/>
      <c r="BC506" s="47"/>
      <c r="BD506" s="47"/>
      <c r="BE506" s="47"/>
      <c r="BF506" s="47"/>
      <c r="BG506" s="47"/>
      <c r="BH506" s="47"/>
      <c r="BI506" s="47"/>
    </row>
    <row r="507" spans="1:61" ht="28.5" customHeight="1">
      <c r="A507" s="1"/>
      <c r="B507" s="200"/>
      <c r="C507" s="42" t="s">
        <v>114</v>
      </c>
      <c r="D507" s="28" t="e">
        <f t="shared" si="534"/>
        <v>#DIV/0!</v>
      </c>
      <c r="E507" s="166">
        <v>0.35599999999999998</v>
      </c>
      <c r="F507" s="30" t="e">
        <f t="shared" si="535"/>
        <v>#DIV/0!</v>
      </c>
      <c r="G507" s="30" t="e">
        <f t="shared" si="536"/>
        <v>#DIV/0!</v>
      </c>
      <c r="H507" s="35">
        <v>1750</v>
      </c>
      <c r="I507" s="48"/>
      <c r="J507" s="48"/>
      <c r="K507" s="38"/>
      <c r="L507" s="38"/>
      <c r="M507" s="210"/>
      <c r="N507" s="202"/>
      <c r="O507" s="202"/>
      <c r="P507" s="31">
        <f t="shared" si="537"/>
        <v>0</v>
      </c>
      <c r="Q507" s="202"/>
      <c r="R507" s="203"/>
      <c r="S507" s="36"/>
      <c r="T507" s="34">
        <f t="shared" si="538"/>
        <v>0</v>
      </c>
      <c r="U507" s="31">
        <f t="shared" si="539"/>
        <v>0</v>
      </c>
      <c r="V507" s="34">
        <f t="shared" si="540"/>
        <v>0</v>
      </c>
      <c r="W507" s="43">
        <v>19000</v>
      </c>
      <c r="X507" s="34">
        <f t="shared" si="541"/>
        <v>7122.1247999999996</v>
      </c>
      <c r="Y507" s="34">
        <f t="shared" si="542"/>
        <v>0</v>
      </c>
      <c r="Z507" s="34">
        <f t="shared" si="543"/>
        <v>0</v>
      </c>
      <c r="AA507" s="49"/>
      <c r="AB507" s="209"/>
      <c r="AC507" s="204">
        <f t="shared" si="551"/>
        <v>0</v>
      </c>
      <c r="AD507" s="149">
        <v>0.08</v>
      </c>
      <c r="AE507" s="31">
        <f>3350*(P507+S507)</f>
        <v>0</v>
      </c>
      <c r="AF507" s="28" t="e">
        <f t="shared" si="545"/>
        <v>#DIV/0!</v>
      </c>
      <c r="AG507" s="34" t="e">
        <f t="shared" si="546"/>
        <v>#DIV/0!</v>
      </c>
      <c r="AH507" s="34" t="e">
        <f t="shared" si="547"/>
        <v>#DIV/0!</v>
      </c>
      <c r="AI507" s="34" t="e">
        <f t="shared" si="548"/>
        <v>#DIV/0!</v>
      </c>
      <c r="AJ507" s="46" t="e">
        <f t="shared" si="549"/>
        <v>#DIV/0!</v>
      </c>
      <c r="AK507" s="40">
        <v>28.8</v>
      </c>
      <c r="AL507" s="41">
        <f t="shared" si="550"/>
        <v>37.0944</v>
      </c>
      <c r="AM507" s="202"/>
      <c r="AN507" s="205"/>
      <c r="AO507" s="1"/>
      <c r="AP507" s="1"/>
      <c r="AQ507" s="1"/>
      <c r="AR507" s="1"/>
      <c r="AS507" s="1"/>
      <c r="AT507" s="7"/>
      <c r="AU507" s="7"/>
      <c r="AV507" s="7"/>
      <c r="AW507" s="47"/>
      <c r="AX507" s="47"/>
      <c r="AY507" s="47"/>
      <c r="AZ507" s="47"/>
      <c r="BA507" s="47"/>
      <c r="BB507" s="47"/>
      <c r="BC507" s="47"/>
      <c r="BD507" s="47"/>
      <c r="BE507" s="47"/>
      <c r="BF507" s="47"/>
      <c r="BG507" s="47"/>
      <c r="BH507" s="47"/>
      <c r="BI507" s="47"/>
    </row>
    <row r="508" spans="1:61" ht="28.5" customHeight="1">
      <c r="A508" s="1"/>
      <c r="B508" s="326"/>
      <c r="C508" s="42" t="s">
        <v>115</v>
      </c>
      <c r="D508" s="28" t="e">
        <f t="shared" si="534"/>
        <v>#DIV/0!</v>
      </c>
      <c r="E508" s="166">
        <v>0.45300000000000001</v>
      </c>
      <c r="F508" s="30" t="e">
        <f t="shared" si="535"/>
        <v>#DIV/0!</v>
      </c>
      <c r="G508" s="30" t="e">
        <f t="shared" si="536"/>
        <v>#DIV/0!</v>
      </c>
      <c r="H508" s="35">
        <v>0</v>
      </c>
      <c r="I508" s="48"/>
      <c r="J508" s="48"/>
      <c r="K508" s="38"/>
      <c r="L508" s="38"/>
      <c r="M508" s="210"/>
      <c r="N508" s="202"/>
      <c r="O508" s="202"/>
      <c r="P508" s="31">
        <f t="shared" si="537"/>
        <v>0</v>
      </c>
      <c r="Q508" s="202"/>
      <c r="R508" s="203"/>
      <c r="S508" s="36"/>
      <c r="T508" s="34">
        <f t="shared" si="538"/>
        <v>0</v>
      </c>
      <c r="U508" s="31">
        <f t="shared" si="539"/>
        <v>0</v>
      </c>
      <c r="V508" s="34">
        <f t="shared" si="540"/>
        <v>0</v>
      </c>
      <c r="W508" s="43">
        <v>54800</v>
      </c>
      <c r="X508" s="34">
        <f t="shared" si="541"/>
        <v>20030.976000000002</v>
      </c>
      <c r="Y508" s="34">
        <f t="shared" si="542"/>
        <v>0</v>
      </c>
      <c r="Z508" s="34">
        <f t="shared" si="543"/>
        <v>0</v>
      </c>
      <c r="AA508" s="49"/>
      <c r="AB508" s="36"/>
      <c r="AC508" s="204">
        <f t="shared" si="551"/>
        <v>0</v>
      </c>
      <c r="AD508" s="149">
        <v>7.8E-2</v>
      </c>
      <c r="AE508" s="31">
        <f t="shared" ref="AE508:AE509" si="557">4825*(P508+S508)</f>
        <v>0</v>
      </c>
      <c r="AF508" s="28" t="e">
        <f t="shared" si="545"/>
        <v>#DIV/0!</v>
      </c>
      <c r="AG508" s="34" t="e">
        <f t="shared" si="546"/>
        <v>#DIV/0!</v>
      </c>
      <c r="AH508" s="34" t="e">
        <f t="shared" si="547"/>
        <v>#DIV/0!</v>
      </c>
      <c r="AI508" s="34" t="e">
        <f t="shared" si="548"/>
        <v>#DIV/0!</v>
      </c>
      <c r="AJ508" s="46" t="e">
        <f t="shared" si="549"/>
        <v>#DIV/0!</v>
      </c>
      <c r="AK508" s="40">
        <v>81</v>
      </c>
      <c r="AL508" s="41">
        <f t="shared" si="550"/>
        <v>104.328</v>
      </c>
      <c r="AM508" s="202"/>
      <c r="AN508" s="205"/>
      <c r="AO508" s="1"/>
      <c r="AP508" s="1"/>
      <c r="AQ508" s="1"/>
      <c r="AR508" s="1"/>
      <c r="AS508" s="1"/>
      <c r="AT508" s="7"/>
      <c r="AU508" s="7"/>
      <c r="AV508" s="7"/>
      <c r="AW508" s="47"/>
      <c r="AX508" s="47"/>
      <c r="AY508" s="47"/>
      <c r="AZ508" s="47"/>
      <c r="BA508" s="47"/>
      <c r="BB508" s="47"/>
      <c r="BC508" s="47"/>
      <c r="BD508" s="47"/>
      <c r="BE508" s="47"/>
      <c r="BF508" s="47"/>
      <c r="BG508" s="47"/>
      <c r="BH508" s="47"/>
      <c r="BI508" s="47"/>
    </row>
    <row r="509" spans="1:61" ht="28.5" customHeight="1">
      <c r="A509" s="1"/>
      <c r="B509" s="324"/>
      <c r="C509" s="42" t="s">
        <v>116</v>
      </c>
      <c r="D509" s="28" t="e">
        <f t="shared" si="534"/>
        <v>#DIV/0!</v>
      </c>
      <c r="E509" s="166">
        <v>0.45300000000000001</v>
      </c>
      <c r="F509" s="30" t="e">
        <f t="shared" si="535"/>
        <v>#DIV/0!</v>
      </c>
      <c r="G509" s="30" t="e">
        <f t="shared" si="536"/>
        <v>#DIV/0!</v>
      </c>
      <c r="H509" s="35">
        <v>0</v>
      </c>
      <c r="I509" s="48"/>
      <c r="J509" s="48"/>
      <c r="K509" s="38"/>
      <c r="L509" s="38"/>
      <c r="M509" s="210"/>
      <c r="N509" s="202"/>
      <c r="O509" s="202"/>
      <c r="P509" s="31">
        <f t="shared" si="537"/>
        <v>0</v>
      </c>
      <c r="Q509" s="202"/>
      <c r="R509" s="203"/>
      <c r="S509" s="36"/>
      <c r="T509" s="34">
        <f t="shared" si="538"/>
        <v>0</v>
      </c>
      <c r="U509" s="31">
        <f t="shared" si="539"/>
        <v>0</v>
      </c>
      <c r="V509" s="34">
        <f t="shared" si="540"/>
        <v>0</v>
      </c>
      <c r="W509" s="43">
        <v>64800</v>
      </c>
      <c r="X509" s="34">
        <f t="shared" si="541"/>
        <v>25224.192000000003</v>
      </c>
      <c r="Y509" s="34">
        <f t="shared" si="542"/>
        <v>0</v>
      </c>
      <c r="Z509" s="34">
        <f t="shared" si="543"/>
        <v>0</v>
      </c>
      <c r="AA509" s="49"/>
      <c r="AB509" s="36"/>
      <c r="AC509" s="204">
        <f t="shared" si="551"/>
        <v>0</v>
      </c>
      <c r="AD509" s="149">
        <v>7.8E-2</v>
      </c>
      <c r="AE509" s="31">
        <f t="shared" si="557"/>
        <v>0</v>
      </c>
      <c r="AF509" s="28" t="e">
        <f t="shared" si="545"/>
        <v>#DIV/0!</v>
      </c>
      <c r="AG509" s="34" t="e">
        <f t="shared" si="546"/>
        <v>#DIV/0!</v>
      </c>
      <c r="AH509" s="34" t="e">
        <f t="shared" si="547"/>
        <v>#DIV/0!</v>
      </c>
      <c r="AI509" s="34" t="e">
        <f t="shared" si="548"/>
        <v>#DIV/0!</v>
      </c>
      <c r="AJ509" s="46" t="e">
        <f t="shared" si="549"/>
        <v>#DIV/0!</v>
      </c>
      <c r="AK509" s="40">
        <v>102</v>
      </c>
      <c r="AL509" s="41">
        <f t="shared" si="550"/>
        <v>131.376</v>
      </c>
      <c r="AM509" s="202"/>
      <c r="AN509" s="205"/>
      <c r="AO509" s="1"/>
      <c r="AP509" s="1"/>
      <c r="AQ509" s="1"/>
      <c r="AR509" s="1"/>
      <c r="AS509" s="1"/>
      <c r="AT509" s="7"/>
      <c r="AU509" s="7"/>
      <c r="AV509" s="7"/>
      <c r="AW509" s="47"/>
      <c r="AX509" s="47"/>
      <c r="AY509" s="47"/>
      <c r="AZ509" s="47"/>
      <c r="BA509" s="47"/>
      <c r="BB509" s="47"/>
      <c r="BC509" s="47"/>
      <c r="BD509" s="47"/>
      <c r="BE509" s="47"/>
      <c r="BF509" s="47"/>
      <c r="BG509" s="47"/>
      <c r="BH509" s="47"/>
      <c r="BI509" s="47"/>
    </row>
    <row r="510" spans="1:61" ht="28.5" customHeight="1">
      <c r="A510" s="1"/>
      <c r="B510" s="200"/>
      <c r="C510" s="42" t="s">
        <v>117</v>
      </c>
      <c r="D510" s="28" t="e">
        <f t="shared" si="534"/>
        <v>#DIV/0!</v>
      </c>
      <c r="E510" s="303">
        <v>0.51100000000000001</v>
      </c>
      <c r="F510" s="30" t="e">
        <f t="shared" si="535"/>
        <v>#DIV/0!</v>
      </c>
      <c r="G510" s="30" t="e">
        <f t="shared" si="536"/>
        <v>#DIV/0!</v>
      </c>
      <c r="H510" s="35">
        <v>4040</v>
      </c>
      <c r="I510" s="48"/>
      <c r="J510" s="48"/>
      <c r="K510" s="38"/>
      <c r="L510" s="38"/>
      <c r="M510" s="210"/>
      <c r="N510" s="202"/>
      <c r="O510" s="202"/>
      <c r="P510" s="31">
        <f t="shared" si="537"/>
        <v>0</v>
      </c>
      <c r="Q510" s="202"/>
      <c r="R510" s="203"/>
      <c r="S510" s="36"/>
      <c r="T510" s="34">
        <f t="shared" si="538"/>
        <v>0</v>
      </c>
      <c r="U510" s="31">
        <f t="shared" si="539"/>
        <v>0</v>
      </c>
      <c r="V510" s="34">
        <f t="shared" si="540"/>
        <v>0</v>
      </c>
      <c r="W510" s="43">
        <v>18710</v>
      </c>
      <c r="X510" s="34">
        <f t="shared" si="541"/>
        <v>4451.3280000000004</v>
      </c>
      <c r="Y510" s="34">
        <f t="shared" si="542"/>
        <v>0</v>
      </c>
      <c r="Z510" s="34">
        <f t="shared" si="543"/>
        <v>0</v>
      </c>
      <c r="AA510" s="49"/>
      <c r="AB510" s="36"/>
      <c r="AC510" s="204">
        <f t="shared" si="551"/>
        <v>0</v>
      </c>
      <c r="AD510" s="149">
        <v>7.8E-2</v>
      </c>
      <c r="AE510" s="31">
        <f t="shared" ref="AE510:AE512" si="558">1900*(P510+S510)</f>
        <v>0</v>
      </c>
      <c r="AF510" s="28" t="e">
        <f t="shared" si="545"/>
        <v>#DIV/0!</v>
      </c>
      <c r="AG510" s="34" t="e">
        <f t="shared" si="546"/>
        <v>#DIV/0!</v>
      </c>
      <c r="AH510" s="34" t="e">
        <f t="shared" si="547"/>
        <v>#DIV/0!</v>
      </c>
      <c r="AI510" s="34" t="e">
        <f t="shared" si="548"/>
        <v>#DIV/0!</v>
      </c>
      <c r="AJ510" s="46" t="e">
        <f t="shared" si="549"/>
        <v>#DIV/0!</v>
      </c>
      <c r="AK510" s="40">
        <v>18</v>
      </c>
      <c r="AL510" s="41">
        <f t="shared" si="550"/>
        <v>23.184000000000001</v>
      </c>
      <c r="AM510" s="202"/>
      <c r="AN510" s="205"/>
      <c r="AO510" s="1"/>
      <c r="AP510" s="1"/>
      <c r="AQ510" s="1"/>
      <c r="AR510" s="1"/>
      <c r="AS510" s="1"/>
      <c r="AT510" s="7"/>
      <c r="AU510" s="7"/>
      <c r="AV510" s="7"/>
      <c r="AW510" s="47"/>
      <c r="AX510" s="47"/>
      <c r="AY510" s="47"/>
      <c r="AZ510" s="47"/>
      <c r="BA510" s="47"/>
      <c r="BB510" s="47"/>
      <c r="BC510" s="47"/>
      <c r="BD510" s="47"/>
      <c r="BE510" s="47"/>
      <c r="BF510" s="47"/>
      <c r="BG510" s="47"/>
      <c r="BH510" s="47"/>
      <c r="BI510" s="47"/>
    </row>
    <row r="511" spans="1:61" ht="28.5" customHeight="1">
      <c r="A511" s="1"/>
      <c r="B511" s="200"/>
      <c r="C511" s="42" t="s">
        <v>31</v>
      </c>
      <c r="D511" s="28" t="e">
        <f t="shared" si="534"/>
        <v>#DIV/0!</v>
      </c>
      <c r="E511" s="303">
        <v>0.44700000000000001</v>
      </c>
      <c r="F511" s="30" t="e">
        <f t="shared" si="535"/>
        <v>#DIV/0!</v>
      </c>
      <c r="G511" s="30" t="e">
        <f t="shared" si="536"/>
        <v>#DIV/0!</v>
      </c>
      <c r="H511" s="35">
        <v>0</v>
      </c>
      <c r="I511" s="48"/>
      <c r="J511" s="48"/>
      <c r="K511" s="38"/>
      <c r="L511" s="38"/>
      <c r="M511" s="210"/>
      <c r="N511" s="202"/>
      <c r="O511" s="202"/>
      <c r="P511" s="31">
        <f t="shared" si="537"/>
        <v>0</v>
      </c>
      <c r="Q511" s="36"/>
      <c r="R511" s="203"/>
      <c r="S511" s="202"/>
      <c r="T511" s="34">
        <f t="shared" si="538"/>
        <v>0</v>
      </c>
      <c r="U511" s="31">
        <f t="shared" si="539"/>
        <v>0</v>
      </c>
      <c r="V511" s="34">
        <f t="shared" si="540"/>
        <v>0</v>
      </c>
      <c r="W511" s="43">
        <v>19800</v>
      </c>
      <c r="X511" s="34">
        <f t="shared" si="541"/>
        <v>7418.88</v>
      </c>
      <c r="Y511" s="34">
        <f t="shared" si="542"/>
        <v>0</v>
      </c>
      <c r="Z511" s="34">
        <f t="shared" si="543"/>
        <v>0</v>
      </c>
      <c r="AA511" s="49"/>
      <c r="AB511" s="287"/>
      <c r="AC511" s="204">
        <f t="shared" si="551"/>
        <v>0</v>
      </c>
      <c r="AD511" s="149">
        <v>0.08</v>
      </c>
      <c r="AE511" s="31">
        <f t="shared" si="558"/>
        <v>0</v>
      </c>
      <c r="AF511" s="28" t="e">
        <f t="shared" si="545"/>
        <v>#DIV/0!</v>
      </c>
      <c r="AG511" s="34" t="e">
        <f t="shared" si="546"/>
        <v>#DIV/0!</v>
      </c>
      <c r="AH511" s="34" t="e">
        <f t="shared" si="547"/>
        <v>#DIV/0!</v>
      </c>
      <c r="AI511" s="34" t="e">
        <f t="shared" si="548"/>
        <v>#DIV/0!</v>
      </c>
      <c r="AJ511" s="206" t="e">
        <f t="shared" si="549"/>
        <v>#DIV/0!</v>
      </c>
      <c r="AK511" s="40">
        <v>30</v>
      </c>
      <c r="AL511" s="41">
        <f t="shared" si="550"/>
        <v>38.64</v>
      </c>
      <c r="AM511" s="202"/>
      <c r="AN511" s="205"/>
      <c r="AO511" s="1"/>
      <c r="AP511" s="1"/>
      <c r="AQ511" s="1"/>
      <c r="AR511" s="1"/>
      <c r="AS511" s="1"/>
      <c r="AT511" s="7"/>
      <c r="AU511" s="7"/>
      <c r="AV511" s="7"/>
      <c r="AW511" s="47"/>
      <c r="AX511" s="47"/>
      <c r="AY511" s="47"/>
      <c r="AZ511" s="47"/>
      <c r="BA511" s="47"/>
      <c r="BB511" s="47"/>
      <c r="BC511" s="47"/>
      <c r="BD511" s="47"/>
      <c r="BE511" s="47"/>
      <c r="BF511" s="47"/>
      <c r="BG511" s="47"/>
      <c r="BH511" s="47"/>
      <c r="BI511" s="47"/>
    </row>
    <row r="512" spans="1:61" ht="28.5" customHeight="1">
      <c r="A512" s="1"/>
      <c r="B512" s="200"/>
      <c r="C512" s="42" t="s">
        <v>118</v>
      </c>
      <c r="D512" s="28" t="e">
        <f t="shared" si="534"/>
        <v>#DIV/0!</v>
      </c>
      <c r="E512" s="303">
        <v>0.36599999999999999</v>
      </c>
      <c r="F512" s="30" t="e">
        <f t="shared" si="535"/>
        <v>#DIV/0!</v>
      </c>
      <c r="G512" s="30" t="e">
        <f t="shared" si="536"/>
        <v>#DIV/0!</v>
      </c>
      <c r="H512" s="35">
        <v>0</v>
      </c>
      <c r="I512" s="48"/>
      <c r="J512" s="48"/>
      <c r="K512" s="38"/>
      <c r="L512" s="38"/>
      <c r="M512" s="210"/>
      <c r="N512" s="202"/>
      <c r="O512" s="202"/>
      <c r="P512" s="31">
        <f t="shared" si="537"/>
        <v>0</v>
      </c>
      <c r="Q512" s="36"/>
      <c r="R512" s="203"/>
      <c r="S512" s="36"/>
      <c r="T512" s="34">
        <f t="shared" si="538"/>
        <v>0</v>
      </c>
      <c r="U512" s="31">
        <f t="shared" si="539"/>
        <v>0</v>
      </c>
      <c r="V512" s="34">
        <f t="shared" si="540"/>
        <v>0</v>
      </c>
      <c r="W512" s="43">
        <v>24800</v>
      </c>
      <c r="X512" s="34">
        <f t="shared" si="541"/>
        <v>10386.432000000001</v>
      </c>
      <c r="Y512" s="34">
        <f t="shared" si="542"/>
        <v>0</v>
      </c>
      <c r="Z512" s="34">
        <f t="shared" si="543"/>
        <v>0</v>
      </c>
      <c r="AA512" s="49"/>
      <c r="AB512" s="209"/>
      <c r="AC512" s="204">
        <f t="shared" si="551"/>
        <v>0</v>
      </c>
      <c r="AD512" s="149">
        <v>0.1</v>
      </c>
      <c r="AE512" s="31">
        <f t="shared" si="558"/>
        <v>0</v>
      </c>
      <c r="AF512" s="28" t="e">
        <f t="shared" si="545"/>
        <v>#DIV/0!</v>
      </c>
      <c r="AG512" s="34" t="e">
        <f t="shared" si="546"/>
        <v>#DIV/0!</v>
      </c>
      <c r="AH512" s="34" t="e">
        <f t="shared" si="547"/>
        <v>#DIV/0!</v>
      </c>
      <c r="AI512" s="34" t="e">
        <f t="shared" si="548"/>
        <v>#DIV/0!</v>
      </c>
      <c r="AJ512" s="206" t="e">
        <f t="shared" si="549"/>
        <v>#DIV/0!</v>
      </c>
      <c r="AK512" s="40">
        <v>42</v>
      </c>
      <c r="AL512" s="41">
        <f t="shared" si="550"/>
        <v>54.096000000000004</v>
      </c>
      <c r="AM512" s="202"/>
      <c r="AN512" s="284"/>
      <c r="AO512" s="1"/>
      <c r="AP512" s="1"/>
      <c r="AQ512" s="1"/>
      <c r="AR512" s="1"/>
      <c r="AS512" s="1"/>
      <c r="AT512" s="7"/>
      <c r="AU512" s="7"/>
      <c r="AV512" s="7"/>
      <c r="AW512" s="47"/>
      <c r="AX512" s="47"/>
      <c r="AY512" s="47"/>
      <c r="AZ512" s="47"/>
      <c r="BA512" s="47"/>
      <c r="BB512" s="47"/>
      <c r="BC512" s="47"/>
      <c r="BD512" s="47"/>
      <c r="BE512" s="47"/>
      <c r="BF512" s="47"/>
      <c r="BG512" s="47"/>
      <c r="BH512" s="47"/>
      <c r="BI512" s="47"/>
    </row>
    <row r="513" spans="1:61" ht="28.5" customHeight="1">
      <c r="A513" s="1"/>
      <c r="B513" s="305" t="s">
        <v>163</v>
      </c>
      <c r="C513" s="42" t="s">
        <v>119</v>
      </c>
      <c r="D513" s="28" t="e">
        <f t="shared" si="534"/>
        <v>#DIV/0!</v>
      </c>
      <c r="E513" s="166">
        <v>0.433</v>
      </c>
      <c r="F513" s="30" t="e">
        <f t="shared" si="535"/>
        <v>#DIV/0!</v>
      </c>
      <c r="G513" s="30" t="e">
        <f t="shared" si="536"/>
        <v>#DIV/0!</v>
      </c>
      <c r="H513" s="35">
        <v>1000</v>
      </c>
      <c r="I513" s="48"/>
      <c r="J513" s="48"/>
      <c r="K513" s="38"/>
      <c r="L513" s="38"/>
      <c r="M513" s="210"/>
      <c r="N513" s="202"/>
      <c r="O513" s="202"/>
      <c r="P513" s="31">
        <f t="shared" si="537"/>
        <v>0</v>
      </c>
      <c r="Q513" s="202"/>
      <c r="R513" s="203"/>
      <c r="S513" s="36"/>
      <c r="T513" s="34">
        <f t="shared" si="538"/>
        <v>0</v>
      </c>
      <c r="U513" s="31">
        <f t="shared" si="539"/>
        <v>0</v>
      </c>
      <c r="V513" s="34">
        <f t="shared" si="540"/>
        <v>0</v>
      </c>
      <c r="W513" s="43">
        <v>24800</v>
      </c>
      <c r="X513" s="34">
        <f t="shared" si="541"/>
        <v>7666.1760000000013</v>
      </c>
      <c r="Y513" s="34">
        <f t="shared" si="542"/>
        <v>0</v>
      </c>
      <c r="Z513" s="34">
        <f t="shared" si="543"/>
        <v>0</v>
      </c>
      <c r="AA513" s="49"/>
      <c r="AB513" s="36"/>
      <c r="AC513" s="204">
        <f t="shared" si="551"/>
        <v>0</v>
      </c>
      <c r="AD513" s="149">
        <v>0.108</v>
      </c>
      <c r="AE513" s="31">
        <f>3150*(P513+S513)</f>
        <v>0</v>
      </c>
      <c r="AF513" s="28" t="e">
        <f t="shared" si="545"/>
        <v>#DIV/0!</v>
      </c>
      <c r="AG513" s="34" t="e">
        <f t="shared" si="546"/>
        <v>#DIV/0!</v>
      </c>
      <c r="AH513" s="34" t="e">
        <f t="shared" si="547"/>
        <v>#DIV/0!</v>
      </c>
      <c r="AI513" s="34" t="e">
        <f t="shared" si="548"/>
        <v>#DIV/0!</v>
      </c>
      <c r="AJ513" s="46" t="e">
        <f t="shared" si="549"/>
        <v>#DIV/0!</v>
      </c>
      <c r="AK513" s="40">
        <v>31</v>
      </c>
      <c r="AL513" s="41">
        <f t="shared" si="550"/>
        <v>39.928000000000004</v>
      </c>
      <c r="AM513" s="202"/>
      <c r="AN513" s="205"/>
      <c r="AO513" s="1"/>
      <c r="AP513" s="1"/>
      <c r="AQ513" s="1"/>
      <c r="AR513" s="1"/>
      <c r="AS513" s="1"/>
      <c r="AT513" s="7"/>
      <c r="AU513" s="7"/>
      <c r="AV513" s="7"/>
      <c r="AW513" s="47"/>
      <c r="AX513" s="47"/>
      <c r="AY513" s="47"/>
      <c r="AZ513" s="47"/>
      <c r="BA513" s="47"/>
      <c r="BB513" s="47"/>
      <c r="BC513" s="47"/>
      <c r="BD513" s="47"/>
      <c r="BE513" s="47"/>
      <c r="BF513" s="47"/>
      <c r="BG513" s="47"/>
      <c r="BH513" s="47"/>
      <c r="BI513" s="47"/>
    </row>
    <row r="514" spans="1:61" ht="28.5" customHeight="1">
      <c r="A514" s="1"/>
      <c r="B514" s="127"/>
      <c r="C514" s="42" t="s">
        <v>120</v>
      </c>
      <c r="D514" s="28" t="e">
        <f t="shared" si="534"/>
        <v>#DIV/0!</v>
      </c>
      <c r="E514" s="166">
        <v>0.41199999999999998</v>
      </c>
      <c r="F514" s="30" t="e">
        <f t="shared" si="535"/>
        <v>#DIV/0!</v>
      </c>
      <c r="G514" s="30" t="e">
        <f t="shared" si="536"/>
        <v>#DIV/0!</v>
      </c>
      <c r="H514" s="35"/>
      <c r="I514" s="48"/>
      <c r="J514" s="48"/>
      <c r="K514" s="38"/>
      <c r="L514" s="38"/>
      <c r="M514" s="210"/>
      <c r="N514" s="202"/>
      <c r="O514" s="202"/>
      <c r="P514" s="31">
        <f t="shared" si="537"/>
        <v>0</v>
      </c>
      <c r="Q514" s="36"/>
      <c r="R514" s="203"/>
      <c r="S514" s="36"/>
      <c r="T514" s="34">
        <f t="shared" si="538"/>
        <v>0</v>
      </c>
      <c r="U514" s="31">
        <f t="shared" si="539"/>
        <v>0</v>
      </c>
      <c r="V514" s="34">
        <f t="shared" si="540"/>
        <v>0</v>
      </c>
      <c r="W514" s="43">
        <v>39800</v>
      </c>
      <c r="X514" s="34">
        <f t="shared" si="541"/>
        <v>7666.1760000000013</v>
      </c>
      <c r="Y514" s="34">
        <f t="shared" si="542"/>
        <v>0</v>
      </c>
      <c r="Z514" s="34">
        <f t="shared" si="543"/>
        <v>0</v>
      </c>
      <c r="AA514" s="49"/>
      <c r="AB514" s="36"/>
      <c r="AC514" s="204">
        <f t="shared" si="551"/>
        <v>0</v>
      </c>
      <c r="AD514" s="152">
        <v>0.108</v>
      </c>
      <c r="AE514" s="31">
        <f>3550*(P514+S514)</f>
        <v>0</v>
      </c>
      <c r="AF514" s="28" t="e">
        <f t="shared" si="545"/>
        <v>#DIV/0!</v>
      </c>
      <c r="AG514" s="34" t="e">
        <f t="shared" si="546"/>
        <v>#DIV/0!</v>
      </c>
      <c r="AH514" s="34" t="e">
        <f t="shared" si="547"/>
        <v>#DIV/0!</v>
      </c>
      <c r="AI514" s="34" t="e">
        <f t="shared" si="548"/>
        <v>#DIV/0!</v>
      </c>
      <c r="AJ514" s="206" t="e">
        <f t="shared" si="549"/>
        <v>#DIV/0!</v>
      </c>
      <c r="AK514" s="40">
        <v>31</v>
      </c>
      <c r="AL514" s="41">
        <f t="shared" si="550"/>
        <v>39.928000000000004</v>
      </c>
      <c r="AM514" s="202"/>
      <c r="AN514" s="205"/>
      <c r="AO514" s="1"/>
      <c r="AP514" s="1"/>
      <c r="AQ514" s="1"/>
      <c r="AR514" s="1"/>
      <c r="AS514" s="1"/>
      <c r="AT514" s="7"/>
      <c r="AU514" s="7"/>
      <c r="AV514" s="7"/>
      <c r="AW514" s="47"/>
      <c r="AX514" s="47"/>
      <c r="AY514" s="47"/>
      <c r="AZ514" s="47"/>
      <c r="BA514" s="47"/>
      <c r="BB514" s="47"/>
      <c r="BC514" s="47"/>
      <c r="BD514" s="47"/>
      <c r="BE514" s="47"/>
      <c r="BF514" s="47"/>
      <c r="BG514" s="47"/>
      <c r="BH514" s="47"/>
      <c r="BI514" s="47"/>
    </row>
    <row r="515" spans="1:61" ht="28.5" customHeight="1">
      <c r="A515" s="1"/>
      <c r="B515" s="216"/>
      <c r="C515" s="217"/>
      <c r="D515" s="298" t="e">
        <f>AJ515/V515</f>
        <v>#DIV/0!</v>
      </c>
      <c r="E515" s="298" t="e">
        <f>AI515/V515</f>
        <v>#DIV/0!</v>
      </c>
      <c r="F515" s="52" t="e">
        <f>(Z515)/V515</f>
        <v>#DIV/0!</v>
      </c>
      <c r="G515" s="219"/>
      <c r="H515" s="289"/>
      <c r="I515" s="55"/>
      <c r="J515" s="55"/>
      <c r="K515" s="289"/>
      <c r="L515" s="289"/>
      <c r="M515" s="55"/>
      <c r="N515" s="130"/>
      <c r="O515" s="130">
        <f t="shared" ref="O515:R515" si="559">SUM(O493:O514)</f>
        <v>0</v>
      </c>
      <c r="P515" s="130">
        <f t="shared" si="559"/>
        <v>0</v>
      </c>
      <c r="Q515" s="130">
        <f t="shared" si="559"/>
        <v>0</v>
      </c>
      <c r="R515" s="130">
        <f t="shared" si="559"/>
        <v>0</v>
      </c>
      <c r="S515" s="36"/>
      <c r="T515" s="130">
        <f t="shared" ref="T515:V515" si="560">SUM(T493:T514)</f>
        <v>0</v>
      </c>
      <c r="U515" s="130">
        <f t="shared" si="560"/>
        <v>0</v>
      </c>
      <c r="V515" s="130">
        <f t="shared" si="560"/>
        <v>0</v>
      </c>
      <c r="W515" s="55"/>
      <c r="X515" s="130">
        <f t="shared" ref="X515:AC515" si="561">SUM(X493:X514)</f>
        <v>314387.4047999999</v>
      </c>
      <c r="Y515" s="130">
        <f t="shared" si="561"/>
        <v>0</v>
      </c>
      <c r="Z515" s="130">
        <f t="shared" si="561"/>
        <v>0</v>
      </c>
      <c r="AA515" s="130">
        <f t="shared" si="561"/>
        <v>0</v>
      </c>
      <c r="AB515" s="287">
        <f t="shared" si="561"/>
        <v>0</v>
      </c>
      <c r="AC515" s="130">
        <f t="shared" si="561"/>
        <v>0</v>
      </c>
      <c r="AD515" s="154">
        <v>0.09</v>
      </c>
      <c r="AE515" s="130">
        <f>SUM(AE493:AE514)</f>
        <v>0</v>
      </c>
      <c r="AF515" s="53" t="e">
        <f t="shared" si="545"/>
        <v>#DIV/0!</v>
      </c>
      <c r="AG515" s="56" t="e">
        <f t="shared" si="546"/>
        <v>#DIV/0!</v>
      </c>
      <c r="AH515" s="56" t="e">
        <f t="shared" si="547"/>
        <v>#DIV/0!</v>
      </c>
      <c r="AI515" s="56" t="e">
        <f t="shared" si="548"/>
        <v>#DIV/0!</v>
      </c>
      <c r="AJ515" s="46" t="e">
        <f>AI515-Z515-AB515</f>
        <v>#DIV/0!</v>
      </c>
      <c r="AK515" s="54"/>
      <c r="AL515" s="222"/>
      <c r="AM515" s="131">
        <f t="shared" ref="AM515:AN515" si="562">SUM(AM493:AM494)</f>
        <v>0</v>
      </c>
      <c r="AN515" s="132">
        <f t="shared" si="562"/>
        <v>0</v>
      </c>
      <c r="AO515" s="1"/>
      <c r="AP515" s="1"/>
      <c r="AQ515" s="1"/>
      <c r="AR515" s="1"/>
      <c r="AS515" s="1"/>
      <c r="AT515" s="7"/>
      <c r="AU515" s="7"/>
      <c r="AV515" s="7"/>
      <c r="AW515" s="47"/>
      <c r="AX515" s="47"/>
      <c r="AY515" s="47"/>
      <c r="AZ515" s="47"/>
      <c r="BA515" s="47"/>
      <c r="BB515" s="47"/>
      <c r="BC515" s="47"/>
      <c r="BD515" s="47"/>
      <c r="BE515" s="47"/>
      <c r="BF515" s="47"/>
      <c r="BG515" s="47"/>
      <c r="BH515" s="47"/>
      <c r="BI515" s="47"/>
    </row>
    <row r="516" spans="1:61" ht="28.5" customHeight="1">
      <c r="A516" s="1"/>
      <c r="B516" s="290"/>
      <c r="C516" s="291"/>
      <c r="D516" s="2"/>
      <c r="E516" s="2"/>
      <c r="F516" s="2"/>
      <c r="G516" s="2"/>
      <c r="H516" s="2"/>
      <c r="I516" s="2"/>
      <c r="J516" s="2"/>
      <c r="K516" s="2"/>
      <c r="L516" s="2"/>
      <c r="M516" s="2"/>
      <c r="N516" s="292"/>
      <c r="O516" s="292"/>
      <c r="P516" s="2"/>
      <c r="Q516" s="2"/>
      <c r="R516" s="2"/>
      <c r="S516" s="293"/>
      <c r="T516" s="2"/>
      <c r="U516" s="2"/>
      <c r="V516" s="2"/>
      <c r="W516" s="2"/>
      <c r="X516" s="2"/>
      <c r="Y516" s="2"/>
      <c r="Z516" s="2"/>
      <c r="AA516" s="2"/>
      <c r="AB516" s="2"/>
      <c r="AC516" s="2"/>
      <c r="AD516" s="2"/>
      <c r="AE516" s="2"/>
      <c r="AF516" s="1"/>
      <c r="AG516" s="1"/>
      <c r="AH516" s="1"/>
      <c r="AI516" s="1"/>
      <c r="AJ516" s="1"/>
      <c r="AK516" s="1"/>
      <c r="AL516" s="1"/>
      <c r="AM516" s="1"/>
      <c r="AN516" s="1"/>
      <c r="AO516" s="1"/>
      <c r="AP516" s="1"/>
      <c r="AQ516" s="1"/>
      <c r="AR516" s="1"/>
      <c r="AS516" s="1"/>
      <c r="AT516" s="7"/>
      <c r="AU516" s="7"/>
      <c r="AV516" s="7"/>
      <c r="AW516" s="47"/>
      <c r="AX516" s="47"/>
      <c r="AY516" s="47"/>
      <c r="AZ516" s="47"/>
      <c r="BA516" s="47"/>
      <c r="BB516" s="47"/>
      <c r="BC516" s="47"/>
      <c r="BD516" s="47"/>
      <c r="BE516" s="47"/>
      <c r="BF516" s="47"/>
      <c r="BG516" s="47"/>
      <c r="BH516" s="47"/>
      <c r="BI516" s="47"/>
    </row>
    <row r="517" spans="1:61" ht="28.5" customHeight="1">
      <c r="A517" s="1" t="s">
        <v>104</v>
      </c>
      <c r="B517" s="121"/>
      <c r="C517" s="241"/>
      <c r="D517" s="242" t="s">
        <v>0</v>
      </c>
      <c r="E517" s="242" t="s">
        <v>1</v>
      </c>
      <c r="F517" s="242" t="s">
        <v>2</v>
      </c>
      <c r="G517" s="242" t="s">
        <v>8</v>
      </c>
      <c r="H517" s="15" t="s">
        <v>10</v>
      </c>
      <c r="I517" s="243" t="s">
        <v>11</v>
      </c>
      <c r="J517" s="136" t="s">
        <v>12</v>
      </c>
      <c r="K517" s="136"/>
      <c r="L517" s="136" t="s">
        <v>13</v>
      </c>
      <c r="M517" s="136" t="s">
        <v>14</v>
      </c>
      <c r="N517" s="136"/>
      <c r="O517" s="136" t="s">
        <v>17</v>
      </c>
      <c r="P517" s="192" t="s">
        <v>18</v>
      </c>
      <c r="Q517" s="192" t="s">
        <v>19</v>
      </c>
      <c r="R517" s="244" t="s">
        <v>20</v>
      </c>
      <c r="S517" s="245" t="s">
        <v>21</v>
      </c>
      <c r="T517" s="245" t="s">
        <v>98</v>
      </c>
      <c r="U517" s="245" t="s">
        <v>99</v>
      </c>
      <c r="V517" s="245" t="s">
        <v>100</v>
      </c>
      <c r="W517" s="245" t="s">
        <v>22</v>
      </c>
      <c r="X517" s="246" t="s">
        <v>23</v>
      </c>
      <c r="Y517" s="246" t="s">
        <v>21</v>
      </c>
      <c r="Z517" s="246" t="s">
        <v>24</v>
      </c>
      <c r="AA517" s="246" t="s">
        <v>26</v>
      </c>
      <c r="AB517" s="247" t="s">
        <v>27</v>
      </c>
      <c r="AC517" s="129"/>
      <c r="AD517" s="306"/>
      <c r="AE517" s="187"/>
      <c r="AF517" s="187"/>
      <c r="AG517" s="187"/>
      <c r="AH517" s="187"/>
      <c r="AI517" s="306"/>
      <c r="AJ517" s="187"/>
      <c r="AK517" s="118"/>
      <c r="AL517" s="126"/>
      <c r="AM517" s="126"/>
      <c r="AN517" s="118"/>
      <c r="AO517" s="118"/>
      <c r="AP517" s="118"/>
      <c r="AQ517" s="126"/>
      <c r="AR517" s="126"/>
      <c r="AS517" s="126"/>
      <c r="AT517" s="118"/>
      <c r="AU517" s="118"/>
      <c r="AV517" s="118"/>
      <c r="AW517" s="118"/>
      <c r="AX517" s="118"/>
      <c r="AY517" s="118"/>
      <c r="AZ517" s="118"/>
      <c r="BA517" s="118"/>
      <c r="BB517" s="118"/>
      <c r="BC517" s="118"/>
      <c r="BD517" s="118"/>
      <c r="BE517" s="118"/>
      <c r="BF517" s="118"/>
      <c r="BG517" s="47"/>
      <c r="BH517" s="47"/>
      <c r="BI517" s="47"/>
    </row>
    <row r="518" spans="1:61" ht="28.5" customHeight="1">
      <c r="A518" s="1"/>
      <c r="B518" s="253"/>
      <c r="C518" s="151">
        <v>45870</v>
      </c>
      <c r="D518" s="45">
        <f t="shared" ref="D518:D550" si="563">AB518/M518</f>
        <v>0.17001249373705124</v>
      </c>
      <c r="E518" s="28">
        <f t="shared" ref="E518:E549" si="564">AA518/M518</f>
        <v>0.38092152708668242</v>
      </c>
      <c r="F518" s="30">
        <f t="shared" ref="F518:F549" si="565">(P518)/M518</f>
        <v>0.19158559363469124</v>
      </c>
      <c r="G518" s="31">
        <f>O30</f>
        <v>495</v>
      </c>
      <c r="H518" s="31">
        <f>Q30</f>
        <v>70</v>
      </c>
      <c r="I518" s="31">
        <f t="shared" ref="I518:J518" si="566">S30</f>
        <v>18</v>
      </c>
      <c r="J518" s="31">
        <f t="shared" si="566"/>
        <v>11998940</v>
      </c>
      <c r="K518" s="31"/>
      <c r="L518" s="31">
        <f>U30</f>
        <v>627300</v>
      </c>
      <c r="M518" s="34">
        <f t="shared" ref="M518:M548" si="567">J518-L518</f>
        <v>11371640</v>
      </c>
      <c r="N518" s="31"/>
      <c r="O518" s="31">
        <f>Y30</f>
        <v>4013564.6207999992</v>
      </c>
      <c r="P518" s="34">
        <f t="shared" ref="P518:P548" si="568">Q518*1.1</f>
        <v>2178642.4000000004</v>
      </c>
      <c r="Q518" s="31">
        <f t="shared" ref="Q518:R518" si="569">AA30</f>
        <v>1980584</v>
      </c>
      <c r="R518" s="31">
        <f t="shared" si="569"/>
        <v>219739.2</v>
      </c>
      <c r="S518" s="150">
        <v>0.09</v>
      </c>
      <c r="T518" s="31"/>
      <c r="U518" s="31"/>
      <c r="V518" s="31"/>
      <c r="W518" s="31">
        <f>AE30</f>
        <v>1521625</v>
      </c>
      <c r="X518" s="28">
        <f t="shared" ref="X518:X550" si="570">S518+(W518/M518)</f>
        <v>0.22380875581710288</v>
      </c>
      <c r="Y518" s="34">
        <f t="shared" ref="Y518:Y550" si="571">(M518*X518+3%)</f>
        <v>2545072.6299999994</v>
      </c>
      <c r="Z518" s="34">
        <f t="shared" ref="Z518:Z549" si="572">(M518)*10%-(O518+Y518)*10%</f>
        <v>481300.27492000011</v>
      </c>
      <c r="AA518" s="34">
        <f t="shared" ref="AA518:AA550" si="573">(M518)-(O518+Y518+Z518)</f>
        <v>4331702.4742800016</v>
      </c>
      <c r="AB518" s="256">
        <f t="shared" ref="AB518:AB548" si="574">AA518-P518-R518</f>
        <v>1933320.8742800013</v>
      </c>
      <c r="AC518" s="1"/>
      <c r="AD518" s="1"/>
      <c r="AE518" s="1"/>
      <c r="AF518" s="1"/>
      <c r="AG518" s="1"/>
      <c r="AH518" s="1"/>
      <c r="AI518" s="1"/>
      <c r="AJ518" s="1"/>
      <c r="AK518" s="1"/>
      <c r="AL518" s="1"/>
      <c r="AM518" s="1"/>
      <c r="AN518" s="1"/>
      <c r="AO518" s="1"/>
      <c r="AP518" s="1"/>
      <c r="AQ518" s="1"/>
      <c r="AR518" s="1"/>
      <c r="AS518" s="1"/>
      <c r="AT518" s="47"/>
      <c r="AU518" s="47"/>
      <c r="AV518" s="47"/>
      <c r="AW518" s="47"/>
      <c r="AX518" s="47"/>
      <c r="AY518" s="47"/>
      <c r="AZ518" s="47"/>
      <c r="BA518" s="47"/>
      <c r="BB518" s="47"/>
      <c r="BC518" s="47"/>
      <c r="BD518" s="47"/>
      <c r="BE518" s="47"/>
      <c r="BF518" s="47"/>
      <c r="BG518" s="47"/>
      <c r="BH518" s="47"/>
      <c r="BI518" s="47"/>
    </row>
    <row r="519" spans="1:61" ht="28.5" customHeight="1">
      <c r="A519" s="1"/>
      <c r="B519" s="253"/>
      <c r="C519" s="151">
        <v>45871</v>
      </c>
      <c r="D519" s="45">
        <f t="shared" si="563"/>
        <v>8.9612331358426792E-2</v>
      </c>
      <c r="E519" s="28">
        <f t="shared" si="564"/>
        <v>0.37917842633393989</v>
      </c>
      <c r="F519" s="30">
        <f t="shared" si="565"/>
        <v>0.26181977130890421</v>
      </c>
      <c r="G519" s="31">
        <f>O56</f>
        <v>356</v>
      </c>
      <c r="H519" s="31">
        <f>Q56</f>
        <v>55</v>
      </c>
      <c r="I519" s="31">
        <f t="shared" ref="I519:J519" si="575">S56</f>
        <v>21</v>
      </c>
      <c r="J519" s="31">
        <f t="shared" si="575"/>
        <v>9778420</v>
      </c>
      <c r="K519" s="31"/>
      <c r="L519" s="31">
        <f>U56</f>
        <v>667440</v>
      </c>
      <c r="M519" s="34">
        <f t="shared" si="567"/>
        <v>9110980</v>
      </c>
      <c r="N519" s="31"/>
      <c r="O519" s="31">
        <f>Y56</f>
        <v>3312925.5936000007</v>
      </c>
      <c r="P519" s="34">
        <f t="shared" si="568"/>
        <v>2385434.7000000002</v>
      </c>
      <c r="Q519" s="31">
        <f t="shared" ref="Q519:R519" si="576">AA56</f>
        <v>2168577</v>
      </c>
      <c r="R519" s="31">
        <f t="shared" si="576"/>
        <v>252796.2</v>
      </c>
      <c r="S519" s="150">
        <v>0.09</v>
      </c>
      <c r="T519" s="31"/>
      <c r="U519" s="31"/>
      <c r="V519" s="31"/>
      <c r="W519" s="31">
        <f>AE56</f>
        <v>1139525</v>
      </c>
      <c r="X519" s="28">
        <f t="shared" si="570"/>
        <v>0.21507161688424298</v>
      </c>
      <c r="Y519" s="34">
        <f t="shared" si="571"/>
        <v>1959513.2300000002</v>
      </c>
      <c r="Z519" s="34">
        <f t="shared" si="572"/>
        <v>383854.11763999995</v>
      </c>
      <c r="AA519" s="34">
        <f t="shared" si="573"/>
        <v>3454687.0587599995</v>
      </c>
      <c r="AB519" s="256">
        <f t="shared" si="574"/>
        <v>816456.15875999932</v>
      </c>
      <c r="AC519" s="1"/>
      <c r="AD519" s="1"/>
      <c r="AE519" s="1"/>
      <c r="AF519" s="1"/>
      <c r="AG519" s="1"/>
      <c r="AH519" s="1"/>
      <c r="AI519" s="1"/>
      <c r="AJ519" s="1"/>
      <c r="AK519" s="1"/>
      <c r="AL519" s="1"/>
      <c r="AM519" s="1"/>
      <c r="AN519" s="1"/>
      <c r="AO519" s="1"/>
      <c r="AP519" s="1"/>
      <c r="AQ519" s="1"/>
      <c r="AR519" s="1"/>
      <c r="AS519" s="1"/>
      <c r="AT519" s="47"/>
      <c r="AU519" s="47"/>
      <c r="AV519" s="47"/>
      <c r="AW519" s="47"/>
      <c r="AX519" s="47"/>
      <c r="AY519" s="47"/>
      <c r="AZ519" s="47"/>
      <c r="BA519" s="47"/>
      <c r="BB519" s="47"/>
      <c r="BC519" s="47"/>
      <c r="BD519" s="47"/>
      <c r="BE519" s="47"/>
      <c r="BF519" s="47"/>
      <c r="BG519" s="47"/>
      <c r="BH519" s="47"/>
      <c r="BI519" s="47"/>
    </row>
    <row r="520" spans="1:61" ht="28.5" customHeight="1">
      <c r="A520" s="1"/>
      <c r="B520" s="253"/>
      <c r="C520" s="151">
        <v>45872</v>
      </c>
      <c r="D520" s="45">
        <f t="shared" si="563"/>
        <v>0.1010031136082183</v>
      </c>
      <c r="E520" s="28">
        <f t="shared" si="564"/>
        <v>0.38657908928619866</v>
      </c>
      <c r="F520" s="30">
        <f t="shared" si="565"/>
        <v>0.26461257621974188</v>
      </c>
      <c r="G520" s="31">
        <f>O82</f>
        <v>399</v>
      </c>
      <c r="H520" s="31">
        <f>Q82</f>
        <v>35</v>
      </c>
      <c r="I520" s="31">
        <f t="shared" ref="I520:J520" si="577">S82</f>
        <v>17</v>
      </c>
      <c r="J520" s="31">
        <f t="shared" si="577"/>
        <v>10570330</v>
      </c>
      <c r="K520" s="31"/>
      <c r="L520" s="31">
        <f>U82</f>
        <v>613920</v>
      </c>
      <c r="M520" s="34">
        <f t="shared" si="567"/>
        <v>9956410</v>
      </c>
      <c r="N520" s="31"/>
      <c r="O520" s="31">
        <f>Y82</f>
        <v>3543158.1695999992</v>
      </c>
      <c r="P520" s="34">
        <f t="shared" si="568"/>
        <v>2634591.3000000003</v>
      </c>
      <c r="Q520" s="31">
        <f t="shared" ref="Q520:R520" si="578">AA82</f>
        <v>2395083</v>
      </c>
      <c r="R520" s="31">
        <f t="shared" si="578"/>
        <v>208720.2</v>
      </c>
      <c r="S520" s="150">
        <v>0.09</v>
      </c>
      <c r="T520" s="31"/>
      <c r="U520" s="31"/>
      <c r="V520" s="31"/>
      <c r="W520" s="31">
        <f>AE82</f>
        <v>1240575</v>
      </c>
      <c r="X520" s="28">
        <f t="shared" si="570"/>
        <v>0.21460063416432229</v>
      </c>
      <c r="Y520" s="34">
        <f t="shared" si="571"/>
        <v>2136651.9299999997</v>
      </c>
      <c r="Z520" s="34">
        <f t="shared" si="572"/>
        <v>427659.99004000018</v>
      </c>
      <c r="AA520" s="34">
        <f t="shared" si="573"/>
        <v>3848939.910360001</v>
      </c>
      <c r="AB520" s="256">
        <f t="shared" si="574"/>
        <v>1005628.4103600008</v>
      </c>
      <c r="AC520" s="1"/>
      <c r="AD520" s="1"/>
      <c r="AE520" s="1"/>
      <c r="AF520" s="1"/>
      <c r="AG520" s="1"/>
      <c r="AH520" s="1"/>
      <c r="AI520" s="1"/>
      <c r="AJ520" s="1"/>
      <c r="AK520" s="1"/>
      <c r="AL520" s="1"/>
      <c r="AM520" s="1"/>
      <c r="AN520" s="1"/>
      <c r="AO520" s="1"/>
      <c r="AP520" s="1"/>
      <c r="AQ520" s="1"/>
      <c r="AR520" s="1"/>
      <c r="AS520" s="1"/>
      <c r="AT520" s="47"/>
      <c r="AU520" s="47"/>
      <c r="AV520" s="47"/>
      <c r="AW520" s="47"/>
      <c r="AX520" s="47"/>
      <c r="AY520" s="47"/>
      <c r="AZ520" s="47"/>
      <c r="BA520" s="47"/>
      <c r="BB520" s="47"/>
      <c r="BC520" s="47"/>
      <c r="BD520" s="47"/>
      <c r="BE520" s="47"/>
      <c r="BF520" s="47"/>
      <c r="BG520" s="47"/>
      <c r="BH520" s="47"/>
      <c r="BI520" s="47"/>
    </row>
    <row r="521" spans="1:61" ht="28.5" customHeight="1">
      <c r="A521" s="1"/>
      <c r="B521" s="253"/>
      <c r="C521" s="151">
        <v>45873</v>
      </c>
      <c r="D521" s="45">
        <f t="shared" si="563"/>
        <v>0.13709664903114971</v>
      </c>
      <c r="E521" s="28">
        <f t="shared" si="564"/>
        <v>0.38869235331813162</v>
      </c>
      <c r="F521" s="30">
        <f t="shared" si="565"/>
        <v>0.25159570428698191</v>
      </c>
      <c r="G521" s="31">
        <f>O108</f>
        <v>380</v>
      </c>
      <c r="H521" s="31">
        <f>Q108</f>
        <v>61</v>
      </c>
      <c r="I521" s="31">
        <f t="shared" ref="I521:J521" si="579">S108</f>
        <v>0</v>
      </c>
      <c r="J521" s="31">
        <f t="shared" si="579"/>
        <v>9849820</v>
      </c>
      <c r="K521" s="31"/>
      <c r="L521" s="31">
        <f>S108</f>
        <v>0</v>
      </c>
      <c r="M521" s="34">
        <f t="shared" si="567"/>
        <v>9849820</v>
      </c>
      <c r="N521" s="31"/>
      <c r="O521" s="31">
        <f>Y108</f>
        <v>3526342.0416000001</v>
      </c>
      <c r="P521" s="34">
        <f t="shared" si="568"/>
        <v>2478172.4000000004</v>
      </c>
      <c r="Q521" s="31">
        <f t="shared" ref="Q521:R521" si="580">AA108</f>
        <v>2252884</v>
      </c>
      <c r="R521" s="31">
        <f t="shared" si="580"/>
        <v>0</v>
      </c>
      <c r="S521" s="150">
        <v>0.09</v>
      </c>
      <c r="T521" s="31"/>
      <c r="U521" s="31"/>
      <c r="V521" s="31"/>
      <c r="W521" s="31">
        <f>AE108</f>
        <v>1183050</v>
      </c>
      <c r="X521" s="28">
        <f t="shared" si="570"/>
        <v>0.21010879386628384</v>
      </c>
      <c r="Y521" s="34">
        <f t="shared" si="571"/>
        <v>2069533.8299999998</v>
      </c>
      <c r="Z521" s="34">
        <f t="shared" si="572"/>
        <v>425394.41284</v>
      </c>
      <c r="AA521" s="34">
        <f t="shared" si="573"/>
        <v>3828549.7155599995</v>
      </c>
      <c r="AB521" s="256">
        <f t="shared" si="574"/>
        <v>1350377.3155599991</v>
      </c>
      <c r="AC521" s="1"/>
      <c r="AD521" s="1"/>
      <c r="AE521" s="1"/>
      <c r="AF521" s="1"/>
      <c r="AG521" s="1"/>
      <c r="AH521" s="1"/>
      <c r="AI521" s="1"/>
      <c r="AJ521" s="1"/>
      <c r="AK521" s="1"/>
      <c r="AL521" s="1"/>
      <c r="AM521" s="1"/>
      <c r="AN521" s="1"/>
      <c r="AO521" s="1"/>
      <c r="AP521" s="1"/>
      <c r="AQ521" s="1"/>
      <c r="AR521" s="1"/>
      <c r="AS521" s="1"/>
      <c r="AT521" s="47"/>
      <c r="AU521" s="47"/>
      <c r="AV521" s="47"/>
      <c r="AW521" s="47"/>
      <c r="AX521" s="47"/>
      <c r="AY521" s="47"/>
      <c r="AZ521" s="47"/>
      <c r="BA521" s="47"/>
      <c r="BB521" s="47"/>
      <c r="BC521" s="47"/>
      <c r="BD521" s="47"/>
      <c r="BE521" s="47"/>
      <c r="BF521" s="47"/>
      <c r="BG521" s="47"/>
      <c r="BH521" s="47"/>
      <c r="BI521" s="47"/>
    </row>
    <row r="522" spans="1:61" ht="28.5" customHeight="1">
      <c r="A522" s="1"/>
      <c r="B522" s="253"/>
      <c r="C522" s="151">
        <v>45874</v>
      </c>
      <c r="D522" s="45">
        <f t="shared" si="563"/>
        <v>0.14109912585953385</v>
      </c>
      <c r="E522" s="28">
        <f t="shared" si="564"/>
        <v>0.38837795555867821</v>
      </c>
      <c r="F522" s="30">
        <f t="shared" si="565"/>
        <v>0.24727882969914439</v>
      </c>
      <c r="G522" s="31">
        <f>O134</f>
        <v>378</v>
      </c>
      <c r="H522" s="31">
        <f>Q134</f>
        <v>42</v>
      </c>
      <c r="I522" s="31">
        <f t="shared" ref="I522:J522" si="581">S134</f>
        <v>0</v>
      </c>
      <c r="J522" s="31">
        <f t="shared" si="581"/>
        <v>9963250</v>
      </c>
      <c r="K522" s="31"/>
      <c r="L522" s="31">
        <f>U134</f>
        <v>0</v>
      </c>
      <c r="M522" s="34">
        <f t="shared" si="567"/>
        <v>9963250</v>
      </c>
      <c r="N522" s="31"/>
      <c r="O522" s="31">
        <f>Y134</f>
        <v>3591405.6191999991</v>
      </c>
      <c r="P522" s="34">
        <f t="shared" si="568"/>
        <v>2463700.8000000003</v>
      </c>
      <c r="Q522" s="31">
        <f t="shared" ref="Q522:R522" si="582">AA134</f>
        <v>2239728</v>
      </c>
      <c r="R522" s="31">
        <f t="shared" si="582"/>
        <v>0</v>
      </c>
      <c r="S522" s="150">
        <v>0.09</v>
      </c>
      <c r="T522" s="31"/>
      <c r="U522" s="31"/>
      <c r="V522" s="31"/>
      <c r="W522" s="31">
        <f>AE134</f>
        <v>1175700</v>
      </c>
      <c r="X522" s="28">
        <f t="shared" si="570"/>
        <v>0.20800366346322735</v>
      </c>
      <c r="Y522" s="34">
        <f t="shared" si="571"/>
        <v>2072392.53</v>
      </c>
      <c r="Z522" s="34">
        <f t="shared" si="572"/>
        <v>429945.18508000008</v>
      </c>
      <c r="AA522" s="34">
        <f t="shared" si="573"/>
        <v>3869506.6657200009</v>
      </c>
      <c r="AB522" s="256">
        <f t="shared" si="574"/>
        <v>1405805.8657200006</v>
      </c>
      <c r="AC522" s="1"/>
      <c r="AD522" s="1"/>
      <c r="AE522" s="1"/>
      <c r="AF522" s="1"/>
      <c r="AG522" s="1"/>
      <c r="AH522" s="1"/>
      <c r="AI522" s="1"/>
      <c r="AJ522" s="1"/>
      <c r="AK522" s="1"/>
      <c r="AL522" s="1"/>
      <c r="AM522" s="1"/>
      <c r="AN522" s="1"/>
      <c r="AO522" s="1"/>
      <c r="AP522" s="1"/>
      <c r="AQ522" s="1"/>
      <c r="AR522" s="1"/>
      <c r="AS522" s="1"/>
      <c r="AT522" s="47"/>
      <c r="AU522" s="47"/>
      <c r="AV522" s="47"/>
      <c r="AW522" s="47"/>
      <c r="AX522" s="47"/>
      <c r="AY522" s="47"/>
      <c r="AZ522" s="47"/>
      <c r="BA522" s="47"/>
      <c r="BB522" s="47"/>
      <c r="BC522" s="47"/>
      <c r="BD522" s="47"/>
      <c r="BE522" s="47"/>
      <c r="BF522" s="47"/>
      <c r="BG522" s="47"/>
      <c r="BH522" s="47"/>
      <c r="BI522" s="47"/>
    </row>
    <row r="523" spans="1:61" ht="28.5" customHeight="1">
      <c r="A523" s="1"/>
      <c r="B523" s="253"/>
      <c r="C523" s="151">
        <v>45875</v>
      </c>
      <c r="D523" s="45">
        <f t="shared" si="563"/>
        <v>0.16520513485792748</v>
      </c>
      <c r="E523" s="28">
        <f t="shared" si="564"/>
        <v>0.38105724189675072</v>
      </c>
      <c r="F523" s="30">
        <f t="shared" si="565"/>
        <v>0.19113540900456938</v>
      </c>
      <c r="G523" s="31">
        <f>O160</f>
        <v>503</v>
      </c>
      <c r="H523" s="31">
        <f>Q160</f>
        <v>49</v>
      </c>
      <c r="I523" s="31">
        <f t="shared" ref="I523:J523" si="583">S160</f>
        <v>27</v>
      </c>
      <c r="J523" s="31">
        <f t="shared" si="583"/>
        <v>13366770</v>
      </c>
      <c r="K523" s="31"/>
      <c r="L523" s="31">
        <f>U160</f>
        <v>736960</v>
      </c>
      <c r="M523" s="34">
        <f t="shared" si="567"/>
        <v>12629810</v>
      </c>
      <c r="N523" s="31"/>
      <c r="O523" s="31">
        <f>Y160</f>
        <v>4579254.2207999993</v>
      </c>
      <c r="P523" s="34">
        <f t="shared" si="568"/>
        <v>2414003.9000000004</v>
      </c>
      <c r="Q523" s="31">
        <f t="shared" ref="Q523:R523" si="584">AA160</f>
        <v>2194549</v>
      </c>
      <c r="R523" s="31">
        <f t="shared" si="584"/>
        <v>312167.2</v>
      </c>
      <c r="S523" s="150">
        <v>0.09</v>
      </c>
      <c r="T523" s="31"/>
      <c r="U523" s="31"/>
      <c r="V523" s="31"/>
      <c r="W523" s="31">
        <f>AE160</f>
        <v>1566450</v>
      </c>
      <c r="X523" s="28">
        <f t="shared" si="570"/>
        <v>0.21402799408700526</v>
      </c>
      <c r="Y523" s="34">
        <f t="shared" si="571"/>
        <v>2703132.9299999997</v>
      </c>
      <c r="Z523" s="34">
        <f t="shared" si="572"/>
        <v>534742.28492000001</v>
      </c>
      <c r="AA523" s="34">
        <f t="shared" si="573"/>
        <v>4812680.5642800014</v>
      </c>
      <c r="AB523" s="256">
        <f t="shared" si="574"/>
        <v>2086509.4642800011</v>
      </c>
      <c r="AC523" s="1"/>
      <c r="AD523" s="1"/>
      <c r="AE523" s="1"/>
      <c r="AF523" s="1"/>
      <c r="AG523" s="1"/>
      <c r="AH523" s="1"/>
      <c r="AI523" s="1"/>
      <c r="AJ523" s="1"/>
      <c r="AK523" s="1"/>
      <c r="AL523" s="1"/>
      <c r="AM523" s="1"/>
      <c r="AN523" s="1"/>
      <c r="AO523" s="1"/>
      <c r="AP523" s="1"/>
      <c r="AQ523" s="1"/>
      <c r="AR523" s="1"/>
      <c r="AS523" s="1"/>
      <c r="AT523" s="47"/>
      <c r="AU523" s="47"/>
      <c r="AV523" s="47"/>
      <c r="AW523" s="47"/>
      <c r="AX523" s="47"/>
      <c r="AY523" s="47"/>
      <c r="AZ523" s="47"/>
      <c r="BA523" s="47"/>
      <c r="BB523" s="47"/>
      <c r="BC523" s="47"/>
      <c r="BD523" s="47"/>
      <c r="BE523" s="47"/>
      <c r="BF523" s="47"/>
      <c r="BG523" s="47"/>
      <c r="BH523" s="47"/>
      <c r="BI523" s="47"/>
    </row>
    <row r="524" spans="1:61" ht="28.5" customHeight="1">
      <c r="A524" s="1"/>
      <c r="B524" s="253"/>
      <c r="C524" s="151">
        <v>45876</v>
      </c>
      <c r="D524" s="45">
        <f t="shared" si="563"/>
        <v>0.12847623598283628</v>
      </c>
      <c r="E524" s="28">
        <f t="shared" si="564"/>
        <v>0.39067115365022625</v>
      </c>
      <c r="F524" s="30">
        <f t="shared" si="565"/>
        <v>0.22942381901554354</v>
      </c>
      <c r="G524" s="31">
        <f>O186</f>
        <v>397</v>
      </c>
      <c r="H524" s="31">
        <f>Q186</f>
        <v>59</v>
      </c>
      <c r="I524" s="31">
        <f t="shared" ref="I524:J524" si="585">S186</f>
        <v>29</v>
      </c>
      <c r="J524" s="31">
        <f t="shared" si="585"/>
        <v>10940960</v>
      </c>
      <c r="K524" s="31"/>
      <c r="L524" s="31">
        <f>U186</f>
        <v>756660</v>
      </c>
      <c r="M524" s="34">
        <f t="shared" si="567"/>
        <v>10184300</v>
      </c>
      <c r="N524" s="31"/>
      <c r="O524" s="31">
        <f>Y186</f>
        <v>3635671.6032000002</v>
      </c>
      <c r="P524" s="34">
        <f t="shared" si="568"/>
        <v>2336521</v>
      </c>
      <c r="Q524" s="31">
        <f t="shared" ref="Q524:R524" si="586">AA186</f>
        <v>2124110</v>
      </c>
      <c r="R524" s="31">
        <f t="shared" si="586"/>
        <v>333750.7</v>
      </c>
      <c r="S524" s="150">
        <v>0.09</v>
      </c>
      <c r="T524" s="31"/>
      <c r="U524" s="31"/>
      <c r="V524" s="31"/>
      <c r="W524" s="31">
        <f>AE186</f>
        <v>1211250</v>
      </c>
      <c r="X524" s="28">
        <f t="shared" si="570"/>
        <v>0.20893306363716702</v>
      </c>
      <c r="Y524" s="34">
        <f t="shared" si="571"/>
        <v>2127837.0299999998</v>
      </c>
      <c r="Z524" s="34">
        <f t="shared" si="572"/>
        <v>442079.13668</v>
      </c>
      <c r="AA524" s="34">
        <f t="shared" si="573"/>
        <v>3978712.2301199995</v>
      </c>
      <c r="AB524" s="256">
        <f t="shared" si="574"/>
        <v>1308440.5301199995</v>
      </c>
      <c r="AC524" s="1"/>
      <c r="AD524" s="1"/>
      <c r="AE524" s="1"/>
      <c r="AF524" s="1"/>
      <c r="AG524" s="1"/>
      <c r="AH524" s="1"/>
      <c r="AI524" s="1"/>
      <c r="AJ524" s="1"/>
      <c r="AK524" s="1"/>
      <c r="AL524" s="1"/>
      <c r="AM524" s="1"/>
      <c r="AN524" s="1"/>
      <c r="AO524" s="1"/>
      <c r="AP524" s="1"/>
      <c r="AQ524" s="1"/>
      <c r="AR524" s="1"/>
      <c r="AS524" s="1"/>
      <c r="AT524" s="47"/>
      <c r="AU524" s="47"/>
      <c r="AV524" s="47"/>
      <c r="AW524" s="47"/>
      <c r="AX524" s="47"/>
      <c r="AY524" s="47"/>
      <c r="AZ524" s="47"/>
      <c r="BA524" s="47"/>
      <c r="BB524" s="47"/>
      <c r="BC524" s="47"/>
      <c r="BD524" s="47"/>
      <c r="BE524" s="47"/>
      <c r="BF524" s="47"/>
      <c r="BG524" s="47"/>
      <c r="BH524" s="47"/>
      <c r="BI524" s="47"/>
    </row>
    <row r="525" spans="1:61" ht="28.5" customHeight="1">
      <c r="A525" s="1"/>
      <c r="B525" s="253"/>
      <c r="C525" s="151">
        <v>45877</v>
      </c>
      <c r="D525" s="45">
        <f t="shared" si="563"/>
        <v>0.13945321831439947</v>
      </c>
      <c r="E525" s="28">
        <f t="shared" si="564"/>
        <v>0.38632710368633177</v>
      </c>
      <c r="F525" s="30">
        <f t="shared" si="565"/>
        <v>0.2251187868322129</v>
      </c>
      <c r="G525" s="31">
        <f>O212</f>
        <v>426</v>
      </c>
      <c r="H525" s="31">
        <f>Q212</f>
        <v>50</v>
      </c>
      <c r="I525" s="31">
        <f t="shared" ref="I525:J525" si="587">S212</f>
        <v>20</v>
      </c>
      <c r="J525" s="31">
        <f t="shared" si="587"/>
        <v>11229300</v>
      </c>
      <c r="K525" s="31"/>
      <c r="L525" s="31">
        <f>U212</f>
        <v>620380</v>
      </c>
      <c r="M525" s="34">
        <f t="shared" si="567"/>
        <v>10608920</v>
      </c>
      <c r="N525" s="31"/>
      <c r="O525" s="31">
        <f>Y212</f>
        <v>3796463.4624000001</v>
      </c>
      <c r="P525" s="34">
        <f t="shared" si="568"/>
        <v>2388267.2000000002</v>
      </c>
      <c r="Q525" s="31">
        <f t="shared" ref="Q525:R525" si="588">AA212</f>
        <v>2171152</v>
      </c>
      <c r="R525" s="31">
        <f t="shared" si="588"/>
        <v>230798.1</v>
      </c>
      <c r="S525" s="150">
        <v>0.09</v>
      </c>
      <c r="T525" s="31"/>
      <c r="U525" s="31"/>
      <c r="V525" s="31"/>
      <c r="W525" s="31">
        <f>AE212</f>
        <v>1303750</v>
      </c>
      <c r="X525" s="28">
        <f t="shared" si="570"/>
        <v>0.21289186835229224</v>
      </c>
      <c r="Y525" s="34">
        <f t="shared" si="571"/>
        <v>2258552.83</v>
      </c>
      <c r="Z525" s="34">
        <f t="shared" si="572"/>
        <v>455390.37075999996</v>
      </c>
      <c r="AA525" s="34">
        <f t="shared" si="573"/>
        <v>4098513.3368399991</v>
      </c>
      <c r="AB525" s="256">
        <f t="shared" si="574"/>
        <v>1479448.0368399988</v>
      </c>
      <c r="AC525" s="1"/>
      <c r="AD525" s="1"/>
      <c r="AE525" s="1"/>
      <c r="AF525" s="1"/>
      <c r="AG525" s="1"/>
      <c r="AH525" s="1"/>
      <c r="AI525" s="1"/>
      <c r="AJ525" s="1"/>
      <c r="AK525" s="1"/>
      <c r="AL525" s="1"/>
      <c r="AM525" s="1"/>
      <c r="AN525" s="1"/>
      <c r="AO525" s="1"/>
      <c r="AP525" s="1"/>
      <c r="AQ525" s="1"/>
      <c r="AR525" s="1"/>
      <c r="AS525" s="1"/>
      <c r="AT525" s="47"/>
      <c r="AU525" s="47"/>
      <c r="AV525" s="47"/>
      <c r="AW525" s="47"/>
      <c r="AX525" s="47"/>
      <c r="AY525" s="47"/>
      <c r="AZ525" s="47"/>
      <c r="BA525" s="47"/>
      <c r="BB525" s="47"/>
      <c r="BC525" s="47"/>
      <c r="BD525" s="47"/>
      <c r="BE525" s="47"/>
      <c r="BF525" s="47"/>
      <c r="BG525" s="47"/>
      <c r="BH525" s="47"/>
      <c r="BI525" s="47"/>
    </row>
    <row r="526" spans="1:61" ht="28.5" customHeight="1">
      <c r="A526" s="1"/>
      <c r="B526" s="253"/>
      <c r="C526" s="151">
        <v>45878</v>
      </c>
      <c r="D526" s="45">
        <f t="shared" si="563"/>
        <v>0.1373597930025369</v>
      </c>
      <c r="E526" s="28">
        <f t="shared" si="564"/>
        <v>0.39783245739024514</v>
      </c>
      <c r="F526" s="30">
        <f t="shared" si="565"/>
        <v>0.23936595206871261</v>
      </c>
      <c r="G526" s="31">
        <f>O238</f>
        <v>396</v>
      </c>
      <c r="H526" s="31">
        <f>Q238</f>
        <v>60</v>
      </c>
      <c r="I526" s="31">
        <f t="shared" ref="I526:J526" si="589">S238</f>
        <v>20</v>
      </c>
      <c r="J526" s="31">
        <f t="shared" si="589"/>
        <v>11555200</v>
      </c>
      <c r="K526" s="31"/>
      <c r="L526" s="31">
        <f>U238</f>
        <v>620380</v>
      </c>
      <c r="M526" s="34">
        <f t="shared" si="567"/>
        <v>10934820</v>
      </c>
      <c r="N526" s="31"/>
      <c r="O526" s="31">
        <f>Y238</f>
        <v>3884451.3791999999</v>
      </c>
      <c r="P526" s="34">
        <f t="shared" si="568"/>
        <v>2617423.6</v>
      </c>
      <c r="Q526" s="31">
        <f t="shared" ref="Q526:R526" si="590">AA238</f>
        <v>2379476</v>
      </c>
      <c r="R526" s="31">
        <f t="shared" si="590"/>
        <v>230798.1</v>
      </c>
      <c r="S526" s="150">
        <v>0.09</v>
      </c>
      <c r="T526" s="31"/>
      <c r="U526" s="31"/>
      <c r="V526" s="31"/>
      <c r="W526" s="31">
        <f>AE238</f>
        <v>1232650</v>
      </c>
      <c r="X526" s="28">
        <f t="shared" si="570"/>
        <v>0.20272704991943169</v>
      </c>
      <c r="Y526" s="34">
        <f t="shared" si="571"/>
        <v>2216783.8299999996</v>
      </c>
      <c r="Z526" s="34">
        <f t="shared" si="572"/>
        <v>483358.47908000008</v>
      </c>
      <c r="AA526" s="34">
        <f t="shared" si="573"/>
        <v>4350226.3117200006</v>
      </c>
      <c r="AB526" s="256">
        <f t="shared" si="574"/>
        <v>1502004.6117200004</v>
      </c>
      <c r="AC526" s="1"/>
      <c r="AD526" s="1"/>
      <c r="AE526" s="1"/>
      <c r="AF526" s="1"/>
      <c r="AG526" s="1"/>
      <c r="AH526" s="1"/>
      <c r="AI526" s="1"/>
      <c r="AJ526" s="1"/>
      <c r="AK526" s="1"/>
      <c r="AL526" s="1"/>
      <c r="AM526" s="1"/>
      <c r="AN526" s="1"/>
      <c r="AO526" s="1"/>
      <c r="AP526" s="1"/>
      <c r="AQ526" s="1"/>
      <c r="AR526" s="1"/>
      <c r="AS526" s="1"/>
      <c r="AT526" s="47"/>
      <c r="AU526" s="47"/>
      <c r="AV526" s="47"/>
      <c r="AW526" s="47"/>
      <c r="AX526" s="47"/>
      <c r="AY526" s="47"/>
      <c r="AZ526" s="47"/>
      <c r="BA526" s="47"/>
      <c r="BB526" s="47"/>
      <c r="BC526" s="47"/>
      <c r="BD526" s="47"/>
      <c r="BE526" s="47"/>
      <c r="BF526" s="47"/>
      <c r="BG526" s="47"/>
      <c r="BH526" s="47"/>
      <c r="BI526" s="47"/>
    </row>
    <row r="527" spans="1:61" ht="28.5" customHeight="1">
      <c r="A527" s="1"/>
      <c r="B527" s="253"/>
      <c r="C527" s="151">
        <v>45879</v>
      </c>
      <c r="D527" s="45">
        <f t="shared" si="563"/>
        <v>0.11055352155698703</v>
      </c>
      <c r="E527" s="28">
        <f t="shared" si="564"/>
        <v>0.40245235726103107</v>
      </c>
      <c r="F527" s="30">
        <f t="shared" si="565"/>
        <v>0.26956899571008125</v>
      </c>
      <c r="G527" s="31">
        <f>O264</f>
        <v>387</v>
      </c>
      <c r="H527" s="31">
        <f>Q264</f>
        <v>55</v>
      </c>
      <c r="I527" s="31">
        <f t="shared" ref="I527:J527" si="591">S264</f>
        <v>20</v>
      </c>
      <c r="J527" s="31">
        <f t="shared" si="591"/>
        <v>10956240</v>
      </c>
      <c r="K527" s="31"/>
      <c r="L527" s="31">
        <f>U264</f>
        <v>620380</v>
      </c>
      <c r="M527" s="34">
        <f t="shared" si="567"/>
        <v>10335860</v>
      </c>
      <c r="N527" s="31"/>
      <c r="O527" s="31">
        <f>Y264</f>
        <v>3621328.4352000002</v>
      </c>
      <c r="P527" s="34">
        <f t="shared" si="568"/>
        <v>2786227.4000000004</v>
      </c>
      <c r="Q527" s="31">
        <f t="shared" ref="Q527:R527" si="592">AA264</f>
        <v>2532934</v>
      </c>
      <c r="R527" s="31">
        <f t="shared" si="592"/>
        <v>230798.1</v>
      </c>
      <c r="S527" s="150">
        <v>0.09</v>
      </c>
      <c r="T527" s="31"/>
      <c r="U527" s="31"/>
      <c r="V527" s="31"/>
      <c r="W527" s="31">
        <f>AE264</f>
        <v>1162425</v>
      </c>
      <c r="X527" s="28">
        <f t="shared" si="570"/>
        <v>0.20246524236976893</v>
      </c>
      <c r="Y527" s="34">
        <f t="shared" si="571"/>
        <v>2092652.43</v>
      </c>
      <c r="Z527" s="34">
        <f t="shared" si="572"/>
        <v>462187.91347999999</v>
      </c>
      <c r="AA527" s="34">
        <f t="shared" si="573"/>
        <v>4159691.2213200005</v>
      </c>
      <c r="AB527" s="256">
        <f t="shared" si="574"/>
        <v>1142665.72132</v>
      </c>
      <c r="AC527" s="1"/>
      <c r="AD527" s="1"/>
      <c r="AE527" s="1"/>
      <c r="AF527" s="1"/>
      <c r="AG527" s="1"/>
      <c r="AH527" s="1"/>
      <c r="AI527" s="1"/>
      <c r="AJ527" s="1"/>
      <c r="AK527" s="1"/>
      <c r="AL527" s="1"/>
      <c r="AM527" s="1"/>
      <c r="AN527" s="1"/>
      <c r="AO527" s="1"/>
      <c r="AP527" s="1"/>
      <c r="AQ527" s="1"/>
      <c r="AR527" s="1"/>
      <c r="AS527" s="1"/>
      <c r="AT527" s="47"/>
      <c r="AU527" s="47"/>
      <c r="AV527" s="47"/>
      <c r="AW527" s="47"/>
      <c r="AX527" s="47"/>
      <c r="AY527" s="47"/>
      <c r="AZ527" s="47"/>
      <c r="BA527" s="47"/>
      <c r="BB527" s="47"/>
      <c r="BC527" s="47"/>
      <c r="BD527" s="47"/>
      <c r="BE527" s="47"/>
      <c r="BF527" s="47"/>
      <c r="BG527" s="47"/>
      <c r="BH527" s="47"/>
      <c r="BI527" s="47"/>
    </row>
    <row r="528" spans="1:61" ht="28.5" customHeight="1">
      <c r="A528" s="1"/>
      <c r="B528" s="253"/>
      <c r="C528" s="151">
        <v>45880</v>
      </c>
      <c r="D528" s="45">
        <f t="shared" si="563"/>
        <v>0.17075075017972655</v>
      </c>
      <c r="E528" s="28">
        <f t="shared" si="564"/>
        <v>0.3952237266775912</v>
      </c>
      <c r="F528" s="30">
        <f t="shared" si="565"/>
        <v>0.20038144731855351</v>
      </c>
      <c r="G528" s="31">
        <f>O290</f>
        <v>374</v>
      </c>
      <c r="H528" s="31">
        <f>Q290</f>
        <v>59</v>
      </c>
      <c r="I528" s="31">
        <f t="shared" ref="I528:J528" si="593">S290</f>
        <v>21</v>
      </c>
      <c r="J528" s="31">
        <f t="shared" si="593"/>
        <v>11725430</v>
      </c>
      <c r="K528" s="31"/>
      <c r="L528" s="31">
        <f>U290</f>
        <v>722600</v>
      </c>
      <c r="M528" s="34">
        <f t="shared" si="567"/>
        <v>11002830</v>
      </c>
      <c r="N528" s="31"/>
      <c r="O528" s="31">
        <f>Y290</f>
        <v>3987895.2959999996</v>
      </c>
      <c r="P528" s="34">
        <f t="shared" si="568"/>
        <v>2204763</v>
      </c>
      <c r="Q528" s="31">
        <f t="shared" ref="Q528:R528" si="594">AA290</f>
        <v>2004330</v>
      </c>
      <c r="R528" s="31">
        <f t="shared" si="594"/>
        <v>265075</v>
      </c>
      <c r="S528" s="150">
        <v>0.09</v>
      </c>
      <c r="T528" s="31"/>
      <c r="U528" s="31"/>
      <c r="V528" s="31"/>
      <c r="W528" s="31">
        <f>AE290</f>
        <v>1192925</v>
      </c>
      <c r="X528" s="28">
        <f t="shared" si="570"/>
        <v>0.19841983380639344</v>
      </c>
      <c r="Y528" s="34">
        <f t="shared" si="571"/>
        <v>2183179.73</v>
      </c>
      <c r="Z528" s="34">
        <f t="shared" si="572"/>
        <v>483175.49739999999</v>
      </c>
      <c r="AA528" s="34">
        <f t="shared" si="573"/>
        <v>4348579.4766000006</v>
      </c>
      <c r="AB528" s="256">
        <f t="shared" si="574"/>
        <v>1878741.4766000006</v>
      </c>
      <c r="AC528" s="1"/>
      <c r="AD528" s="1"/>
      <c r="AE528" s="1"/>
      <c r="AF528" s="1"/>
      <c r="AG528" s="1"/>
      <c r="AH528" s="1"/>
      <c r="AI528" s="1"/>
      <c r="AJ528" s="1"/>
      <c r="AK528" s="1"/>
      <c r="AL528" s="1"/>
      <c r="AM528" s="1"/>
      <c r="AN528" s="1"/>
      <c r="AO528" s="1"/>
      <c r="AP528" s="1"/>
      <c r="AQ528" s="1"/>
      <c r="AR528" s="1"/>
      <c r="AS528" s="1"/>
      <c r="AT528" s="47"/>
      <c r="AU528" s="47"/>
      <c r="AV528" s="47"/>
      <c r="AW528" s="47"/>
      <c r="AX528" s="47"/>
      <c r="AY528" s="47"/>
      <c r="AZ528" s="47"/>
      <c r="BA528" s="47"/>
      <c r="BB528" s="47"/>
      <c r="BC528" s="47"/>
      <c r="BD528" s="47"/>
      <c r="BE528" s="47"/>
      <c r="BF528" s="47"/>
      <c r="BG528" s="47"/>
      <c r="BH528" s="47"/>
      <c r="BI528" s="47"/>
    </row>
    <row r="529" spans="1:61" ht="28.5" customHeight="1">
      <c r="A529" s="1"/>
      <c r="B529" s="253"/>
      <c r="C529" s="151">
        <v>45881</v>
      </c>
      <c r="D529" s="45">
        <f t="shared" si="563"/>
        <v>0.18076856500926322</v>
      </c>
      <c r="E529" s="28">
        <f t="shared" si="564"/>
        <v>0.40486333264956464</v>
      </c>
      <c r="F529" s="30">
        <f t="shared" si="565"/>
        <v>0.20158855683460325</v>
      </c>
      <c r="G529" s="128">
        <f>O315</f>
        <v>410</v>
      </c>
      <c r="H529" s="128"/>
      <c r="I529" s="128"/>
      <c r="J529" s="128">
        <f>T315</f>
        <v>12500460</v>
      </c>
      <c r="K529" s="128"/>
      <c r="L529" s="128">
        <f>U315</f>
        <v>722600</v>
      </c>
      <c r="M529" s="34">
        <f t="shared" si="567"/>
        <v>11777860</v>
      </c>
      <c r="N529" s="128"/>
      <c r="O529" s="128">
        <f>Y315</f>
        <v>4157429.0687999995</v>
      </c>
      <c r="P529" s="34">
        <f t="shared" si="568"/>
        <v>2374281.8000000003</v>
      </c>
      <c r="Q529" s="128">
        <f t="shared" ref="Q529:R529" si="595">AA315</f>
        <v>2158438</v>
      </c>
      <c r="R529" s="128">
        <f t="shared" si="595"/>
        <v>265075</v>
      </c>
      <c r="S529" s="150">
        <v>0.09</v>
      </c>
      <c r="T529" s="31"/>
      <c r="U529" s="31"/>
      <c r="V529" s="31"/>
      <c r="W529" s="128">
        <f>AE315</f>
        <v>1262175</v>
      </c>
      <c r="X529" s="28">
        <f t="shared" si="570"/>
        <v>0.19716505375339832</v>
      </c>
      <c r="Y529" s="34">
        <f t="shared" si="571"/>
        <v>2322182.4299999997</v>
      </c>
      <c r="Z529" s="34">
        <f t="shared" si="572"/>
        <v>529824.85012000008</v>
      </c>
      <c r="AA529" s="34">
        <f t="shared" si="573"/>
        <v>4768423.6510800011</v>
      </c>
      <c r="AB529" s="256">
        <f t="shared" si="574"/>
        <v>2129066.8510800009</v>
      </c>
      <c r="AC529" s="1"/>
      <c r="AD529" s="1"/>
      <c r="AE529" s="1"/>
      <c r="AF529" s="1"/>
      <c r="AG529" s="1"/>
      <c r="AH529" s="1"/>
      <c r="AI529" s="1"/>
      <c r="AJ529" s="1"/>
      <c r="AK529" s="1"/>
      <c r="AL529" s="1"/>
      <c r="AM529" s="1"/>
      <c r="AN529" s="1"/>
      <c r="AO529" s="1"/>
      <c r="AP529" s="1"/>
      <c r="AQ529" s="1"/>
      <c r="AR529" s="1"/>
      <c r="AS529" s="1"/>
      <c r="AT529" s="47"/>
      <c r="AU529" s="47"/>
      <c r="AV529" s="47"/>
      <c r="AW529" s="47"/>
      <c r="AX529" s="47"/>
      <c r="AY529" s="47"/>
      <c r="AZ529" s="47"/>
      <c r="BA529" s="47"/>
      <c r="BB529" s="47"/>
      <c r="BC529" s="47"/>
      <c r="BD529" s="47"/>
      <c r="BE529" s="47"/>
      <c r="BF529" s="47"/>
      <c r="BG529" s="47"/>
      <c r="BH529" s="47"/>
      <c r="BI529" s="47"/>
    </row>
    <row r="530" spans="1:61" ht="28.5" customHeight="1">
      <c r="A530" s="1"/>
      <c r="B530" s="253"/>
      <c r="C530" s="151">
        <v>45882</v>
      </c>
      <c r="D530" s="45">
        <f t="shared" si="563"/>
        <v>0.13786848922955988</v>
      </c>
      <c r="E530" s="28">
        <f t="shared" si="564"/>
        <v>0.39745800260816178</v>
      </c>
      <c r="F530" s="30">
        <f t="shared" si="565"/>
        <v>0.22021487449127267</v>
      </c>
      <c r="G530" s="128">
        <f>O340</f>
        <v>414</v>
      </c>
      <c r="H530" s="128"/>
      <c r="I530" s="128"/>
      <c r="J530" s="128">
        <f>T340</f>
        <v>12122560</v>
      </c>
      <c r="K530" s="128"/>
      <c r="L530" s="128">
        <f>U340</f>
        <v>1080300</v>
      </c>
      <c r="M530" s="34">
        <f t="shared" si="567"/>
        <v>11042260</v>
      </c>
      <c r="N530" s="128"/>
      <c r="O530" s="128">
        <f>Y340</f>
        <v>3897273.6768</v>
      </c>
      <c r="P530" s="34">
        <f t="shared" si="568"/>
        <v>2431669.9000000004</v>
      </c>
      <c r="Q530" s="128">
        <f t="shared" ref="Q530:R530" si="596">AA340</f>
        <v>2210609</v>
      </c>
      <c r="R530" s="128">
        <f t="shared" si="596"/>
        <v>434785</v>
      </c>
      <c r="S530" s="150">
        <v>0.09</v>
      </c>
      <c r="T530" s="31"/>
      <c r="U530" s="31"/>
      <c r="V530" s="31"/>
      <c r="W530" s="128">
        <f>AE340</f>
        <v>1274700</v>
      </c>
      <c r="X530" s="28">
        <f t="shared" si="570"/>
        <v>0.2054383251254725</v>
      </c>
      <c r="Y530" s="34">
        <f t="shared" si="571"/>
        <v>2268503.4299999997</v>
      </c>
      <c r="Z530" s="34">
        <f t="shared" si="572"/>
        <v>487648.2893200001</v>
      </c>
      <c r="AA530" s="34">
        <f t="shared" si="573"/>
        <v>4388834.6038800003</v>
      </c>
      <c r="AB530" s="256">
        <f t="shared" si="574"/>
        <v>1522379.7038799999</v>
      </c>
      <c r="AC530" s="1"/>
      <c r="AD530" s="1"/>
      <c r="AE530" s="1"/>
      <c r="AF530" s="1"/>
      <c r="AG530" s="1"/>
      <c r="AH530" s="1"/>
      <c r="AI530" s="1"/>
      <c r="AJ530" s="1"/>
      <c r="AK530" s="1"/>
      <c r="AL530" s="1"/>
      <c r="AM530" s="1"/>
      <c r="AN530" s="1"/>
      <c r="AO530" s="1"/>
      <c r="AP530" s="1"/>
      <c r="AQ530" s="1"/>
      <c r="AR530" s="1"/>
      <c r="AS530" s="1"/>
      <c r="AT530" s="47"/>
      <c r="AU530" s="47"/>
      <c r="AV530" s="47"/>
      <c r="AW530" s="47"/>
      <c r="AX530" s="47"/>
      <c r="AY530" s="47"/>
      <c r="AZ530" s="47"/>
      <c r="BA530" s="47"/>
      <c r="BB530" s="47"/>
      <c r="BC530" s="47"/>
      <c r="BD530" s="47"/>
      <c r="BE530" s="47"/>
      <c r="BF530" s="47"/>
      <c r="BG530" s="47"/>
      <c r="BH530" s="47"/>
      <c r="BI530" s="47"/>
    </row>
    <row r="531" spans="1:61" ht="28.5" customHeight="1">
      <c r="A531" s="1"/>
      <c r="B531" s="253"/>
      <c r="C531" s="151">
        <v>45883</v>
      </c>
      <c r="D531" s="45" t="e">
        <f t="shared" si="563"/>
        <v>#DIV/0!</v>
      </c>
      <c r="E531" s="28" t="e">
        <f t="shared" si="564"/>
        <v>#DIV/0!</v>
      </c>
      <c r="F531" s="30" t="e">
        <f t="shared" si="565"/>
        <v>#DIV/0!</v>
      </c>
      <c r="G531" s="128">
        <f>O365</f>
        <v>358</v>
      </c>
      <c r="H531" s="128"/>
      <c r="I531" s="128"/>
      <c r="J531" s="128"/>
      <c r="K531" s="128"/>
      <c r="L531" s="128"/>
      <c r="M531" s="34">
        <f t="shared" si="567"/>
        <v>0</v>
      </c>
      <c r="N531" s="128"/>
      <c r="O531" s="128"/>
      <c r="P531" s="34">
        <f t="shared" si="568"/>
        <v>0</v>
      </c>
      <c r="Q531" s="128"/>
      <c r="R531" s="128"/>
      <c r="S531" s="150">
        <v>0.09</v>
      </c>
      <c r="T531" s="31"/>
      <c r="U531" s="31"/>
      <c r="V531" s="31"/>
      <c r="W531" s="128"/>
      <c r="X531" s="28" t="e">
        <f t="shared" si="570"/>
        <v>#DIV/0!</v>
      </c>
      <c r="Y531" s="34" t="e">
        <f t="shared" si="571"/>
        <v>#DIV/0!</v>
      </c>
      <c r="Z531" s="34" t="e">
        <f t="shared" si="572"/>
        <v>#DIV/0!</v>
      </c>
      <c r="AA531" s="34" t="e">
        <f t="shared" si="573"/>
        <v>#DIV/0!</v>
      </c>
      <c r="AB531" s="256" t="e">
        <f t="shared" si="574"/>
        <v>#DIV/0!</v>
      </c>
      <c r="AC531" s="1"/>
      <c r="AD531" s="1"/>
      <c r="AE531" s="1"/>
      <c r="AF531" s="1"/>
      <c r="AG531" s="1"/>
      <c r="AH531" s="1"/>
      <c r="AI531" s="1"/>
      <c r="AJ531" s="1"/>
      <c r="AK531" s="1"/>
      <c r="AL531" s="1"/>
      <c r="AM531" s="1"/>
      <c r="AN531" s="1"/>
      <c r="AO531" s="1"/>
      <c r="AP531" s="1"/>
      <c r="AQ531" s="1"/>
      <c r="AR531" s="1"/>
      <c r="AS531" s="1"/>
      <c r="AT531" s="47"/>
      <c r="AU531" s="47"/>
      <c r="AV531" s="47"/>
      <c r="AW531" s="47"/>
      <c r="AX531" s="47"/>
      <c r="AY531" s="47"/>
      <c r="AZ531" s="47"/>
      <c r="BA531" s="47"/>
      <c r="BB531" s="47"/>
      <c r="BC531" s="47"/>
      <c r="BD531" s="47"/>
      <c r="BE531" s="47"/>
      <c r="BF531" s="47"/>
      <c r="BG531" s="47"/>
      <c r="BH531" s="47"/>
      <c r="BI531" s="47"/>
    </row>
    <row r="532" spans="1:61" ht="28.5" customHeight="1">
      <c r="A532" s="1"/>
      <c r="B532" s="253"/>
      <c r="C532" s="151">
        <v>45884</v>
      </c>
      <c r="D532" s="45" t="e">
        <f t="shared" si="563"/>
        <v>#DIV/0!</v>
      </c>
      <c r="E532" s="28" t="e">
        <f t="shared" si="564"/>
        <v>#DIV/0!</v>
      </c>
      <c r="F532" s="30" t="e">
        <f t="shared" si="565"/>
        <v>#DIV/0!</v>
      </c>
      <c r="G532" s="128">
        <f>O390</f>
        <v>392</v>
      </c>
      <c r="H532" s="128"/>
      <c r="I532" s="128"/>
      <c r="J532" s="128"/>
      <c r="K532" s="128"/>
      <c r="L532" s="128"/>
      <c r="M532" s="34">
        <f t="shared" si="567"/>
        <v>0</v>
      </c>
      <c r="N532" s="128"/>
      <c r="O532" s="128"/>
      <c r="P532" s="34">
        <f t="shared" si="568"/>
        <v>0</v>
      </c>
      <c r="Q532" s="128"/>
      <c r="R532" s="128"/>
      <c r="S532" s="150">
        <v>0.09</v>
      </c>
      <c r="T532" s="31"/>
      <c r="U532" s="31"/>
      <c r="V532" s="31"/>
      <c r="W532" s="128"/>
      <c r="X532" s="28" t="e">
        <f t="shared" si="570"/>
        <v>#DIV/0!</v>
      </c>
      <c r="Y532" s="34" t="e">
        <f t="shared" si="571"/>
        <v>#DIV/0!</v>
      </c>
      <c r="Z532" s="34" t="e">
        <f t="shared" si="572"/>
        <v>#DIV/0!</v>
      </c>
      <c r="AA532" s="34" t="e">
        <f t="shared" si="573"/>
        <v>#DIV/0!</v>
      </c>
      <c r="AB532" s="256" t="e">
        <f t="shared" si="574"/>
        <v>#DIV/0!</v>
      </c>
      <c r="AC532" s="1"/>
      <c r="AD532" s="1"/>
      <c r="AE532" s="1"/>
      <c r="AF532" s="1"/>
      <c r="AG532" s="1"/>
      <c r="AH532" s="1"/>
      <c r="AI532" s="1"/>
      <c r="AJ532" s="1"/>
      <c r="AK532" s="1"/>
      <c r="AL532" s="1"/>
      <c r="AM532" s="1"/>
      <c r="AN532" s="1"/>
      <c r="AO532" s="1"/>
      <c r="AP532" s="1"/>
      <c r="AQ532" s="1"/>
      <c r="AR532" s="1"/>
      <c r="AS532" s="1"/>
      <c r="AT532" s="47"/>
      <c r="AU532" s="47"/>
      <c r="AV532" s="47"/>
      <c r="AW532" s="47"/>
      <c r="AX532" s="47"/>
      <c r="AY532" s="47"/>
      <c r="AZ532" s="47"/>
      <c r="BA532" s="47"/>
      <c r="BB532" s="47"/>
      <c r="BC532" s="47"/>
      <c r="BD532" s="47"/>
      <c r="BE532" s="47"/>
      <c r="BF532" s="47"/>
      <c r="BG532" s="47"/>
      <c r="BH532" s="47"/>
      <c r="BI532" s="47"/>
    </row>
    <row r="533" spans="1:61" ht="28.5" customHeight="1">
      <c r="A533" s="1"/>
      <c r="B533" s="253"/>
      <c r="C533" s="151">
        <v>45885</v>
      </c>
      <c r="D533" s="45" t="e">
        <f t="shared" si="563"/>
        <v>#DIV/0!</v>
      </c>
      <c r="E533" s="28" t="e">
        <f t="shared" si="564"/>
        <v>#DIV/0!</v>
      </c>
      <c r="F533" s="30" t="e">
        <f t="shared" si="565"/>
        <v>#DIV/0!</v>
      </c>
      <c r="G533" s="128">
        <f>O415</f>
        <v>393</v>
      </c>
      <c r="H533" s="128"/>
      <c r="I533" s="128"/>
      <c r="J533" s="128"/>
      <c r="K533" s="128"/>
      <c r="L533" s="128"/>
      <c r="M533" s="34">
        <f t="shared" si="567"/>
        <v>0</v>
      </c>
      <c r="N533" s="128"/>
      <c r="O533" s="128"/>
      <c r="P533" s="34">
        <f t="shared" si="568"/>
        <v>0</v>
      </c>
      <c r="Q533" s="128"/>
      <c r="R533" s="128"/>
      <c r="S533" s="150">
        <v>0.09</v>
      </c>
      <c r="T533" s="31"/>
      <c r="U533" s="31"/>
      <c r="V533" s="31"/>
      <c r="W533" s="128"/>
      <c r="X533" s="28" t="e">
        <f t="shared" si="570"/>
        <v>#DIV/0!</v>
      </c>
      <c r="Y533" s="34" t="e">
        <f t="shared" si="571"/>
        <v>#DIV/0!</v>
      </c>
      <c r="Z533" s="34" t="e">
        <f t="shared" si="572"/>
        <v>#DIV/0!</v>
      </c>
      <c r="AA533" s="34" t="e">
        <f t="shared" si="573"/>
        <v>#DIV/0!</v>
      </c>
      <c r="AB533" s="256" t="e">
        <f t="shared" si="574"/>
        <v>#DIV/0!</v>
      </c>
      <c r="AC533" s="1"/>
      <c r="AD533" s="1"/>
      <c r="AE533" s="1"/>
      <c r="AF533" s="1"/>
      <c r="AG533" s="1"/>
      <c r="AH533" s="1"/>
      <c r="AI533" s="1"/>
      <c r="AJ533" s="1"/>
      <c r="AK533" s="1"/>
      <c r="AL533" s="1"/>
      <c r="AM533" s="1"/>
      <c r="AN533" s="1"/>
      <c r="AO533" s="1"/>
      <c r="AP533" s="1"/>
      <c r="AQ533" s="1"/>
      <c r="AR533" s="1"/>
      <c r="AS533" s="1"/>
      <c r="AT533" s="47"/>
      <c r="AU533" s="47"/>
      <c r="AV533" s="47"/>
      <c r="AW533" s="47"/>
      <c r="AX533" s="47"/>
      <c r="AY533" s="47"/>
      <c r="AZ533" s="47"/>
      <c r="BA533" s="47"/>
      <c r="BB533" s="47"/>
      <c r="BC533" s="47"/>
      <c r="BD533" s="47"/>
      <c r="BE533" s="47"/>
      <c r="BF533" s="47"/>
      <c r="BG533" s="47"/>
      <c r="BH533" s="47"/>
      <c r="BI533" s="47"/>
    </row>
    <row r="534" spans="1:61" ht="28.5" customHeight="1">
      <c r="A534" s="1"/>
      <c r="B534" s="253"/>
      <c r="C534" s="151">
        <v>45886</v>
      </c>
      <c r="D534" s="45" t="e">
        <f t="shared" si="563"/>
        <v>#DIV/0!</v>
      </c>
      <c r="E534" s="28" t="e">
        <f t="shared" si="564"/>
        <v>#DIV/0!</v>
      </c>
      <c r="F534" s="30" t="e">
        <f t="shared" si="565"/>
        <v>#DIV/0!</v>
      </c>
      <c r="G534" s="128">
        <f>O440</f>
        <v>439</v>
      </c>
      <c r="H534" s="128"/>
      <c r="I534" s="128"/>
      <c r="J534" s="128"/>
      <c r="K534" s="128"/>
      <c r="L534" s="128"/>
      <c r="M534" s="34">
        <f t="shared" si="567"/>
        <v>0</v>
      </c>
      <c r="N534" s="128"/>
      <c r="O534" s="128"/>
      <c r="P534" s="34">
        <f t="shared" si="568"/>
        <v>0</v>
      </c>
      <c r="Q534" s="128"/>
      <c r="R534" s="128"/>
      <c r="S534" s="150">
        <v>0.09</v>
      </c>
      <c r="T534" s="31"/>
      <c r="U534" s="31"/>
      <c r="V534" s="31"/>
      <c r="W534" s="128"/>
      <c r="X534" s="28" t="e">
        <f t="shared" si="570"/>
        <v>#DIV/0!</v>
      </c>
      <c r="Y534" s="34" t="e">
        <f t="shared" si="571"/>
        <v>#DIV/0!</v>
      </c>
      <c r="Z534" s="34" t="e">
        <f t="shared" si="572"/>
        <v>#DIV/0!</v>
      </c>
      <c r="AA534" s="34" t="e">
        <f t="shared" si="573"/>
        <v>#DIV/0!</v>
      </c>
      <c r="AB534" s="256" t="e">
        <f t="shared" si="574"/>
        <v>#DIV/0!</v>
      </c>
      <c r="AC534" s="1"/>
      <c r="AD534" s="1"/>
      <c r="AE534" s="1"/>
      <c r="AF534" s="1"/>
      <c r="AG534" s="1"/>
      <c r="AH534" s="1"/>
      <c r="AI534" s="1"/>
      <c r="AJ534" s="1"/>
      <c r="AK534" s="1"/>
      <c r="AL534" s="1"/>
      <c r="AM534" s="1"/>
      <c r="AN534" s="1"/>
      <c r="AO534" s="1"/>
      <c r="AP534" s="1"/>
      <c r="AQ534" s="1"/>
      <c r="AR534" s="1"/>
      <c r="AS534" s="1"/>
      <c r="AT534" s="47"/>
      <c r="AU534" s="47"/>
      <c r="AV534" s="47"/>
      <c r="AW534" s="47"/>
      <c r="AX534" s="47"/>
      <c r="AY534" s="47"/>
      <c r="AZ534" s="47"/>
      <c r="BA534" s="47"/>
      <c r="BB534" s="47"/>
      <c r="BC534" s="47"/>
      <c r="BD534" s="47"/>
      <c r="BE534" s="47"/>
      <c r="BF534" s="47"/>
      <c r="BG534" s="47"/>
      <c r="BH534" s="47"/>
      <c r="BI534" s="47"/>
    </row>
    <row r="535" spans="1:61" ht="28.5" customHeight="1">
      <c r="A535" s="1"/>
      <c r="B535" s="253"/>
      <c r="C535" s="151">
        <v>45887</v>
      </c>
      <c r="D535" s="45" t="e">
        <f t="shared" si="563"/>
        <v>#DIV/0!</v>
      </c>
      <c r="E535" s="28" t="e">
        <f t="shared" si="564"/>
        <v>#DIV/0!</v>
      </c>
      <c r="F535" s="30" t="e">
        <f t="shared" si="565"/>
        <v>#DIV/0!</v>
      </c>
      <c r="G535" s="128"/>
      <c r="H535" s="307"/>
      <c r="I535" s="128"/>
      <c r="J535" s="128"/>
      <c r="K535" s="128"/>
      <c r="L535" s="128"/>
      <c r="M535" s="34">
        <f t="shared" si="567"/>
        <v>0</v>
      </c>
      <c r="N535" s="128"/>
      <c r="O535" s="128"/>
      <c r="P535" s="34">
        <f t="shared" si="568"/>
        <v>0</v>
      </c>
      <c r="Q535" s="128"/>
      <c r="R535" s="128"/>
      <c r="S535" s="150">
        <v>0.09</v>
      </c>
      <c r="T535" s="31"/>
      <c r="U535" s="31"/>
      <c r="V535" s="31"/>
      <c r="W535" s="128"/>
      <c r="X535" s="28" t="e">
        <f t="shared" si="570"/>
        <v>#DIV/0!</v>
      </c>
      <c r="Y535" s="34" t="e">
        <f t="shared" si="571"/>
        <v>#DIV/0!</v>
      </c>
      <c r="Z535" s="34" t="e">
        <f t="shared" si="572"/>
        <v>#DIV/0!</v>
      </c>
      <c r="AA535" s="34" t="e">
        <f t="shared" si="573"/>
        <v>#DIV/0!</v>
      </c>
      <c r="AB535" s="256" t="e">
        <f t="shared" si="574"/>
        <v>#DIV/0!</v>
      </c>
      <c r="AC535" s="1"/>
      <c r="AD535" s="1"/>
      <c r="AE535" s="1"/>
      <c r="AF535" s="1"/>
      <c r="AG535" s="1"/>
      <c r="AH535" s="1"/>
      <c r="AI535" s="1"/>
      <c r="AJ535" s="1"/>
      <c r="AK535" s="1"/>
      <c r="AL535" s="1"/>
      <c r="AM535" s="1"/>
      <c r="AN535" s="1"/>
      <c r="AO535" s="1"/>
      <c r="AP535" s="1"/>
      <c r="AQ535" s="1"/>
      <c r="AR535" s="1"/>
      <c r="AS535" s="1"/>
      <c r="AT535" s="47"/>
      <c r="AU535" s="47"/>
      <c r="AV535" s="47"/>
      <c r="AW535" s="47"/>
      <c r="AX535" s="47"/>
      <c r="AY535" s="47"/>
      <c r="AZ535" s="47"/>
      <c r="BA535" s="47"/>
      <c r="BB535" s="47"/>
      <c r="BC535" s="47"/>
      <c r="BD535" s="47"/>
      <c r="BE535" s="47"/>
      <c r="BF535" s="47"/>
      <c r="BG535" s="47"/>
      <c r="BH535" s="47"/>
      <c r="BI535" s="47"/>
    </row>
    <row r="536" spans="1:61" ht="28.5" customHeight="1">
      <c r="A536" s="1"/>
      <c r="B536" s="253"/>
      <c r="C536" s="151">
        <v>45888</v>
      </c>
      <c r="D536" s="45" t="e">
        <f t="shared" si="563"/>
        <v>#DIV/0!</v>
      </c>
      <c r="E536" s="28" t="e">
        <f t="shared" si="564"/>
        <v>#DIV/0!</v>
      </c>
      <c r="F536" s="30" t="e">
        <f t="shared" si="565"/>
        <v>#DIV/0!</v>
      </c>
      <c r="G536" s="128"/>
      <c r="H536" s="128"/>
      <c r="I536" s="128"/>
      <c r="J536" s="128"/>
      <c r="K536" s="128"/>
      <c r="L536" s="128"/>
      <c r="M536" s="34">
        <f t="shared" si="567"/>
        <v>0</v>
      </c>
      <c r="N536" s="128"/>
      <c r="O536" s="128"/>
      <c r="P536" s="34">
        <f t="shared" si="568"/>
        <v>0</v>
      </c>
      <c r="Q536" s="128"/>
      <c r="R536" s="128"/>
      <c r="S536" s="150">
        <v>0.09</v>
      </c>
      <c r="T536" s="31"/>
      <c r="U536" s="31"/>
      <c r="V536" s="31"/>
      <c r="W536" s="128"/>
      <c r="X536" s="28" t="e">
        <f t="shared" si="570"/>
        <v>#DIV/0!</v>
      </c>
      <c r="Y536" s="34" t="e">
        <f t="shared" si="571"/>
        <v>#DIV/0!</v>
      </c>
      <c r="Z536" s="34" t="e">
        <f t="shared" si="572"/>
        <v>#DIV/0!</v>
      </c>
      <c r="AA536" s="34" t="e">
        <f t="shared" si="573"/>
        <v>#DIV/0!</v>
      </c>
      <c r="AB536" s="256" t="e">
        <f t="shared" si="574"/>
        <v>#DIV/0!</v>
      </c>
      <c r="AC536" s="1"/>
      <c r="AD536" s="1"/>
      <c r="AE536" s="1"/>
      <c r="AF536" s="1"/>
      <c r="AG536" s="1"/>
      <c r="AH536" s="1"/>
      <c r="AI536" s="1"/>
      <c r="AJ536" s="1"/>
      <c r="AK536" s="1"/>
      <c r="AL536" s="1"/>
      <c r="AM536" s="1"/>
      <c r="AN536" s="1"/>
      <c r="AO536" s="1"/>
      <c r="AP536" s="1"/>
      <c r="AQ536" s="1"/>
      <c r="AR536" s="1"/>
      <c r="AS536" s="1"/>
      <c r="AT536" s="47"/>
      <c r="AU536" s="47"/>
      <c r="AV536" s="47"/>
      <c r="AW536" s="47"/>
      <c r="AX536" s="47"/>
      <c r="AY536" s="47"/>
      <c r="AZ536" s="47"/>
      <c r="BA536" s="47"/>
      <c r="BB536" s="47"/>
      <c r="BC536" s="47"/>
      <c r="BD536" s="47"/>
      <c r="BE536" s="47"/>
      <c r="BF536" s="47"/>
      <c r="BG536" s="47"/>
      <c r="BH536" s="47"/>
      <c r="BI536" s="47"/>
    </row>
    <row r="537" spans="1:61" ht="28.5" customHeight="1">
      <c r="A537" s="1"/>
      <c r="B537" s="253"/>
      <c r="C537" s="151">
        <v>45889</v>
      </c>
      <c r="D537" s="45" t="e">
        <f t="shared" si="563"/>
        <v>#DIV/0!</v>
      </c>
      <c r="E537" s="28" t="e">
        <f t="shared" si="564"/>
        <v>#DIV/0!</v>
      </c>
      <c r="F537" s="30" t="e">
        <f t="shared" si="565"/>
        <v>#DIV/0!</v>
      </c>
      <c r="G537" s="128"/>
      <c r="H537" s="128"/>
      <c r="I537" s="128"/>
      <c r="J537" s="128"/>
      <c r="K537" s="128"/>
      <c r="L537" s="128"/>
      <c r="M537" s="34">
        <f t="shared" si="567"/>
        <v>0</v>
      </c>
      <c r="N537" s="128"/>
      <c r="O537" s="128"/>
      <c r="P537" s="34">
        <f t="shared" si="568"/>
        <v>0</v>
      </c>
      <c r="Q537" s="128"/>
      <c r="R537" s="128"/>
      <c r="S537" s="150">
        <v>0.09</v>
      </c>
      <c r="T537" s="31"/>
      <c r="U537" s="31"/>
      <c r="V537" s="31"/>
      <c r="W537" s="128"/>
      <c r="X537" s="28" t="e">
        <f t="shared" si="570"/>
        <v>#DIV/0!</v>
      </c>
      <c r="Y537" s="34" t="e">
        <f t="shared" si="571"/>
        <v>#DIV/0!</v>
      </c>
      <c r="Z537" s="34" t="e">
        <f t="shared" si="572"/>
        <v>#DIV/0!</v>
      </c>
      <c r="AA537" s="34" t="e">
        <f t="shared" si="573"/>
        <v>#DIV/0!</v>
      </c>
      <c r="AB537" s="256" t="e">
        <f t="shared" si="574"/>
        <v>#DIV/0!</v>
      </c>
      <c r="AC537" s="1"/>
      <c r="AD537" s="1"/>
      <c r="AE537" s="1"/>
      <c r="AF537" s="1"/>
      <c r="AG537" s="1"/>
      <c r="AH537" s="1"/>
      <c r="AI537" s="1"/>
      <c r="AJ537" s="1"/>
      <c r="AK537" s="1"/>
      <c r="AL537" s="1"/>
      <c r="AM537" s="1"/>
      <c r="AN537" s="1"/>
      <c r="AO537" s="1"/>
      <c r="AP537" s="1"/>
      <c r="AQ537" s="1"/>
      <c r="AR537" s="1"/>
      <c r="AS537" s="1"/>
      <c r="AT537" s="47"/>
      <c r="AU537" s="47"/>
      <c r="AV537" s="47"/>
      <c r="AW537" s="47"/>
      <c r="AX537" s="47"/>
      <c r="AY537" s="47"/>
      <c r="AZ537" s="47"/>
      <c r="BA537" s="47"/>
      <c r="BB537" s="47"/>
      <c r="BC537" s="47"/>
      <c r="BD537" s="47"/>
      <c r="BE537" s="47"/>
      <c r="BF537" s="47"/>
      <c r="BG537" s="47"/>
      <c r="BH537" s="47"/>
      <c r="BI537" s="47"/>
    </row>
    <row r="538" spans="1:61" ht="28.5" customHeight="1">
      <c r="A538" s="1"/>
      <c r="B538" s="253"/>
      <c r="C538" s="151">
        <v>45890</v>
      </c>
      <c r="D538" s="45" t="e">
        <f t="shared" si="563"/>
        <v>#DIV/0!</v>
      </c>
      <c r="E538" s="28" t="e">
        <f t="shared" si="564"/>
        <v>#DIV/0!</v>
      </c>
      <c r="F538" s="30" t="e">
        <f t="shared" si="565"/>
        <v>#DIV/0!</v>
      </c>
      <c r="G538" s="128"/>
      <c r="H538" s="128"/>
      <c r="I538" s="128"/>
      <c r="J538" s="128"/>
      <c r="K538" s="128"/>
      <c r="L538" s="128"/>
      <c r="M538" s="34">
        <f t="shared" si="567"/>
        <v>0</v>
      </c>
      <c r="N538" s="128"/>
      <c r="O538" s="128"/>
      <c r="P538" s="34">
        <f t="shared" si="568"/>
        <v>0</v>
      </c>
      <c r="Q538" s="128"/>
      <c r="R538" s="128"/>
      <c r="S538" s="150">
        <v>0.09</v>
      </c>
      <c r="T538" s="31"/>
      <c r="U538" s="31"/>
      <c r="V538" s="31"/>
      <c r="W538" s="128"/>
      <c r="X538" s="28" t="e">
        <f t="shared" si="570"/>
        <v>#DIV/0!</v>
      </c>
      <c r="Y538" s="34" t="e">
        <f t="shared" si="571"/>
        <v>#DIV/0!</v>
      </c>
      <c r="Z538" s="34" t="e">
        <f t="shared" si="572"/>
        <v>#DIV/0!</v>
      </c>
      <c r="AA538" s="34" t="e">
        <f t="shared" si="573"/>
        <v>#DIV/0!</v>
      </c>
      <c r="AB538" s="256" t="e">
        <f t="shared" si="574"/>
        <v>#DIV/0!</v>
      </c>
      <c r="AC538" s="1"/>
      <c r="AD538" s="1"/>
      <c r="AE538" s="1"/>
      <c r="AF538" s="1"/>
      <c r="AG538" s="1"/>
      <c r="AH538" s="1"/>
      <c r="AI538" s="1"/>
      <c r="AJ538" s="1"/>
      <c r="AK538" s="1"/>
      <c r="AL538" s="1"/>
      <c r="AM538" s="1"/>
      <c r="AN538" s="1"/>
      <c r="AO538" s="1"/>
      <c r="AP538" s="1"/>
      <c r="AQ538" s="1"/>
      <c r="AR538" s="1"/>
      <c r="AS538" s="1"/>
      <c r="AT538" s="47"/>
      <c r="AU538" s="47"/>
      <c r="AV538" s="47"/>
      <c r="AW538" s="47"/>
      <c r="AX538" s="47"/>
      <c r="AY538" s="47"/>
      <c r="AZ538" s="47"/>
      <c r="BA538" s="47"/>
      <c r="BB538" s="47"/>
      <c r="BC538" s="47"/>
      <c r="BD538" s="47"/>
      <c r="BE538" s="47"/>
      <c r="BF538" s="47"/>
      <c r="BG538" s="47"/>
      <c r="BH538" s="47"/>
      <c r="BI538" s="47"/>
    </row>
    <row r="539" spans="1:61" ht="28.5" customHeight="1">
      <c r="A539" s="1"/>
      <c r="B539" s="255"/>
      <c r="C539" s="151">
        <v>45891</v>
      </c>
      <c r="D539" s="45" t="e">
        <f t="shared" si="563"/>
        <v>#DIV/0!</v>
      </c>
      <c r="E539" s="28" t="e">
        <f t="shared" si="564"/>
        <v>#DIV/0!</v>
      </c>
      <c r="F539" s="30" t="e">
        <f t="shared" si="565"/>
        <v>#DIV/0!</v>
      </c>
      <c r="G539" s="128"/>
      <c r="H539" s="128"/>
      <c r="I539" s="128"/>
      <c r="J539" s="128"/>
      <c r="K539" s="128"/>
      <c r="L539" s="128"/>
      <c r="M539" s="34">
        <f t="shared" si="567"/>
        <v>0</v>
      </c>
      <c r="N539" s="128"/>
      <c r="O539" s="128"/>
      <c r="P539" s="34">
        <f t="shared" si="568"/>
        <v>0</v>
      </c>
      <c r="Q539" s="128"/>
      <c r="R539" s="128"/>
      <c r="S539" s="150">
        <v>0.09</v>
      </c>
      <c r="T539" s="31"/>
      <c r="U539" s="31"/>
      <c r="V539" s="31"/>
      <c r="W539" s="128"/>
      <c r="X539" s="28" t="e">
        <f t="shared" si="570"/>
        <v>#DIV/0!</v>
      </c>
      <c r="Y539" s="34" t="e">
        <f t="shared" si="571"/>
        <v>#DIV/0!</v>
      </c>
      <c r="Z539" s="34" t="e">
        <f t="shared" si="572"/>
        <v>#DIV/0!</v>
      </c>
      <c r="AA539" s="34" t="e">
        <f t="shared" si="573"/>
        <v>#DIV/0!</v>
      </c>
      <c r="AB539" s="256" t="e">
        <f t="shared" si="574"/>
        <v>#DIV/0!</v>
      </c>
      <c r="AC539" s="1"/>
      <c r="AD539" s="1"/>
      <c r="AE539" s="1"/>
      <c r="AF539" s="1"/>
      <c r="AG539" s="1"/>
      <c r="AH539" s="1"/>
      <c r="AI539" s="1"/>
      <c r="AJ539" s="1"/>
      <c r="AK539" s="1"/>
      <c r="AL539" s="1"/>
      <c r="AM539" s="1"/>
      <c r="AN539" s="1"/>
      <c r="AO539" s="1"/>
      <c r="AP539" s="1"/>
      <c r="AQ539" s="1"/>
      <c r="AR539" s="1"/>
      <c r="AS539" s="1"/>
      <c r="AT539" s="47"/>
      <c r="AU539" s="47"/>
      <c r="AV539" s="47"/>
      <c r="AW539" s="47"/>
      <c r="AX539" s="47"/>
      <c r="AY539" s="47"/>
      <c r="AZ539" s="47"/>
      <c r="BA539" s="47"/>
      <c r="BB539" s="47"/>
      <c r="BC539" s="47"/>
      <c r="BD539" s="47"/>
      <c r="BE539" s="47"/>
      <c r="BF539" s="47"/>
      <c r="BG539" s="47"/>
      <c r="BH539" s="47"/>
      <c r="BI539" s="47"/>
    </row>
    <row r="540" spans="1:61" ht="28.5" customHeight="1">
      <c r="A540" s="1"/>
      <c r="B540" s="253"/>
      <c r="C540" s="151">
        <v>45892</v>
      </c>
      <c r="D540" s="45" t="e">
        <f t="shared" si="563"/>
        <v>#DIV/0!</v>
      </c>
      <c r="E540" s="28" t="e">
        <f t="shared" si="564"/>
        <v>#DIV/0!</v>
      </c>
      <c r="F540" s="30" t="e">
        <f t="shared" si="565"/>
        <v>#DIV/0!</v>
      </c>
      <c r="G540" s="128"/>
      <c r="H540" s="128"/>
      <c r="I540" s="128"/>
      <c r="J540" s="128"/>
      <c r="K540" s="128"/>
      <c r="L540" s="128"/>
      <c r="M540" s="34">
        <f t="shared" si="567"/>
        <v>0</v>
      </c>
      <c r="N540" s="128"/>
      <c r="O540" s="128"/>
      <c r="P540" s="34">
        <f t="shared" si="568"/>
        <v>0</v>
      </c>
      <c r="Q540" s="128"/>
      <c r="R540" s="128"/>
      <c r="S540" s="150">
        <v>0.09</v>
      </c>
      <c r="T540" s="31"/>
      <c r="U540" s="31"/>
      <c r="V540" s="31"/>
      <c r="W540" s="128"/>
      <c r="X540" s="28" t="e">
        <f t="shared" si="570"/>
        <v>#DIV/0!</v>
      </c>
      <c r="Y540" s="34" t="e">
        <f t="shared" si="571"/>
        <v>#DIV/0!</v>
      </c>
      <c r="Z540" s="34" t="e">
        <f t="shared" si="572"/>
        <v>#DIV/0!</v>
      </c>
      <c r="AA540" s="34" t="e">
        <f t="shared" si="573"/>
        <v>#DIV/0!</v>
      </c>
      <c r="AB540" s="256" t="e">
        <f t="shared" si="574"/>
        <v>#DIV/0!</v>
      </c>
      <c r="AC540" s="1"/>
      <c r="AD540" s="1"/>
      <c r="AE540" s="1"/>
      <c r="AF540" s="1"/>
      <c r="AG540" s="1"/>
      <c r="AH540" s="1"/>
      <c r="AI540" s="1"/>
      <c r="AJ540" s="1"/>
      <c r="AK540" s="1"/>
      <c r="AL540" s="1"/>
      <c r="AM540" s="1"/>
      <c r="AN540" s="1"/>
      <c r="AO540" s="1"/>
      <c r="AP540" s="1"/>
      <c r="AQ540" s="1"/>
      <c r="AR540" s="1"/>
      <c r="AS540" s="1"/>
      <c r="AT540" s="47"/>
      <c r="AU540" s="47"/>
      <c r="AV540" s="47"/>
      <c r="AW540" s="47"/>
      <c r="AX540" s="47"/>
      <c r="AY540" s="47"/>
      <c r="AZ540" s="47"/>
      <c r="BA540" s="47"/>
      <c r="BB540" s="47"/>
      <c r="BC540" s="47"/>
      <c r="BD540" s="47"/>
      <c r="BE540" s="47"/>
      <c r="BF540" s="47"/>
      <c r="BG540" s="47"/>
      <c r="BH540" s="47"/>
      <c r="BI540" s="47"/>
    </row>
    <row r="541" spans="1:61" ht="28.5" customHeight="1">
      <c r="A541" s="1"/>
      <c r="B541" s="253"/>
      <c r="C541" s="151">
        <v>45893</v>
      </c>
      <c r="D541" s="45" t="e">
        <f t="shared" si="563"/>
        <v>#DIV/0!</v>
      </c>
      <c r="E541" s="28" t="e">
        <f t="shared" si="564"/>
        <v>#DIV/0!</v>
      </c>
      <c r="F541" s="30" t="e">
        <f t="shared" si="565"/>
        <v>#DIV/0!</v>
      </c>
      <c r="G541" s="128"/>
      <c r="H541" s="128"/>
      <c r="I541" s="128"/>
      <c r="J541" s="128"/>
      <c r="K541" s="128"/>
      <c r="L541" s="128"/>
      <c r="M541" s="34">
        <f t="shared" si="567"/>
        <v>0</v>
      </c>
      <c r="N541" s="128"/>
      <c r="O541" s="128"/>
      <c r="P541" s="34">
        <f t="shared" si="568"/>
        <v>0</v>
      </c>
      <c r="Q541" s="128"/>
      <c r="R541" s="128"/>
      <c r="S541" s="150">
        <v>0.09</v>
      </c>
      <c r="T541" s="31"/>
      <c r="U541" s="31"/>
      <c r="V541" s="31"/>
      <c r="W541" s="128"/>
      <c r="X541" s="28" t="e">
        <f t="shared" si="570"/>
        <v>#DIV/0!</v>
      </c>
      <c r="Y541" s="34" t="e">
        <f t="shared" si="571"/>
        <v>#DIV/0!</v>
      </c>
      <c r="Z541" s="34" t="e">
        <f t="shared" si="572"/>
        <v>#DIV/0!</v>
      </c>
      <c r="AA541" s="34" t="e">
        <f t="shared" si="573"/>
        <v>#DIV/0!</v>
      </c>
      <c r="AB541" s="256" t="e">
        <f t="shared" si="574"/>
        <v>#DIV/0!</v>
      </c>
      <c r="AC541" s="1"/>
      <c r="AD541" s="1"/>
      <c r="AE541" s="1"/>
      <c r="AF541" s="1"/>
      <c r="AG541" s="1"/>
      <c r="AH541" s="1"/>
      <c r="AI541" s="1"/>
      <c r="AJ541" s="1"/>
      <c r="AK541" s="1"/>
      <c r="AL541" s="1"/>
      <c r="AM541" s="1"/>
      <c r="AN541" s="1"/>
      <c r="AO541" s="1"/>
      <c r="AP541" s="1"/>
      <c r="AQ541" s="1"/>
      <c r="AR541" s="1"/>
      <c r="AS541" s="1"/>
      <c r="AT541" s="47"/>
      <c r="AU541" s="47"/>
      <c r="AV541" s="47"/>
      <c r="AW541" s="47"/>
      <c r="AX541" s="47"/>
      <c r="AY541" s="47"/>
      <c r="AZ541" s="47"/>
      <c r="BA541" s="47"/>
      <c r="BB541" s="47"/>
      <c r="BC541" s="47"/>
      <c r="BD541" s="47"/>
      <c r="BE541" s="47"/>
      <c r="BF541" s="47"/>
      <c r="BG541" s="47"/>
      <c r="BH541" s="47"/>
      <c r="BI541" s="47"/>
    </row>
    <row r="542" spans="1:61" ht="28.5" customHeight="1">
      <c r="A542" s="1"/>
      <c r="B542" s="253"/>
      <c r="C542" s="151">
        <v>45894</v>
      </c>
      <c r="D542" s="45" t="e">
        <f t="shared" si="563"/>
        <v>#DIV/0!</v>
      </c>
      <c r="E542" s="28" t="e">
        <f t="shared" si="564"/>
        <v>#DIV/0!</v>
      </c>
      <c r="F542" s="30" t="e">
        <f t="shared" si="565"/>
        <v>#DIV/0!</v>
      </c>
      <c r="G542" s="128"/>
      <c r="H542" s="128"/>
      <c r="I542" s="128"/>
      <c r="J542" s="128"/>
      <c r="K542" s="128"/>
      <c r="L542" s="128"/>
      <c r="M542" s="34">
        <f t="shared" si="567"/>
        <v>0</v>
      </c>
      <c r="N542" s="128"/>
      <c r="O542" s="128"/>
      <c r="P542" s="34">
        <f t="shared" si="568"/>
        <v>0</v>
      </c>
      <c r="Q542" s="128"/>
      <c r="R542" s="128"/>
      <c r="S542" s="150">
        <v>0.09</v>
      </c>
      <c r="T542" s="31"/>
      <c r="U542" s="31"/>
      <c r="V542" s="31"/>
      <c r="W542" s="128"/>
      <c r="X542" s="28" t="e">
        <f t="shared" si="570"/>
        <v>#DIV/0!</v>
      </c>
      <c r="Y542" s="34" t="e">
        <f t="shared" si="571"/>
        <v>#DIV/0!</v>
      </c>
      <c r="Z542" s="34" t="e">
        <f t="shared" si="572"/>
        <v>#DIV/0!</v>
      </c>
      <c r="AA542" s="34" t="e">
        <f t="shared" si="573"/>
        <v>#DIV/0!</v>
      </c>
      <c r="AB542" s="256" t="e">
        <f t="shared" si="574"/>
        <v>#DIV/0!</v>
      </c>
      <c r="AC542" s="1"/>
      <c r="AD542" s="1"/>
      <c r="AE542" s="1"/>
      <c r="AF542" s="1"/>
      <c r="AG542" s="1"/>
      <c r="AH542" s="1"/>
      <c r="AI542" s="1"/>
      <c r="AJ542" s="1"/>
      <c r="AK542" s="1"/>
      <c r="AL542" s="1"/>
      <c r="AM542" s="1"/>
      <c r="AN542" s="1"/>
      <c r="AO542" s="1"/>
      <c r="AP542" s="1"/>
      <c r="AQ542" s="1"/>
      <c r="AR542" s="1"/>
      <c r="AS542" s="1"/>
      <c r="AT542" s="47"/>
      <c r="AU542" s="47"/>
      <c r="AV542" s="47"/>
      <c r="AW542" s="47"/>
      <c r="AX542" s="47"/>
      <c r="AY542" s="47"/>
      <c r="AZ542" s="47"/>
      <c r="BA542" s="47"/>
      <c r="BB542" s="47"/>
      <c r="BC542" s="47"/>
      <c r="BD542" s="47"/>
      <c r="BE542" s="47"/>
      <c r="BF542" s="47"/>
      <c r="BG542" s="47"/>
      <c r="BH542" s="47"/>
      <c r="BI542" s="47"/>
    </row>
    <row r="543" spans="1:61" ht="28.5" customHeight="1">
      <c r="A543" s="1"/>
      <c r="B543" s="253"/>
      <c r="C543" s="151">
        <v>45895</v>
      </c>
      <c r="D543" s="45" t="e">
        <f t="shared" si="563"/>
        <v>#DIV/0!</v>
      </c>
      <c r="E543" s="28" t="e">
        <f t="shared" si="564"/>
        <v>#DIV/0!</v>
      </c>
      <c r="F543" s="30" t="e">
        <f t="shared" si="565"/>
        <v>#DIV/0!</v>
      </c>
      <c r="G543" s="31"/>
      <c r="H543" s="31"/>
      <c r="I543" s="31"/>
      <c r="J543" s="31"/>
      <c r="K543" s="31"/>
      <c r="L543" s="31"/>
      <c r="M543" s="34">
        <f t="shared" si="567"/>
        <v>0</v>
      </c>
      <c r="N543" s="31"/>
      <c r="O543" s="31"/>
      <c r="P543" s="34">
        <f t="shared" si="568"/>
        <v>0</v>
      </c>
      <c r="Q543" s="31"/>
      <c r="R543" s="31"/>
      <c r="S543" s="150">
        <v>0.09</v>
      </c>
      <c r="T543" s="31"/>
      <c r="U543" s="31"/>
      <c r="V543" s="31"/>
      <c r="W543" s="31"/>
      <c r="X543" s="28" t="e">
        <f t="shared" si="570"/>
        <v>#DIV/0!</v>
      </c>
      <c r="Y543" s="34" t="e">
        <f t="shared" si="571"/>
        <v>#DIV/0!</v>
      </c>
      <c r="Z543" s="34" t="e">
        <f t="shared" si="572"/>
        <v>#DIV/0!</v>
      </c>
      <c r="AA543" s="34" t="e">
        <f t="shared" si="573"/>
        <v>#DIV/0!</v>
      </c>
      <c r="AB543" s="256" t="e">
        <f t="shared" si="574"/>
        <v>#DIV/0!</v>
      </c>
      <c r="AC543" s="1"/>
      <c r="AD543" s="1"/>
      <c r="AE543" s="1"/>
      <c r="AF543" s="1"/>
      <c r="AG543" s="1"/>
      <c r="AH543" s="1"/>
      <c r="AI543" s="1"/>
      <c r="AJ543" s="1"/>
      <c r="AK543" s="1"/>
      <c r="AL543" s="1"/>
      <c r="AM543" s="1"/>
      <c r="AN543" s="1"/>
      <c r="AO543" s="1"/>
      <c r="AP543" s="1"/>
      <c r="AQ543" s="1"/>
      <c r="AR543" s="1"/>
      <c r="AS543" s="1"/>
      <c r="AT543" s="47"/>
      <c r="AU543" s="47"/>
      <c r="AV543" s="47"/>
      <c r="AW543" s="47"/>
      <c r="AX543" s="47"/>
      <c r="AY543" s="47"/>
      <c r="AZ543" s="47"/>
      <c r="BA543" s="47"/>
      <c r="BB543" s="47"/>
      <c r="BC543" s="47"/>
      <c r="BD543" s="47"/>
      <c r="BE543" s="47"/>
      <c r="BF543" s="47"/>
      <c r="BG543" s="47"/>
      <c r="BH543" s="47"/>
      <c r="BI543" s="47"/>
    </row>
    <row r="544" spans="1:61" ht="28.5" customHeight="1">
      <c r="A544" s="1"/>
      <c r="B544" s="253"/>
      <c r="C544" s="151">
        <v>45896</v>
      </c>
      <c r="D544" s="45" t="e">
        <f t="shared" si="563"/>
        <v>#DIV/0!</v>
      </c>
      <c r="E544" s="28" t="e">
        <f t="shared" si="564"/>
        <v>#DIV/0!</v>
      </c>
      <c r="F544" s="30" t="e">
        <f t="shared" si="565"/>
        <v>#DIV/0!</v>
      </c>
      <c r="G544" s="31"/>
      <c r="H544" s="31"/>
      <c r="I544" s="31"/>
      <c r="J544" s="31"/>
      <c r="K544" s="31"/>
      <c r="L544" s="31"/>
      <c r="M544" s="34">
        <f t="shared" si="567"/>
        <v>0</v>
      </c>
      <c r="N544" s="31"/>
      <c r="O544" s="31"/>
      <c r="P544" s="34">
        <f t="shared" si="568"/>
        <v>0</v>
      </c>
      <c r="Q544" s="31"/>
      <c r="R544" s="31"/>
      <c r="S544" s="150">
        <v>0.09</v>
      </c>
      <c r="T544" s="31"/>
      <c r="U544" s="31"/>
      <c r="V544" s="31"/>
      <c r="W544" s="31"/>
      <c r="X544" s="28" t="e">
        <f t="shared" si="570"/>
        <v>#DIV/0!</v>
      </c>
      <c r="Y544" s="34" t="e">
        <f t="shared" si="571"/>
        <v>#DIV/0!</v>
      </c>
      <c r="Z544" s="34" t="e">
        <f t="shared" si="572"/>
        <v>#DIV/0!</v>
      </c>
      <c r="AA544" s="34" t="e">
        <f t="shared" si="573"/>
        <v>#DIV/0!</v>
      </c>
      <c r="AB544" s="256" t="e">
        <f t="shared" si="574"/>
        <v>#DIV/0!</v>
      </c>
      <c r="AC544" s="1"/>
      <c r="AD544" s="1"/>
      <c r="AE544" s="1"/>
      <c r="AF544" s="1"/>
      <c r="AG544" s="1"/>
      <c r="AH544" s="1"/>
      <c r="AI544" s="1"/>
      <c r="AJ544" s="1"/>
      <c r="AK544" s="1"/>
      <c r="AL544" s="1"/>
      <c r="AM544" s="1"/>
      <c r="AN544" s="1"/>
      <c r="AO544" s="1"/>
      <c r="AP544" s="1"/>
      <c r="AQ544" s="1"/>
      <c r="AR544" s="1"/>
      <c r="AS544" s="1"/>
      <c r="AT544" s="47"/>
      <c r="AU544" s="47"/>
      <c r="AV544" s="47"/>
      <c r="AW544" s="47"/>
      <c r="AX544" s="47"/>
      <c r="AY544" s="47"/>
      <c r="AZ544" s="47"/>
      <c r="BA544" s="47"/>
      <c r="BB544" s="47"/>
      <c r="BC544" s="47"/>
      <c r="BD544" s="47"/>
      <c r="BE544" s="47"/>
      <c r="BF544" s="47"/>
      <c r="BG544" s="47"/>
      <c r="BH544" s="47"/>
      <c r="BI544" s="47"/>
    </row>
    <row r="545" spans="1:61" ht="28.5" customHeight="1">
      <c r="A545" s="1"/>
      <c r="B545" s="253"/>
      <c r="C545" s="151">
        <v>45897</v>
      </c>
      <c r="D545" s="45" t="e">
        <f t="shared" si="563"/>
        <v>#DIV/0!</v>
      </c>
      <c r="E545" s="28" t="e">
        <f t="shared" si="564"/>
        <v>#DIV/0!</v>
      </c>
      <c r="F545" s="30" t="e">
        <f t="shared" si="565"/>
        <v>#DIV/0!</v>
      </c>
      <c r="G545" s="31"/>
      <c r="H545" s="31"/>
      <c r="I545" s="31"/>
      <c r="J545" s="31"/>
      <c r="K545" s="31"/>
      <c r="L545" s="31"/>
      <c r="M545" s="34">
        <f t="shared" si="567"/>
        <v>0</v>
      </c>
      <c r="N545" s="31"/>
      <c r="O545" s="31"/>
      <c r="P545" s="34">
        <f t="shared" si="568"/>
        <v>0</v>
      </c>
      <c r="Q545" s="31"/>
      <c r="R545" s="31"/>
      <c r="S545" s="150">
        <v>0.09</v>
      </c>
      <c r="T545" s="31"/>
      <c r="U545" s="31"/>
      <c r="V545" s="31"/>
      <c r="W545" s="31"/>
      <c r="X545" s="28" t="e">
        <f t="shared" si="570"/>
        <v>#DIV/0!</v>
      </c>
      <c r="Y545" s="34" t="e">
        <f t="shared" si="571"/>
        <v>#DIV/0!</v>
      </c>
      <c r="Z545" s="34" t="e">
        <f t="shared" si="572"/>
        <v>#DIV/0!</v>
      </c>
      <c r="AA545" s="34" t="e">
        <f t="shared" si="573"/>
        <v>#DIV/0!</v>
      </c>
      <c r="AB545" s="256" t="e">
        <f t="shared" si="574"/>
        <v>#DIV/0!</v>
      </c>
      <c r="AC545" s="1"/>
      <c r="AD545" s="1"/>
      <c r="AE545" s="1"/>
      <c r="AF545" s="1"/>
      <c r="AG545" s="1"/>
      <c r="AH545" s="1"/>
      <c r="AI545" s="1"/>
      <c r="AJ545" s="1"/>
      <c r="AK545" s="1"/>
      <c r="AL545" s="1"/>
      <c r="AM545" s="1"/>
      <c r="AN545" s="1"/>
      <c r="AO545" s="1"/>
      <c r="AP545" s="1"/>
      <c r="AQ545" s="1"/>
      <c r="AR545" s="1"/>
      <c r="AS545" s="1"/>
      <c r="AT545" s="47"/>
      <c r="AU545" s="47"/>
      <c r="AV545" s="47"/>
      <c r="AW545" s="47"/>
      <c r="AX545" s="47"/>
      <c r="AY545" s="47"/>
      <c r="AZ545" s="47"/>
      <c r="BA545" s="47"/>
      <c r="BB545" s="47"/>
      <c r="BC545" s="47"/>
      <c r="BD545" s="47"/>
      <c r="BE545" s="47"/>
      <c r="BF545" s="47"/>
      <c r="BG545" s="47"/>
      <c r="BH545" s="47"/>
      <c r="BI545" s="47"/>
    </row>
    <row r="546" spans="1:61" ht="28.5" customHeight="1">
      <c r="A546" s="1"/>
      <c r="B546" s="253"/>
      <c r="C546" s="151">
        <v>45898</v>
      </c>
      <c r="D546" s="45" t="e">
        <f t="shared" si="563"/>
        <v>#DIV/0!</v>
      </c>
      <c r="E546" s="28" t="e">
        <f t="shared" si="564"/>
        <v>#DIV/0!</v>
      </c>
      <c r="F546" s="30" t="e">
        <f t="shared" si="565"/>
        <v>#DIV/0!</v>
      </c>
      <c r="G546" s="31"/>
      <c r="H546" s="31"/>
      <c r="I546" s="31"/>
      <c r="J546" s="31"/>
      <c r="K546" s="31"/>
      <c r="L546" s="31"/>
      <c r="M546" s="34">
        <f t="shared" si="567"/>
        <v>0</v>
      </c>
      <c r="N546" s="31"/>
      <c r="O546" s="31"/>
      <c r="P546" s="34">
        <f t="shared" si="568"/>
        <v>0</v>
      </c>
      <c r="Q546" s="31"/>
      <c r="R546" s="31"/>
      <c r="S546" s="150">
        <v>0.09</v>
      </c>
      <c r="T546" s="31"/>
      <c r="U546" s="31"/>
      <c r="V546" s="31"/>
      <c r="W546" s="31"/>
      <c r="X546" s="28" t="e">
        <f t="shared" si="570"/>
        <v>#DIV/0!</v>
      </c>
      <c r="Y546" s="34" t="e">
        <f t="shared" si="571"/>
        <v>#DIV/0!</v>
      </c>
      <c r="Z546" s="34" t="e">
        <f t="shared" si="572"/>
        <v>#DIV/0!</v>
      </c>
      <c r="AA546" s="34" t="e">
        <f t="shared" si="573"/>
        <v>#DIV/0!</v>
      </c>
      <c r="AB546" s="256" t="e">
        <f t="shared" si="574"/>
        <v>#DIV/0!</v>
      </c>
      <c r="AC546" s="1"/>
      <c r="AD546" s="1"/>
      <c r="AE546" s="1"/>
      <c r="AF546" s="1"/>
      <c r="AG546" s="1"/>
      <c r="AH546" s="1"/>
      <c r="AI546" s="1"/>
      <c r="AJ546" s="1"/>
      <c r="AK546" s="1"/>
      <c r="AL546" s="1"/>
      <c r="AM546" s="1"/>
      <c r="AN546" s="1"/>
      <c r="AO546" s="1"/>
      <c r="AP546" s="1"/>
      <c r="AQ546" s="1"/>
      <c r="AR546" s="1"/>
      <c r="AS546" s="1"/>
      <c r="AT546" s="47"/>
      <c r="AU546" s="47"/>
      <c r="AV546" s="47"/>
      <c r="AW546" s="47"/>
      <c r="AX546" s="47"/>
      <c r="AY546" s="47"/>
      <c r="AZ546" s="47"/>
      <c r="BA546" s="47"/>
      <c r="BB546" s="47"/>
      <c r="BC546" s="47"/>
      <c r="BD546" s="47"/>
      <c r="BE546" s="47"/>
      <c r="BF546" s="47"/>
      <c r="BG546" s="47"/>
      <c r="BH546" s="47"/>
      <c r="BI546" s="47"/>
    </row>
    <row r="547" spans="1:61" ht="28.5" customHeight="1">
      <c r="A547" s="1"/>
      <c r="B547" s="253"/>
      <c r="C547" s="151">
        <v>45899</v>
      </c>
      <c r="D547" s="45" t="e">
        <f t="shared" si="563"/>
        <v>#DIV/0!</v>
      </c>
      <c r="E547" s="28" t="e">
        <f t="shared" si="564"/>
        <v>#DIV/0!</v>
      </c>
      <c r="F547" s="30" t="e">
        <f t="shared" si="565"/>
        <v>#DIV/0!</v>
      </c>
      <c r="G547" s="31"/>
      <c r="H547" s="31"/>
      <c r="I547" s="31"/>
      <c r="J547" s="31"/>
      <c r="K547" s="31"/>
      <c r="L547" s="31"/>
      <c r="M547" s="34">
        <f t="shared" si="567"/>
        <v>0</v>
      </c>
      <c r="N547" s="31"/>
      <c r="O547" s="31"/>
      <c r="P547" s="34">
        <f t="shared" si="568"/>
        <v>0</v>
      </c>
      <c r="Q547" s="31"/>
      <c r="R547" s="31"/>
      <c r="S547" s="150">
        <v>0.09</v>
      </c>
      <c r="T547" s="31"/>
      <c r="U547" s="31"/>
      <c r="V547" s="31"/>
      <c r="W547" s="31"/>
      <c r="X547" s="28" t="e">
        <f t="shared" si="570"/>
        <v>#DIV/0!</v>
      </c>
      <c r="Y547" s="34" t="e">
        <f t="shared" si="571"/>
        <v>#DIV/0!</v>
      </c>
      <c r="Z547" s="34" t="e">
        <f t="shared" si="572"/>
        <v>#DIV/0!</v>
      </c>
      <c r="AA547" s="34" t="e">
        <f t="shared" si="573"/>
        <v>#DIV/0!</v>
      </c>
      <c r="AB547" s="256" t="e">
        <f t="shared" si="574"/>
        <v>#DIV/0!</v>
      </c>
      <c r="AC547" s="1"/>
      <c r="AD547" s="1"/>
      <c r="AE547" s="1"/>
      <c r="AF547" s="1"/>
      <c r="AG547" s="1"/>
      <c r="AH547" s="1"/>
      <c r="AI547" s="1"/>
      <c r="AJ547" s="1"/>
      <c r="AK547" s="1"/>
      <c r="AL547" s="1"/>
      <c r="AM547" s="1"/>
      <c r="AN547" s="1"/>
      <c r="AO547" s="1"/>
      <c r="AP547" s="1"/>
      <c r="AQ547" s="1"/>
      <c r="AR547" s="1"/>
      <c r="AS547" s="1"/>
      <c r="AT547" s="47"/>
      <c r="AU547" s="47"/>
      <c r="AV547" s="47"/>
      <c r="AW547" s="47"/>
      <c r="AX547" s="47"/>
      <c r="AY547" s="47"/>
      <c r="AZ547" s="47"/>
      <c r="BA547" s="47"/>
      <c r="BB547" s="47"/>
      <c r="BC547" s="47"/>
      <c r="BD547" s="47"/>
      <c r="BE547" s="47"/>
      <c r="BF547" s="47"/>
      <c r="BG547" s="47"/>
      <c r="BH547" s="47"/>
      <c r="BI547" s="47"/>
    </row>
    <row r="548" spans="1:61" ht="28.5" customHeight="1">
      <c r="A548" s="1"/>
      <c r="B548" s="253"/>
      <c r="C548" s="151">
        <v>45900</v>
      </c>
      <c r="D548" s="45" t="e">
        <f t="shared" si="563"/>
        <v>#DIV/0!</v>
      </c>
      <c r="E548" s="28" t="e">
        <f t="shared" si="564"/>
        <v>#DIV/0!</v>
      </c>
      <c r="F548" s="30" t="e">
        <f t="shared" si="565"/>
        <v>#DIV/0!</v>
      </c>
      <c r="G548" s="31"/>
      <c r="H548" s="31"/>
      <c r="I548" s="31"/>
      <c r="J548" s="31"/>
      <c r="K548" s="31"/>
      <c r="L548" s="31"/>
      <c r="M548" s="34">
        <f t="shared" si="567"/>
        <v>0</v>
      </c>
      <c r="N548" s="31"/>
      <c r="O548" s="31"/>
      <c r="P548" s="34">
        <f t="shared" si="568"/>
        <v>0</v>
      </c>
      <c r="Q548" s="31"/>
      <c r="R548" s="31"/>
      <c r="S548" s="150">
        <v>0.09</v>
      </c>
      <c r="T548" s="31"/>
      <c r="U548" s="31"/>
      <c r="V548" s="31"/>
      <c r="W548" s="31"/>
      <c r="X548" s="28" t="e">
        <f t="shared" si="570"/>
        <v>#DIV/0!</v>
      </c>
      <c r="Y548" s="34" t="e">
        <f t="shared" si="571"/>
        <v>#DIV/0!</v>
      </c>
      <c r="Z548" s="34" t="e">
        <f t="shared" si="572"/>
        <v>#DIV/0!</v>
      </c>
      <c r="AA548" s="34" t="e">
        <f t="shared" si="573"/>
        <v>#DIV/0!</v>
      </c>
      <c r="AB548" s="256" t="e">
        <f t="shared" si="574"/>
        <v>#DIV/0!</v>
      </c>
      <c r="AC548" s="1"/>
      <c r="AD548" s="1"/>
      <c r="AE548" s="1"/>
      <c r="AF548" s="1"/>
      <c r="AG548" s="1"/>
      <c r="AH548" s="1"/>
      <c r="AI548" s="1"/>
      <c r="AJ548" s="1"/>
      <c r="AK548" s="1"/>
      <c r="AL548" s="1"/>
      <c r="AM548" s="1"/>
      <c r="AN548" s="1"/>
      <c r="AO548" s="1"/>
      <c r="AP548" s="1"/>
      <c r="AQ548" s="1"/>
      <c r="AR548" s="1"/>
      <c r="AS548" s="1"/>
      <c r="AT548" s="47"/>
      <c r="AU548" s="47"/>
      <c r="AV548" s="47"/>
      <c r="AW548" s="47"/>
      <c r="AX548" s="47"/>
      <c r="AY548" s="47"/>
      <c r="AZ548" s="47"/>
      <c r="BA548" s="47"/>
      <c r="BB548" s="47"/>
      <c r="BC548" s="47"/>
      <c r="BD548" s="47"/>
      <c r="BE548" s="47"/>
      <c r="BF548" s="47"/>
      <c r="BG548" s="47"/>
      <c r="BH548" s="47"/>
      <c r="BI548" s="47"/>
    </row>
    <row r="549" spans="1:61" ht="28.5" customHeight="1">
      <c r="A549" s="1"/>
      <c r="B549" s="253"/>
      <c r="C549" s="145" t="s">
        <v>143</v>
      </c>
      <c r="D549" s="29">
        <f t="shared" si="563"/>
        <v>0.14017524797742664</v>
      </c>
      <c r="E549" s="28">
        <f t="shared" si="564"/>
        <v>0.39085920739307611</v>
      </c>
      <c r="F549" s="30">
        <f t="shared" si="565"/>
        <v>0.22839217847013987</v>
      </c>
      <c r="G549" s="128">
        <f t="shared" ref="G549:J549" si="597">SUM(G518:G548)</f>
        <v>6897</v>
      </c>
      <c r="H549" s="128">
        <f t="shared" si="597"/>
        <v>595</v>
      </c>
      <c r="I549" s="128">
        <f t="shared" si="597"/>
        <v>193</v>
      </c>
      <c r="J549" s="128">
        <f t="shared" si="597"/>
        <v>146557680</v>
      </c>
      <c r="K549" s="128"/>
      <c r="L549" s="128">
        <f t="shared" ref="L549:M549" si="598">SUM(L518:L548)</f>
        <v>7788920</v>
      </c>
      <c r="M549" s="128">
        <f t="shared" si="598"/>
        <v>138768760</v>
      </c>
      <c r="N549" s="128"/>
      <c r="O549" s="128">
        <f t="shared" ref="O549:R549" si="599">SUM(O518:O548)</f>
        <v>49547163.187199987</v>
      </c>
      <c r="P549" s="128">
        <f t="shared" si="599"/>
        <v>31693699.400000006</v>
      </c>
      <c r="Q549" s="128">
        <f t="shared" si="599"/>
        <v>28812454</v>
      </c>
      <c r="R549" s="128">
        <f t="shared" si="599"/>
        <v>2984502.8000000003</v>
      </c>
      <c r="S549" s="150">
        <v>0.09</v>
      </c>
      <c r="T549" s="128"/>
      <c r="U549" s="128"/>
      <c r="V549" s="128"/>
      <c r="W549" s="128">
        <f>SUM(W518:W548)</f>
        <v>16466800</v>
      </c>
      <c r="X549" s="28">
        <f t="shared" si="570"/>
        <v>0.20866359546629948</v>
      </c>
      <c r="Y549" s="308">
        <f t="shared" si="571"/>
        <v>28955988.430000003</v>
      </c>
      <c r="Z549" s="34">
        <f t="shared" si="572"/>
        <v>6026560.8382800007</v>
      </c>
      <c r="AA549" s="34">
        <f t="shared" si="573"/>
        <v>54239047.544520006</v>
      </c>
      <c r="AB549" s="256">
        <f>(AA549+V549)-(P549+R549+T549+U549+108900)</f>
        <v>19451945.344520003</v>
      </c>
      <c r="AC549" s="1"/>
      <c r="AD549" s="1"/>
      <c r="AE549" s="1"/>
      <c r="AF549" s="1"/>
      <c r="AG549" s="1"/>
      <c r="AH549" s="1"/>
      <c r="AI549" s="1"/>
      <c r="AJ549" s="1"/>
      <c r="AK549" s="1"/>
      <c r="AL549" s="1"/>
      <c r="AM549" s="1"/>
      <c r="AN549" s="1"/>
      <c r="AO549" s="1"/>
      <c r="AP549" s="1"/>
      <c r="AQ549" s="1"/>
      <c r="AR549" s="1"/>
      <c r="AS549" s="1"/>
      <c r="AT549" s="47"/>
      <c r="AU549" s="47"/>
      <c r="AV549" s="47"/>
      <c r="AW549" s="47"/>
      <c r="AX549" s="47"/>
      <c r="AY549" s="47"/>
      <c r="AZ549" s="47"/>
      <c r="BA549" s="47"/>
      <c r="BB549" s="47"/>
      <c r="BC549" s="47"/>
      <c r="BD549" s="47"/>
      <c r="BE549" s="47"/>
      <c r="BF549" s="47"/>
      <c r="BG549" s="47"/>
      <c r="BH549" s="47"/>
      <c r="BI549" s="47"/>
    </row>
    <row r="550" spans="1:61" ht="28.5" customHeight="1">
      <c r="A550" s="1"/>
      <c r="B550" s="257"/>
      <c r="C550" s="153" t="s">
        <v>105</v>
      </c>
      <c r="D550" s="29">
        <f t="shared" si="563"/>
        <v>0.19661592367264549</v>
      </c>
      <c r="E550" s="51">
        <f>AA550/J550</f>
        <v>0.41361307728479335</v>
      </c>
      <c r="F550" s="53">
        <f>(P550)/J550</f>
        <v>0.21625410145684626</v>
      </c>
      <c r="G550" s="130">
        <f t="shared" ref="G550:J550" si="600">G549</f>
        <v>6897</v>
      </c>
      <c r="H550" s="130">
        <f t="shared" si="600"/>
        <v>595</v>
      </c>
      <c r="I550" s="130">
        <f t="shared" si="600"/>
        <v>193</v>
      </c>
      <c r="J550" s="130">
        <f t="shared" si="600"/>
        <v>146557680</v>
      </c>
      <c r="K550" s="130"/>
      <c r="L550" s="130">
        <f>L549</f>
        <v>7788920</v>
      </c>
      <c r="M550" s="130">
        <f>J550</f>
        <v>146557680</v>
      </c>
      <c r="N550" s="130"/>
      <c r="O550" s="130">
        <f t="shared" ref="O550:R550" si="601">O549</f>
        <v>49547163.187199987</v>
      </c>
      <c r="P550" s="130">
        <f t="shared" si="601"/>
        <v>31693699.400000006</v>
      </c>
      <c r="Q550" s="130">
        <f t="shared" si="601"/>
        <v>28812454</v>
      </c>
      <c r="R550" s="130">
        <f t="shared" si="601"/>
        <v>2984502.8000000003</v>
      </c>
      <c r="S550" s="150">
        <v>0.09</v>
      </c>
      <c r="T550" s="130"/>
      <c r="U550" s="130"/>
      <c r="V550" s="130"/>
      <c r="W550" s="130">
        <f>W549</f>
        <v>16466800</v>
      </c>
      <c r="X550" s="51">
        <f t="shared" si="570"/>
        <v>0.20235712792396821</v>
      </c>
      <c r="Y550" s="308">
        <f t="shared" si="571"/>
        <v>29656991.229999997</v>
      </c>
      <c r="Z550" s="56">
        <f>(J550)*10%-(O550+Y550)*10%</f>
        <v>6735352.5582800014</v>
      </c>
      <c r="AA550" s="34">
        <f t="shared" si="573"/>
        <v>60618173.02452001</v>
      </c>
      <c r="AB550" s="256">
        <f>(AA550+V550)-(P550+T550+U550+108900)</f>
        <v>28815573.624520004</v>
      </c>
      <c r="AC550" s="1"/>
      <c r="AD550" s="137"/>
      <c r="AE550" s="63"/>
      <c r="AF550" s="7"/>
      <c r="AG550" s="1"/>
      <c r="AH550" s="1"/>
      <c r="AI550" s="1"/>
      <c r="AJ550" s="1"/>
      <c r="AK550" s="1"/>
      <c r="AL550" s="1"/>
      <c r="AM550" s="1"/>
      <c r="AN550" s="1"/>
      <c r="AO550" s="1"/>
      <c r="AP550" s="1"/>
      <c r="AQ550" s="1"/>
      <c r="AR550" s="1"/>
      <c r="AS550" s="1"/>
      <c r="AT550" s="1"/>
      <c r="AU550" s="1"/>
      <c r="AV550" s="1"/>
      <c r="AW550" s="1"/>
      <c r="AX550" s="1"/>
      <c r="AY550" s="1"/>
      <c r="AZ550" s="1"/>
      <c r="BA550" s="1"/>
      <c r="BB550" s="1"/>
      <c r="BC550" s="47"/>
      <c r="BD550" s="47"/>
      <c r="BE550" s="47"/>
      <c r="BF550" s="47"/>
      <c r="BG550" s="47"/>
      <c r="BH550" s="47"/>
      <c r="BI550" s="47"/>
    </row>
    <row r="551" spans="1:61" ht="28.5" customHeight="1">
      <c r="A551" s="1"/>
      <c r="B551" s="139"/>
      <c r="C551" s="1"/>
      <c r="D551" s="1"/>
      <c r="E551" s="1"/>
      <c r="F551" s="1"/>
      <c r="G551" s="1"/>
      <c r="H551" s="62"/>
      <c r="I551" s="62"/>
      <c r="J551" s="62"/>
      <c r="K551" s="62"/>
      <c r="L551" s="62"/>
      <c r="M551" s="62"/>
      <c r="N551" s="8"/>
      <c r="O551" s="8"/>
      <c r="P551" s="62"/>
      <c r="Q551" s="5"/>
      <c r="R551" s="62"/>
      <c r="S551" s="1"/>
      <c r="T551" s="1"/>
      <c r="U551" s="1"/>
      <c r="V551" s="1"/>
      <c r="W551" s="1"/>
      <c r="X551" s="63"/>
      <c r="Y551" s="62"/>
      <c r="Z551" s="62"/>
      <c r="AA551" s="62"/>
      <c r="AB551" s="1"/>
      <c r="AC551" s="1"/>
      <c r="AD551" s="1"/>
      <c r="AE551" s="1"/>
      <c r="AF551" s="1"/>
      <c r="AG551" s="62"/>
      <c r="AH551" s="1"/>
      <c r="AI551" s="6"/>
      <c r="AJ551" s="3"/>
      <c r="AK551" s="1"/>
      <c r="AL551" s="1"/>
      <c r="AM551" s="1"/>
      <c r="AN551" s="1"/>
      <c r="AO551" s="1"/>
      <c r="AP551" s="1"/>
      <c r="AQ551" s="1"/>
      <c r="AR551" s="1"/>
      <c r="AS551" s="1"/>
      <c r="AT551" s="1"/>
      <c r="AU551" s="1"/>
      <c r="AV551" s="1"/>
      <c r="AW551" s="1"/>
      <c r="AX551" s="7"/>
      <c r="AY551" s="47"/>
      <c r="AZ551" s="47"/>
      <c r="BA551" s="47"/>
      <c r="BB551" s="47"/>
      <c r="BC551" s="47"/>
      <c r="BD551" s="47"/>
      <c r="BE551" s="47"/>
      <c r="BF551" s="47"/>
      <c r="BG551" s="47"/>
      <c r="BH551" s="47"/>
      <c r="BI551" s="47"/>
    </row>
    <row r="552" spans="1:61" ht="28.5" customHeight="1">
      <c r="A552" s="1"/>
      <c r="B552" s="139"/>
      <c r="C552" s="1"/>
      <c r="D552" s="1"/>
      <c r="E552" s="1"/>
      <c r="F552" s="1"/>
      <c r="G552" s="1"/>
      <c r="H552" s="4"/>
      <c r="I552" s="4"/>
      <c r="J552" s="4"/>
      <c r="K552" s="4"/>
      <c r="L552" s="4"/>
      <c r="M552" s="4"/>
      <c r="N552" s="1"/>
      <c r="O552" s="1"/>
      <c r="P552" s="4"/>
      <c r="Q552" s="5"/>
      <c r="R552" s="4"/>
      <c r="S552" s="1"/>
      <c r="T552" s="1"/>
      <c r="U552" s="1"/>
      <c r="V552" s="1"/>
      <c r="W552" s="1"/>
      <c r="X552" s="6"/>
      <c r="Y552" s="4"/>
      <c r="Z552" s="4"/>
      <c r="AA552" s="4"/>
      <c r="AB552" s="1"/>
      <c r="AC552" s="1"/>
      <c r="AD552" s="1"/>
      <c r="AE552" s="1"/>
      <c r="AF552" s="1"/>
      <c r="AG552" s="4"/>
      <c r="AH552" s="1"/>
      <c r="AI552" s="6"/>
      <c r="AJ552" s="3"/>
      <c r="AK552" s="1"/>
      <c r="AL552" s="1"/>
      <c r="AM552" s="1"/>
      <c r="AN552" s="1"/>
      <c r="AO552" s="1"/>
      <c r="AP552" s="1"/>
      <c r="AQ552" s="1"/>
      <c r="AR552" s="1"/>
      <c r="AS552" s="1"/>
      <c r="AT552" s="1"/>
      <c r="AU552" s="1"/>
      <c r="AV552" s="1"/>
      <c r="AW552" s="1"/>
      <c r="AX552" s="7"/>
      <c r="AY552" s="47"/>
      <c r="AZ552" s="47"/>
      <c r="BA552" s="47"/>
      <c r="BB552" s="47"/>
      <c r="BC552" s="47"/>
      <c r="BD552" s="47"/>
      <c r="BE552" s="47"/>
      <c r="BF552" s="47"/>
      <c r="BG552" s="47"/>
      <c r="BH552" s="47"/>
      <c r="BI552" s="47"/>
    </row>
    <row r="553" spans="1:61" ht="28.5" customHeight="1">
      <c r="A553" s="1"/>
      <c r="B553" s="139"/>
      <c r="C553" s="1"/>
      <c r="D553" s="1"/>
      <c r="E553" s="1"/>
      <c r="F553" s="1"/>
      <c r="G553" s="1"/>
      <c r="H553" s="4"/>
      <c r="I553" s="4"/>
      <c r="J553" s="4"/>
      <c r="K553" s="4"/>
      <c r="L553" s="4"/>
      <c r="M553" s="4"/>
      <c r="N553" s="1"/>
      <c r="O553" s="1"/>
      <c r="P553" s="4"/>
      <c r="Q553" s="5"/>
      <c r="R553" s="4"/>
      <c r="S553" s="1"/>
      <c r="T553" s="1"/>
      <c r="U553" s="1"/>
      <c r="V553" s="1"/>
      <c r="W553" s="1"/>
      <c r="X553" s="6"/>
      <c r="Y553" s="4"/>
      <c r="Z553" s="4"/>
      <c r="AA553" s="4"/>
      <c r="AB553" s="1"/>
      <c r="AC553" s="1"/>
      <c r="AD553" s="1"/>
      <c r="AE553" s="1"/>
      <c r="AF553" s="1"/>
      <c r="AG553" s="4"/>
      <c r="AH553" s="1"/>
      <c r="AI553" s="6"/>
      <c r="AJ553" s="3"/>
      <c r="AK553" s="1"/>
      <c r="AL553" s="1"/>
      <c r="AM553" s="1"/>
      <c r="AN553" s="1"/>
      <c r="AO553" s="1"/>
      <c r="AP553" s="1"/>
      <c r="AQ553" s="1"/>
      <c r="AR553" s="1"/>
      <c r="AS553" s="1"/>
      <c r="AT553" s="1"/>
      <c r="AU553" s="1"/>
      <c r="AV553" s="1"/>
      <c r="AW553" s="1"/>
      <c r="AX553" s="7"/>
      <c r="AY553" s="47"/>
      <c r="AZ553" s="47"/>
      <c r="BA553" s="47"/>
      <c r="BB553" s="47"/>
      <c r="BC553" s="47"/>
      <c r="BD553" s="47"/>
      <c r="BE553" s="47"/>
      <c r="BF553" s="47"/>
      <c r="BG553" s="47"/>
      <c r="BH553" s="47"/>
      <c r="BI553" s="47"/>
    </row>
    <row r="554" spans="1:61" ht="28.5" customHeight="1">
      <c r="A554" s="1" t="s">
        <v>123</v>
      </c>
      <c r="B554" s="139"/>
      <c r="C554" s="1"/>
      <c r="D554" s="1"/>
      <c r="E554" s="1"/>
      <c r="F554" s="1"/>
      <c r="G554" s="1"/>
      <c r="H554" s="4"/>
      <c r="I554" s="4"/>
      <c r="J554" s="4"/>
      <c r="K554" s="4"/>
      <c r="L554" s="4"/>
      <c r="M554" s="4"/>
      <c r="N554" s="1"/>
      <c r="O554" s="1"/>
      <c r="P554" s="4"/>
      <c r="Q554" s="5"/>
      <c r="R554" s="4"/>
      <c r="S554" s="1"/>
      <c r="T554" s="1"/>
      <c r="U554" s="1"/>
      <c r="V554" s="1"/>
      <c r="W554" s="1"/>
      <c r="X554" s="6"/>
      <c r="Y554" s="4"/>
      <c r="Z554" s="4"/>
      <c r="AA554" s="4"/>
      <c r="AB554" s="1"/>
      <c r="AC554" s="1"/>
      <c r="AD554" s="1"/>
      <c r="AE554" s="1"/>
      <c r="AF554" s="1"/>
      <c r="AG554" s="4"/>
      <c r="AH554" s="1"/>
      <c r="AI554" s="6"/>
      <c r="AJ554" s="3"/>
      <c r="AK554" s="1"/>
      <c r="AL554" s="1"/>
      <c r="AM554" s="1"/>
      <c r="AN554" s="1"/>
      <c r="AO554" s="1"/>
      <c r="AP554" s="1"/>
      <c r="AQ554" s="1"/>
      <c r="AR554" s="1"/>
      <c r="AS554" s="1"/>
      <c r="AT554" s="1"/>
      <c r="AU554" s="1"/>
      <c r="AV554" s="1"/>
      <c r="AW554" s="1"/>
      <c r="AX554" s="7"/>
      <c r="AY554" s="47"/>
      <c r="AZ554" s="47"/>
      <c r="BA554" s="47"/>
      <c r="BB554" s="47"/>
      <c r="BC554" s="47"/>
      <c r="BD554" s="47"/>
      <c r="BE554" s="47"/>
      <c r="BF554" s="47"/>
      <c r="BG554" s="47"/>
      <c r="BH554" s="47"/>
      <c r="BI554" s="47"/>
    </row>
    <row r="555" spans="1:61" ht="28.5" customHeight="1">
      <c r="A555" s="1"/>
      <c r="B555" s="139"/>
      <c r="C555" s="1"/>
      <c r="D555" s="1"/>
      <c r="E555" s="1"/>
      <c r="F555" s="1"/>
      <c r="G555" s="1"/>
      <c r="H555" s="4"/>
      <c r="I555" s="4"/>
      <c r="J555" s="4"/>
      <c r="K555" s="4"/>
      <c r="L555" s="4"/>
      <c r="M555" s="4"/>
      <c r="N555" s="1"/>
      <c r="O555" s="1"/>
      <c r="P555" s="4"/>
      <c r="Q555" s="5"/>
      <c r="R555" s="4"/>
      <c r="S555" s="1"/>
      <c r="T555" s="1"/>
      <c r="U555" s="1"/>
      <c r="V555" s="1"/>
      <c r="W555" s="1"/>
      <c r="X555" s="6"/>
      <c r="Y555" s="4"/>
      <c r="Z555" s="4"/>
      <c r="AA555" s="4"/>
      <c r="AB555" s="1"/>
      <c r="AC555" s="1"/>
      <c r="AD555" s="1"/>
      <c r="AE555" s="1"/>
      <c r="AF555" s="1"/>
      <c r="AG555" s="4"/>
      <c r="AH555" s="1"/>
      <c r="AI555" s="6"/>
      <c r="AJ555" s="3"/>
      <c r="AK555" s="1"/>
      <c r="AL555" s="1"/>
      <c r="AM555" s="1"/>
      <c r="AN555" s="1"/>
      <c r="AO555" s="1"/>
      <c r="AP555" s="1"/>
      <c r="AQ555" s="1"/>
      <c r="AR555" s="1"/>
      <c r="AS555" s="1"/>
      <c r="AT555" s="1"/>
      <c r="AU555" s="1"/>
      <c r="AV555" s="1"/>
      <c r="AW555" s="1"/>
      <c r="AX555" s="7"/>
      <c r="AY555" s="47"/>
      <c r="AZ555" s="47"/>
      <c r="BA555" s="47"/>
      <c r="BB555" s="47"/>
      <c r="BC555" s="47"/>
      <c r="BD555" s="47"/>
      <c r="BE555" s="47"/>
      <c r="BF555" s="47"/>
      <c r="BG555" s="47"/>
      <c r="BH555" s="47"/>
      <c r="BI555" s="47"/>
    </row>
    <row r="556" spans="1:61" ht="28.5" customHeight="1">
      <c r="A556" s="1"/>
      <c r="B556" s="139"/>
      <c r="C556" s="1"/>
      <c r="D556" s="1"/>
      <c r="E556" s="1"/>
      <c r="F556" s="1"/>
      <c r="G556" s="1"/>
      <c r="H556" s="4"/>
      <c r="I556" s="4"/>
      <c r="J556" s="4"/>
      <c r="K556" s="4"/>
      <c r="L556" s="4"/>
      <c r="M556" s="4"/>
      <c r="N556" s="1"/>
      <c r="O556" s="1"/>
      <c r="P556" s="4"/>
      <c r="Q556" s="5"/>
      <c r="R556" s="4"/>
      <c r="S556" s="1"/>
      <c r="T556" s="1"/>
      <c r="U556" s="1"/>
      <c r="V556" s="1"/>
      <c r="W556" s="1"/>
      <c r="X556" s="6"/>
      <c r="Y556" s="4"/>
      <c r="Z556" s="4"/>
      <c r="AA556" s="4"/>
      <c r="AB556" s="1"/>
      <c r="AC556" s="1"/>
      <c r="AD556" s="1"/>
      <c r="AE556" s="1"/>
      <c r="AF556" s="1"/>
      <c r="AG556" s="4"/>
      <c r="AH556" s="1"/>
      <c r="AI556" s="6"/>
      <c r="AJ556" s="3"/>
      <c r="AK556" s="1"/>
      <c r="AL556" s="1"/>
      <c r="AM556" s="1"/>
      <c r="AN556" s="1"/>
      <c r="AO556" s="1"/>
      <c r="AP556" s="1"/>
      <c r="AQ556" s="1"/>
      <c r="AR556" s="1"/>
      <c r="AS556" s="1"/>
      <c r="AT556" s="1"/>
      <c r="AU556" s="1"/>
      <c r="AV556" s="1"/>
      <c r="AW556" s="1"/>
      <c r="AX556" s="7"/>
      <c r="AY556" s="47"/>
      <c r="AZ556" s="47"/>
      <c r="BA556" s="47"/>
      <c r="BB556" s="47"/>
      <c r="BC556" s="47"/>
      <c r="BD556" s="47"/>
      <c r="BE556" s="47"/>
      <c r="BF556" s="47"/>
      <c r="BG556" s="47"/>
      <c r="BH556" s="47"/>
      <c r="BI556" s="47"/>
    </row>
    <row r="557" spans="1:61" ht="28.5" customHeight="1">
      <c r="A557" s="1"/>
      <c r="B557" s="139"/>
      <c r="C557" s="1"/>
      <c r="D557" s="1"/>
      <c r="E557" s="1"/>
      <c r="F557" s="1"/>
      <c r="G557" s="1"/>
      <c r="H557" s="4"/>
      <c r="I557" s="4"/>
      <c r="J557" s="4"/>
      <c r="K557" s="4"/>
      <c r="L557" s="4"/>
      <c r="M557" s="4"/>
      <c r="N557" s="1"/>
      <c r="O557" s="1"/>
      <c r="P557" s="4"/>
      <c r="Q557" s="5"/>
      <c r="R557" s="4"/>
      <c r="S557" s="1"/>
      <c r="T557" s="1"/>
      <c r="U557" s="1"/>
      <c r="V557" s="1"/>
      <c r="W557" s="1"/>
      <c r="X557" s="6"/>
      <c r="Y557" s="4"/>
      <c r="Z557" s="4"/>
      <c r="AA557" s="4"/>
      <c r="AB557" s="1"/>
      <c r="AC557" s="1"/>
      <c r="AD557" s="1"/>
      <c r="AE557" s="1"/>
      <c r="AF557" s="1"/>
      <c r="AG557" s="4"/>
      <c r="AH557" s="1"/>
      <c r="AI557" s="6"/>
      <c r="AJ557" s="3"/>
      <c r="AK557" s="1"/>
      <c r="AL557" s="1"/>
      <c r="AM557" s="1"/>
      <c r="AN557" s="1"/>
      <c r="AO557" s="1"/>
      <c r="AP557" s="1"/>
      <c r="AQ557" s="1"/>
      <c r="AR557" s="1"/>
      <c r="AS557" s="1"/>
      <c r="AT557" s="1"/>
      <c r="AU557" s="1"/>
      <c r="AV557" s="1"/>
      <c r="AW557" s="1"/>
      <c r="AX557" s="7"/>
      <c r="AY557" s="47"/>
      <c r="AZ557" s="47"/>
      <c r="BA557" s="47"/>
      <c r="BB557" s="47"/>
      <c r="BC557" s="47"/>
      <c r="BD557" s="47"/>
      <c r="BE557" s="47"/>
      <c r="BF557" s="47"/>
      <c r="BG557" s="47"/>
      <c r="BH557" s="47"/>
      <c r="BI557" s="47"/>
    </row>
    <row r="558" spans="1:61" ht="28.5" customHeight="1">
      <c r="A558" s="1"/>
      <c r="B558" s="139"/>
      <c r="C558" s="1"/>
      <c r="D558" s="1"/>
      <c r="E558" s="1"/>
      <c r="F558" s="1"/>
      <c r="G558" s="1"/>
      <c r="H558" s="4"/>
      <c r="I558" s="4"/>
      <c r="J558" s="4"/>
      <c r="K558" s="4"/>
      <c r="L558" s="4"/>
      <c r="M558" s="4"/>
      <c r="N558" s="1"/>
      <c r="O558" s="1"/>
      <c r="P558" s="4"/>
      <c r="Q558" s="5"/>
      <c r="R558" s="4"/>
      <c r="S558" s="1"/>
      <c r="T558" s="1"/>
      <c r="U558" s="1"/>
      <c r="V558" s="1"/>
      <c r="W558" s="1"/>
      <c r="X558" s="6"/>
      <c r="Y558" s="4"/>
      <c r="Z558" s="4"/>
      <c r="AA558" s="4"/>
      <c r="AB558" s="1"/>
      <c r="AC558" s="1"/>
      <c r="AD558" s="1"/>
      <c r="AE558" s="1"/>
      <c r="AF558" s="1"/>
      <c r="AG558" s="4"/>
      <c r="AH558" s="1"/>
      <c r="AI558" s="6"/>
      <c r="AJ558" s="3"/>
      <c r="AK558" s="1"/>
      <c r="AL558" s="1"/>
      <c r="AM558" s="1"/>
      <c r="AN558" s="1"/>
      <c r="AO558" s="1"/>
      <c r="AP558" s="1"/>
      <c r="AQ558" s="1"/>
      <c r="AR558" s="1"/>
      <c r="AS558" s="1"/>
      <c r="AT558" s="1"/>
      <c r="AU558" s="1"/>
      <c r="AV558" s="1"/>
      <c r="AW558" s="1"/>
      <c r="AX558" s="7"/>
      <c r="AY558" s="47"/>
      <c r="AZ558" s="47"/>
      <c r="BA558" s="47"/>
      <c r="BB558" s="47"/>
      <c r="BC558" s="47"/>
      <c r="BD558" s="47"/>
      <c r="BE558" s="47"/>
      <c r="BF558" s="47"/>
      <c r="BG558" s="47"/>
      <c r="BH558" s="47"/>
      <c r="BI558" s="47"/>
    </row>
    <row r="559" spans="1:61" ht="28.5" customHeight="1">
      <c r="A559" s="1"/>
      <c r="B559" s="139"/>
      <c r="C559" s="1"/>
      <c r="D559" s="1"/>
      <c r="E559" s="1"/>
      <c r="F559" s="1"/>
      <c r="G559" s="1"/>
      <c r="H559" s="4"/>
      <c r="I559" s="4"/>
      <c r="J559" s="4"/>
      <c r="K559" s="4"/>
      <c r="L559" s="4"/>
      <c r="M559" s="4"/>
      <c r="N559" s="1"/>
      <c r="O559" s="1"/>
      <c r="P559" s="4"/>
      <c r="Q559" s="5"/>
      <c r="R559" s="4"/>
      <c r="S559" s="1"/>
      <c r="T559" s="1"/>
      <c r="U559" s="1"/>
      <c r="V559" s="1"/>
      <c r="W559" s="1"/>
      <c r="X559" s="6"/>
      <c r="Y559" s="4"/>
      <c r="Z559" s="4"/>
      <c r="AA559" s="4"/>
      <c r="AB559" s="1"/>
      <c r="AC559" s="1"/>
      <c r="AD559" s="1"/>
      <c r="AE559" s="1"/>
      <c r="AF559" s="1"/>
      <c r="AG559" s="4"/>
      <c r="AH559" s="1"/>
      <c r="AI559" s="6"/>
      <c r="AJ559" s="3"/>
      <c r="AK559" s="1"/>
      <c r="AL559" s="1"/>
      <c r="AM559" s="1"/>
      <c r="AN559" s="1"/>
      <c r="AO559" s="1"/>
      <c r="AP559" s="1"/>
      <c r="AQ559" s="1"/>
      <c r="AR559" s="1"/>
      <c r="AS559" s="1"/>
      <c r="AT559" s="1"/>
      <c r="AU559" s="1"/>
      <c r="AV559" s="1"/>
      <c r="AW559" s="1"/>
      <c r="AX559" s="7"/>
      <c r="AY559" s="47"/>
      <c r="AZ559" s="47"/>
      <c r="BA559" s="47"/>
      <c r="BB559" s="47"/>
      <c r="BC559" s="47"/>
      <c r="BD559" s="47"/>
      <c r="BE559" s="47"/>
      <c r="BF559" s="47"/>
      <c r="BG559" s="47"/>
      <c r="BH559" s="47"/>
      <c r="BI559" s="47"/>
    </row>
    <row r="560" spans="1:61" ht="28.5" customHeight="1">
      <c r="A560" s="1"/>
      <c r="B560" s="139"/>
      <c r="C560" s="1"/>
      <c r="D560" s="1"/>
      <c r="E560" s="1"/>
      <c r="F560" s="1"/>
      <c r="G560" s="1"/>
      <c r="H560" s="4"/>
      <c r="I560" s="4"/>
      <c r="J560" s="4"/>
      <c r="K560" s="4"/>
      <c r="L560" s="4"/>
      <c r="M560" s="4"/>
      <c r="N560" s="1"/>
      <c r="O560" s="1"/>
      <c r="P560" s="4"/>
      <c r="Q560" s="5"/>
      <c r="R560" s="4"/>
      <c r="S560" s="1"/>
      <c r="T560" s="1"/>
      <c r="U560" s="1"/>
      <c r="V560" s="1"/>
      <c r="W560" s="1"/>
      <c r="X560" s="6"/>
      <c r="Y560" s="4"/>
      <c r="Z560" s="4"/>
      <c r="AA560" s="4"/>
      <c r="AB560" s="1"/>
      <c r="AC560" s="1"/>
      <c r="AD560" s="1"/>
      <c r="AE560" s="1"/>
      <c r="AF560" s="1"/>
      <c r="AG560" s="4"/>
      <c r="AH560" s="1"/>
      <c r="AI560" s="6"/>
      <c r="AJ560" s="3"/>
      <c r="AK560" s="1"/>
      <c r="AL560" s="1"/>
      <c r="AM560" s="1"/>
      <c r="AN560" s="1"/>
      <c r="AO560" s="1"/>
      <c r="AP560" s="1"/>
      <c r="AQ560" s="1"/>
      <c r="AR560" s="1"/>
      <c r="AS560" s="1"/>
      <c r="AT560" s="1"/>
      <c r="AU560" s="1"/>
      <c r="AV560" s="1"/>
      <c r="AW560" s="1"/>
      <c r="AX560" s="7"/>
      <c r="AY560" s="47"/>
      <c r="AZ560" s="47"/>
      <c r="BA560" s="47"/>
      <c r="BB560" s="47"/>
      <c r="BC560" s="47"/>
      <c r="BD560" s="47"/>
      <c r="BE560" s="47"/>
      <c r="BF560" s="47"/>
      <c r="BG560" s="47"/>
      <c r="BH560" s="47"/>
      <c r="BI560" s="47"/>
    </row>
    <row r="561" spans="1:61" ht="28.5" customHeight="1">
      <c r="A561" s="1"/>
      <c r="B561" s="139"/>
      <c r="C561" s="1"/>
      <c r="D561" s="1"/>
      <c r="E561" s="1"/>
      <c r="F561" s="1"/>
      <c r="G561" s="1"/>
      <c r="H561" s="4"/>
      <c r="I561" s="4"/>
      <c r="J561" s="4"/>
      <c r="K561" s="4"/>
      <c r="L561" s="4"/>
      <c r="M561" s="4"/>
      <c r="N561" s="1"/>
      <c r="O561" s="1"/>
      <c r="P561" s="4"/>
      <c r="Q561" s="5"/>
      <c r="R561" s="4"/>
      <c r="S561" s="1"/>
      <c r="T561" s="1"/>
      <c r="U561" s="1"/>
      <c r="V561" s="1"/>
      <c r="W561" s="1"/>
      <c r="X561" s="6"/>
      <c r="Y561" s="4"/>
      <c r="Z561" s="4"/>
      <c r="AA561" s="4"/>
      <c r="AB561" s="1"/>
      <c r="AC561" s="1"/>
      <c r="AD561" s="1"/>
      <c r="AE561" s="1"/>
      <c r="AF561" s="1"/>
      <c r="AG561" s="4"/>
      <c r="AH561" s="1"/>
      <c r="AI561" s="6"/>
      <c r="AJ561" s="3"/>
      <c r="AK561" s="1"/>
      <c r="AL561" s="1"/>
      <c r="AM561" s="1"/>
      <c r="AN561" s="1"/>
      <c r="AO561" s="1"/>
      <c r="AP561" s="1"/>
      <c r="AQ561" s="1"/>
      <c r="AR561" s="1"/>
      <c r="AS561" s="1"/>
      <c r="AT561" s="1"/>
      <c r="AU561" s="1"/>
      <c r="AV561" s="1"/>
      <c r="AW561" s="1"/>
      <c r="AX561" s="7"/>
      <c r="AY561" s="47"/>
      <c r="AZ561" s="47"/>
      <c r="BA561" s="47"/>
      <c r="BB561" s="47"/>
      <c r="BC561" s="47"/>
      <c r="BD561" s="47"/>
      <c r="BE561" s="47"/>
      <c r="BF561" s="47"/>
      <c r="BG561" s="47"/>
      <c r="BH561" s="47"/>
      <c r="BI561" s="47"/>
    </row>
    <row r="562" spans="1:61" ht="28.5" customHeight="1">
      <c r="A562" s="1"/>
      <c r="B562" s="139"/>
      <c r="C562" s="1"/>
      <c r="D562" s="1"/>
      <c r="E562" s="1"/>
      <c r="F562" s="1"/>
      <c r="G562" s="1"/>
      <c r="H562" s="4"/>
      <c r="I562" s="4"/>
      <c r="J562" s="4"/>
      <c r="K562" s="4"/>
      <c r="L562" s="4"/>
      <c r="M562" s="4"/>
      <c r="N562" s="1"/>
      <c r="O562" s="1"/>
      <c r="P562" s="4"/>
      <c r="Q562" s="5"/>
      <c r="R562" s="4"/>
      <c r="S562" s="1"/>
      <c r="T562" s="1"/>
      <c r="U562" s="1"/>
      <c r="V562" s="1"/>
      <c r="W562" s="1"/>
      <c r="X562" s="6"/>
      <c r="Y562" s="4"/>
      <c r="Z562" s="4"/>
      <c r="AA562" s="4"/>
      <c r="AB562" s="1"/>
      <c r="AC562" s="1"/>
      <c r="AD562" s="1"/>
      <c r="AE562" s="1"/>
      <c r="AF562" s="1"/>
      <c r="AG562" s="4"/>
      <c r="AH562" s="1"/>
      <c r="AI562" s="6"/>
      <c r="AJ562" s="3"/>
      <c r="AK562" s="1"/>
      <c r="AL562" s="1"/>
      <c r="AM562" s="1"/>
      <c r="AN562" s="1"/>
      <c r="AO562" s="1"/>
      <c r="AP562" s="1"/>
      <c r="AQ562" s="1"/>
      <c r="AR562" s="1"/>
      <c r="AS562" s="1"/>
      <c r="AT562" s="1"/>
      <c r="AU562" s="1"/>
      <c r="AV562" s="1"/>
      <c r="AW562" s="1"/>
      <c r="AX562" s="7"/>
      <c r="AY562" s="47"/>
      <c r="AZ562" s="47"/>
      <c r="BA562" s="47"/>
      <c r="BB562" s="47"/>
      <c r="BC562" s="47"/>
      <c r="BD562" s="47"/>
      <c r="BE562" s="47"/>
      <c r="BF562" s="47"/>
      <c r="BG562" s="47"/>
      <c r="BH562" s="47"/>
      <c r="BI562" s="47"/>
    </row>
    <row r="563" spans="1:61" ht="28.5" customHeight="1">
      <c r="A563" s="1"/>
      <c r="B563" s="139"/>
      <c r="C563" s="1"/>
      <c r="D563" s="1"/>
      <c r="E563" s="1"/>
      <c r="F563" s="1"/>
      <c r="G563" s="1"/>
      <c r="H563" s="4"/>
      <c r="I563" s="4"/>
      <c r="J563" s="4"/>
      <c r="K563" s="4"/>
      <c r="L563" s="4"/>
      <c r="M563" s="4"/>
      <c r="N563" s="1"/>
      <c r="O563" s="1"/>
      <c r="P563" s="4"/>
      <c r="Q563" s="5"/>
      <c r="R563" s="4"/>
      <c r="S563" s="1"/>
      <c r="T563" s="1"/>
      <c r="U563" s="1"/>
      <c r="V563" s="1"/>
      <c r="W563" s="1"/>
      <c r="X563" s="6"/>
      <c r="Y563" s="4"/>
      <c r="Z563" s="4"/>
      <c r="AA563" s="4"/>
      <c r="AB563" s="1"/>
      <c r="AC563" s="1"/>
      <c r="AD563" s="1"/>
      <c r="AE563" s="1"/>
      <c r="AF563" s="1"/>
      <c r="AG563" s="4"/>
      <c r="AH563" s="1"/>
      <c r="AI563" s="6"/>
      <c r="AJ563" s="3"/>
      <c r="AK563" s="1"/>
      <c r="AL563" s="1"/>
      <c r="AM563" s="1"/>
      <c r="AN563" s="1"/>
      <c r="AO563" s="1"/>
      <c r="AP563" s="1"/>
      <c r="AQ563" s="1"/>
      <c r="AR563" s="1"/>
      <c r="AS563" s="1"/>
      <c r="AT563" s="1"/>
      <c r="AU563" s="1"/>
      <c r="AV563" s="1"/>
      <c r="AW563" s="1"/>
      <c r="AX563" s="7"/>
      <c r="AY563" s="47"/>
      <c r="AZ563" s="47"/>
      <c r="BA563" s="47"/>
      <c r="BB563" s="47"/>
      <c r="BC563" s="47"/>
      <c r="BD563" s="47"/>
      <c r="BE563" s="47"/>
      <c r="BF563" s="47"/>
      <c r="BG563" s="47"/>
      <c r="BH563" s="47"/>
      <c r="BI563" s="47"/>
    </row>
    <row r="564" spans="1:61" ht="28.5" customHeight="1">
      <c r="A564" s="1"/>
      <c r="B564" s="139"/>
      <c r="C564" s="1"/>
      <c r="D564" s="1"/>
      <c r="E564" s="1"/>
      <c r="F564" s="1"/>
      <c r="G564" s="1"/>
      <c r="H564" s="4"/>
      <c r="I564" s="4"/>
      <c r="J564" s="4"/>
      <c r="K564" s="4"/>
      <c r="L564" s="4"/>
      <c r="M564" s="4"/>
      <c r="N564" s="1"/>
      <c r="O564" s="1"/>
      <c r="P564" s="4"/>
      <c r="Q564" s="5"/>
      <c r="R564" s="4"/>
      <c r="S564" s="1"/>
      <c r="T564" s="1"/>
      <c r="U564" s="1"/>
      <c r="V564" s="1"/>
      <c r="W564" s="1"/>
      <c r="X564" s="6"/>
      <c r="Y564" s="4"/>
      <c r="Z564" s="4"/>
      <c r="AA564" s="4"/>
      <c r="AB564" s="1"/>
      <c r="AC564" s="1"/>
      <c r="AD564" s="1"/>
      <c r="AE564" s="1"/>
      <c r="AF564" s="1"/>
      <c r="AG564" s="4"/>
      <c r="AH564" s="1"/>
      <c r="AI564" s="6"/>
      <c r="AJ564" s="3"/>
      <c r="AK564" s="1"/>
      <c r="AL564" s="1"/>
      <c r="AM564" s="1"/>
      <c r="AN564" s="1"/>
      <c r="AO564" s="1"/>
      <c r="AP564" s="1"/>
      <c r="AQ564" s="1"/>
      <c r="AR564" s="1"/>
      <c r="AS564" s="1"/>
      <c r="AT564" s="1"/>
      <c r="AU564" s="1"/>
      <c r="AV564" s="1"/>
      <c r="AW564" s="1"/>
      <c r="AX564" s="7"/>
      <c r="AY564" s="47"/>
      <c r="AZ564" s="47"/>
      <c r="BA564" s="47"/>
      <c r="BB564" s="47"/>
      <c r="BC564" s="47"/>
      <c r="BD564" s="47"/>
      <c r="BE564" s="47"/>
      <c r="BF564" s="47"/>
      <c r="BG564" s="47"/>
      <c r="BH564" s="47"/>
      <c r="BI564" s="47"/>
    </row>
    <row r="565" spans="1:61" ht="28.5" customHeight="1">
      <c r="A565" s="1"/>
      <c r="B565" s="139"/>
      <c r="C565" s="1"/>
      <c r="D565" s="1"/>
      <c r="E565" s="1"/>
      <c r="F565" s="1"/>
      <c r="G565" s="1"/>
      <c r="H565" s="4"/>
      <c r="I565" s="4"/>
      <c r="J565" s="4"/>
      <c r="K565" s="4"/>
      <c r="L565" s="4"/>
      <c r="M565" s="4"/>
      <c r="N565" s="1"/>
      <c r="O565" s="1"/>
      <c r="P565" s="4"/>
      <c r="Q565" s="5"/>
      <c r="R565" s="4"/>
      <c r="S565" s="1"/>
      <c r="T565" s="1"/>
      <c r="U565" s="1"/>
      <c r="V565" s="1"/>
      <c r="W565" s="1"/>
      <c r="X565" s="6"/>
      <c r="Y565" s="4"/>
      <c r="Z565" s="4"/>
      <c r="AA565" s="4"/>
      <c r="AB565" s="1"/>
      <c r="AC565" s="1"/>
      <c r="AD565" s="1"/>
      <c r="AE565" s="1"/>
      <c r="AF565" s="1"/>
      <c r="AG565" s="4"/>
      <c r="AH565" s="1"/>
      <c r="AI565" s="6"/>
      <c r="AJ565" s="3"/>
      <c r="AK565" s="1"/>
      <c r="AL565" s="1"/>
      <c r="AM565" s="1"/>
      <c r="AN565" s="1"/>
      <c r="AO565" s="1"/>
      <c r="AP565" s="1"/>
      <c r="AQ565" s="1"/>
      <c r="AR565" s="1"/>
      <c r="AS565" s="1"/>
      <c r="AT565" s="1"/>
      <c r="AU565" s="1"/>
      <c r="AV565" s="1"/>
      <c r="AW565" s="1"/>
      <c r="AX565" s="7"/>
      <c r="AY565" s="47"/>
      <c r="AZ565" s="47"/>
      <c r="BA565" s="47"/>
      <c r="BB565" s="47"/>
      <c r="BC565" s="47"/>
      <c r="BD565" s="47"/>
      <c r="BE565" s="47"/>
      <c r="BF565" s="47"/>
      <c r="BG565" s="47"/>
      <c r="BH565" s="47"/>
      <c r="BI565" s="47"/>
    </row>
    <row r="566" spans="1:61" ht="28.5" customHeight="1">
      <c r="A566" s="1"/>
      <c r="B566" s="139"/>
      <c r="C566" s="1"/>
      <c r="D566" s="1"/>
      <c r="E566" s="1"/>
      <c r="F566" s="1"/>
      <c r="G566" s="1"/>
      <c r="H566" s="4"/>
      <c r="I566" s="4"/>
      <c r="J566" s="4"/>
      <c r="K566" s="4"/>
      <c r="L566" s="4"/>
      <c r="M566" s="4"/>
      <c r="N566" s="1"/>
      <c r="O566" s="1"/>
      <c r="P566" s="4"/>
      <c r="Q566" s="5"/>
      <c r="R566" s="4"/>
      <c r="S566" s="1"/>
      <c r="T566" s="1"/>
      <c r="U566" s="1"/>
      <c r="V566" s="1"/>
      <c r="W566" s="1"/>
      <c r="X566" s="6"/>
      <c r="Y566" s="4"/>
      <c r="Z566" s="4"/>
      <c r="AA566" s="4"/>
      <c r="AB566" s="1"/>
      <c r="AC566" s="1"/>
      <c r="AD566" s="1"/>
      <c r="AE566" s="1"/>
      <c r="AF566" s="1"/>
      <c r="AG566" s="4"/>
      <c r="AH566" s="1"/>
      <c r="AI566" s="6"/>
      <c r="AJ566" s="3"/>
      <c r="AK566" s="1"/>
      <c r="AL566" s="1"/>
      <c r="AM566" s="1"/>
      <c r="AN566" s="1"/>
      <c r="AO566" s="1"/>
      <c r="AP566" s="1"/>
      <c r="AQ566" s="1"/>
      <c r="AR566" s="1"/>
      <c r="AS566" s="1"/>
      <c r="AT566" s="1"/>
      <c r="AU566" s="1"/>
      <c r="AV566" s="1"/>
      <c r="AW566" s="1"/>
      <c r="AX566" s="7"/>
      <c r="AY566" s="47"/>
      <c r="AZ566" s="47"/>
      <c r="BA566" s="47"/>
      <c r="BB566" s="47"/>
      <c r="BC566" s="47"/>
      <c r="BD566" s="47"/>
      <c r="BE566" s="47"/>
      <c r="BF566" s="47"/>
      <c r="BG566" s="47"/>
      <c r="BH566" s="47"/>
      <c r="BI566" s="47"/>
    </row>
    <row r="567" spans="1:61" ht="28.5" customHeight="1">
      <c r="A567" s="1"/>
      <c r="B567" s="139"/>
      <c r="C567" s="1"/>
      <c r="D567" s="1"/>
      <c r="E567" s="1"/>
      <c r="F567" s="1"/>
      <c r="G567" s="1"/>
      <c r="H567" s="4"/>
      <c r="I567" s="4"/>
      <c r="J567" s="4"/>
      <c r="K567" s="4"/>
      <c r="L567" s="4"/>
      <c r="M567" s="4"/>
      <c r="N567" s="1"/>
      <c r="O567" s="1"/>
      <c r="P567" s="4"/>
      <c r="Q567" s="5"/>
      <c r="R567" s="4"/>
      <c r="S567" s="1"/>
      <c r="T567" s="1"/>
      <c r="U567" s="1"/>
      <c r="V567" s="1"/>
      <c r="W567" s="1"/>
      <c r="X567" s="6"/>
      <c r="Y567" s="4"/>
      <c r="Z567" s="4"/>
      <c r="AA567" s="4"/>
      <c r="AB567" s="1"/>
      <c r="AC567" s="1"/>
      <c r="AD567" s="1"/>
      <c r="AE567" s="1"/>
      <c r="AF567" s="1"/>
      <c r="AG567" s="4"/>
      <c r="AH567" s="1"/>
      <c r="AI567" s="6"/>
      <c r="AJ567" s="3"/>
      <c r="AK567" s="1"/>
      <c r="AL567" s="1"/>
      <c r="AM567" s="1"/>
      <c r="AN567" s="1"/>
      <c r="AO567" s="1"/>
      <c r="AP567" s="1"/>
      <c r="AQ567" s="1"/>
      <c r="AR567" s="1"/>
      <c r="AS567" s="1"/>
      <c r="AT567" s="1"/>
      <c r="AU567" s="1"/>
      <c r="AV567" s="1"/>
      <c r="AW567" s="1"/>
      <c r="AX567" s="7"/>
      <c r="AY567" s="47"/>
      <c r="AZ567" s="47"/>
      <c r="BA567" s="47"/>
      <c r="BB567" s="47"/>
      <c r="BC567" s="47"/>
      <c r="BD567" s="47"/>
      <c r="BE567" s="47"/>
      <c r="BF567" s="47"/>
      <c r="BG567" s="47"/>
      <c r="BH567" s="47"/>
      <c r="BI567" s="47"/>
    </row>
    <row r="568" spans="1:61" ht="28.5" customHeight="1">
      <c r="A568" s="1"/>
      <c r="B568" s="139"/>
      <c r="C568" s="1"/>
      <c r="D568" s="1"/>
      <c r="E568" s="1"/>
      <c r="F568" s="1"/>
      <c r="G568" s="1"/>
      <c r="H568" s="4"/>
      <c r="I568" s="4"/>
      <c r="J568" s="4"/>
      <c r="K568" s="4"/>
      <c r="L568" s="4"/>
      <c r="M568" s="4"/>
      <c r="N568" s="1"/>
      <c r="O568" s="1"/>
      <c r="P568" s="4"/>
      <c r="Q568" s="5"/>
      <c r="R568" s="4"/>
      <c r="S568" s="1"/>
      <c r="T568" s="1"/>
      <c r="U568" s="1"/>
      <c r="V568" s="1"/>
      <c r="W568" s="1"/>
      <c r="X568" s="6"/>
      <c r="Y568" s="4"/>
      <c r="Z568" s="4"/>
      <c r="AA568" s="4"/>
      <c r="AB568" s="1"/>
      <c r="AC568" s="1"/>
      <c r="AD568" s="1"/>
      <c r="AE568" s="1"/>
      <c r="AF568" s="1"/>
      <c r="AG568" s="4"/>
      <c r="AH568" s="1"/>
      <c r="AI568" s="6"/>
      <c r="AJ568" s="3"/>
      <c r="AK568" s="1"/>
      <c r="AL568" s="1"/>
      <c r="AM568" s="1"/>
      <c r="AN568" s="1"/>
      <c r="AO568" s="1"/>
      <c r="AP568" s="1"/>
      <c r="AQ568" s="1"/>
      <c r="AR568" s="1"/>
      <c r="AS568" s="1"/>
      <c r="AT568" s="1"/>
      <c r="AU568" s="1"/>
      <c r="AV568" s="1"/>
      <c r="AW568" s="1"/>
      <c r="AX568" s="7"/>
      <c r="AY568" s="47"/>
      <c r="AZ568" s="47"/>
      <c r="BA568" s="47"/>
      <c r="BB568" s="47"/>
      <c r="BC568" s="47"/>
      <c r="BD568" s="47"/>
      <c r="BE568" s="47"/>
      <c r="BF568" s="47"/>
      <c r="BG568" s="47"/>
      <c r="BH568" s="47"/>
      <c r="BI568" s="47"/>
    </row>
    <row r="569" spans="1:61" ht="28.5" customHeight="1">
      <c r="A569" s="1"/>
      <c r="B569" s="139"/>
      <c r="C569" s="1"/>
      <c r="D569" s="1"/>
      <c r="E569" s="1"/>
      <c r="F569" s="1"/>
      <c r="G569" s="1"/>
      <c r="H569" s="4"/>
      <c r="I569" s="4"/>
      <c r="J569" s="4"/>
      <c r="K569" s="4"/>
      <c r="L569" s="4"/>
      <c r="M569" s="4"/>
      <c r="N569" s="1"/>
      <c r="O569" s="1"/>
      <c r="P569" s="4"/>
      <c r="Q569" s="5"/>
      <c r="R569" s="4"/>
      <c r="S569" s="1"/>
      <c r="T569" s="1"/>
      <c r="U569" s="1"/>
      <c r="V569" s="1"/>
      <c r="W569" s="1"/>
      <c r="X569" s="6"/>
      <c r="Y569" s="4"/>
      <c r="Z569" s="4"/>
      <c r="AA569" s="4"/>
      <c r="AB569" s="1"/>
      <c r="AC569" s="1"/>
      <c r="AD569" s="1"/>
      <c r="AE569" s="1"/>
      <c r="AF569" s="1"/>
      <c r="AG569" s="4"/>
      <c r="AH569" s="1"/>
      <c r="AI569" s="6"/>
      <c r="AJ569" s="3"/>
      <c r="AK569" s="1"/>
      <c r="AL569" s="1"/>
      <c r="AM569" s="1"/>
      <c r="AN569" s="1"/>
      <c r="AO569" s="1"/>
      <c r="AP569" s="1"/>
      <c r="AQ569" s="1"/>
      <c r="AR569" s="1"/>
      <c r="AS569" s="1"/>
      <c r="AT569" s="1"/>
      <c r="AU569" s="1"/>
      <c r="AV569" s="1"/>
      <c r="AW569" s="1"/>
      <c r="AX569" s="7"/>
      <c r="AY569" s="47"/>
      <c r="AZ569" s="47"/>
      <c r="BA569" s="47"/>
      <c r="BB569" s="47"/>
      <c r="BC569" s="47"/>
      <c r="BD569" s="47"/>
      <c r="BE569" s="47"/>
      <c r="BF569" s="47"/>
      <c r="BG569" s="47"/>
      <c r="BH569" s="47"/>
      <c r="BI569" s="47"/>
    </row>
    <row r="570" spans="1:61" ht="28.5" customHeight="1">
      <c r="A570" s="1"/>
      <c r="B570" s="139"/>
      <c r="C570" s="1"/>
      <c r="D570" s="1"/>
      <c r="E570" s="1"/>
      <c r="F570" s="1"/>
      <c r="G570" s="1"/>
      <c r="H570" s="4"/>
      <c r="I570" s="4"/>
      <c r="J570" s="4"/>
      <c r="K570" s="4"/>
      <c r="L570" s="4"/>
      <c r="M570" s="4"/>
      <c r="N570" s="1"/>
      <c r="O570" s="1"/>
      <c r="P570" s="4"/>
      <c r="Q570" s="5"/>
      <c r="R570" s="4"/>
      <c r="S570" s="1"/>
      <c r="T570" s="1"/>
      <c r="U570" s="1"/>
      <c r="V570" s="1"/>
      <c r="W570" s="1"/>
      <c r="X570" s="6"/>
      <c r="Y570" s="4"/>
      <c r="Z570" s="4"/>
      <c r="AA570" s="4"/>
      <c r="AB570" s="1"/>
      <c r="AC570" s="1"/>
      <c r="AD570" s="1"/>
      <c r="AE570" s="1"/>
      <c r="AF570" s="1"/>
      <c r="AG570" s="4"/>
      <c r="AH570" s="1"/>
      <c r="AI570" s="6"/>
      <c r="AJ570" s="3"/>
      <c r="AK570" s="1"/>
      <c r="AL570" s="1"/>
      <c r="AM570" s="1"/>
      <c r="AN570" s="1"/>
      <c r="AO570" s="1"/>
      <c r="AP570" s="1"/>
      <c r="AQ570" s="1"/>
      <c r="AR570" s="1"/>
      <c r="AS570" s="1"/>
      <c r="AT570" s="1"/>
      <c r="AU570" s="1"/>
      <c r="AV570" s="1"/>
      <c r="AW570" s="1"/>
      <c r="AX570" s="7"/>
      <c r="AY570" s="47"/>
      <c r="AZ570" s="47"/>
      <c r="BA570" s="47"/>
      <c r="BB570" s="47"/>
      <c r="BC570" s="47"/>
      <c r="BD570" s="47"/>
      <c r="BE570" s="47"/>
      <c r="BF570" s="47"/>
      <c r="BG570" s="47"/>
      <c r="BH570" s="47"/>
      <c r="BI570" s="47"/>
    </row>
    <row r="571" spans="1:61" ht="28.5" customHeight="1">
      <c r="A571" s="1"/>
      <c r="B571" s="139"/>
      <c r="C571" s="1"/>
      <c r="D571" s="1"/>
      <c r="E571" s="1"/>
      <c r="F571" s="1"/>
      <c r="G571" s="1"/>
      <c r="H571" s="4"/>
      <c r="I571" s="4"/>
      <c r="J571" s="4"/>
      <c r="K571" s="4"/>
      <c r="L571" s="4"/>
      <c r="M571" s="4"/>
      <c r="N571" s="1"/>
      <c r="O571" s="1"/>
      <c r="P571" s="4"/>
      <c r="Q571" s="5"/>
      <c r="R571" s="4"/>
      <c r="S571" s="1"/>
      <c r="T571" s="1"/>
      <c r="U571" s="1"/>
      <c r="V571" s="1"/>
      <c r="W571" s="1"/>
      <c r="X571" s="6"/>
      <c r="Y571" s="4"/>
      <c r="Z571" s="4"/>
      <c r="AA571" s="4"/>
      <c r="AB571" s="1"/>
      <c r="AC571" s="1"/>
      <c r="AD571" s="1"/>
      <c r="AE571" s="1"/>
      <c r="AF571" s="1"/>
      <c r="AG571" s="4"/>
      <c r="AH571" s="1"/>
      <c r="AI571" s="6"/>
      <c r="AJ571" s="3"/>
      <c r="AK571" s="1"/>
      <c r="AL571" s="1"/>
      <c r="AM571" s="1"/>
      <c r="AN571" s="1"/>
      <c r="AO571" s="1"/>
      <c r="AP571" s="1"/>
      <c r="AQ571" s="1"/>
      <c r="AR571" s="1"/>
      <c r="AS571" s="1"/>
      <c r="AT571" s="1"/>
      <c r="AU571" s="1"/>
      <c r="AV571" s="1"/>
      <c r="AW571" s="1"/>
      <c r="AX571" s="7"/>
      <c r="AY571" s="47"/>
      <c r="AZ571" s="47"/>
      <c r="BA571" s="47"/>
      <c r="BB571" s="47"/>
      <c r="BC571" s="47"/>
      <c r="BD571" s="47"/>
      <c r="BE571" s="47"/>
      <c r="BF571" s="47"/>
      <c r="BG571" s="47"/>
      <c r="BH571" s="47"/>
      <c r="BI571" s="47"/>
    </row>
    <row r="572" spans="1:61" ht="28.5" customHeight="1">
      <c r="A572" s="1"/>
      <c r="B572" s="139"/>
      <c r="C572" s="1"/>
      <c r="D572" s="1"/>
      <c r="E572" s="1"/>
      <c r="F572" s="1"/>
      <c r="G572" s="1"/>
      <c r="H572" s="4"/>
      <c r="I572" s="4"/>
      <c r="J572" s="4"/>
      <c r="K572" s="4"/>
      <c r="L572" s="4"/>
      <c r="M572" s="4"/>
      <c r="N572" s="1"/>
      <c r="O572" s="1"/>
      <c r="P572" s="4"/>
      <c r="Q572" s="5"/>
      <c r="R572" s="4"/>
      <c r="S572" s="1"/>
      <c r="T572" s="1"/>
      <c r="U572" s="1"/>
      <c r="V572" s="1"/>
      <c r="W572" s="1"/>
      <c r="X572" s="6"/>
      <c r="Y572" s="4"/>
      <c r="Z572" s="4"/>
      <c r="AA572" s="4"/>
      <c r="AB572" s="1"/>
      <c r="AC572" s="1"/>
      <c r="AD572" s="1"/>
      <c r="AE572" s="1"/>
      <c r="AF572" s="1"/>
      <c r="AG572" s="4"/>
      <c r="AH572" s="1"/>
      <c r="AI572" s="6"/>
      <c r="AJ572" s="3"/>
      <c r="AK572" s="1"/>
      <c r="AL572" s="1"/>
      <c r="AM572" s="1"/>
      <c r="AN572" s="1"/>
      <c r="AO572" s="1"/>
      <c r="AP572" s="1"/>
      <c r="AQ572" s="1"/>
      <c r="AR572" s="1"/>
      <c r="AS572" s="1"/>
      <c r="AT572" s="1"/>
      <c r="AU572" s="1"/>
      <c r="AV572" s="1"/>
      <c r="AW572" s="1"/>
      <c r="AX572" s="7"/>
      <c r="AY572" s="47"/>
      <c r="AZ572" s="47"/>
      <c r="BA572" s="47"/>
      <c r="BB572" s="47"/>
      <c r="BC572" s="47"/>
      <c r="BD572" s="47"/>
      <c r="BE572" s="47"/>
      <c r="BF572" s="47"/>
      <c r="BG572" s="47"/>
      <c r="BH572" s="47"/>
      <c r="BI572" s="47"/>
    </row>
    <row r="573" spans="1:61" ht="28.5" customHeight="1">
      <c r="A573" s="1"/>
      <c r="B573" s="139"/>
      <c r="C573" s="1"/>
      <c r="D573" s="1"/>
      <c r="E573" s="1"/>
      <c r="F573" s="1"/>
      <c r="G573" s="1"/>
      <c r="H573" s="4"/>
      <c r="I573" s="4"/>
      <c r="J573" s="4"/>
      <c r="K573" s="4"/>
      <c r="L573" s="4"/>
      <c r="M573" s="4"/>
      <c r="N573" s="1"/>
      <c r="O573" s="1"/>
      <c r="P573" s="4"/>
      <c r="Q573" s="5"/>
      <c r="R573" s="4"/>
      <c r="S573" s="1"/>
      <c r="T573" s="1"/>
      <c r="U573" s="1"/>
      <c r="V573" s="1"/>
      <c r="W573" s="1"/>
      <c r="X573" s="6"/>
      <c r="Y573" s="4"/>
      <c r="Z573" s="4"/>
      <c r="AA573" s="4"/>
      <c r="AB573" s="1"/>
      <c r="AC573" s="1"/>
      <c r="AD573" s="1"/>
      <c r="AE573" s="1"/>
      <c r="AF573" s="1"/>
      <c r="AG573" s="4"/>
      <c r="AH573" s="1"/>
      <c r="AI573" s="6"/>
      <c r="AJ573" s="3"/>
      <c r="AK573" s="1"/>
      <c r="AL573" s="1"/>
      <c r="AM573" s="1"/>
      <c r="AN573" s="1"/>
      <c r="AO573" s="1"/>
      <c r="AP573" s="1"/>
      <c r="AQ573" s="1"/>
      <c r="AR573" s="1"/>
      <c r="AS573" s="1"/>
      <c r="AT573" s="1"/>
      <c r="AU573" s="1"/>
      <c r="AV573" s="1"/>
      <c r="AW573" s="1"/>
      <c r="AX573" s="7"/>
      <c r="AY573" s="47"/>
      <c r="AZ573" s="47"/>
      <c r="BA573" s="47"/>
      <c r="BB573" s="47"/>
      <c r="BC573" s="47"/>
      <c r="BD573" s="47"/>
      <c r="BE573" s="47"/>
      <c r="BF573" s="47"/>
      <c r="BG573" s="47"/>
      <c r="BH573" s="47"/>
      <c r="BI573" s="47"/>
    </row>
    <row r="574" spans="1:61" ht="28.5" customHeight="1">
      <c r="A574" s="1"/>
      <c r="B574" s="139"/>
      <c r="C574" s="1"/>
      <c r="D574" s="1"/>
      <c r="E574" s="1"/>
      <c r="F574" s="1"/>
      <c r="G574" s="1"/>
      <c r="H574" s="4"/>
      <c r="I574" s="4"/>
      <c r="J574" s="4"/>
      <c r="K574" s="4"/>
      <c r="L574" s="4"/>
      <c r="M574" s="4"/>
      <c r="N574" s="1"/>
      <c r="O574" s="1"/>
      <c r="P574" s="4"/>
      <c r="Q574" s="5"/>
      <c r="R574" s="4"/>
      <c r="S574" s="1"/>
      <c r="T574" s="1"/>
      <c r="U574" s="1"/>
      <c r="V574" s="1"/>
      <c r="W574" s="1"/>
      <c r="X574" s="6"/>
      <c r="Y574" s="4"/>
      <c r="Z574" s="4"/>
      <c r="AA574" s="4"/>
      <c r="AB574" s="1"/>
      <c r="AC574" s="1"/>
      <c r="AD574" s="1"/>
      <c r="AE574" s="1"/>
      <c r="AF574" s="1"/>
      <c r="AG574" s="4"/>
      <c r="AH574" s="1"/>
      <c r="AI574" s="6"/>
      <c r="AJ574" s="3"/>
      <c r="AK574" s="1"/>
      <c r="AL574" s="1"/>
      <c r="AM574" s="1"/>
      <c r="AN574" s="1"/>
      <c r="AO574" s="1"/>
      <c r="AP574" s="1"/>
      <c r="AQ574" s="1"/>
      <c r="AR574" s="1"/>
      <c r="AS574" s="1"/>
      <c r="AT574" s="1"/>
      <c r="AU574" s="1"/>
      <c r="AV574" s="1"/>
      <c r="AW574" s="1"/>
      <c r="AX574" s="7"/>
      <c r="AY574" s="47"/>
      <c r="AZ574" s="47"/>
      <c r="BA574" s="47"/>
      <c r="BB574" s="47"/>
      <c r="BC574" s="47"/>
      <c r="BD574" s="47"/>
      <c r="BE574" s="47"/>
      <c r="BF574" s="47"/>
      <c r="BG574" s="47"/>
      <c r="BH574" s="47"/>
      <c r="BI574" s="47"/>
    </row>
    <row r="575" spans="1:61" ht="28.5" customHeight="1">
      <c r="A575" s="1"/>
      <c r="B575" s="139"/>
      <c r="C575" s="1"/>
      <c r="D575" s="1"/>
      <c r="E575" s="1"/>
      <c r="F575" s="1"/>
      <c r="G575" s="1"/>
      <c r="H575" s="4"/>
      <c r="I575" s="4"/>
      <c r="J575" s="4"/>
      <c r="K575" s="4"/>
      <c r="L575" s="4"/>
      <c r="M575" s="4"/>
      <c r="N575" s="1"/>
      <c r="O575" s="1"/>
      <c r="P575" s="4"/>
      <c r="Q575" s="5"/>
      <c r="R575" s="4"/>
      <c r="S575" s="1"/>
      <c r="T575" s="1"/>
      <c r="U575" s="1"/>
      <c r="V575" s="1"/>
      <c r="W575" s="1"/>
      <c r="X575" s="6"/>
      <c r="Y575" s="4"/>
      <c r="Z575" s="4"/>
      <c r="AA575" s="4"/>
      <c r="AB575" s="1"/>
      <c r="AC575" s="1"/>
      <c r="AD575" s="1"/>
      <c r="AE575" s="1"/>
      <c r="AF575" s="1"/>
      <c r="AG575" s="4"/>
      <c r="AH575" s="1"/>
      <c r="AI575" s="6"/>
      <c r="AJ575" s="3"/>
      <c r="AK575" s="1"/>
      <c r="AL575" s="1"/>
      <c r="AM575" s="1"/>
      <c r="AN575" s="1"/>
      <c r="AO575" s="1"/>
      <c r="AP575" s="1"/>
      <c r="AQ575" s="1"/>
      <c r="AR575" s="1"/>
      <c r="AS575" s="1"/>
      <c r="AT575" s="1"/>
      <c r="AU575" s="1"/>
      <c r="AV575" s="1"/>
      <c r="AW575" s="1"/>
      <c r="AX575" s="7"/>
      <c r="AY575" s="47"/>
      <c r="AZ575" s="47"/>
      <c r="BA575" s="47"/>
      <c r="BB575" s="47"/>
      <c r="BC575" s="47"/>
      <c r="BD575" s="47"/>
      <c r="BE575" s="47"/>
      <c r="BF575" s="47"/>
      <c r="BG575" s="47"/>
      <c r="BH575" s="47"/>
      <c r="BI575" s="47"/>
    </row>
    <row r="576" spans="1:61" ht="28.5" customHeight="1">
      <c r="A576" s="1"/>
      <c r="B576" s="139"/>
      <c r="C576" s="1"/>
      <c r="D576" s="1"/>
      <c r="E576" s="1"/>
      <c r="F576" s="1"/>
      <c r="G576" s="1"/>
      <c r="H576" s="4"/>
      <c r="I576" s="4"/>
      <c r="J576" s="4"/>
      <c r="K576" s="4"/>
      <c r="L576" s="4"/>
      <c r="M576" s="4"/>
      <c r="N576" s="1"/>
      <c r="O576" s="1"/>
      <c r="P576" s="4"/>
      <c r="Q576" s="5"/>
      <c r="R576" s="4"/>
      <c r="S576" s="1"/>
      <c r="T576" s="1"/>
      <c r="U576" s="1"/>
      <c r="V576" s="1"/>
      <c r="W576" s="1"/>
      <c r="X576" s="6"/>
      <c r="Y576" s="4"/>
      <c r="Z576" s="4"/>
      <c r="AA576" s="4"/>
      <c r="AB576" s="1"/>
      <c r="AC576" s="1"/>
      <c r="AD576" s="1"/>
      <c r="AE576" s="1"/>
      <c r="AF576" s="1"/>
      <c r="AG576" s="4"/>
      <c r="AH576" s="1"/>
      <c r="AI576" s="6"/>
      <c r="AJ576" s="3"/>
      <c r="AK576" s="1"/>
      <c r="AL576" s="1"/>
      <c r="AM576" s="1"/>
      <c r="AN576" s="1"/>
      <c r="AO576" s="1"/>
      <c r="AP576" s="1"/>
      <c r="AQ576" s="1"/>
      <c r="AR576" s="1"/>
      <c r="AS576" s="1"/>
      <c r="AT576" s="1"/>
      <c r="AU576" s="1"/>
      <c r="AV576" s="1"/>
      <c r="AW576" s="1"/>
      <c r="AX576" s="7"/>
      <c r="AY576" s="47"/>
      <c r="AZ576" s="47"/>
      <c r="BA576" s="47"/>
      <c r="BB576" s="47"/>
      <c r="BC576" s="47"/>
      <c r="BD576" s="47"/>
      <c r="BE576" s="47"/>
      <c r="BF576" s="47"/>
      <c r="BG576" s="47"/>
      <c r="BH576" s="47"/>
      <c r="BI576" s="47"/>
    </row>
    <row r="577" spans="1:61" ht="28.5" customHeight="1">
      <c r="A577" s="1"/>
      <c r="B577" s="139"/>
      <c r="C577" s="1"/>
      <c r="D577" s="1"/>
      <c r="E577" s="1"/>
      <c r="F577" s="1"/>
      <c r="G577" s="1"/>
      <c r="H577" s="4"/>
      <c r="I577" s="4"/>
      <c r="J577" s="4"/>
      <c r="K577" s="4"/>
      <c r="L577" s="4"/>
      <c r="M577" s="4"/>
      <c r="N577" s="1"/>
      <c r="O577" s="1"/>
      <c r="P577" s="4"/>
      <c r="Q577" s="5"/>
      <c r="R577" s="4"/>
      <c r="S577" s="1"/>
      <c r="T577" s="1"/>
      <c r="U577" s="1"/>
      <c r="V577" s="1"/>
      <c r="W577" s="1"/>
      <c r="X577" s="6"/>
      <c r="Y577" s="4"/>
      <c r="Z577" s="4"/>
      <c r="AA577" s="4"/>
      <c r="AB577" s="1"/>
      <c r="AC577" s="1"/>
      <c r="AD577" s="1"/>
      <c r="AE577" s="1"/>
      <c r="AF577" s="1"/>
      <c r="AG577" s="4"/>
      <c r="AH577" s="1"/>
      <c r="AI577" s="6"/>
      <c r="AJ577" s="3"/>
      <c r="AK577" s="1"/>
      <c r="AL577" s="1"/>
      <c r="AM577" s="1"/>
      <c r="AN577" s="1"/>
      <c r="AO577" s="1"/>
      <c r="AP577" s="1"/>
      <c r="AQ577" s="1"/>
      <c r="AR577" s="1"/>
      <c r="AS577" s="1"/>
      <c r="AT577" s="1"/>
      <c r="AU577" s="1"/>
      <c r="AV577" s="1"/>
      <c r="AW577" s="1"/>
      <c r="AX577" s="7"/>
      <c r="AY577" s="47"/>
      <c r="AZ577" s="47"/>
      <c r="BA577" s="47"/>
      <c r="BB577" s="47"/>
      <c r="BC577" s="47"/>
      <c r="BD577" s="47"/>
      <c r="BE577" s="47"/>
      <c r="BF577" s="47"/>
      <c r="BG577" s="47"/>
      <c r="BH577" s="47"/>
      <c r="BI577" s="47"/>
    </row>
    <row r="578" spans="1:61" ht="28.5" customHeight="1">
      <c r="A578" s="1"/>
      <c r="B578" s="139"/>
      <c r="C578" s="1"/>
      <c r="D578" s="1"/>
      <c r="E578" s="1"/>
      <c r="F578" s="1"/>
      <c r="G578" s="1"/>
      <c r="H578" s="4"/>
      <c r="I578" s="4"/>
      <c r="J578" s="4"/>
      <c r="K578" s="4"/>
      <c r="L578" s="4"/>
      <c r="M578" s="4"/>
      <c r="N578" s="1"/>
      <c r="O578" s="1"/>
      <c r="P578" s="4"/>
      <c r="Q578" s="5"/>
      <c r="R578" s="4"/>
      <c r="S578" s="1"/>
      <c r="T578" s="1"/>
      <c r="U578" s="1"/>
      <c r="V578" s="1"/>
      <c r="W578" s="1"/>
      <c r="X578" s="6"/>
      <c r="Y578" s="4"/>
      <c r="Z578" s="4"/>
      <c r="AA578" s="4"/>
      <c r="AB578" s="1"/>
      <c r="AC578" s="1"/>
      <c r="AD578" s="1"/>
      <c r="AE578" s="1"/>
      <c r="AF578" s="1"/>
      <c r="AG578" s="4"/>
      <c r="AH578" s="1"/>
      <c r="AI578" s="6"/>
      <c r="AJ578" s="3"/>
      <c r="AK578" s="1"/>
      <c r="AL578" s="1"/>
      <c r="AM578" s="1"/>
      <c r="AN578" s="1"/>
      <c r="AO578" s="1"/>
      <c r="AP578" s="1"/>
      <c r="AQ578" s="1"/>
      <c r="AR578" s="1"/>
      <c r="AS578" s="1"/>
      <c r="AT578" s="1"/>
      <c r="AU578" s="1"/>
      <c r="AV578" s="1"/>
      <c r="AW578" s="1"/>
      <c r="AX578" s="7"/>
      <c r="AY578" s="47"/>
      <c r="AZ578" s="47"/>
      <c r="BA578" s="47"/>
      <c r="BB578" s="47"/>
      <c r="BC578" s="47"/>
      <c r="BD578" s="47"/>
      <c r="BE578" s="47"/>
      <c r="BF578" s="47"/>
      <c r="BG578" s="47"/>
      <c r="BH578" s="47"/>
      <c r="BI578" s="47"/>
    </row>
    <row r="579" spans="1:61" ht="28.5" customHeight="1">
      <c r="A579" s="1"/>
      <c r="B579" s="139"/>
      <c r="C579" s="1"/>
      <c r="D579" s="1"/>
      <c r="E579" s="1"/>
      <c r="F579" s="1"/>
      <c r="G579" s="1"/>
      <c r="H579" s="4"/>
      <c r="I579" s="4"/>
      <c r="J579" s="4"/>
      <c r="K579" s="4"/>
      <c r="L579" s="4"/>
      <c r="M579" s="4"/>
      <c r="N579" s="1"/>
      <c r="O579" s="1"/>
      <c r="P579" s="4"/>
      <c r="Q579" s="5"/>
      <c r="R579" s="4"/>
      <c r="S579" s="1"/>
      <c r="T579" s="1"/>
      <c r="U579" s="1"/>
      <c r="V579" s="1"/>
      <c r="W579" s="1"/>
      <c r="X579" s="6"/>
      <c r="Y579" s="4"/>
      <c r="Z579" s="4"/>
      <c r="AA579" s="4"/>
      <c r="AB579" s="1"/>
      <c r="AC579" s="1"/>
      <c r="AD579" s="1"/>
      <c r="AE579" s="1"/>
      <c r="AF579" s="1"/>
      <c r="AG579" s="4"/>
      <c r="AH579" s="1"/>
      <c r="AI579" s="6"/>
      <c r="AJ579" s="3"/>
      <c r="AK579" s="1"/>
      <c r="AL579" s="1"/>
      <c r="AM579" s="1"/>
      <c r="AN579" s="1"/>
      <c r="AO579" s="1"/>
      <c r="AP579" s="1"/>
      <c r="AQ579" s="1"/>
      <c r="AR579" s="1"/>
      <c r="AS579" s="1"/>
      <c r="AT579" s="1"/>
      <c r="AU579" s="1"/>
      <c r="AV579" s="1"/>
      <c r="AW579" s="1"/>
      <c r="AX579" s="7"/>
      <c r="AY579" s="47"/>
      <c r="AZ579" s="47"/>
      <c r="BA579" s="47"/>
      <c r="BB579" s="47"/>
      <c r="BC579" s="47"/>
      <c r="BD579" s="47"/>
      <c r="BE579" s="47"/>
      <c r="BF579" s="47"/>
      <c r="BG579" s="47"/>
      <c r="BH579" s="47"/>
      <c r="BI579" s="47"/>
    </row>
    <row r="580" spans="1:61" ht="28.5" customHeight="1">
      <c r="A580" s="1"/>
      <c r="B580" s="139"/>
      <c r="C580" s="1"/>
      <c r="D580" s="1"/>
      <c r="E580" s="1"/>
      <c r="F580" s="1"/>
      <c r="G580" s="1"/>
      <c r="H580" s="4"/>
      <c r="I580" s="4"/>
      <c r="J580" s="4"/>
      <c r="K580" s="4"/>
      <c r="L580" s="4"/>
      <c r="M580" s="4"/>
      <c r="N580" s="1"/>
      <c r="O580" s="1"/>
      <c r="P580" s="4"/>
      <c r="Q580" s="5"/>
      <c r="R580" s="4"/>
      <c r="S580" s="1"/>
      <c r="T580" s="1"/>
      <c r="U580" s="1"/>
      <c r="V580" s="1"/>
      <c r="W580" s="1"/>
      <c r="X580" s="6"/>
      <c r="Y580" s="4"/>
      <c r="Z580" s="4"/>
      <c r="AA580" s="4"/>
      <c r="AB580" s="1"/>
      <c r="AC580" s="1"/>
      <c r="AD580" s="1"/>
      <c r="AE580" s="1"/>
      <c r="AF580" s="1"/>
      <c r="AG580" s="4"/>
      <c r="AH580" s="1"/>
      <c r="AI580" s="6"/>
      <c r="AJ580" s="3"/>
      <c r="AK580" s="1"/>
      <c r="AL580" s="1"/>
      <c r="AM580" s="1"/>
      <c r="AN580" s="1"/>
      <c r="AO580" s="1"/>
      <c r="AP580" s="1"/>
      <c r="AQ580" s="1"/>
      <c r="AR580" s="1"/>
      <c r="AS580" s="1"/>
      <c r="AT580" s="1"/>
      <c r="AU580" s="1"/>
      <c r="AV580" s="1"/>
      <c r="AW580" s="1"/>
      <c r="AX580" s="7"/>
      <c r="AY580" s="47"/>
      <c r="AZ580" s="47"/>
      <c r="BA580" s="47"/>
      <c r="BB580" s="47"/>
      <c r="BC580" s="47"/>
      <c r="BD580" s="47"/>
      <c r="BE580" s="47"/>
      <c r="BF580" s="47"/>
      <c r="BG580" s="47"/>
      <c r="BH580" s="47"/>
      <c r="BI580" s="47"/>
    </row>
    <row r="581" spans="1:61" ht="28.5" customHeight="1">
      <c r="A581" s="1"/>
      <c r="B581" s="139"/>
      <c r="C581" s="1"/>
      <c r="D581" s="1"/>
      <c r="E581" s="1"/>
      <c r="F581" s="1"/>
      <c r="G581" s="1"/>
      <c r="H581" s="4"/>
      <c r="I581" s="4"/>
      <c r="J581" s="4"/>
      <c r="K581" s="4"/>
      <c r="L581" s="4"/>
      <c r="M581" s="4"/>
      <c r="N581" s="1"/>
      <c r="O581" s="1"/>
      <c r="P581" s="4"/>
      <c r="Q581" s="5"/>
      <c r="R581" s="4"/>
      <c r="S581" s="1"/>
      <c r="T581" s="1"/>
      <c r="U581" s="1"/>
      <c r="V581" s="1"/>
      <c r="W581" s="1"/>
      <c r="X581" s="6"/>
      <c r="Y581" s="4"/>
      <c r="Z581" s="4"/>
      <c r="AA581" s="4"/>
      <c r="AB581" s="1"/>
      <c r="AC581" s="1"/>
      <c r="AD581" s="1"/>
      <c r="AE581" s="1"/>
      <c r="AF581" s="1"/>
      <c r="AG581" s="4"/>
      <c r="AH581" s="1"/>
      <c r="AI581" s="6"/>
      <c r="AJ581" s="3"/>
      <c r="AK581" s="1"/>
      <c r="AL581" s="1"/>
      <c r="AM581" s="1"/>
      <c r="AN581" s="1"/>
      <c r="AO581" s="1"/>
      <c r="AP581" s="1"/>
      <c r="AQ581" s="1"/>
      <c r="AR581" s="1"/>
      <c r="AS581" s="1"/>
      <c r="AT581" s="1"/>
      <c r="AU581" s="1"/>
      <c r="AV581" s="1"/>
      <c r="AW581" s="1"/>
      <c r="AX581" s="7"/>
      <c r="AY581" s="47"/>
      <c r="AZ581" s="47"/>
      <c r="BA581" s="47"/>
      <c r="BB581" s="47"/>
      <c r="BC581" s="47"/>
      <c r="BD581" s="47"/>
      <c r="BE581" s="47"/>
      <c r="BF581" s="47"/>
      <c r="BG581" s="47"/>
      <c r="BH581" s="47"/>
      <c r="BI581" s="47"/>
    </row>
    <row r="582" spans="1:61" ht="28.5" customHeight="1">
      <c r="A582" s="1"/>
      <c r="B582" s="139"/>
      <c r="C582" s="1"/>
      <c r="D582" s="1"/>
      <c r="E582" s="1"/>
      <c r="F582" s="1"/>
      <c r="G582" s="1"/>
      <c r="H582" s="4"/>
      <c r="I582" s="4"/>
      <c r="J582" s="4"/>
      <c r="K582" s="4"/>
      <c r="L582" s="4"/>
      <c r="M582" s="4"/>
      <c r="N582" s="1"/>
      <c r="O582" s="1"/>
      <c r="P582" s="4"/>
      <c r="Q582" s="5"/>
      <c r="R582" s="4"/>
      <c r="S582" s="1"/>
      <c r="T582" s="1"/>
      <c r="U582" s="1"/>
      <c r="V582" s="1"/>
      <c r="W582" s="1"/>
      <c r="X582" s="6"/>
      <c r="Y582" s="4"/>
      <c r="Z582" s="4"/>
      <c r="AA582" s="4"/>
      <c r="AB582" s="1"/>
      <c r="AC582" s="1"/>
      <c r="AD582" s="1"/>
      <c r="AE582" s="1"/>
      <c r="AF582" s="1"/>
      <c r="AG582" s="4"/>
      <c r="AH582" s="1"/>
      <c r="AI582" s="6"/>
      <c r="AJ582" s="3"/>
      <c r="AK582" s="1"/>
      <c r="AL582" s="1"/>
      <c r="AM582" s="1"/>
      <c r="AN582" s="1"/>
      <c r="AO582" s="1"/>
      <c r="AP582" s="1"/>
      <c r="AQ582" s="1"/>
      <c r="AR582" s="1"/>
      <c r="AS582" s="1"/>
      <c r="AT582" s="1"/>
      <c r="AU582" s="1"/>
      <c r="AV582" s="1"/>
      <c r="AW582" s="1"/>
      <c r="AX582" s="7"/>
      <c r="AY582" s="47"/>
      <c r="AZ582" s="47"/>
      <c r="BA582" s="47"/>
      <c r="BB582" s="47"/>
      <c r="BC582" s="47"/>
      <c r="BD582" s="47"/>
      <c r="BE582" s="47"/>
      <c r="BF582" s="47"/>
      <c r="BG582" s="47"/>
      <c r="BH582" s="47"/>
      <c r="BI582" s="47"/>
    </row>
    <row r="583" spans="1:61" ht="28.5" customHeight="1">
      <c r="A583" s="1"/>
      <c r="B583" s="139"/>
      <c r="C583" s="1"/>
      <c r="D583" s="1"/>
      <c r="E583" s="1"/>
      <c r="F583" s="1"/>
      <c r="G583" s="1"/>
      <c r="H583" s="4"/>
      <c r="I583" s="4"/>
      <c r="J583" s="4"/>
      <c r="K583" s="4"/>
      <c r="L583" s="4"/>
      <c r="M583" s="4"/>
      <c r="N583" s="1"/>
      <c r="O583" s="1"/>
      <c r="P583" s="4"/>
      <c r="Q583" s="5"/>
      <c r="R583" s="4"/>
      <c r="S583" s="1"/>
      <c r="T583" s="1"/>
      <c r="U583" s="1"/>
      <c r="V583" s="1"/>
      <c r="W583" s="1"/>
      <c r="X583" s="6"/>
      <c r="Y583" s="4"/>
      <c r="Z583" s="4"/>
      <c r="AA583" s="4"/>
      <c r="AB583" s="1"/>
      <c r="AC583" s="1"/>
      <c r="AD583" s="1"/>
      <c r="AE583" s="1"/>
      <c r="AF583" s="1"/>
      <c r="AG583" s="4"/>
      <c r="AH583" s="1"/>
      <c r="AI583" s="4"/>
      <c r="AJ583" s="6"/>
      <c r="AK583" s="7"/>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ht="16.5" customHeight="1">
      <c r="A584" s="1"/>
      <c r="B584" s="139"/>
      <c r="C584" s="1"/>
      <c r="D584" s="1"/>
      <c r="E584" s="1"/>
      <c r="F584" s="1"/>
      <c r="G584" s="1"/>
      <c r="H584" s="4"/>
      <c r="I584" s="4"/>
      <c r="J584" s="4"/>
      <c r="K584" s="4"/>
      <c r="L584" s="4"/>
      <c r="M584" s="4"/>
      <c r="N584" s="1"/>
      <c r="O584" s="1"/>
      <c r="P584" s="4"/>
      <c r="Q584" s="5"/>
      <c r="R584" s="4"/>
      <c r="S584" s="1"/>
      <c r="T584" s="1"/>
      <c r="U584" s="1"/>
      <c r="V584" s="1"/>
      <c r="W584" s="1"/>
      <c r="X584" s="6"/>
      <c r="Y584" s="4"/>
      <c r="Z584" s="4"/>
      <c r="AA584" s="4"/>
      <c r="AB584" s="1"/>
      <c r="AC584" s="1"/>
      <c r="AD584" s="1"/>
      <c r="AE584" s="1"/>
      <c r="AF584" s="1"/>
      <c r="AG584" s="4"/>
      <c r="AH584" s="1"/>
      <c r="AI584" s="4"/>
      <c r="AJ584" s="6"/>
      <c r="AK584" s="7"/>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ht="16.5" customHeight="1">
      <c r="A585" s="1"/>
      <c r="B585" s="139"/>
      <c r="C585" s="1"/>
      <c r="D585" s="1"/>
      <c r="E585" s="1"/>
      <c r="F585" s="1"/>
      <c r="G585" s="1"/>
      <c r="H585" s="4"/>
      <c r="I585" s="4"/>
      <c r="J585" s="4"/>
      <c r="K585" s="4"/>
      <c r="L585" s="4"/>
      <c r="M585" s="4"/>
      <c r="N585" s="1"/>
      <c r="O585" s="1"/>
      <c r="P585" s="4"/>
      <c r="Q585" s="5"/>
      <c r="R585" s="4"/>
      <c r="S585" s="1"/>
      <c r="T585" s="1"/>
      <c r="U585" s="1"/>
      <c r="V585" s="1"/>
      <c r="W585" s="1"/>
      <c r="X585" s="6"/>
      <c r="Y585" s="4"/>
      <c r="Z585" s="4"/>
      <c r="AA585" s="4"/>
      <c r="AB585" s="1"/>
      <c r="AC585" s="1"/>
      <c r="AD585" s="1"/>
      <c r="AE585" s="1"/>
      <c r="AF585" s="1"/>
      <c r="AG585" s="4"/>
      <c r="AH585" s="1"/>
      <c r="AI585" s="4"/>
      <c r="AJ585" s="6"/>
      <c r="AK585" s="7"/>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ht="16.5" customHeight="1">
      <c r="A586" s="1"/>
      <c r="B586" s="139"/>
      <c r="C586" s="1"/>
      <c r="D586" s="1"/>
      <c r="E586" s="1"/>
      <c r="F586" s="1"/>
      <c r="G586" s="1"/>
      <c r="H586" s="4"/>
      <c r="I586" s="4"/>
      <c r="J586" s="4"/>
      <c r="K586" s="4"/>
      <c r="L586" s="4"/>
      <c r="M586" s="4"/>
      <c r="N586" s="1"/>
      <c r="O586" s="1"/>
      <c r="P586" s="4"/>
      <c r="Q586" s="5"/>
      <c r="R586" s="4"/>
      <c r="S586" s="1"/>
      <c r="T586" s="1"/>
      <c r="U586" s="1"/>
      <c r="V586" s="1"/>
      <c r="W586" s="1"/>
      <c r="X586" s="6"/>
      <c r="Y586" s="4"/>
      <c r="Z586" s="4"/>
      <c r="AA586" s="4"/>
      <c r="AB586" s="1"/>
      <c r="AC586" s="1"/>
      <c r="AD586" s="1"/>
      <c r="AE586" s="1"/>
      <c r="AF586" s="1"/>
      <c r="AG586" s="4"/>
      <c r="AH586" s="1"/>
      <c r="AI586" s="4"/>
      <c r="AJ586" s="6"/>
      <c r="AK586" s="7"/>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ht="16.5" customHeight="1">
      <c r="A587" s="1"/>
      <c r="B587" s="139"/>
      <c r="C587" s="1"/>
      <c r="D587" s="1"/>
      <c r="E587" s="1"/>
      <c r="F587" s="1"/>
      <c r="G587" s="1"/>
      <c r="H587" s="4"/>
      <c r="I587" s="4"/>
      <c r="J587" s="4"/>
      <c r="K587" s="4"/>
      <c r="L587" s="4"/>
      <c r="M587" s="4"/>
      <c r="N587" s="1"/>
      <c r="O587" s="1"/>
      <c r="P587" s="4"/>
      <c r="Q587" s="5"/>
      <c r="R587" s="4"/>
      <c r="S587" s="1"/>
      <c r="T587" s="1"/>
      <c r="U587" s="1"/>
      <c r="V587" s="1"/>
      <c r="W587" s="1"/>
      <c r="X587" s="6"/>
      <c r="Y587" s="4"/>
      <c r="Z587" s="4"/>
      <c r="AA587" s="4"/>
      <c r="AB587" s="1"/>
      <c r="AC587" s="1"/>
      <c r="AD587" s="1"/>
      <c r="AE587" s="1"/>
      <c r="AF587" s="1"/>
      <c r="AG587" s="4"/>
      <c r="AH587" s="1"/>
      <c r="AI587" s="4"/>
      <c r="AJ587" s="6"/>
      <c r="AK587" s="7"/>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ht="16.5" customHeight="1">
      <c r="A588" s="1"/>
      <c r="B588" s="139"/>
      <c r="C588" s="1"/>
      <c r="D588" s="1"/>
      <c r="E588" s="1"/>
      <c r="F588" s="1"/>
      <c r="G588" s="1"/>
      <c r="H588" s="4"/>
      <c r="I588" s="4"/>
      <c r="J588" s="4"/>
      <c r="K588" s="4"/>
      <c r="L588" s="4"/>
      <c r="M588" s="4"/>
      <c r="N588" s="1"/>
      <c r="O588" s="1"/>
      <c r="P588" s="4"/>
      <c r="Q588" s="5"/>
      <c r="R588" s="4"/>
      <c r="S588" s="1"/>
      <c r="T588" s="1"/>
      <c r="U588" s="1"/>
      <c r="V588" s="1"/>
      <c r="W588" s="1"/>
      <c r="X588" s="6"/>
      <c r="Y588" s="4"/>
      <c r="Z588" s="4"/>
      <c r="AA588" s="4"/>
      <c r="AB588" s="1"/>
      <c r="AC588" s="1"/>
      <c r="AD588" s="1"/>
      <c r="AE588" s="1"/>
      <c r="AF588" s="1"/>
      <c r="AG588" s="4"/>
      <c r="AH588" s="1"/>
      <c r="AI588" s="4"/>
      <c r="AJ588" s="6"/>
      <c r="AK588" s="7"/>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ht="16.5" customHeight="1">
      <c r="A589" s="1"/>
      <c r="B589" s="139"/>
      <c r="C589" s="1"/>
      <c r="D589" s="1"/>
      <c r="E589" s="1"/>
      <c r="F589" s="1"/>
      <c r="G589" s="1"/>
      <c r="H589" s="4"/>
      <c r="I589" s="4"/>
      <c r="J589" s="4"/>
      <c r="K589" s="4"/>
      <c r="L589" s="4"/>
      <c r="M589" s="4"/>
      <c r="N589" s="1"/>
      <c r="O589" s="1"/>
      <c r="P589" s="4"/>
      <c r="Q589" s="5"/>
      <c r="R589" s="4"/>
      <c r="S589" s="1"/>
      <c r="T589" s="1"/>
      <c r="U589" s="1"/>
      <c r="V589" s="1"/>
      <c r="W589" s="1"/>
      <c r="X589" s="6"/>
      <c r="Y589" s="4"/>
      <c r="Z589" s="4"/>
      <c r="AA589" s="4"/>
      <c r="AB589" s="1"/>
      <c r="AC589" s="1"/>
      <c r="AD589" s="1"/>
      <c r="AE589" s="1"/>
      <c r="AF589" s="1"/>
      <c r="AG589" s="4"/>
      <c r="AH589" s="1"/>
      <c r="AI589" s="4"/>
      <c r="AJ589" s="6"/>
      <c r="AK589" s="7"/>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ht="16.5" customHeight="1">
      <c r="A590" s="1"/>
      <c r="B590" s="139"/>
      <c r="C590" s="1"/>
      <c r="D590" s="1"/>
      <c r="E590" s="1"/>
      <c r="F590" s="1"/>
      <c r="G590" s="1"/>
      <c r="H590" s="4"/>
      <c r="I590" s="4"/>
      <c r="J590" s="4"/>
      <c r="K590" s="4"/>
      <c r="L590" s="4"/>
      <c r="M590" s="4"/>
      <c r="N590" s="1"/>
      <c r="O590" s="1"/>
      <c r="P590" s="4"/>
      <c r="Q590" s="5"/>
      <c r="R590" s="4"/>
      <c r="S590" s="1"/>
      <c r="T590" s="1"/>
      <c r="U590" s="1"/>
      <c r="V590" s="1"/>
      <c r="W590" s="1"/>
      <c r="X590" s="6"/>
      <c r="Y590" s="4"/>
      <c r="Z590" s="4"/>
      <c r="AA590" s="4"/>
      <c r="AB590" s="1"/>
      <c r="AC590" s="1"/>
      <c r="AD590" s="1"/>
      <c r="AE590" s="1"/>
      <c r="AF590" s="1"/>
      <c r="AG590" s="4"/>
      <c r="AH590" s="1"/>
      <c r="AI590" s="4"/>
      <c r="AJ590" s="6"/>
      <c r="AK590" s="7"/>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ht="16.5" customHeight="1">
      <c r="A591" s="1"/>
      <c r="B591" s="139"/>
      <c r="C591" s="1"/>
      <c r="D591" s="1"/>
      <c r="E591" s="1"/>
      <c r="F591" s="1"/>
      <c r="G591" s="1"/>
      <c r="H591" s="4"/>
      <c r="I591" s="4"/>
      <c r="J591" s="4"/>
      <c r="K591" s="4"/>
      <c r="L591" s="4"/>
      <c r="M591" s="4"/>
      <c r="N591" s="1"/>
      <c r="O591" s="1"/>
      <c r="P591" s="4"/>
      <c r="Q591" s="5"/>
      <c r="R591" s="4"/>
      <c r="S591" s="1"/>
      <c r="T591" s="1"/>
      <c r="U591" s="1"/>
      <c r="V591" s="1"/>
      <c r="W591" s="1"/>
      <c r="X591" s="6"/>
      <c r="Y591" s="4"/>
      <c r="Z591" s="4"/>
      <c r="AA591" s="4"/>
      <c r="AB591" s="1"/>
      <c r="AC591" s="1"/>
      <c r="AD591" s="1"/>
      <c r="AE591" s="1"/>
      <c r="AF591" s="1"/>
      <c r="AG591" s="4"/>
      <c r="AH591" s="1"/>
      <c r="AI591" s="4"/>
      <c r="AJ591" s="6"/>
      <c r="AK591" s="7"/>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ht="16.5" customHeight="1">
      <c r="A592" s="1"/>
      <c r="B592" s="139"/>
      <c r="C592" s="1"/>
      <c r="D592" s="1"/>
      <c r="E592" s="1"/>
      <c r="F592" s="1"/>
      <c r="G592" s="1"/>
      <c r="H592" s="4"/>
      <c r="I592" s="4"/>
      <c r="J592" s="4"/>
      <c r="K592" s="4"/>
      <c r="L592" s="4"/>
      <c r="M592" s="4"/>
      <c r="N592" s="1"/>
      <c r="O592" s="1"/>
      <c r="P592" s="4"/>
      <c r="Q592" s="5"/>
      <c r="R592" s="4"/>
      <c r="S592" s="1"/>
      <c r="T592" s="1"/>
      <c r="U592" s="1"/>
      <c r="V592" s="1"/>
      <c r="W592" s="1"/>
      <c r="X592" s="6"/>
      <c r="Y592" s="4"/>
      <c r="Z592" s="4"/>
      <c r="AA592" s="4"/>
      <c r="AB592" s="1"/>
      <c r="AC592" s="1"/>
      <c r="AD592" s="1"/>
      <c r="AE592" s="1"/>
      <c r="AF592" s="1"/>
      <c r="AG592" s="4"/>
      <c r="AH592" s="1"/>
      <c r="AI592" s="4"/>
      <c r="AJ592" s="6"/>
      <c r="AK592" s="7"/>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ht="16.5" customHeight="1">
      <c r="A593" s="1"/>
      <c r="B593" s="139"/>
      <c r="C593" s="1"/>
      <c r="D593" s="1"/>
      <c r="E593" s="1"/>
      <c r="F593" s="1"/>
      <c r="G593" s="1"/>
      <c r="H593" s="4"/>
      <c r="I593" s="4"/>
      <c r="J593" s="4"/>
      <c r="K593" s="4"/>
      <c r="L593" s="4"/>
      <c r="M593" s="4"/>
      <c r="N593" s="1"/>
      <c r="O593" s="1"/>
      <c r="P593" s="4"/>
      <c r="Q593" s="5"/>
      <c r="R593" s="4"/>
      <c r="S593" s="1"/>
      <c r="T593" s="1"/>
      <c r="U593" s="1"/>
      <c r="V593" s="1"/>
      <c r="W593" s="1"/>
      <c r="X593" s="6"/>
      <c r="Y593" s="4"/>
      <c r="Z593" s="4"/>
      <c r="AA593" s="4"/>
      <c r="AB593" s="1"/>
      <c r="AC593" s="1"/>
      <c r="AD593" s="1"/>
      <c r="AE593" s="1"/>
      <c r="AF593" s="1"/>
      <c r="AG593" s="4"/>
      <c r="AH593" s="1"/>
      <c r="AI593" s="4"/>
      <c r="AJ593" s="6"/>
      <c r="AK593" s="7"/>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ht="16.5" customHeight="1">
      <c r="A594" s="1"/>
      <c r="B594" s="139"/>
      <c r="C594" s="1"/>
      <c r="D594" s="1"/>
      <c r="E594" s="1"/>
      <c r="F594" s="1"/>
      <c r="G594" s="1"/>
      <c r="H594" s="4"/>
      <c r="I594" s="4"/>
      <c r="J594" s="4"/>
      <c r="K594" s="4"/>
      <c r="L594" s="4"/>
      <c r="M594" s="4"/>
      <c r="N594" s="1"/>
      <c r="O594" s="1"/>
      <c r="P594" s="4"/>
      <c r="Q594" s="5"/>
      <c r="R594" s="4"/>
      <c r="S594" s="1"/>
      <c r="T594" s="1"/>
      <c r="U594" s="1"/>
      <c r="V594" s="1"/>
      <c r="W594" s="1"/>
      <c r="X594" s="6"/>
      <c r="Y594" s="4"/>
      <c r="Z594" s="4"/>
      <c r="AA594" s="4"/>
      <c r="AB594" s="1"/>
      <c r="AC594" s="1"/>
      <c r="AD594" s="1"/>
      <c r="AE594" s="1"/>
      <c r="AF594" s="1"/>
      <c r="AG594" s="4"/>
      <c r="AH594" s="1"/>
      <c r="AI594" s="4"/>
      <c r="AJ594" s="6"/>
      <c r="AK594" s="7"/>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ht="16.5" customHeight="1">
      <c r="A595" s="1"/>
      <c r="B595" s="139"/>
      <c r="C595" s="1"/>
      <c r="D595" s="1"/>
      <c r="E595" s="1"/>
      <c r="F595" s="1"/>
      <c r="G595" s="1"/>
      <c r="H595" s="4"/>
      <c r="I595" s="4"/>
      <c r="J595" s="4"/>
      <c r="K595" s="4"/>
      <c r="L595" s="4"/>
      <c r="M595" s="4"/>
      <c r="N595" s="1"/>
      <c r="O595" s="1"/>
      <c r="P595" s="4"/>
      <c r="Q595" s="5"/>
      <c r="R595" s="4"/>
      <c r="S595" s="1"/>
      <c r="T595" s="1"/>
      <c r="U595" s="1"/>
      <c r="V595" s="1"/>
      <c r="W595" s="1"/>
      <c r="X595" s="6"/>
      <c r="Y595" s="4"/>
      <c r="Z595" s="4"/>
      <c r="AA595" s="4"/>
      <c r="AB595" s="1"/>
      <c r="AC595" s="1"/>
      <c r="AD595" s="1"/>
      <c r="AE595" s="1"/>
      <c r="AF595" s="1"/>
      <c r="AG595" s="4"/>
      <c r="AH595" s="1"/>
      <c r="AI595" s="4"/>
      <c r="AJ595" s="6"/>
      <c r="AK595" s="7"/>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ht="16.5" customHeight="1">
      <c r="A596" s="1"/>
      <c r="B596" s="139"/>
      <c r="C596" s="1"/>
      <c r="D596" s="1"/>
      <c r="E596" s="1"/>
      <c r="F596" s="1"/>
      <c r="G596" s="1"/>
      <c r="H596" s="4"/>
      <c r="I596" s="4"/>
      <c r="J596" s="4"/>
      <c r="K596" s="4"/>
      <c r="L596" s="4"/>
      <c r="M596" s="4"/>
      <c r="N596" s="1"/>
      <c r="O596" s="1"/>
      <c r="P596" s="4"/>
      <c r="Q596" s="5"/>
      <c r="R596" s="4"/>
      <c r="S596" s="1"/>
      <c r="T596" s="1"/>
      <c r="U596" s="1"/>
      <c r="V596" s="1"/>
      <c r="W596" s="1"/>
      <c r="X596" s="6"/>
      <c r="Y596" s="4"/>
      <c r="Z596" s="4"/>
      <c r="AA596" s="4"/>
      <c r="AB596" s="1"/>
      <c r="AC596" s="1"/>
      <c r="AD596" s="1"/>
      <c r="AE596" s="1"/>
      <c r="AF596" s="1"/>
      <c r="AG596" s="4"/>
      <c r="AH596" s="1"/>
      <c r="AI596" s="4"/>
      <c r="AJ596" s="6"/>
      <c r="AK596" s="7"/>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ht="16.5" customHeight="1">
      <c r="A597" s="1"/>
      <c r="B597" s="139"/>
      <c r="C597" s="1"/>
      <c r="D597" s="1"/>
      <c r="E597" s="1"/>
      <c r="F597" s="1"/>
      <c r="G597" s="1"/>
      <c r="H597" s="4"/>
      <c r="I597" s="4"/>
      <c r="J597" s="4"/>
      <c r="K597" s="4"/>
      <c r="L597" s="4"/>
      <c r="M597" s="4"/>
      <c r="N597" s="1"/>
      <c r="O597" s="1"/>
      <c r="P597" s="4"/>
      <c r="Q597" s="5"/>
      <c r="R597" s="4"/>
      <c r="S597" s="1"/>
      <c r="T597" s="1"/>
      <c r="U597" s="1"/>
      <c r="V597" s="1"/>
      <c r="W597" s="1"/>
      <c r="X597" s="6"/>
      <c r="Y597" s="4"/>
      <c r="Z597" s="4"/>
      <c r="AA597" s="4"/>
      <c r="AB597" s="1"/>
      <c r="AC597" s="1"/>
      <c r="AD597" s="1"/>
      <c r="AE597" s="1"/>
      <c r="AF597" s="1"/>
      <c r="AG597" s="4"/>
      <c r="AH597" s="1"/>
      <c r="AI597" s="4"/>
      <c r="AJ597" s="6"/>
      <c r="AK597" s="7"/>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ht="16.5" customHeight="1">
      <c r="A598" s="1"/>
      <c r="B598" s="139"/>
      <c r="C598" s="1"/>
      <c r="D598" s="1"/>
      <c r="E598" s="1"/>
      <c r="F598" s="1"/>
      <c r="G598" s="1"/>
      <c r="H598" s="4"/>
      <c r="I598" s="4"/>
      <c r="J598" s="4"/>
      <c r="K598" s="4"/>
      <c r="L598" s="4"/>
      <c r="M598" s="4"/>
      <c r="N598" s="1"/>
      <c r="O598" s="1"/>
      <c r="P598" s="4"/>
      <c r="Q598" s="5"/>
      <c r="R598" s="4"/>
      <c r="S598" s="1"/>
      <c r="T598" s="1"/>
      <c r="U598" s="1"/>
      <c r="V598" s="1"/>
      <c r="W598" s="1"/>
      <c r="X598" s="6"/>
      <c r="Y598" s="4"/>
      <c r="Z598" s="4"/>
      <c r="AA598" s="4"/>
      <c r="AB598" s="1"/>
      <c r="AC598" s="1"/>
      <c r="AD598" s="1"/>
      <c r="AE598" s="1"/>
      <c r="AF598" s="1"/>
      <c r="AG598" s="4"/>
      <c r="AH598" s="1"/>
      <c r="AI598" s="4"/>
      <c r="AJ598" s="6"/>
      <c r="AK598" s="7"/>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ht="16.5" customHeight="1">
      <c r="A599" s="1"/>
      <c r="B599" s="139"/>
      <c r="C599" s="1"/>
      <c r="D599" s="1"/>
      <c r="E599" s="1"/>
      <c r="F599" s="1"/>
      <c r="G599" s="1"/>
      <c r="H599" s="4"/>
      <c r="I599" s="4"/>
      <c r="J599" s="4"/>
      <c r="K599" s="4"/>
      <c r="L599" s="4"/>
      <c r="M599" s="4"/>
      <c r="N599" s="1"/>
      <c r="O599" s="1"/>
      <c r="P599" s="4"/>
      <c r="Q599" s="5"/>
      <c r="R599" s="4"/>
      <c r="S599" s="1"/>
      <c r="T599" s="1"/>
      <c r="U599" s="1"/>
      <c r="V599" s="1"/>
      <c r="W599" s="1"/>
      <c r="X599" s="6"/>
      <c r="Y599" s="4"/>
      <c r="Z599" s="4"/>
      <c r="AA599" s="4"/>
      <c r="AB599" s="1"/>
      <c r="AC599" s="1"/>
      <c r="AD599" s="1"/>
      <c r="AE599" s="1"/>
      <c r="AF599" s="1"/>
      <c r="AG599" s="4"/>
      <c r="AH599" s="1"/>
      <c r="AI599" s="4"/>
      <c r="AJ599" s="6"/>
      <c r="AK599" s="7"/>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ht="16.5" customHeight="1">
      <c r="A600" s="1"/>
      <c r="B600" s="139"/>
      <c r="C600" s="1"/>
      <c r="D600" s="1"/>
      <c r="E600" s="1"/>
      <c r="F600" s="1"/>
      <c r="G600" s="1"/>
      <c r="H600" s="4"/>
      <c r="I600" s="4"/>
      <c r="J600" s="4"/>
      <c r="K600" s="4"/>
      <c r="L600" s="4"/>
      <c r="M600" s="4"/>
      <c r="N600" s="1"/>
      <c r="O600" s="1"/>
      <c r="P600" s="4"/>
      <c r="Q600" s="5"/>
      <c r="R600" s="4"/>
      <c r="S600" s="1"/>
      <c r="T600" s="1"/>
      <c r="U600" s="1"/>
      <c r="V600" s="1"/>
      <c r="W600" s="1"/>
      <c r="X600" s="6"/>
      <c r="Y600" s="4"/>
      <c r="Z600" s="4"/>
      <c r="AA600" s="4"/>
      <c r="AB600" s="1"/>
      <c r="AC600" s="1"/>
      <c r="AD600" s="1"/>
      <c r="AE600" s="1"/>
      <c r="AF600" s="1"/>
      <c r="AG600" s="4"/>
      <c r="AH600" s="1"/>
      <c r="AI600" s="4"/>
      <c r="AJ600" s="6"/>
      <c r="AK600" s="7"/>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ht="16.5" customHeight="1">
      <c r="A601" s="1"/>
      <c r="B601" s="139"/>
      <c r="C601" s="1"/>
      <c r="D601" s="1"/>
      <c r="E601" s="1"/>
      <c r="F601" s="1"/>
      <c r="G601" s="1"/>
      <c r="H601" s="4"/>
      <c r="I601" s="4"/>
      <c r="J601" s="4"/>
      <c r="K601" s="4"/>
      <c r="L601" s="4"/>
      <c r="M601" s="4"/>
      <c r="N601" s="1"/>
      <c r="O601" s="1"/>
      <c r="P601" s="4"/>
      <c r="Q601" s="5"/>
      <c r="R601" s="4"/>
      <c r="S601" s="1"/>
      <c r="T601" s="1"/>
      <c r="U601" s="1"/>
      <c r="V601" s="1"/>
      <c r="W601" s="1"/>
      <c r="X601" s="6"/>
      <c r="Y601" s="4"/>
      <c r="Z601" s="4"/>
      <c r="AA601" s="4"/>
      <c r="AB601" s="1"/>
      <c r="AC601" s="1"/>
      <c r="AD601" s="1"/>
      <c r="AE601" s="1"/>
      <c r="AF601" s="1"/>
      <c r="AG601" s="4"/>
      <c r="AH601" s="1"/>
      <c r="AI601" s="4"/>
      <c r="AJ601" s="6"/>
      <c r="AK601" s="7"/>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ht="16.5" customHeight="1">
      <c r="A602" s="1"/>
      <c r="B602" s="139"/>
      <c r="C602" s="1"/>
      <c r="D602" s="1"/>
      <c r="E602" s="1"/>
      <c r="F602" s="1"/>
      <c r="G602" s="1"/>
      <c r="H602" s="4"/>
      <c r="I602" s="4"/>
      <c r="J602" s="4"/>
      <c r="K602" s="4"/>
      <c r="L602" s="4"/>
      <c r="M602" s="4"/>
      <c r="N602" s="1"/>
      <c r="O602" s="1"/>
      <c r="P602" s="4"/>
      <c r="Q602" s="5"/>
      <c r="R602" s="4"/>
      <c r="S602" s="1"/>
      <c r="T602" s="1"/>
      <c r="U602" s="1"/>
      <c r="V602" s="1"/>
      <c r="W602" s="1"/>
      <c r="X602" s="6"/>
      <c r="Y602" s="4"/>
      <c r="Z602" s="4"/>
      <c r="AA602" s="4"/>
      <c r="AB602" s="1"/>
      <c r="AC602" s="1"/>
      <c r="AD602" s="1"/>
      <c r="AE602" s="1"/>
      <c r="AF602" s="1"/>
      <c r="AG602" s="4"/>
      <c r="AH602" s="1"/>
      <c r="AI602" s="4"/>
      <c r="AJ602" s="6"/>
      <c r="AK602" s="7"/>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ht="16.5" customHeight="1">
      <c r="A603" s="1"/>
      <c r="B603" s="139"/>
      <c r="C603" s="1"/>
      <c r="D603" s="1"/>
      <c r="E603" s="1"/>
      <c r="F603" s="1"/>
      <c r="G603" s="1"/>
      <c r="H603" s="4"/>
      <c r="I603" s="4"/>
      <c r="J603" s="4"/>
      <c r="K603" s="4"/>
      <c r="L603" s="4"/>
      <c r="M603" s="4"/>
      <c r="N603" s="1"/>
      <c r="O603" s="1"/>
      <c r="P603" s="4"/>
      <c r="Q603" s="5"/>
      <c r="R603" s="4"/>
      <c r="S603" s="1"/>
      <c r="T603" s="1"/>
      <c r="U603" s="1"/>
      <c r="V603" s="1"/>
      <c r="W603" s="1"/>
      <c r="X603" s="6"/>
      <c r="Y603" s="4"/>
      <c r="Z603" s="4"/>
      <c r="AA603" s="4"/>
      <c r="AB603" s="1"/>
      <c r="AC603" s="1"/>
      <c r="AD603" s="1"/>
      <c r="AE603" s="1"/>
      <c r="AF603" s="1"/>
      <c r="AG603" s="4"/>
      <c r="AH603" s="1"/>
      <c r="AI603" s="4"/>
      <c r="AJ603" s="6"/>
      <c r="AK603" s="7"/>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ht="16.5" customHeight="1">
      <c r="A604" s="1"/>
      <c r="B604" s="139"/>
      <c r="C604" s="1"/>
      <c r="D604" s="1"/>
      <c r="E604" s="1"/>
      <c r="F604" s="1"/>
      <c r="G604" s="1"/>
      <c r="H604" s="4"/>
      <c r="I604" s="4"/>
      <c r="J604" s="4"/>
      <c r="K604" s="4"/>
      <c r="L604" s="4"/>
      <c r="M604" s="4"/>
      <c r="N604" s="1"/>
      <c r="O604" s="1"/>
      <c r="P604" s="4"/>
      <c r="Q604" s="5"/>
      <c r="R604" s="4"/>
      <c r="S604" s="1"/>
      <c r="T604" s="1"/>
      <c r="U604" s="1"/>
      <c r="V604" s="1"/>
      <c r="W604" s="1"/>
      <c r="X604" s="6"/>
      <c r="Y604" s="4"/>
      <c r="Z604" s="4"/>
      <c r="AA604" s="4"/>
      <c r="AB604" s="1"/>
      <c r="AC604" s="1"/>
      <c r="AD604" s="1"/>
      <c r="AE604" s="1"/>
      <c r="AF604" s="1"/>
      <c r="AG604" s="4"/>
      <c r="AH604" s="1"/>
      <c r="AI604" s="4"/>
      <c r="AJ604" s="6"/>
      <c r="AK604" s="7"/>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ht="16.5" customHeight="1">
      <c r="A605" s="1"/>
      <c r="B605" s="139"/>
      <c r="C605" s="1"/>
      <c r="D605" s="1"/>
      <c r="E605" s="1"/>
      <c r="F605" s="1"/>
      <c r="G605" s="1"/>
      <c r="H605" s="4"/>
      <c r="I605" s="4"/>
      <c r="J605" s="4"/>
      <c r="K605" s="4"/>
      <c r="L605" s="4"/>
      <c r="M605" s="4"/>
      <c r="N605" s="1"/>
      <c r="O605" s="1"/>
      <c r="P605" s="4"/>
      <c r="Q605" s="5"/>
      <c r="R605" s="4"/>
      <c r="S605" s="1"/>
      <c r="T605" s="1"/>
      <c r="U605" s="1"/>
      <c r="V605" s="1"/>
      <c r="W605" s="1"/>
      <c r="X605" s="6"/>
      <c r="Y605" s="4"/>
      <c r="Z605" s="4"/>
      <c r="AA605" s="4"/>
      <c r="AB605" s="1"/>
      <c r="AC605" s="1"/>
      <c r="AD605" s="1"/>
      <c r="AE605" s="1"/>
      <c r="AF605" s="1"/>
      <c r="AG605" s="4"/>
      <c r="AH605" s="1"/>
      <c r="AI605" s="4"/>
      <c r="AJ605" s="6"/>
      <c r="AK605" s="7"/>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ht="16.5" customHeight="1">
      <c r="A606" s="1"/>
      <c r="B606" s="139"/>
      <c r="C606" s="1"/>
      <c r="D606" s="1"/>
      <c r="E606" s="1"/>
      <c r="F606" s="1"/>
      <c r="G606" s="1"/>
      <c r="H606" s="4"/>
      <c r="I606" s="4"/>
      <c r="J606" s="4"/>
      <c r="K606" s="4"/>
      <c r="L606" s="4"/>
      <c r="M606" s="4"/>
      <c r="N606" s="1"/>
      <c r="O606" s="1"/>
      <c r="P606" s="4"/>
      <c r="Q606" s="5"/>
      <c r="R606" s="4"/>
      <c r="S606" s="1"/>
      <c r="T606" s="1"/>
      <c r="U606" s="1"/>
      <c r="V606" s="1"/>
      <c r="W606" s="1"/>
      <c r="X606" s="6"/>
      <c r="Y606" s="4"/>
      <c r="Z606" s="4"/>
      <c r="AA606" s="4"/>
      <c r="AB606" s="1"/>
      <c r="AC606" s="1"/>
      <c r="AD606" s="1"/>
      <c r="AE606" s="1"/>
      <c r="AF606" s="1"/>
      <c r="AG606" s="4"/>
      <c r="AH606" s="1"/>
      <c r="AI606" s="4"/>
      <c r="AJ606" s="6"/>
      <c r="AK606" s="7"/>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ht="16.5" customHeight="1">
      <c r="A607" s="1"/>
      <c r="B607" s="139"/>
      <c r="C607" s="1"/>
      <c r="D607" s="1"/>
      <c r="E607" s="1"/>
      <c r="F607" s="1"/>
      <c r="G607" s="1"/>
      <c r="H607" s="4"/>
      <c r="I607" s="4"/>
      <c r="J607" s="4"/>
      <c r="K607" s="4"/>
      <c r="L607" s="4"/>
      <c r="M607" s="4"/>
      <c r="N607" s="1"/>
      <c r="O607" s="1"/>
      <c r="P607" s="4"/>
      <c r="Q607" s="5"/>
      <c r="R607" s="4"/>
      <c r="S607" s="1"/>
      <c r="T607" s="1"/>
      <c r="U607" s="1"/>
      <c r="V607" s="1"/>
      <c r="W607" s="1"/>
      <c r="X607" s="6"/>
      <c r="Y607" s="4"/>
      <c r="Z607" s="4"/>
      <c r="AA607" s="4"/>
      <c r="AB607" s="1"/>
      <c r="AC607" s="1"/>
      <c r="AD607" s="1"/>
      <c r="AE607" s="1"/>
      <c r="AF607" s="1"/>
      <c r="AG607" s="4"/>
      <c r="AH607" s="1"/>
      <c r="AI607" s="4"/>
      <c r="AJ607" s="6"/>
      <c r="AK607" s="7"/>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ht="16.5" customHeight="1">
      <c r="A608" s="1"/>
      <c r="B608" s="139"/>
      <c r="C608" s="1"/>
      <c r="D608" s="1"/>
      <c r="E608" s="1"/>
      <c r="F608" s="1"/>
      <c r="G608" s="1"/>
      <c r="H608" s="4"/>
      <c r="I608" s="4"/>
      <c r="J608" s="4"/>
      <c r="K608" s="4"/>
      <c r="L608" s="4"/>
      <c r="M608" s="4"/>
      <c r="N608" s="1"/>
      <c r="O608" s="1"/>
      <c r="P608" s="4"/>
      <c r="Q608" s="5"/>
      <c r="R608" s="4"/>
      <c r="S608" s="1"/>
      <c r="T608" s="1"/>
      <c r="U608" s="1"/>
      <c r="V608" s="1"/>
      <c r="W608" s="1"/>
      <c r="X608" s="6"/>
      <c r="Y608" s="4"/>
      <c r="Z608" s="4"/>
      <c r="AA608" s="4"/>
      <c r="AB608" s="1"/>
      <c r="AC608" s="1"/>
      <c r="AD608" s="1"/>
      <c r="AE608" s="1"/>
      <c r="AF608" s="1"/>
      <c r="AG608" s="4"/>
      <c r="AH608" s="1"/>
      <c r="AI608" s="4"/>
      <c r="AJ608" s="6"/>
      <c r="AK608" s="7"/>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ht="16.5" customHeight="1">
      <c r="A609" s="1"/>
      <c r="B609" s="139"/>
      <c r="C609" s="1"/>
      <c r="D609" s="1"/>
      <c r="E609" s="1"/>
      <c r="F609" s="1"/>
      <c r="G609" s="1"/>
      <c r="H609" s="4"/>
      <c r="I609" s="4"/>
      <c r="J609" s="4"/>
      <c r="K609" s="4"/>
      <c r="L609" s="4"/>
      <c r="M609" s="4"/>
      <c r="N609" s="1"/>
      <c r="O609" s="1"/>
      <c r="P609" s="4"/>
      <c r="Q609" s="5"/>
      <c r="R609" s="4"/>
      <c r="S609" s="1"/>
      <c r="T609" s="1"/>
      <c r="U609" s="1"/>
      <c r="V609" s="1"/>
      <c r="W609" s="1"/>
      <c r="X609" s="6"/>
      <c r="Y609" s="4"/>
      <c r="Z609" s="4"/>
      <c r="AA609" s="4"/>
      <c r="AB609" s="1"/>
      <c r="AC609" s="1"/>
      <c r="AD609" s="1"/>
      <c r="AE609" s="1"/>
      <c r="AF609" s="1"/>
      <c r="AG609" s="4"/>
      <c r="AH609" s="1"/>
      <c r="AI609" s="4"/>
      <c r="AJ609" s="6"/>
      <c r="AK609" s="7"/>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ht="16.5" customHeight="1">
      <c r="A610" s="1"/>
      <c r="B610" s="139"/>
      <c r="C610" s="1"/>
      <c r="D610" s="1"/>
      <c r="E610" s="1"/>
      <c r="F610" s="1"/>
      <c r="G610" s="1"/>
      <c r="H610" s="4"/>
      <c r="I610" s="4"/>
      <c r="J610" s="4"/>
      <c r="K610" s="4"/>
      <c r="L610" s="4"/>
      <c r="M610" s="4"/>
      <c r="N610" s="1"/>
      <c r="O610" s="1"/>
      <c r="P610" s="4"/>
      <c r="Q610" s="5"/>
      <c r="R610" s="4"/>
      <c r="S610" s="1"/>
      <c r="T610" s="1"/>
      <c r="U610" s="1"/>
      <c r="V610" s="1"/>
      <c r="W610" s="1"/>
      <c r="X610" s="6"/>
      <c r="Y610" s="4"/>
      <c r="Z610" s="4"/>
      <c r="AA610" s="4"/>
      <c r="AB610" s="1"/>
      <c r="AC610" s="1"/>
      <c r="AD610" s="1"/>
      <c r="AE610" s="1"/>
      <c r="AF610" s="1"/>
      <c r="AG610" s="4"/>
      <c r="AH610" s="1"/>
      <c r="AI610" s="4"/>
      <c r="AJ610" s="6"/>
      <c r="AK610" s="7"/>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ht="16.5" customHeight="1">
      <c r="A611" s="1"/>
      <c r="B611" s="139"/>
      <c r="C611" s="1"/>
      <c r="D611" s="1"/>
      <c r="E611" s="1"/>
      <c r="F611" s="1"/>
      <c r="G611" s="1"/>
      <c r="H611" s="4"/>
      <c r="I611" s="4"/>
      <c r="J611" s="4"/>
      <c r="K611" s="4"/>
      <c r="L611" s="4"/>
      <c r="M611" s="4"/>
      <c r="N611" s="1"/>
      <c r="O611" s="1"/>
      <c r="P611" s="4"/>
      <c r="Q611" s="5"/>
      <c r="R611" s="4"/>
      <c r="S611" s="1"/>
      <c r="T611" s="1"/>
      <c r="U611" s="1"/>
      <c r="V611" s="1"/>
      <c r="W611" s="1"/>
      <c r="X611" s="6"/>
      <c r="Y611" s="4"/>
      <c r="Z611" s="4"/>
      <c r="AA611" s="4"/>
      <c r="AB611" s="1"/>
      <c r="AC611" s="1"/>
      <c r="AD611" s="1"/>
      <c r="AE611" s="1"/>
      <c r="AF611" s="1"/>
      <c r="AG611" s="4"/>
      <c r="AH611" s="1"/>
      <c r="AI611" s="4"/>
      <c r="AJ611" s="6"/>
      <c r="AK611" s="7"/>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ht="16.5" customHeight="1">
      <c r="A612" s="1"/>
      <c r="B612" s="139"/>
      <c r="C612" s="1"/>
      <c r="D612" s="1"/>
      <c r="E612" s="1"/>
      <c r="F612" s="1"/>
      <c r="G612" s="1"/>
      <c r="H612" s="4"/>
      <c r="I612" s="4"/>
      <c r="J612" s="4"/>
      <c r="K612" s="4"/>
      <c r="L612" s="4"/>
      <c r="M612" s="4"/>
      <c r="N612" s="1"/>
      <c r="O612" s="1"/>
      <c r="P612" s="4"/>
      <c r="Q612" s="5"/>
      <c r="R612" s="4"/>
      <c r="S612" s="1"/>
      <c r="T612" s="1"/>
      <c r="U612" s="1"/>
      <c r="V612" s="1"/>
      <c r="W612" s="1"/>
      <c r="X612" s="6"/>
      <c r="Y612" s="4"/>
      <c r="Z612" s="4"/>
      <c r="AA612" s="4"/>
      <c r="AB612" s="1"/>
      <c r="AC612" s="1"/>
      <c r="AD612" s="1"/>
      <c r="AE612" s="1"/>
      <c r="AF612" s="1"/>
      <c r="AG612" s="4"/>
      <c r="AH612" s="1"/>
      <c r="AI612" s="4"/>
      <c r="AJ612" s="6"/>
      <c r="AK612" s="7"/>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ht="16.5" customHeight="1">
      <c r="A613" s="1"/>
      <c r="B613" s="139"/>
      <c r="C613" s="1"/>
      <c r="D613" s="1"/>
      <c r="E613" s="1"/>
      <c r="F613" s="1"/>
      <c r="G613" s="1"/>
      <c r="H613" s="4"/>
      <c r="I613" s="4"/>
      <c r="J613" s="4"/>
      <c r="K613" s="4"/>
      <c r="L613" s="4"/>
      <c r="M613" s="4"/>
      <c r="N613" s="1"/>
      <c r="O613" s="1"/>
      <c r="P613" s="4"/>
      <c r="Q613" s="5"/>
      <c r="R613" s="4"/>
      <c r="S613" s="1"/>
      <c r="T613" s="1"/>
      <c r="U613" s="1"/>
      <c r="V613" s="1"/>
      <c r="W613" s="1"/>
      <c r="X613" s="6"/>
      <c r="Y613" s="4"/>
      <c r="Z613" s="4"/>
      <c r="AA613" s="4"/>
      <c r="AB613" s="1"/>
      <c r="AC613" s="1"/>
      <c r="AD613" s="1"/>
      <c r="AE613" s="1"/>
      <c r="AF613" s="1"/>
      <c r="AG613" s="4"/>
      <c r="AH613" s="1"/>
      <c r="AI613" s="4"/>
      <c r="AJ613" s="6"/>
      <c r="AK613" s="7"/>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ht="16.5" customHeight="1">
      <c r="A614" s="1"/>
      <c r="B614" s="139"/>
      <c r="C614" s="1"/>
      <c r="D614" s="1"/>
      <c r="E614" s="1"/>
      <c r="F614" s="1"/>
      <c r="G614" s="1"/>
      <c r="H614" s="4"/>
      <c r="I614" s="4"/>
      <c r="J614" s="4"/>
      <c r="K614" s="4"/>
      <c r="L614" s="4"/>
      <c r="M614" s="4"/>
      <c r="N614" s="1"/>
      <c r="O614" s="1"/>
      <c r="P614" s="4"/>
      <c r="Q614" s="5"/>
      <c r="R614" s="4"/>
      <c r="S614" s="1"/>
      <c r="T614" s="1"/>
      <c r="U614" s="1"/>
      <c r="V614" s="1"/>
      <c r="W614" s="1"/>
      <c r="X614" s="6"/>
      <c r="Y614" s="4"/>
      <c r="Z614" s="4"/>
      <c r="AA614" s="4"/>
      <c r="AB614" s="1"/>
      <c r="AC614" s="1"/>
      <c r="AD614" s="1"/>
      <c r="AE614" s="1"/>
      <c r="AF614" s="1"/>
      <c r="AG614" s="4"/>
      <c r="AH614" s="1"/>
      <c r="AI614" s="4"/>
      <c r="AJ614" s="6"/>
      <c r="AK614" s="7"/>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ht="16.5" customHeight="1">
      <c r="A615" s="1"/>
      <c r="B615" s="139"/>
      <c r="C615" s="1"/>
      <c r="D615" s="1"/>
      <c r="E615" s="1"/>
      <c r="F615" s="1"/>
      <c r="G615" s="1"/>
      <c r="H615" s="4"/>
      <c r="I615" s="4"/>
      <c r="J615" s="4"/>
      <c r="K615" s="4"/>
      <c r="L615" s="4"/>
      <c r="M615" s="4"/>
      <c r="N615" s="1"/>
      <c r="O615" s="1"/>
      <c r="P615" s="4"/>
      <c r="Q615" s="5"/>
      <c r="R615" s="4"/>
      <c r="S615" s="1"/>
      <c r="T615" s="1"/>
      <c r="U615" s="1"/>
      <c r="V615" s="1"/>
      <c r="W615" s="1"/>
      <c r="X615" s="6"/>
      <c r="Y615" s="4"/>
      <c r="Z615" s="4"/>
      <c r="AA615" s="4"/>
      <c r="AB615" s="1"/>
      <c r="AC615" s="1"/>
      <c r="AD615" s="1"/>
      <c r="AE615" s="1"/>
      <c r="AF615" s="1"/>
      <c r="AG615" s="4"/>
      <c r="AH615" s="1"/>
      <c r="AI615" s="4"/>
      <c r="AJ615" s="6"/>
      <c r="AK615" s="7"/>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ht="16.5" customHeight="1">
      <c r="A616" s="1"/>
      <c r="B616" s="139"/>
      <c r="C616" s="1"/>
      <c r="D616" s="1"/>
      <c r="E616" s="1"/>
      <c r="F616" s="1"/>
      <c r="G616" s="1"/>
      <c r="H616" s="4"/>
      <c r="I616" s="4"/>
      <c r="J616" s="4"/>
      <c r="K616" s="4"/>
      <c r="L616" s="4"/>
      <c r="M616" s="4"/>
      <c r="N616" s="1"/>
      <c r="O616" s="1"/>
      <c r="P616" s="4"/>
      <c r="Q616" s="5"/>
      <c r="R616" s="4"/>
      <c r="S616" s="1"/>
      <c r="T616" s="1"/>
      <c r="U616" s="1"/>
      <c r="V616" s="1"/>
      <c r="W616" s="1"/>
      <c r="X616" s="6"/>
      <c r="Y616" s="4"/>
      <c r="Z616" s="4"/>
      <c r="AA616" s="4"/>
      <c r="AB616" s="1"/>
      <c r="AC616" s="1"/>
      <c r="AD616" s="1"/>
      <c r="AE616" s="1"/>
      <c r="AF616" s="1"/>
      <c r="AG616" s="4"/>
      <c r="AH616" s="1"/>
      <c r="AI616" s="4"/>
      <c r="AJ616" s="6"/>
      <c r="AK616" s="7"/>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ht="16.5" customHeight="1">
      <c r="A617" s="1"/>
      <c r="B617" s="139"/>
      <c r="C617" s="1"/>
      <c r="D617" s="1"/>
      <c r="E617" s="1"/>
      <c r="F617" s="1"/>
      <c r="G617" s="1"/>
      <c r="H617" s="4"/>
      <c r="I617" s="4"/>
      <c r="J617" s="4"/>
      <c r="K617" s="4"/>
      <c r="L617" s="4"/>
      <c r="M617" s="4"/>
      <c r="N617" s="1"/>
      <c r="O617" s="1"/>
      <c r="P617" s="4"/>
      <c r="Q617" s="5"/>
      <c r="R617" s="4"/>
      <c r="S617" s="1"/>
      <c r="T617" s="1"/>
      <c r="U617" s="1"/>
      <c r="V617" s="1"/>
      <c r="W617" s="1"/>
      <c r="X617" s="6"/>
      <c r="Y617" s="4"/>
      <c r="Z617" s="4"/>
      <c r="AA617" s="4"/>
      <c r="AB617" s="1"/>
      <c r="AC617" s="1"/>
      <c r="AD617" s="1"/>
      <c r="AE617" s="1"/>
      <c r="AF617" s="1"/>
      <c r="AG617" s="4"/>
      <c r="AH617" s="1"/>
      <c r="AI617" s="4"/>
      <c r="AJ617" s="6"/>
      <c r="AK617" s="7"/>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ht="16.5" customHeight="1">
      <c r="A618" s="1"/>
      <c r="B618" s="139"/>
      <c r="C618" s="1"/>
      <c r="D618" s="1"/>
      <c r="E618" s="1"/>
      <c r="F618" s="1"/>
      <c r="G618" s="1"/>
      <c r="H618" s="4"/>
      <c r="I618" s="4"/>
      <c r="J618" s="4"/>
      <c r="K618" s="4"/>
      <c r="L618" s="4"/>
      <c r="M618" s="4"/>
      <c r="N618" s="1"/>
      <c r="O618" s="1"/>
      <c r="P618" s="4"/>
      <c r="Q618" s="5"/>
      <c r="R618" s="4"/>
      <c r="S618" s="1"/>
      <c r="T618" s="1"/>
      <c r="U618" s="1"/>
      <c r="V618" s="1"/>
      <c r="W618" s="1"/>
      <c r="X618" s="6"/>
      <c r="Y618" s="4"/>
      <c r="Z618" s="4"/>
      <c r="AA618" s="4"/>
      <c r="AB618" s="1"/>
      <c r="AC618" s="1"/>
      <c r="AD618" s="1"/>
      <c r="AE618" s="1"/>
      <c r="AF618" s="1"/>
      <c r="AG618" s="4"/>
      <c r="AH618" s="1"/>
      <c r="AI618" s="4"/>
      <c r="AJ618" s="6"/>
      <c r="AK618" s="7"/>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ht="16.5" customHeight="1">
      <c r="A619" s="1"/>
      <c r="B619" s="139"/>
      <c r="C619" s="1"/>
      <c r="D619" s="1"/>
      <c r="E619" s="1"/>
      <c r="F619" s="1"/>
      <c r="G619" s="1"/>
      <c r="H619" s="4"/>
      <c r="I619" s="4"/>
      <c r="J619" s="4"/>
      <c r="K619" s="4"/>
      <c r="L619" s="4"/>
      <c r="M619" s="4"/>
      <c r="N619" s="1"/>
      <c r="O619" s="1"/>
      <c r="P619" s="4"/>
      <c r="Q619" s="5"/>
      <c r="R619" s="4"/>
      <c r="S619" s="1"/>
      <c r="T619" s="1"/>
      <c r="U619" s="1"/>
      <c r="V619" s="1"/>
      <c r="W619" s="1"/>
      <c r="X619" s="6"/>
      <c r="Y619" s="4"/>
      <c r="Z619" s="4"/>
      <c r="AA619" s="4"/>
      <c r="AB619" s="1"/>
      <c r="AC619" s="1"/>
      <c r="AD619" s="1"/>
      <c r="AE619" s="1"/>
      <c r="AF619" s="1"/>
      <c r="AG619" s="4"/>
      <c r="AH619" s="1"/>
      <c r="AI619" s="4"/>
      <c r="AJ619" s="6"/>
      <c r="AK619" s="7"/>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ht="16.5" customHeight="1">
      <c r="A620" s="1"/>
      <c r="B620" s="139"/>
      <c r="C620" s="1"/>
      <c r="D620" s="1"/>
      <c r="E620" s="1"/>
      <c r="F620" s="1"/>
      <c r="G620" s="1"/>
      <c r="H620" s="4"/>
      <c r="I620" s="4"/>
      <c r="J620" s="4"/>
      <c r="K620" s="4"/>
      <c r="L620" s="4"/>
      <c r="M620" s="4"/>
      <c r="N620" s="1"/>
      <c r="O620" s="1"/>
      <c r="P620" s="4"/>
      <c r="Q620" s="5"/>
      <c r="R620" s="4"/>
      <c r="S620" s="1"/>
      <c r="T620" s="1"/>
      <c r="U620" s="1"/>
      <c r="V620" s="1"/>
      <c r="W620" s="1"/>
      <c r="X620" s="6"/>
      <c r="Y620" s="4"/>
      <c r="Z620" s="4"/>
      <c r="AA620" s="4"/>
      <c r="AB620" s="1"/>
      <c r="AC620" s="1"/>
      <c r="AD620" s="1"/>
      <c r="AE620" s="1"/>
      <c r="AF620" s="1"/>
      <c r="AG620" s="4"/>
      <c r="AH620" s="1"/>
      <c r="AI620" s="4"/>
      <c r="AJ620" s="6"/>
      <c r="AK620" s="7"/>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ht="16.5" customHeight="1">
      <c r="A621" s="1"/>
      <c r="B621" s="139"/>
      <c r="C621" s="1"/>
      <c r="D621" s="1"/>
      <c r="E621" s="1"/>
      <c r="F621" s="1"/>
      <c r="G621" s="1"/>
      <c r="H621" s="4"/>
      <c r="I621" s="4"/>
      <c r="J621" s="4"/>
      <c r="K621" s="4"/>
      <c r="L621" s="4"/>
      <c r="M621" s="4"/>
      <c r="N621" s="1"/>
      <c r="O621" s="1"/>
      <c r="P621" s="4"/>
      <c r="Q621" s="5"/>
      <c r="R621" s="4"/>
      <c r="S621" s="1"/>
      <c r="T621" s="1"/>
      <c r="U621" s="1"/>
      <c r="V621" s="1"/>
      <c r="W621" s="1"/>
      <c r="X621" s="6"/>
      <c r="Y621" s="4"/>
      <c r="Z621" s="4"/>
      <c r="AA621" s="4"/>
      <c r="AB621" s="1"/>
      <c r="AC621" s="1"/>
      <c r="AD621" s="1"/>
      <c r="AE621" s="1"/>
      <c r="AF621" s="1"/>
      <c r="AG621" s="4"/>
      <c r="AH621" s="1"/>
      <c r="AI621" s="4"/>
      <c r="AJ621" s="6"/>
      <c r="AK621" s="7"/>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ht="16.5" customHeight="1">
      <c r="A622" s="1"/>
      <c r="B622" s="139"/>
      <c r="C622" s="1"/>
      <c r="D622" s="1"/>
      <c r="E622" s="1"/>
      <c r="F622" s="1"/>
      <c r="G622" s="1"/>
      <c r="H622" s="4"/>
      <c r="I622" s="4"/>
      <c r="J622" s="4"/>
      <c r="K622" s="4"/>
      <c r="L622" s="4"/>
      <c r="M622" s="4"/>
      <c r="N622" s="1"/>
      <c r="O622" s="1"/>
      <c r="P622" s="4"/>
      <c r="Q622" s="5"/>
      <c r="R622" s="4"/>
      <c r="S622" s="1"/>
      <c r="T622" s="1"/>
      <c r="U622" s="1"/>
      <c r="V622" s="1"/>
      <c r="W622" s="1"/>
      <c r="X622" s="6"/>
      <c r="Y622" s="4"/>
      <c r="Z622" s="4"/>
      <c r="AA622" s="4"/>
      <c r="AB622" s="1"/>
      <c r="AC622" s="1"/>
      <c r="AD622" s="1"/>
      <c r="AE622" s="1"/>
      <c r="AF622" s="1"/>
      <c r="AG622" s="4"/>
      <c r="AH622" s="1"/>
      <c r="AI622" s="4"/>
      <c r="AJ622" s="6"/>
      <c r="AK622" s="7"/>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ht="16.5" customHeight="1">
      <c r="A623" s="1"/>
      <c r="B623" s="139"/>
      <c r="C623" s="1"/>
      <c r="D623" s="1"/>
      <c r="E623" s="1"/>
      <c r="F623" s="1"/>
      <c r="G623" s="1"/>
      <c r="H623" s="4"/>
      <c r="I623" s="4"/>
      <c r="J623" s="4"/>
      <c r="K623" s="4"/>
      <c r="L623" s="4"/>
      <c r="M623" s="4"/>
      <c r="N623" s="1"/>
      <c r="O623" s="1"/>
      <c r="P623" s="4"/>
      <c r="Q623" s="5"/>
      <c r="R623" s="4"/>
      <c r="S623" s="1"/>
      <c r="T623" s="1"/>
      <c r="U623" s="1"/>
      <c r="V623" s="1"/>
      <c r="W623" s="1"/>
      <c r="X623" s="6"/>
      <c r="Y623" s="4"/>
      <c r="Z623" s="4"/>
      <c r="AA623" s="4"/>
      <c r="AB623" s="1"/>
      <c r="AC623" s="1"/>
      <c r="AD623" s="1"/>
      <c r="AE623" s="1"/>
      <c r="AF623" s="1"/>
      <c r="AG623" s="4"/>
      <c r="AH623" s="1"/>
      <c r="AI623" s="4"/>
      <c r="AJ623" s="6"/>
      <c r="AK623" s="7"/>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ht="16.5" customHeight="1">
      <c r="A624" s="1"/>
      <c r="B624" s="139"/>
      <c r="C624" s="1"/>
      <c r="D624" s="1"/>
      <c r="E624" s="1"/>
      <c r="F624" s="1"/>
      <c r="G624" s="1"/>
      <c r="H624" s="4"/>
      <c r="I624" s="4"/>
      <c r="J624" s="4"/>
      <c r="K624" s="4"/>
      <c r="L624" s="4"/>
      <c r="M624" s="4"/>
      <c r="N624" s="1"/>
      <c r="O624" s="1"/>
      <c r="P624" s="4"/>
      <c r="Q624" s="5"/>
      <c r="R624" s="4"/>
      <c r="S624" s="1"/>
      <c r="T624" s="1"/>
      <c r="U624" s="1"/>
      <c r="V624" s="1"/>
      <c r="W624" s="1"/>
      <c r="X624" s="6"/>
      <c r="Y624" s="4"/>
      <c r="Z624" s="4"/>
      <c r="AA624" s="4"/>
      <c r="AB624" s="1"/>
      <c r="AC624" s="1"/>
      <c r="AD624" s="1"/>
      <c r="AE624" s="1"/>
      <c r="AF624" s="1"/>
      <c r="AG624" s="4"/>
      <c r="AH624" s="1"/>
      <c r="AI624" s="4"/>
      <c r="AJ624" s="6"/>
      <c r="AK624" s="7"/>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ht="16.5" customHeight="1">
      <c r="A625" s="1"/>
      <c r="B625" s="139"/>
      <c r="C625" s="1"/>
      <c r="D625" s="1"/>
      <c r="E625" s="1"/>
      <c r="F625" s="1"/>
      <c r="G625" s="1"/>
      <c r="H625" s="4"/>
      <c r="I625" s="4"/>
      <c r="J625" s="4"/>
      <c r="K625" s="4"/>
      <c r="L625" s="4"/>
      <c r="M625" s="4"/>
      <c r="N625" s="1"/>
      <c r="O625" s="1"/>
      <c r="P625" s="4"/>
      <c r="Q625" s="5"/>
      <c r="R625" s="4"/>
      <c r="S625" s="1"/>
      <c r="T625" s="1"/>
      <c r="U625" s="1"/>
      <c r="V625" s="1"/>
      <c r="W625" s="1"/>
      <c r="X625" s="6"/>
      <c r="Y625" s="4"/>
      <c r="Z625" s="4"/>
      <c r="AA625" s="4"/>
      <c r="AB625" s="1"/>
      <c r="AC625" s="1"/>
      <c r="AD625" s="1"/>
      <c r="AE625" s="1"/>
      <c r="AF625" s="1"/>
      <c r="AG625" s="4"/>
      <c r="AH625" s="1"/>
      <c r="AI625" s="4"/>
      <c r="AJ625" s="6"/>
      <c r="AK625" s="7"/>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ht="16.5" customHeight="1">
      <c r="A626" s="1"/>
      <c r="B626" s="139"/>
      <c r="C626" s="1"/>
      <c r="D626" s="1"/>
      <c r="E626" s="1"/>
      <c r="F626" s="1"/>
      <c r="G626" s="1"/>
      <c r="H626" s="4"/>
      <c r="I626" s="4"/>
      <c r="J626" s="4"/>
      <c r="K626" s="4"/>
      <c r="L626" s="4"/>
      <c r="M626" s="4"/>
      <c r="N626" s="1"/>
      <c r="O626" s="1"/>
      <c r="P626" s="4"/>
      <c r="Q626" s="5"/>
      <c r="R626" s="4"/>
      <c r="S626" s="1"/>
      <c r="T626" s="1"/>
      <c r="U626" s="1"/>
      <c r="V626" s="1"/>
      <c r="W626" s="1"/>
      <c r="X626" s="6"/>
      <c r="Y626" s="4"/>
      <c r="Z626" s="4"/>
      <c r="AA626" s="4"/>
      <c r="AB626" s="1"/>
      <c r="AC626" s="1"/>
      <c r="AD626" s="1"/>
      <c r="AE626" s="1"/>
      <c r="AF626" s="1"/>
      <c r="AG626" s="4"/>
      <c r="AH626" s="1"/>
      <c r="AI626" s="4"/>
      <c r="AJ626" s="6"/>
      <c r="AK626" s="7"/>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ht="16.5" customHeight="1">
      <c r="A627" s="1"/>
      <c r="B627" s="139"/>
      <c r="C627" s="1"/>
      <c r="D627" s="1"/>
      <c r="E627" s="1"/>
      <c r="F627" s="1"/>
      <c r="G627" s="1"/>
      <c r="H627" s="4"/>
      <c r="I627" s="4"/>
      <c r="J627" s="4"/>
      <c r="K627" s="4"/>
      <c r="L627" s="4"/>
      <c r="M627" s="4"/>
      <c r="N627" s="1"/>
      <c r="O627" s="1"/>
      <c r="P627" s="4"/>
      <c r="Q627" s="5"/>
      <c r="R627" s="4"/>
      <c r="S627" s="1"/>
      <c r="T627" s="1"/>
      <c r="U627" s="1"/>
      <c r="V627" s="1"/>
      <c r="W627" s="1"/>
      <c r="X627" s="6"/>
      <c r="Y627" s="4"/>
      <c r="Z627" s="4"/>
      <c r="AA627" s="4"/>
      <c r="AB627" s="1"/>
      <c r="AC627" s="1"/>
      <c r="AD627" s="1"/>
      <c r="AE627" s="1"/>
      <c r="AF627" s="1"/>
      <c r="AG627" s="4"/>
      <c r="AH627" s="1"/>
      <c r="AI627" s="4"/>
      <c r="AJ627" s="6"/>
      <c r="AK627" s="7"/>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ht="16.5" customHeight="1">
      <c r="A628" s="1"/>
      <c r="B628" s="139"/>
      <c r="C628" s="1"/>
      <c r="D628" s="1"/>
      <c r="E628" s="1"/>
      <c r="F628" s="1"/>
      <c r="G628" s="1"/>
      <c r="H628" s="4"/>
      <c r="I628" s="4"/>
      <c r="J628" s="4"/>
      <c r="K628" s="4"/>
      <c r="L628" s="4"/>
      <c r="M628" s="4"/>
      <c r="N628" s="1"/>
      <c r="O628" s="1"/>
      <c r="P628" s="4"/>
      <c r="Q628" s="5"/>
      <c r="R628" s="4"/>
      <c r="S628" s="1"/>
      <c r="T628" s="1"/>
      <c r="U628" s="1"/>
      <c r="V628" s="1"/>
      <c r="W628" s="1"/>
      <c r="X628" s="6"/>
      <c r="Y628" s="4"/>
      <c r="Z628" s="4"/>
      <c r="AA628" s="4"/>
      <c r="AB628" s="1"/>
      <c r="AC628" s="1"/>
      <c r="AD628" s="1"/>
      <c r="AE628" s="1"/>
      <c r="AF628" s="1"/>
      <c r="AG628" s="4"/>
      <c r="AH628" s="1"/>
      <c r="AI628" s="4"/>
      <c r="AJ628" s="6"/>
      <c r="AK628" s="7"/>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ht="16.5" customHeight="1">
      <c r="A629" s="1"/>
      <c r="B629" s="139"/>
      <c r="C629" s="1"/>
      <c r="D629" s="1"/>
      <c r="E629" s="1"/>
      <c r="F629" s="1"/>
      <c r="G629" s="1"/>
      <c r="H629" s="4"/>
      <c r="I629" s="4"/>
      <c r="J629" s="4"/>
      <c r="K629" s="4"/>
      <c r="L629" s="4"/>
      <c r="M629" s="4"/>
      <c r="N629" s="1"/>
      <c r="O629" s="1"/>
      <c r="P629" s="4"/>
      <c r="Q629" s="5"/>
      <c r="R629" s="4"/>
      <c r="S629" s="1"/>
      <c r="T629" s="1"/>
      <c r="U629" s="1"/>
      <c r="V629" s="1"/>
      <c r="W629" s="1"/>
      <c r="X629" s="6"/>
      <c r="Y629" s="4"/>
      <c r="Z629" s="4"/>
      <c r="AA629" s="4"/>
      <c r="AB629" s="1"/>
      <c r="AC629" s="1"/>
      <c r="AD629" s="1"/>
      <c r="AE629" s="1"/>
      <c r="AF629" s="1"/>
      <c r="AG629" s="4"/>
      <c r="AH629" s="1"/>
      <c r="AI629" s="4"/>
      <c r="AJ629" s="6"/>
      <c r="AK629" s="7"/>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ht="16.5" customHeight="1">
      <c r="A630" s="1"/>
      <c r="B630" s="139"/>
      <c r="C630" s="1"/>
      <c r="D630" s="1"/>
      <c r="E630" s="1"/>
      <c r="F630" s="1"/>
      <c r="G630" s="1"/>
      <c r="H630" s="4"/>
      <c r="I630" s="4"/>
      <c r="J630" s="4"/>
      <c r="K630" s="4"/>
      <c r="L630" s="4"/>
      <c r="M630" s="4"/>
      <c r="N630" s="1"/>
      <c r="O630" s="1"/>
      <c r="P630" s="4"/>
      <c r="Q630" s="5"/>
      <c r="R630" s="4"/>
      <c r="S630" s="1"/>
      <c r="T630" s="1"/>
      <c r="U630" s="1"/>
      <c r="V630" s="1"/>
      <c r="W630" s="1"/>
      <c r="X630" s="6"/>
      <c r="Y630" s="4"/>
      <c r="Z630" s="4"/>
      <c r="AA630" s="4"/>
      <c r="AB630" s="1"/>
      <c r="AC630" s="1"/>
      <c r="AD630" s="1"/>
      <c r="AE630" s="1"/>
      <c r="AF630" s="1"/>
      <c r="AG630" s="4"/>
      <c r="AH630" s="1"/>
      <c r="AI630" s="4"/>
      <c r="AJ630" s="6"/>
      <c r="AK630" s="7"/>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ht="16.5" customHeight="1">
      <c r="A631" s="1"/>
      <c r="B631" s="139"/>
      <c r="C631" s="1"/>
      <c r="D631" s="1"/>
      <c r="E631" s="1"/>
      <c r="F631" s="1"/>
      <c r="G631" s="1"/>
      <c r="H631" s="4"/>
      <c r="I631" s="4"/>
      <c r="J631" s="4"/>
      <c r="K631" s="4"/>
      <c r="L631" s="4"/>
      <c r="M631" s="4"/>
      <c r="N631" s="1"/>
      <c r="O631" s="1"/>
      <c r="P631" s="4"/>
      <c r="Q631" s="5"/>
      <c r="R631" s="4"/>
      <c r="S631" s="1"/>
      <c r="T631" s="1"/>
      <c r="U631" s="1"/>
      <c r="V631" s="1"/>
      <c r="W631" s="1"/>
      <c r="X631" s="6"/>
      <c r="Y631" s="4"/>
      <c r="Z631" s="4"/>
      <c r="AA631" s="4"/>
      <c r="AB631" s="1"/>
      <c r="AC631" s="1"/>
      <c r="AD631" s="1"/>
      <c r="AE631" s="1"/>
      <c r="AF631" s="1"/>
      <c r="AG631" s="4"/>
      <c r="AH631" s="1"/>
      <c r="AI631" s="4"/>
      <c r="AJ631" s="6"/>
      <c r="AK631" s="7"/>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ht="16.5" customHeight="1">
      <c r="A632" s="1"/>
      <c r="B632" s="139"/>
      <c r="C632" s="1"/>
      <c r="D632" s="1"/>
      <c r="E632" s="1"/>
      <c r="F632" s="1"/>
      <c r="G632" s="1"/>
      <c r="H632" s="4"/>
      <c r="I632" s="4"/>
      <c r="J632" s="4"/>
      <c r="K632" s="4"/>
      <c r="L632" s="4"/>
      <c r="M632" s="4"/>
      <c r="N632" s="1"/>
      <c r="O632" s="1"/>
      <c r="P632" s="4"/>
      <c r="Q632" s="5"/>
      <c r="R632" s="4"/>
      <c r="S632" s="1"/>
      <c r="T632" s="1"/>
      <c r="U632" s="1"/>
      <c r="V632" s="1"/>
      <c r="W632" s="1"/>
      <c r="X632" s="6"/>
      <c r="Y632" s="4"/>
      <c r="Z632" s="4"/>
      <c r="AA632" s="4"/>
      <c r="AB632" s="1"/>
      <c r="AC632" s="1"/>
      <c r="AD632" s="1"/>
      <c r="AE632" s="1"/>
      <c r="AF632" s="1"/>
      <c r="AG632" s="4"/>
      <c r="AH632" s="1"/>
      <c r="AI632" s="4"/>
      <c r="AJ632" s="6"/>
      <c r="AK632" s="7"/>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ht="16.5" customHeight="1">
      <c r="A633" s="1"/>
      <c r="B633" s="139"/>
      <c r="C633" s="1"/>
      <c r="D633" s="1"/>
      <c r="E633" s="1"/>
      <c r="F633" s="1"/>
      <c r="G633" s="1"/>
      <c r="H633" s="4"/>
      <c r="I633" s="4"/>
      <c r="J633" s="4"/>
      <c r="K633" s="4"/>
      <c r="L633" s="4"/>
      <c r="M633" s="4"/>
      <c r="N633" s="1"/>
      <c r="O633" s="1"/>
      <c r="P633" s="4"/>
      <c r="Q633" s="5"/>
      <c r="R633" s="4"/>
      <c r="S633" s="1"/>
      <c r="T633" s="1"/>
      <c r="U633" s="1"/>
      <c r="V633" s="1"/>
      <c r="W633" s="1"/>
      <c r="X633" s="6"/>
      <c r="Y633" s="4"/>
      <c r="Z633" s="4"/>
      <c r="AA633" s="4"/>
      <c r="AB633" s="1"/>
      <c r="AC633" s="1"/>
      <c r="AD633" s="1"/>
      <c r="AE633" s="1"/>
      <c r="AF633" s="1"/>
      <c r="AG633" s="4"/>
      <c r="AH633" s="1"/>
      <c r="AI633" s="4"/>
      <c r="AJ633" s="6"/>
      <c r="AK633" s="7"/>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ht="16.5" customHeight="1">
      <c r="A634" s="1"/>
      <c r="B634" s="139"/>
      <c r="C634" s="1"/>
      <c r="D634" s="1"/>
      <c r="E634" s="1"/>
      <c r="F634" s="1"/>
      <c r="G634" s="1"/>
      <c r="H634" s="4"/>
      <c r="I634" s="4"/>
      <c r="J634" s="4"/>
      <c r="K634" s="4"/>
      <c r="L634" s="4"/>
      <c r="M634" s="4"/>
      <c r="N634" s="1"/>
      <c r="O634" s="1"/>
      <c r="P634" s="4"/>
      <c r="Q634" s="5"/>
      <c r="R634" s="4"/>
      <c r="S634" s="1"/>
      <c r="T634" s="1"/>
      <c r="U634" s="1"/>
      <c r="V634" s="1"/>
      <c r="W634" s="1"/>
      <c r="X634" s="6"/>
      <c r="Y634" s="4"/>
      <c r="Z634" s="4"/>
      <c r="AA634" s="4"/>
      <c r="AB634" s="1"/>
      <c r="AC634" s="1"/>
      <c r="AD634" s="1"/>
      <c r="AE634" s="1"/>
      <c r="AF634" s="1"/>
      <c r="AG634" s="4"/>
      <c r="AH634" s="1"/>
      <c r="AI634" s="4"/>
      <c r="AJ634" s="6"/>
      <c r="AK634" s="7"/>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ht="16.5" customHeight="1">
      <c r="A635" s="1"/>
      <c r="B635" s="139"/>
      <c r="C635" s="1"/>
      <c r="D635" s="1"/>
      <c r="E635" s="1"/>
      <c r="F635" s="1"/>
      <c r="G635" s="1"/>
      <c r="H635" s="4"/>
      <c r="I635" s="4"/>
      <c r="J635" s="4"/>
      <c r="K635" s="4"/>
      <c r="L635" s="4"/>
      <c r="M635" s="4"/>
      <c r="N635" s="1"/>
      <c r="O635" s="1"/>
      <c r="P635" s="4"/>
      <c r="Q635" s="5"/>
      <c r="R635" s="4"/>
      <c r="S635" s="1"/>
      <c r="T635" s="1"/>
      <c r="U635" s="1"/>
      <c r="V635" s="1"/>
      <c r="W635" s="1"/>
      <c r="X635" s="6"/>
      <c r="Y635" s="4"/>
      <c r="Z635" s="4"/>
      <c r="AA635" s="4"/>
      <c r="AB635" s="1"/>
      <c r="AC635" s="1"/>
      <c r="AD635" s="1"/>
      <c r="AE635" s="1"/>
      <c r="AF635" s="1"/>
      <c r="AG635" s="4"/>
      <c r="AH635" s="1"/>
      <c r="AI635" s="4"/>
      <c r="AJ635" s="6"/>
      <c r="AK635" s="7"/>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ht="16.5" customHeight="1">
      <c r="A636" s="1"/>
      <c r="B636" s="139"/>
      <c r="C636" s="1"/>
      <c r="D636" s="1"/>
      <c r="E636" s="1"/>
      <c r="F636" s="1"/>
      <c r="G636" s="1"/>
      <c r="H636" s="4"/>
      <c r="I636" s="4"/>
      <c r="J636" s="4"/>
      <c r="K636" s="4"/>
      <c r="L636" s="4"/>
      <c r="M636" s="4"/>
      <c r="N636" s="1"/>
      <c r="O636" s="1"/>
      <c r="P636" s="4"/>
      <c r="Q636" s="5"/>
      <c r="R636" s="4"/>
      <c r="S636" s="1"/>
      <c r="T636" s="1"/>
      <c r="U636" s="1"/>
      <c r="V636" s="1"/>
      <c r="W636" s="1"/>
      <c r="X636" s="6"/>
      <c r="Y636" s="4"/>
      <c r="Z636" s="4"/>
      <c r="AA636" s="4"/>
      <c r="AB636" s="1"/>
      <c r="AC636" s="1"/>
      <c r="AD636" s="1"/>
      <c r="AE636" s="1"/>
      <c r="AF636" s="1"/>
      <c r="AG636" s="4"/>
      <c r="AH636" s="1"/>
      <c r="AI636" s="4"/>
      <c r="AJ636" s="6"/>
      <c r="AK636" s="7"/>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ht="16.5" customHeight="1">
      <c r="A637" s="1"/>
      <c r="B637" s="139"/>
      <c r="C637" s="1"/>
      <c r="D637" s="1"/>
      <c r="E637" s="1"/>
      <c r="F637" s="1"/>
      <c r="G637" s="1"/>
      <c r="H637" s="4"/>
      <c r="I637" s="4"/>
      <c r="J637" s="4"/>
      <c r="K637" s="4"/>
      <c r="L637" s="4"/>
      <c r="M637" s="4"/>
      <c r="N637" s="1"/>
      <c r="O637" s="1"/>
      <c r="P637" s="4"/>
      <c r="Q637" s="5"/>
      <c r="R637" s="4"/>
      <c r="S637" s="1"/>
      <c r="T637" s="1"/>
      <c r="U637" s="1"/>
      <c r="V637" s="1"/>
      <c r="W637" s="1"/>
      <c r="X637" s="6"/>
      <c r="Y637" s="4"/>
      <c r="Z637" s="4"/>
      <c r="AA637" s="4"/>
      <c r="AB637" s="1"/>
      <c r="AC637" s="1"/>
      <c r="AD637" s="1"/>
      <c r="AE637" s="1"/>
      <c r="AF637" s="1"/>
      <c r="AG637" s="4"/>
      <c r="AH637" s="1"/>
      <c r="AI637" s="4"/>
      <c r="AJ637" s="6"/>
      <c r="AK637" s="7"/>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ht="16.5" customHeight="1">
      <c r="A638" s="1"/>
      <c r="B638" s="139"/>
      <c r="C638" s="1"/>
      <c r="D638" s="1"/>
      <c r="E638" s="1"/>
      <c r="F638" s="1"/>
      <c r="G638" s="1"/>
      <c r="H638" s="4"/>
      <c r="I638" s="4"/>
      <c r="J638" s="4"/>
      <c r="K638" s="4"/>
      <c r="L638" s="4"/>
      <c r="M638" s="4"/>
      <c r="N638" s="1"/>
      <c r="O638" s="1"/>
      <c r="P638" s="4"/>
      <c r="Q638" s="5"/>
      <c r="R638" s="4"/>
      <c r="S638" s="1"/>
      <c r="T638" s="1"/>
      <c r="U638" s="1"/>
      <c r="V638" s="1"/>
      <c r="W638" s="1"/>
      <c r="X638" s="6"/>
      <c r="Y638" s="4"/>
      <c r="Z638" s="4"/>
      <c r="AA638" s="4"/>
      <c r="AB638" s="1"/>
      <c r="AC638" s="1"/>
      <c r="AD638" s="1"/>
      <c r="AE638" s="1"/>
      <c r="AF638" s="1"/>
      <c r="AG638" s="4"/>
      <c r="AH638" s="1"/>
      <c r="AI638" s="4"/>
      <c r="AJ638" s="6"/>
      <c r="AK638" s="7"/>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ht="16.5" customHeight="1">
      <c r="A639" s="1"/>
      <c r="B639" s="139"/>
      <c r="C639" s="1"/>
      <c r="D639" s="1"/>
      <c r="E639" s="1"/>
      <c r="F639" s="1"/>
      <c r="G639" s="1"/>
      <c r="H639" s="4"/>
      <c r="I639" s="4"/>
      <c r="J639" s="4"/>
      <c r="K639" s="4"/>
      <c r="L639" s="4"/>
      <c r="M639" s="4"/>
      <c r="N639" s="1"/>
      <c r="O639" s="1"/>
      <c r="P639" s="4"/>
      <c r="Q639" s="5"/>
      <c r="R639" s="4"/>
      <c r="S639" s="1"/>
      <c r="T639" s="1"/>
      <c r="U639" s="1"/>
      <c r="V639" s="1"/>
      <c r="W639" s="1"/>
      <c r="X639" s="6"/>
      <c r="Y639" s="4"/>
      <c r="Z639" s="4"/>
      <c r="AA639" s="4"/>
      <c r="AB639" s="1"/>
      <c r="AC639" s="1"/>
      <c r="AD639" s="1"/>
      <c r="AE639" s="1"/>
      <c r="AF639" s="1"/>
      <c r="AG639" s="4"/>
      <c r="AH639" s="1"/>
      <c r="AI639" s="4"/>
      <c r="AJ639" s="6"/>
      <c r="AK639" s="7"/>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ht="16.5" customHeight="1">
      <c r="A640" s="1"/>
      <c r="B640" s="139"/>
      <c r="C640" s="1"/>
      <c r="D640" s="1"/>
      <c r="E640" s="1"/>
      <c r="F640" s="1"/>
      <c r="G640" s="1"/>
      <c r="H640" s="4"/>
      <c r="I640" s="4"/>
      <c r="J640" s="4"/>
      <c r="K640" s="4"/>
      <c r="L640" s="4"/>
      <c r="M640" s="4"/>
      <c r="N640" s="1"/>
      <c r="O640" s="1"/>
      <c r="P640" s="4"/>
      <c r="Q640" s="5"/>
      <c r="R640" s="4"/>
      <c r="S640" s="1"/>
      <c r="T640" s="1"/>
      <c r="U640" s="1"/>
      <c r="V640" s="1"/>
      <c r="W640" s="1"/>
      <c r="X640" s="6"/>
      <c r="Y640" s="4"/>
      <c r="Z640" s="4"/>
      <c r="AA640" s="4"/>
      <c r="AB640" s="1"/>
      <c r="AC640" s="1"/>
      <c r="AD640" s="1"/>
      <c r="AE640" s="1"/>
      <c r="AF640" s="1"/>
      <c r="AG640" s="4"/>
      <c r="AH640" s="1"/>
      <c r="AI640" s="4"/>
      <c r="AJ640" s="6"/>
      <c r="AK640" s="7"/>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ht="16.5" customHeight="1">
      <c r="A641" s="1"/>
      <c r="B641" s="139"/>
      <c r="C641" s="1"/>
      <c r="D641" s="1"/>
      <c r="E641" s="1"/>
      <c r="F641" s="1"/>
      <c r="G641" s="1"/>
      <c r="H641" s="4"/>
      <c r="I641" s="4"/>
      <c r="J641" s="4"/>
      <c r="K641" s="4"/>
      <c r="L641" s="4"/>
      <c r="M641" s="4"/>
      <c r="N641" s="1"/>
      <c r="O641" s="1"/>
      <c r="P641" s="4"/>
      <c r="Q641" s="5"/>
      <c r="R641" s="4"/>
      <c r="S641" s="1"/>
      <c r="T641" s="1"/>
      <c r="U641" s="1"/>
      <c r="V641" s="1"/>
      <c r="W641" s="1"/>
      <c r="X641" s="6"/>
      <c r="Y641" s="4"/>
      <c r="Z641" s="4"/>
      <c r="AA641" s="4"/>
      <c r="AB641" s="1"/>
      <c r="AC641" s="1"/>
      <c r="AD641" s="1"/>
      <c r="AE641" s="1"/>
      <c r="AF641" s="1"/>
      <c r="AG641" s="4"/>
      <c r="AH641" s="1"/>
      <c r="AI641" s="4"/>
      <c r="AJ641" s="6"/>
      <c r="AK641" s="7"/>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ht="16.5" customHeight="1">
      <c r="A642" s="1"/>
      <c r="B642" s="139"/>
      <c r="C642" s="1"/>
      <c r="D642" s="1"/>
      <c r="E642" s="1"/>
      <c r="F642" s="1"/>
      <c r="G642" s="1"/>
      <c r="H642" s="4"/>
      <c r="I642" s="4"/>
      <c r="J642" s="4"/>
      <c r="K642" s="4"/>
      <c r="L642" s="4"/>
      <c r="M642" s="4"/>
      <c r="N642" s="1"/>
      <c r="O642" s="1"/>
      <c r="P642" s="4"/>
      <c r="Q642" s="5"/>
      <c r="R642" s="4"/>
      <c r="S642" s="1"/>
      <c r="T642" s="1"/>
      <c r="U642" s="1"/>
      <c r="V642" s="1"/>
      <c r="W642" s="1"/>
      <c r="X642" s="6"/>
      <c r="Y642" s="4"/>
      <c r="Z642" s="4"/>
      <c r="AA642" s="4"/>
      <c r="AB642" s="1"/>
      <c r="AC642" s="1"/>
      <c r="AD642" s="1"/>
      <c r="AE642" s="1"/>
      <c r="AF642" s="1"/>
      <c r="AG642" s="4"/>
      <c r="AH642" s="1"/>
      <c r="AI642" s="4"/>
      <c r="AJ642" s="6"/>
      <c r="AK642" s="7"/>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ht="16.5" customHeight="1">
      <c r="A643" s="1"/>
      <c r="B643" s="139"/>
      <c r="C643" s="1"/>
      <c r="D643" s="1"/>
      <c r="E643" s="1"/>
      <c r="F643" s="1"/>
      <c r="G643" s="1"/>
      <c r="H643" s="4"/>
      <c r="I643" s="4"/>
      <c r="J643" s="4"/>
      <c r="K643" s="4"/>
      <c r="L643" s="4"/>
      <c r="M643" s="4"/>
      <c r="N643" s="1"/>
      <c r="O643" s="1"/>
      <c r="P643" s="4"/>
      <c r="Q643" s="5"/>
      <c r="R643" s="4"/>
      <c r="S643" s="1"/>
      <c r="T643" s="1"/>
      <c r="U643" s="1"/>
      <c r="V643" s="1"/>
      <c r="W643" s="1"/>
      <c r="X643" s="6"/>
      <c r="Y643" s="4"/>
      <c r="Z643" s="4"/>
      <c r="AA643" s="4"/>
      <c r="AB643" s="1"/>
      <c r="AC643" s="1"/>
      <c r="AD643" s="1"/>
      <c r="AE643" s="1"/>
      <c r="AF643" s="1"/>
      <c r="AG643" s="4"/>
      <c r="AH643" s="1"/>
      <c r="AI643" s="4"/>
      <c r="AJ643" s="6"/>
      <c r="AK643" s="7"/>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ht="16.5" customHeight="1">
      <c r="A644" s="1"/>
      <c r="B644" s="139"/>
      <c r="C644" s="1"/>
      <c r="D644" s="1"/>
      <c r="E644" s="1"/>
      <c r="F644" s="1"/>
      <c r="G644" s="1"/>
      <c r="H644" s="4"/>
      <c r="I644" s="4"/>
      <c r="J644" s="4"/>
      <c r="K644" s="4"/>
      <c r="L644" s="4"/>
      <c r="M644" s="4"/>
      <c r="N644" s="1"/>
      <c r="O644" s="1"/>
      <c r="P644" s="4"/>
      <c r="Q644" s="5"/>
      <c r="R644" s="4"/>
      <c r="S644" s="1"/>
      <c r="T644" s="1"/>
      <c r="U644" s="1"/>
      <c r="V644" s="1"/>
      <c r="W644" s="1"/>
      <c r="X644" s="6"/>
      <c r="Y644" s="4"/>
      <c r="Z644" s="4"/>
      <c r="AA644" s="4"/>
      <c r="AB644" s="1"/>
      <c r="AC644" s="1"/>
      <c r="AD644" s="1"/>
      <c r="AE644" s="1"/>
      <c r="AF644" s="1"/>
      <c r="AG644" s="4"/>
      <c r="AH644" s="1"/>
      <c r="AI644" s="4"/>
      <c r="AJ644" s="6"/>
      <c r="AK644" s="7"/>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ht="16.5" customHeight="1">
      <c r="A645" s="1"/>
      <c r="B645" s="139"/>
      <c r="C645" s="1"/>
      <c r="D645" s="1"/>
      <c r="E645" s="1"/>
      <c r="F645" s="1"/>
      <c r="G645" s="1"/>
      <c r="H645" s="4"/>
      <c r="I645" s="4"/>
      <c r="J645" s="4"/>
      <c r="K645" s="4"/>
      <c r="L645" s="4"/>
      <c r="M645" s="4"/>
      <c r="N645" s="1"/>
      <c r="O645" s="1"/>
      <c r="P645" s="4"/>
      <c r="Q645" s="5"/>
      <c r="R645" s="4"/>
      <c r="S645" s="1"/>
      <c r="T645" s="1"/>
      <c r="U645" s="1"/>
      <c r="V645" s="1"/>
      <c r="W645" s="1"/>
      <c r="X645" s="6"/>
      <c r="Y645" s="4"/>
      <c r="Z645" s="4"/>
      <c r="AA645" s="4"/>
      <c r="AB645" s="1"/>
      <c r="AC645" s="1"/>
      <c r="AD645" s="1"/>
      <c r="AE645" s="1"/>
      <c r="AF645" s="1"/>
      <c r="AG645" s="4"/>
      <c r="AH645" s="1"/>
      <c r="AI645" s="4"/>
      <c r="AJ645" s="6"/>
      <c r="AK645" s="7"/>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ht="16.5" customHeight="1">
      <c r="A646" s="1"/>
      <c r="B646" s="139"/>
      <c r="C646" s="1"/>
      <c r="D646" s="1"/>
      <c r="E646" s="1"/>
      <c r="F646" s="1"/>
      <c r="G646" s="1"/>
      <c r="H646" s="4"/>
      <c r="I646" s="4"/>
      <c r="J646" s="4"/>
      <c r="K646" s="4"/>
      <c r="L646" s="4"/>
      <c r="M646" s="4"/>
      <c r="N646" s="1"/>
      <c r="O646" s="1"/>
      <c r="P646" s="4"/>
      <c r="Q646" s="5"/>
      <c r="R646" s="4"/>
      <c r="S646" s="1"/>
      <c r="T646" s="1"/>
      <c r="U646" s="1"/>
      <c r="V646" s="1"/>
      <c r="W646" s="1"/>
      <c r="X646" s="6"/>
      <c r="Y646" s="4"/>
      <c r="Z646" s="4"/>
      <c r="AA646" s="4"/>
      <c r="AB646" s="1"/>
      <c r="AC646" s="1"/>
      <c r="AD646" s="1"/>
      <c r="AE646" s="1"/>
      <c r="AF646" s="1"/>
      <c r="AG646" s="4"/>
      <c r="AH646" s="1"/>
      <c r="AI646" s="4"/>
      <c r="AJ646" s="6"/>
      <c r="AK646" s="7"/>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ht="16.5" customHeight="1">
      <c r="A647" s="1"/>
      <c r="B647" s="139"/>
      <c r="C647" s="1"/>
      <c r="D647" s="1"/>
      <c r="E647" s="1"/>
      <c r="F647" s="1"/>
      <c r="G647" s="1"/>
      <c r="H647" s="4"/>
      <c r="I647" s="4"/>
      <c r="J647" s="4"/>
      <c r="K647" s="4"/>
      <c r="L647" s="4"/>
      <c r="M647" s="4"/>
      <c r="N647" s="1"/>
      <c r="O647" s="1"/>
      <c r="P647" s="4"/>
      <c r="Q647" s="5"/>
      <c r="R647" s="4"/>
      <c r="S647" s="1"/>
      <c r="T647" s="1"/>
      <c r="U647" s="1"/>
      <c r="V647" s="1"/>
      <c r="W647" s="1"/>
      <c r="X647" s="6"/>
      <c r="Y647" s="4"/>
      <c r="Z647" s="4"/>
      <c r="AA647" s="4"/>
      <c r="AB647" s="1"/>
      <c r="AC647" s="1"/>
      <c r="AD647" s="1"/>
      <c r="AE647" s="1"/>
      <c r="AF647" s="1"/>
      <c r="AG647" s="4"/>
      <c r="AH647" s="1"/>
      <c r="AI647" s="4"/>
      <c r="AJ647" s="6"/>
      <c r="AK647" s="7"/>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ht="16.5" customHeight="1">
      <c r="A648" s="1"/>
      <c r="B648" s="139"/>
      <c r="C648" s="1"/>
      <c r="D648" s="1"/>
      <c r="E648" s="1"/>
      <c r="F648" s="1"/>
      <c r="G648" s="1"/>
      <c r="H648" s="4"/>
      <c r="I648" s="4"/>
      <c r="J648" s="4"/>
      <c r="K648" s="4"/>
      <c r="L648" s="4"/>
      <c r="M648" s="4"/>
      <c r="N648" s="1"/>
      <c r="O648" s="1"/>
      <c r="P648" s="4"/>
      <c r="Q648" s="5"/>
      <c r="R648" s="4"/>
      <c r="S648" s="1"/>
      <c r="T648" s="1"/>
      <c r="U648" s="1"/>
      <c r="V648" s="1"/>
      <c r="W648" s="1"/>
      <c r="X648" s="6"/>
      <c r="Y648" s="4"/>
      <c r="Z648" s="4"/>
      <c r="AA648" s="4"/>
      <c r="AB648" s="1"/>
      <c r="AC648" s="1"/>
      <c r="AD648" s="1"/>
      <c r="AE648" s="1"/>
      <c r="AF648" s="1"/>
      <c r="AG648" s="4"/>
      <c r="AH648" s="1"/>
      <c r="AI648" s="4"/>
      <c r="AJ648" s="6"/>
      <c r="AK648" s="7"/>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ht="16.5" customHeight="1">
      <c r="A649" s="1"/>
      <c r="B649" s="139"/>
      <c r="C649" s="1"/>
      <c r="D649" s="1"/>
      <c r="E649" s="1"/>
      <c r="F649" s="1"/>
      <c r="G649" s="1"/>
      <c r="H649" s="4"/>
      <c r="I649" s="4"/>
      <c r="J649" s="4"/>
      <c r="K649" s="4"/>
      <c r="L649" s="4"/>
      <c r="M649" s="4"/>
      <c r="N649" s="1"/>
      <c r="O649" s="1"/>
      <c r="P649" s="4"/>
      <c r="Q649" s="5"/>
      <c r="R649" s="4"/>
      <c r="S649" s="1"/>
      <c r="T649" s="1"/>
      <c r="U649" s="1"/>
      <c r="V649" s="1"/>
      <c r="W649" s="1"/>
      <c r="X649" s="6"/>
      <c r="Y649" s="4"/>
      <c r="Z649" s="4"/>
      <c r="AA649" s="4"/>
      <c r="AB649" s="1"/>
      <c r="AC649" s="1"/>
      <c r="AD649" s="1"/>
      <c r="AE649" s="1"/>
      <c r="AF649" s="1"/>
      <c r="AG649" s="4"/>
      <c r="AH649" s="1"/>
      <c r="AI649" s="4"/>
      <c r="AJ649" s="6"/>
      <c r="AK649" s="7"/>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ht="16.5" customHeight="1">
      <c r="A650" s="1"/>
      <c r="B650" s="139"/>
      <c r="C650" s="1"/>
      <c r="D650" s="1"/>
      <c r="E650" s="1"/>
      <c r="F650" s="1"/>
      <c r="G650" s="1"/>
      <c r="H650" s="4"/>
      <c r="I650" s="4"/>
      <c r="J650" s="4"/>
      <c r="K650" s="4"/>
      <c r="L650" s="4"/>
      <c r="M650" s="4"/>
      <c r="N650" s="1"/>
      <c r="O650" s="1"/>
      <c r="P650" s="4"/>
      <c r="Q650" s="5"/>
      <c r="R650" s="4"/>
      <c r="S650" s="1"/>
      <c r="T650" s="1"/>
      <c r="U650" s="1"/>
      <c r="V650" s="1"/>
      <c r="W650" s="1"/>
      <c r="X650" s="6"/>
      <c r="Y650" s="4"/>
      <c r="Z650" s="4"/>
      <c r="AA650" s="4"/>
      <c r="AB650" s="1"/>
      <c r="AC650" s="1"/>
      <c r="AD650" s="1"/>
      <c r="AE650" s="1"/>
      <c r="AF650" s="1"/>
      <c r="AG650" s="4"/>
      <c r="AH650" s="1"/>
      <c r="AI650" s="4"/>
      <c r="AJ650" s="6"/>
      <c r="AK650" s="7"/>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ht="16.5" customHeight="1">
      <c r="A651" s="1"/>
      <c r="B651" s="139"/>
      <c r="C651" s="1"/>
      <c r="D651" s="1"/>
      <c r="E651" s="1"/>
      <c r="F651" s="1"/>
      <c r="G651" s="1"/>
      <c r="H651" s="4"/>
      <c r="I651" s="4"/>
      <c r="J651" s="4"/>
      <c r="K651" s="4"/>
      <c r="L651" s="4"/>
      <c r="M651" s="4"/>
      <c r="N651" s="1"/>
      <c r="O651" s="1"/>
      <c r="P651" s="4"/>
      <c r="Q651" s="5"/>
      <c r="R651" s="4"/>
      <c r="S651" s="1"/>
      <c r="T651" s="1"/>
      <c r="U651" s="1"/>
      <c r="V651" s="1"/>
      <c r="W651" s="1"/>
      <c r="X651" s="6"/>
      <c r="Y651" s="4"/>
      <c r="Z651" s="4"/>
      <c r="AA651" s="4"/>
      <c r="AB651" s="1"/>
      <c r="AC651" s="1"/>
      <c r="AD651" s="1"/>
      <c r="AE651" s="1"/>
      <c r="AF651" s="1"/>
      <c r="AG651" s="4"/>
      <c r="AH651" s="1"/>
      <c r="AI651" s="4"/>
      <c r="AJ651" s="6"/>
      <c r="AK651" s="7"/>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ht="16.5" customHeight="1">
      <c r="A652" s="1"/>
      <c r="B652" s="139"/>
      <c r="C652" s="1"/>
      <c r="D652" s="1"/>
      <c r="E652" s="1"/>
      <c r="F652" s="1"/>
      <c r="G652" s="1"/>
      <c r="H652" s="4"/>
      <c r="I652" s="4"/>
      <c r="J652" s="4"/>
      <c r="K652" s="4"/>
      <c r="L652" s="4"/>
      <c r="M652" s="4"/>
      <c r="N652" s="1"/>
      <c r="O652" s="1"/>
      <c r="P652" s="4"/>
      <c r="Q652" s="5"/>
      <c r="R652" s="4"/>
      <c r="S652" s="1"/>
      <c r="T652" s="1"/>
      <c r="U652" s="1"/>
      <c r="V652" s="1"/>
      <c r="W652" s="1"/>
      <c r="X652" s="6"/>
      <c r="Y652" s="4"/>
      <c r="Z652" s="4"/>
      <c r="AA652" s="4"/>
      <c r="AB652" s="1"/>
      <c r="AC652" s="1"/>
      <c r="AD652" s="1"/>
      <c r="AE652" s="1"/>
      <c r="AF652" s="1"/>
      <c r="AG652" s="4"/>
      <c r="AH652" s="1"/>
      <c r="AI652" s="4"/>
      <c r="AJ652" s="6"/>
      <c r="AK652" s="7"/>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ht="16.5" customHeight="1">
      <c r="A653" s="1"/>
      <c r="B653" s="139"/>
      <c r="C653" s="1"/>
      <c r="D653" s="1"/>
      <c r="E653" s="1"/>
      <c r="F653" s="1"/>
      <c r="G653" s="1"/>
      <c r="H653" s="4"/>
      <c r="I653" s="4"/>
      <c r="J653" s="4"/>
      <c r="K653" s="4"/>
      <c r="L653" s="4"/>
      <c r="M653" s="4"/>
      <c r="N653" s="1"/>
      <c r="O653" s="1"/>
      <c r="P653" s="4"/>
      <c r="Q653" s="5"/>
      <c r="R653" s="4"/>
      <c r="S653" s="1"/>
      <c r="T653" s="1"/>
      <c r="U653" s="1"/>
      <c r="V653" s="1"/>
      <c r="W653" s="1"/>
      <c r="X653" s="6"/>
      <c r="Y653" s="4"/>
      <c r="Z653" s="4"/>
      <c r="AA653" s="4"/>
      <c r="AB653" s="1"/>
      <c r="AC653" s="1"/>
      <c r="AD653" s="1"/>
      <c r="AE653" s="1"/>
      <c r="AF653" s="1"/>
      <c r="AG653" s="4"/>
      <c r="AH653" s="1"/>
      <c r="AI653" s="4"/>
      <c r="AJ653" s="6"/>
      <c r="AK653" s="7"/>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ht="16.5" customHeight="1">
      <c r="A654" s="1"/>
      <c r="B654" s="139"/>
      <c r="C654" s="1"/>
      <c r="D654" s="1"/>
      <c r="E654" s="1"/>
      <c r="F654" s="1"/>
      <c r="G654" s="1"/>
      <c r="H654" s="4"/>
      <c r="I654" s="4"/>
      <c r="J654" s="4"/>
      <c r="K654" s="4"/>
      <c r="L654" s="4"/>
      <c r="M654" s="4"/>
      <c r="N654" s="1"/>
      <c r="O654" s="1"/>
      <c r="P654" s="4"/>
      <c r="Q654" s="5"/>
      <c r="R654" s="4"/>
      <c r="S654" s="1"/>
      <c r="T654" s="1"/>
      <c r="U654" s="1"/>
      <c r="V654" s="1"/>
      <c r="W654" s="1"/>
      <c r="X654" s="6"/>
      <c r="Y654" s="4"/>
      <c r="Z654" s="4"/>
      <c r="AA654" s="4"/>
      <c r="AB654" s="1"/>
      <c r="AC654" s="1"/>
      <c r="AD654" s="1"/>
      <c r="AE654" s="1"/>
      <c r="AF654" s="1"/>
      <c r="AG654" s="4"/>
      <c r="AH654" s="1"/>
      <c r="AI654" s="4"/>
      <c r="AJ654" s="6"/>
      <c r="AK654" s="7"/>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ht="16.5" customHeight="1">
      <c r="A655" s="1"/>
      <c r="B655" s="139"/>
      <c r="C655" s="1"/>
      <c r="D655" s="1"/>
      <c r="E655" s="1"/>
      <c r="F655" s="1"/>
      <c r="G655" s="1"/>
      <c r="H655" s="4"/>
      <c r="I655" s="4"/>
      <c r="J655" s="4"/>
      <c r="K655" s="4"/>
      <c r="L655" s="4"/>
      <c r="M655" s="4"/>
      <c r="N655" s="1"/>
      <c r="O655" s="1"/>
      <c r="P655" s="4"/>
      <c r="Q655" s="5"/>
      <c r="R655" s="4"/>
      <c r="S655" s="1"/>
      <c r="T655" s="1"/>
      <c r="U655" s="1"/>
      <c r="V655" s="1"/>
      <c r="W655" s="1"/>
      <c r="X655" s="6"/>
      <c r="Y655" s="4"/>
      <c r="Z655" s="4"/>
      <c r="AA655" s="4"/>
      <c r="AB655" s="1"/>
      <c r="AC655" s="1"/>
      <c r="AD655" s="1"/>
      <c r="AE655" s="1"/>
      <c r="AF655" s="1"/>
      <c r="AG655" s="4"/>
      <c r="AH655" s="1"/>
      <c r="AI655" s="4"/>
      <c r="AJ655" s="6"/>
      <c r="AK655" s="7"/>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ht="16.5" customHeight="1">
      <c r="A656" s="1"/>
      <c r="B656" s="139"/>
      <c r="C656" s="1"/>
      <c r="D656" s="1"/>
      <c r="E656" s="1"/>
      <c r="F656" s="1"/>
      <c r="G656" s="1"/>
      <c r="H656" s="4"/>
      <c r="I656" s="4"/>
      <c r="J656" s="4"/>
      <c r="K656" s="4"/>
      <c r="L656" s="4"/>
      <c r="M656" s="4"/>
      <c r="N656" s="1"/>
      <c r="O656" s="1"/>
      <c r="P656" s="4"/>
      <c r="Q656" s="5"/>
      <c r="R656" s="4"/>
      <c r="S656" s="1"/>
      <c r="T656" s="1"/>
      <c r="U656" s="1"/>
      <c r="V656" s="1"/>
      <c r="W656" s="1"/>
      <c r="X656" s="6"/>
      <c r="Y656" s="4"/>
      <c r="Z656" s="4"/>
      <c r="AA656" s="4"/>
      <c r="AB656" s="1"/>
      <c r="AC656" s="1"/>
      <c r="AD656" s="1"/>
      <c r="AE656" s="1"/>
      <c r="AF656" s="1"/>
      <c r="AG656" s="4"/>
      <c r="AH656" s="1"/>
      <c r="AI656" s="4"/>
      <c r="AJ656" s="6"/>
      <c r="AK656" s="7"/>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1:61" ht="16.5" customHeight="1">
      <c r="A657" s="1"/>
      <c r="B657" s="139"/>
      <c r="C657" s="1"/>
      <c r="D657" s="1"/>
      <c r="E657" s="1"/>
      <c r="F657" s="1"/>
      <c r="G657" s="1"/>
      <c r="H657" s="4"/>
      <c r="I657" s="4"/>
      <c r="J657" s="4"/>
      <c r="K657" s="4"/>
      <c r="L657" s="4"/>
      <c r="M657" s="4"/>
      <c r="N657" s="1"/>
      <c r="O657" s="1"/>
      <c r="P657" s="4"/>
      <c r="Q657" s="5"/>
      <c r="R657" s="4"/>
      <c r="S657" s="1"/>
      <c r="T657" s="1"/>
      <c r="U657" s="1"/>
      <c r="V657" s="1"/>
      <c r="W657" s="1"/>
      <c r="X657" s="6"/>
      <c r="Y657" s="4"/>
      <c r="Z657" s="4"/>
      <c r="AA657" s="4"/>
      <c r="AB657" s="1"/>
      <c r="AC657" s="1"/>
      <c r="AD657" s="1"/>
      <c r="AE657" s="1"/>
      <c r="AF657" s="1"/>
      <c r="AG657" s="4"/>
      <c r="AH657" s="1"/>
      <c r="AI657" s="4"/>
      <c r="AJ657" s="6"/>
      <c r="AK657" s="7"/>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1:61" ht="16.5" customHeight="1">
      <c r="A658" s="1"/>
      <c r="B658" s="139"/>
      <c r="C658" s="1"/>
      <c r="D658" s="1"/>
      <c r="E658" s="1"/>
      <c r="F658" s="1"/>
      <c r="G658" s="1"/>
      <c r="H658" s="4"/>
      <c r="I658" s="4"/>
      <c r="J658" s="4"/>
      <c r="K658" s="4"/>
      <c r="L658" s="4"/>
      <c r="M658" s="4"/>
      <c r="N658" s="1"/>
      <c r="O658" s="1"/>
      <c r="P658" s="4"/>
      <c r="Q658" s="5"/>
      <c r="R658" s="4"/>
      <c r="S658" s="1"/>
      <c r="T658" s="1"/>
      <c r="U658" s="1"/>
      <c r="V658" s="1"/>
      <c r="W658" s="1"/>
      <c r="X658" s="6"/>
      <c r="Y658" s="4"/>
      <c r="Z658" s="4"/>
      <c r="AA658" s="4"/>
      <c r="AB658" s="1"/>
      <c r="AC658" s="1"/>
      <c r="AD658" s="1"/>
      <c r="AE658" s="1"/>
      <c r="AF658" s="1"/>
      <c r="AG658" s="4"/>
      <c r="AH658" s="1"/>
      <c r="AI658" s="4"/>
      <c r="AJ658" s="6"/>
      <c r="AK658" s="7"/>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1:61" ht="16.5" customHeight="1">
      <c r="A659" s="1"/>
      <c r="B659" s="139"/>
      <c r="C659" s="1"/>
      <c r="D659" s="1"/>
      <c r="E659" s="1"/>
      <c r="F659" s="1"/>
      <c r="G659" s="1"/>
      <c r="H659" s="4"/>
      <c r="I659" s="4"/>
      <c r="J659" s="4"/>
      <c r="K659" s="4"/>
      <c r="L659" s="4"/>
      <c r="M659" s="4"/>
      <c r="N659" s="1"/>
      <c r="O659" s="1"/>
      <c r="P659" s="4"/>
      <c r="Q659" s="5"/>
      <c r="R659" s="4"/>
      <c r="S659" s="1"/>
      <c r="T659" s="1"/>
      <c r="U659" s="1"/>
      <c r="V659" s="1"/>
      <c r="W659" s="1"/>
      <c r="X659" s="6"/>
      <c r="Y659" s="4"/>
      <c r="Z659" s="4"/>
      <c r="AA659" s="4"/>
      <c r="AB659" s="1"/>
      <c r="AC659" s="1"/>
      <c r="AD659" s="1"/>
      <c r="AE659" s="1"/>
      <c r="AF659" s="1"/>
      <c r="AG659" s="4"/>
      <c r="AH659" s="1"/>
      <c r="AI659" s="4"/>
      <c r="AJ659" s="6"/>
      <c r="AK659" s="7"/>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1:61" ht="16.5" customHeight="1">
      <c r="A660" s="1"/>
      <c r="B660" s="139"/>
      <c r="C660" s="1"/>
      <c r="D660" s="1"/>
      <c r="E660" s="1"/>
      <c r="F660" s="1"/>
      <c r="G660" s="1"/>
      <c r="H660" s="4"/>
      <c r="I660" s="4"/>
      <c r="J660" s="4"/>
      <c r="K660" s="4"/>
      <c r="L660" s="4"/>
      <c r="M660" s="4"/>
      <c r="N660" s="1"/>
      <c r="O660" s="1"/>
      <c r="P660" s="4"/>
      <c r="Q660" s="5"/>
      <c r="R660" s="4"/>
      <c r="S660" s="1"/>
      <c r="T660" s="1"/>
      <c r="U660" s="1"/>
      <c r="V660" s="1"/>
      <c r="W660" s="1"/>
      <c r="X660" s="6"/>
      <c r="Y660" s="4"/>
      <c r="Z660" s="4"/>
      <c r="AA660" s="4"/>
      <c r="AB660" s="1"/>
      <c r="AC660" s="1"/>
      <c r="AD660" s="1"/>
      <c r="AE660" s="1"/>
      <c r="AF660" s="1"/>
      <c r="AG660" s="4"/>
      <c r="AH660" s="1"/>
      <c r="AI660" s="4"/>
      <c r="AJ660" s="6"/>
      <c r="AK660" s="7"/>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1:61" ht="16.5" customHeight="1">
      <c r="A661" s="1"/>
      <c r="B661" s="139"/>
      <c r="C661" s="1"/>
      <c r="D661" s="1"/>
      <c r="E661" s="1"/>
      <c r="F661" s="1"/>
      <c r="G661" s="1"/>
      <c r="H661" s="4"/>
      <c r="I661" s="4"/>
      <c r="J661" s="4"/>
      <c r="K661" s="4"/>
      <c r="L661" s="4"/>
      <c r="M661" s="4"/>
      <c r="N661" s="1"/>
      <c r="O661" s="1"/>
      <c r="P661" s="4"/>
      <c r="Q661" s="5"/>
      <c r="R661" s="4"/>
      <c r="S661" s="1"/>
      <c r="T661" s="1"/>
      <c r="U661" s="1"/>
      <c r="V661" s="1"/>
      <c r="W661" s="1"/>
      <c r="X661" s="6"/>
      <c r="Y661" s="4"/>
      <c r="Z661" s="4"/>
      <c r="AA661" s="4"/>
      <c r="AB661" s="1"/>
      <c r="AC661" s="1"/>
      <c r="AD661" s="1"/>
      <c r="AE661" s="1"/>
      <c r="AF661" s="1"/>
      <c r="AG661" s="4"/>
      <c r="AH661" s="1"/>
      <c r="AI661" s="4"/>
      <c r="AJ661" s="6"/>
      <c r="AK661" s="7"/>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1:61" ht="16.5" customHeight="1">
      <c r="A662" s="1"/>
      <c r="B662" s="139"/>
      <c r="C662" s="1"/>
      <c r="D662" s="1"/>
      <c r="E662" s="1"/>
      <c r="F662" s="1"/>
      <c r="G662" s="1"/>
      <c r="H662" s="4"/>
      <c r="I662" s="4"/>
      <c r="J662" s="4"/>
      <c r="K662" s="4"/>
      <c r="L662" s="4"/>
      <c r="M662" s="4"/>
      <c r="N662" s="1"/>
      <c r="O662" s="1"/>
      <c r="P662" s="4"/>
      <c r="Q662" s="5"/>
      <c r="R662" s="4"/>
      <c r="S662" s="1"/>
      <c r="T662" s="1"/>
      <c r="U662" s="1"/>
      <c r="V662" s="1"/>
      <c r="W662" s="1"/>
      <c r="X662" s="6"/>
      <c r="Y662" s="4"/>
      <c r="Z662" s="4"/>
      <c r="AA662" s="4"/>
      <c r="AB662" s="1"/>
      <c r="AC662" s="1"/>
      <c r="AD662" s="1"/>
      <c r="AE662" s="1"/>
      <c r="AF662" s="1"/>
      <c r="AG662" s="4"/>
      <c r="AH662" s="1"/>
      <c r="AI662" s="4"/>
      <c r="AJ662" s="6"/>
      <c r="AK662" s="7"/>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1:61" ht="16.5" customHeight="1">
      <c r="A663" s="1"/>
      <c r="B663" s="139"/>
      <c r="C663" s="1"/>
      <c r="D663" s="1"/>
      <c r="E663" s="1"/>
      <c r="F663" s="1"/>
      <c r="G663" s="1"/>
      <c r="H663" s="4"/>
      <c r="I663" s="4"/>
      <c r="J663" s="4"/>
      <c r="K663" s="4"/>
      <c r="L663" s="4"/>
      <c r="M663" s="4"/>
      <c r="N663" s="1"/>
      <c r="O663" s="1"/>
      <c r="P663" s="4"/>
      <c r="Q663" s="5"/>
      <c r="R663" s="4"/>
      <c r="S663" s="1"/>
      <c r="T663" s="1"/>
      <c r="U663" s="1"/>
      <c r="V663" s="1"/>
      <c r="W663" s="1"/>
      <c r="X663" s="6"/>
      <c r="Y663" s="4"/>
      <c r="Z663" s="4"/>
      <c r="AA663" s="4"/>
      <c r="AB663" s="1"/>
      <c r="AC663" s="1"/>
      <c r="AD663" s="1"/>
      <c r="AE663" s="1"/>
      <c r="AF663" s="1"/>
      <c r="AG663" s="4"/>
      <c r="AH663" s="1"/>
      <c r="AI663" s="4"/>
      <c r="AJ663" s="6"/>
      <c r="AK663" s="7"/>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1:61" ht="16.5" customHeight="1">
      <c r="A664" s="1"/>
      <c r="B664" s="139"/>
      <c r="C664" s="1"/>
      <c r="D664" s="1"/>
      <c r="E664" s="1"/>
      <c r="F664" s="1"/>
      <c r="G664" s="1"/>
      <c r="H664" s="4"/>
      <c r="I664" s="4"/>
      <c r="J664" s="4"/>
      <c r="K664" s="4"/>
      <c r="L664" s="4"/>
      <c r="M664" s="4"/>
      <c r="N664" s="1"/>
      <c r="O664" s="1"/>
      <c r="P664" s="4"/>
      <c r="Q664" s="5"/>
      <c r="R664" s="4"/>
      <c r="S664" s="1"/>
      <c r="T664" s="1"/>
      <c r="U664" s="1"/>
      <c r="V664" s="1"/>
      <c r="W664" s="1"/>
      <c r="X664" s="6"/>
      <c r="Y664" s="4"/>
      <c r="Z664" s="4"/>
      <c r="AA664" s="4"/>
      <c r="AB664" s="1"/>
      <c r="AC664" s="1"/>
      <c r="AD664" s="1"/>
      <c r="AE664" s="1"/>
      <c r="AF664" s="1"/>
      <c r="AG664" s="4"/>
      <c r="AH664" s="1"/>
      <c r="AI664" s="4"/>
      <c r="AJ664" s="6"/>
      <c r="AK664" s="7"/>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1:61" ht="16.5" customHeight="1">
      <c r="A665" s="1"/>
      <c r="B665" s="139"/>
      <c r="C665" s="1"/>
      <c r="D665" s="1"/>
      <c r="E665" s="1"/>
      <c r="F665" s="1"/>
      <c r="G665" s="1"/>
      <c r="H665" s="4"/>
      <c r="I665" s="4"/>
      <c r="J665" s="4"/>
      <c r="K665" s="4"/>
      <c r="L665" s="4"/>
      <c r="M665" s="4"/>
      <c r="N665" s="1"/>
      <c r="O665" s="1"/>
      <c r="P665" s="4"/>
      <c r="Q665" s="5"/>
      <c r="R665" s="4"/>
      <c r="S665" s="1"/>
      <c r="T665" s="1"/>
      <c r="U665" s="1"/>
      <c r="V665" s="1"/>
      <c r="W665" s="1"/>
      <c r="X665" s="6"/>
      <c r="Y665" s="4"/>
      <c r="Z665" s="4"/>
      <c r="AA665" s="4"/>
      <c r="AB665" s="1"/>
      <c r="AC665" s="1"/>
      <c r="AD665" s="1"/>
      <c r="AE665" s="1"/>
      <c r="AF665" s="1"/>
      <c r="AG665" s="4"/>
      <c r="AH665" s="1"/>
      <c r="AI665" s="4"/>
      <c r="AJ665" s="6"/>
      <c r="AK665" s="7"/>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1:61" ht="16.5" customHeight="1">
      <c r="A666" s="1"/>
      <c r="B666" s="139"/>
      <c r="C666" s="1"/>
      <c r="D666" s="1"/>
      <c r="E666" s="1"/>
      <c r="F666" s="1"/>
      <c r="G666" s="1"/>
      <c r="H666" s="4"/>
      <c r="I666" s="4"/>
      <c r="J666" s="4"/>
      <c r="K666" s="4"/>
      <c r="L666" s="4"/>
      <c r="M666" s="4"/>
      <c r="N666" s="1"/>
      <c r="O666" s="1"/>
      <c r="P666" s="4"/>
      <c r="Q666" s="5"/>
      <c r="R666" s="4"/>
      <c r="S666" s="1"/>
      <c r="T666" s="1"/>
      <c r="U666" s="1"/>
      <c r="V666" s="1"/>
      <c r="W666" s="1"/>
      <c r="X666" s="6"/>
      <c r="Y666" s="4"/>
      <c r="Z666" s="4"/>
      <c r="AA666" s="4"/>
      <c r="AB666" s="1"/>
      <c r="AC666" s="1"/>
      <c r="AD666" s="1"/>
      <c r="AE666" s="1"/>
      <c r="AF666" s="1"/>
      <c r="AG666" s="4"/>
      <c r="AH666" s="1"/>
      <c r="AI666" s="4"/>
      <c r="AJ666" s="6"/>
      <c r="AK666" s="7"/>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1:61" ht="16.5" customHeight="1">
      <c r="A667" s="1"/>
      <c r="B667" s="139"/>
      <c r="C667" s="1"/>
      <c r="D667" s="1"/>
      <c r="E667" s="1"/>
      <c r="F667" s="1"/>
      <c r="G667" s="1"/>
      <c r="H667" s="4"/>
      <c r="I667" s="4"/>
      <c r="J667" s="4"/>
      <c r="K667" s="4"/>
      <c r="L667" s="4"/>
      <c r="M667" s="4"/>
      <c r="N667" s="1"/>
      <c r="O667" s="1"/>
      <c r="P667" s="4"/>
      <c r="Q667" s="5"/>
      <c r="R667" s="4"/>
      <c r="S667" s="1"/>
      <c r="T667" s="1"/>
      <c r="U667" s="1"/>
      <c r="V667" s="1"/>
      <c r="W667" s="1"/>
      <c r="X667" s="6"/>
      <c r="Y667" s="4"/>
      <c r="Z667" s="4"/>
      <c r="AA667" s="4"/>
      <c r="AB667" s="1"/>
      <c r="AC667" s="1"/>
      <c r="AD667" s="1"/>
      <c r="AE667" s="1"/>
      <c r="AF667" s="1"/>
      <c r="AG667" s="4"/>
      <c r="AH667" s="1"/>
      <c r="AI667" s="4"/>
      <c r="AJ667" s="6"/>
      <c r="AK667" s="7"/>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1:61" ht="16.5" customHeight="1">
      <c r="A668" s="1"/>
      <c r="B668" s="139"/>
      <c r="C668" s="1"/>
      <c r="D668" s="1"/>
      <c r="E668" s="1"/>
      <c r="F668" s="1"/>
      <c r="G668" s="1"/>
      <c r="H668" s="4"/>
      <c r="I668" s="4"/>
      <c r="J668" s="4"/>
      <c r="K668" s="4"/>
      <c r="L668" s="4"/>
      <c r="M668" s="4"/>
      <c r="N668" s="1"/>
      <c r="O668" s="1"/>
      <c r="P668" s="4"/>
      <c r="Q668" s="5"/>
      <c r="R668" s="4"/>
      <c r="S668" s="1"/>
      <c r="T668" s="1"/>
      <c r="U668" s="1"/>
      <c r="V668" s="1"/>
      <c r="W668" s="1"/>
      <c r="X668" s="6"/>
      <c r="Y668" s="4"/>
      <c r="Z668" s="4"/>
      <c r="AA668" s="4"/>
      <c r="AB668" s="1"/>
      <c r="AC668" s="1"/>
      <c r="AD668" s="1"/>
      <c r="AE668" s="1"/>
      <c r="AF668" s="1"/>
      <c r="AG668" s="4"/>
      <c r="AH668" s="1"/>
      <c r="AI668" s="4"/>
      <c r="AJ668" s="6"/>
      <c r="AK668" s="7"/>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1:61" ht="16.5" customHeight="1">
      <c r="A669" s="1"/>
      <c r="B669" s="139"/>
      <c r="C669" s="1"/>
      <c r="D669" s="1"/>
      <c r="E669" s="1"/>
      <c r="F669" s="1"/>
      <c r="G669" s="1"/>
      <c r="H669" s="4"/>
      <c r="I669" s="4"/>
      <c r="J669" s="4"/>
      <c r="K669" s="4"/>
      <c r="L669" s="4"/>
      <c r="M669" s="4"/>
      <c r="N669" s="1"/>
      <c r="O669" s="1"/>
      <c r="P669" s="4"/>
      <c r="Q669" s="5"/>
      <c r="R669" s="4"/>
      <c r="S669" s="1"/>
      <c r="T669" s="1"/>
      <c r="U669" s="1"/>
      <c r="V669" s="1"/>
      <c r="W669" s="1"/>
      <c r="X669" s="6"/>
      <c r="Y669" s="4"/>
      <c r="Z669" s="4"/>
      <c r="AA669" s="4"/>
      <c r="AB669" s="1"/>
      <c r="AC669" s="1"/>
      <c r="AD669" s="1"/>
      <c r="AE669" s="1"/>
      <c r="AF669" s="1"/>
      <c r="AG669" s="4"/>
      <c r="AH669" s="1"/>
      <c r="AI669" s="4"/>
      <c r="AJ669" s="6"/>
      <c r="AK669" s="7"/>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1:61" ht="16.5" customHeight="1">
      <c r="A670" s="1"/>
      <c r="B670" s="139"/>
      <c r="C670" s="1"/>
      <c r="D670" s="1"/>
      <c r="E670" s="1"/>
      <c r="F670" s="1"/>
      <c r="G670" s="1"/>
      <c r="H670" s="4"/>
      <c r="I670" s="4"/>
      <c r="J670" s="4"/>
      <c r="K670" s="4"/>
      <c r="L670" s="4"/>
      <c r="M670" s="4"/>
      <c r="N670" s="1"/>
      <c r="O670" s="1"/>
      <c r="P670" s="4"/>
      <c r="Q670" s="5"/>
      <c r="R670" s="4"/>
      <c r="S670" s="1"/>
      <c r="T670" s="1"/>
      <c r="U670" s="1"/>
      <c r="V670" s="1"/>
      <c r="W670" s="1"/>
      <c r="X670" s="6"/>
      <c r="Y670" s="4"/>
      <c r="Z670" s="4"/>
      <c r="AA670" s="4"/>
      <c r="AB670" s="1"/>
      <c r="AC670" s="1"/>
      <c r="AD670" s="1"/>
      <c r="AE670" s="1"/>
      <c r="AF670" s="1"/>
      <c r="AG670" s="4"/>
      <c r="AH670" s="1"/>
      <c r="AI670" s="4"/>
      <c r="AJ670" s="6"/>
      <c r="AK670" s="7"/>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1:61" ht="16.5" customHeight="1">
      <c r="A671" s="1"/>
      <c r="B671" s="139"/>
      <c r="C671" s="1"/>
      <c r="D671" s="1"/>
      <c r="E671" s="1"/>
      <c r="F671" s="1"/>
      <c r="G671" s="1"/>
      <c r="H671" s="4"/>
      <c r="I671" s="4"/>
      <c r="J671" s="4"/>
      <c r="K671" s="4"/>
      <c r="L671" s="4"/>
      <c r="M671" s="4"/>
      <c r="N671" s="1"/>
      <c r="O671" s="1"/>
      <c r="P671" s="4"/>
      <c r="Q671" s="5"/>
      <c r="R671" s="4"/>
      <c r="S671" s="1"/>
      <c r="T671" s="1"/>
      <c r="U671" s="1"/>
      <c r="V671" s="1"/>
      <c r="W671" s="1"/>
      <c r="X671" s="6"/>
      <c r="Y671" s="4"/>
      <c r="Z671" s="4"/>
      <c r="AA671" s="4"/>
      <c r="AB671" s="1"/>
      <c r="AC671" s="1"/>
      <c r="AD671" s="1"/>
      <c r="AE671" s="1"/>
      <c r="AF671" s="1"/>
      <c r="AG671" s="4"/>
      <c r="AH671" s="1"/>
      <c r="AI671" s="4"/>
      <c r="AJ671" s="6"/>
      <c r="AK671" s="7"/>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1:61" ht="16.5" customHeight="1">
      <c r="A672" s="1"/>
      <c r="B672" s="139"/>
      <c r="C672" s="1"/>
      <c r="D672" s="1"/>
      <c r="E672" s="1"/>
      <c r="F672" s="1"/>
      <c r="G672" s="1"/>
      <c r="H672" s="4"/>
      <c r="I672" s="4"/>
      <c r="J672" s="4"/>
      <c r="K672" s="4"/>
      <c r="L672" s="4"/>
      <c r="M672" s="4"/>
      <c r="N672" s="1"/>
      <c r="O672" s="1"/>
      <c r="P672" s="4"/>
      <c r="Q672" s="5"/>
      <c r="R672" s="4"/>
      <c r="S672" s="1"/>
      <c r="T672" s="1"/>
      <c r="U672" s="1"/>
      <c r="V672" s="1"/>
      <c r="W672" s="1"/>
      <c r="X672" s="6"/>
      <c r="Y672" s="4"/>
      <c r="Z672" s="4"/>
      <c r="AA672" s="4"/>
      <c r="AB672" s="1"/>
      <c r="AC672" s="1"/>
      <c r="AD672" s="1"/>
      <c r="AE672" s="1"/>
      <c r="AF672" s="1"/>
      <c r="AG672" s="4"/>
      <c r="AH672" s="1"/>
      <c r="AI672" s="4"/>
      <c r="AJ672" s="6"/>
      <c r="AK672" s="7"/>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1:61" ht="16.5" customHeight="1">
      <c r="A673" s="1"/>
      <c r="B673" s="139"/>
      <c r="C673" s="1"/>
      <c r="D673" s="1"/>
      <c r="E673" s="1"/>
      <c r="F673" s="1"/>
      <c r="G673" s="1"/>
      <c r="H673" s="4"/>
      <c r="I673" s="4"/>
      <c r="J673" s="4"/>
      <c r="K673" s="4"/>
      <c r="L673" s="4"/>
      <c r="M673" s="4"/>
      <c r="N673" s="1"/>
      <c r="O673" s="1"/>
      <c r="P673" s="4"/>
      <c r="Q673" s="5"/>
      <c r="R673" s="4"/>
      <c r="S673" s="1"/>
      <c r="T673" s="1"/>
      <c r="U673" s="1"/>
      <c r="V673" s="1"/>
      <c r="W673" s="1"/>
      <c r="X673" s="6"/>
      <c r="Y673" s="4"/>
      <c r="Z673" s="4"/>
      <c r="AA673" s="4"/>
      <c r="AB673" s="1"/>
      <c r="AC673" s="1"/>
      <c r="AD673" s="1"/>
      <c r="AE673" s="1"/>
      <c r="AF673" s="1"/>
      <c r="AG673" s="4"/>
      <c r="AH673" s="1"/>
      <c r="AI673" s="4"/>
      <c r="AJ673" s="6"/>
      <c r="AK673" s="7"/>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1:61" ht="16.5" customHeight="1">
      <c r="A674" s="1"/>
      <c r="B674" s="139"/>
      <c r="C674" s="1"/>
      <c r="D674" s="1"/>
      <c r="E674" s="1"/>
      <c r="F674" s="1"/>
      <c r="G674" s="1"/>
      <c r="H674" s="4"/>
      <c r="I674" s="4"/>
      <c r="J674" s="4"/>
      <c r="K674" s="4"/>
      <c r="L674" s="4"/>
      <c r="M674" s="4"/>
      <c r="N674" s="1"/>
      <c r="O674" s="1"/>
      <c r="P674" s="4"/>
      <c r="Q674" s="5"/>
      <c r="R674" s="4"/>
      <c r="S674" s="1"/>
      <c r="T674" s="1"/>
      <c r="U674" s="1"/>
      <c r="V674" s="1"/>
      <c r="W674" s="1"/>
      <c r="X674" s="6"/>
      <c r="Y674" s="4"/>
      <c r="Z674" s="4"/>
      <c r="AA674" s="4"/>
      <c r="AB674" s="1"/>
      <c r="AC674" s="1"/>
      <c r="AD674" s="1"/>
      <c r="AE674" s="1"/>
      <c r="AF674" s="1"/>
      <c r="AG674" s="4"/>
      <c r="AH674" s="1"/>
      <c r="AI674" s="4"/>
      <c r="AJ674" s="6"/>
      <c r="AK674" s="7"/>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1:61" ht="16.5" customHeight="1">
      <c r="A675" s="1"/>
      <c r="B675" s="139"/>
      <c r="C675" s="1"/>
      <c r="D675" s="1"/>
      <c r="E675" s="1"/>
      <c r="F675" s="1"/>
      <c r="G675" s="1"/>
      <c r="H675" s="4"/>
      <c r="I675" s="4"/>
      <c r="J675" s="4"/>
      <c r="K675" s="4"/>
      <c r="L675" s="4"/>
      <c r="M675" s="4"/>
      <c r="N675" s="1"/>
      <c r="O675" s="1"/>
      <c r="P675" s="4"/>
      <c r="Q675" s="5"/>
      <c r="R675" s="4"/>
      <c r="S675" s="1"/>
      <c r="T675" s="1"/>
      <c r="U675" s="1"/>
      <c r="V675" s="1"/>
      <c r="W675" s="1"/>
      <c r="X675" s="6"/>
      <c r="Y675" s="4"/>
      <c r="Z675" s="4"/>
      <c r="AA675" s="4"/>
      <c r="AB675" s="1"/>
      <c r="AC675" s="1"/>
      <c r="AD675" s="1"/>
      <c r="AE675" s="1"/>
      <c r="AF675" s="1"/>
      <c r="AG675" s="4"/>
      <c r="AH675" s="1"/>
      <c r="AI675" s="4"/>
      <c r="AJ675" s="6"/>
      <c r="AK675" s="7"/>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1:61" ht="16.5" customHeight="1">
      <c r="A676" s="1"/>
      <c r="B676" s="139"/>
      <c r="C676" s="1"/>
      <c r="D676" s="1"/>
      <c r="E676" s="1"/>
      <c r="F676" s="1"/>
      <c r="G676" s="1"/>
      <c r="H676" s="4"/>
      <c r="I676" s="4"/>
      <c r="J676" s="4"/>
      <c r="K676" s="4"/>
      <c r="L676" s="4"/>
      <c r="M676" s="4"/>
      <c r="N676" s="1"/>
      <c r="O676" s="1"/>
      <c r="P676" s="4"/>
      <c r="Q676" s="5"/>
      <c r="R676" s="4"/>
      <c r="S676" s="1"/>
      <c r="T676" s="1"/>
      <c r="U676" s="1"/>
      <c r="V676" s="1"/>
      <c r="W676" s="1"/>
      <c r="X676" s="6"/>
      <c r="Y676" s="4"/>
      <c r="Z676" s="4"/>
      <c r="AA676" s="4"/>
      <c r="AB676" s="1"/>
      <c r="AC676" s="1"/>
      <c r="AD676" s="1"/>
      <c r="AE676" s="1"/>
      <c r="AF676" s="1"/>
      <c r="AG676" s="4"/>
      <c r="AH676" s="1"/>
      <c r="AI676" s="4"/>
      <c r="AJ676" s="6"/>
      <c r="AK676" s="7"/>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1:61" ht="16.5" customHeight="1">
      <c r="A677" s="1"/>
      <c r="B677" s="139"/>
      <c r="C677" s="1"/>
      <c r="D677" s="1"/>
      <c r="E677" s="1"/>
      <c r="F677" s="1"/>
      <c r="G677" s="1"/>
      <c r="H677" s="4"/>
      <c r="I677" s="4"/>
      <c r="J677" s="4"/>
      <c r="K677" s="4"/>
      <c r="L677" s="4"/>
      <c r="M677" s="4"/>
      <c r="N677" s="1"/>
      <c r="O677" s="1"/>
      <c r="P677" s="4"/>
      <c r="Q677" s="5"/>
      <c r="R677" s="4"/>
      <c r="S677" s="1"/>
      <c r="T677" s="1"/>
      <c r="U677" s="1"/>
      <c r="V677" s="1"/>
      <c r="W677" s="1"/>
      <c r="X677" s="6"/>
      <c r="Y677" s="4"/>
      <c r="Z677" s="4"/>
      <c r="AA677" s="4"/>
      <c r="AB677" s="1"/>
      <c r="AC677" s="1"/>
      <c r="AD677" s="1"/>
      <c r="AE677" s="1"/>
      <c r="AF677" s="1"/>
      <c r="AG677" s="4"/>
      <c r="AH677" s="1"/>
      <c r="AI677" s="4"/>
      <c r="AJ677" s="6"/>
      <c r="AK677" s="7"/>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1:61" ht="16.5" customHeight="1">
      <c r="A678" s="1"/>
      <c r="B678" s="139"/>
      <c r="C678" s="1"/>
      <c r="D678" s="1"/>
      <c r="E678" s="1"/>
      <c r="F678" s="1"/>
      <c r="G678" s="1"/>
      <c r="H678" s="4"/>
      <c r="I678" s="4"/>
      <c r="J678" s="4"/>
      <c r="K678" s="4"/>
      <c r="L678" s="4"/>
      <c r="M678" s="4"/>
      <c r="N678" s="1"/>
      <c r="O678" s="1"/>
      <c r="P678" s="4"/>
      <c r="Q678" s="5"/>
      <c r="R678" s="4"/>
      <c r="S678" s="1"/>
      <c r="T678" s="1"/>
      <c r="U678" s="1"/>
      <c r="V678" s="1"/>
      <c r="W678" s="1"/>
      <c r="X678" s="6"/>
      <c r="Y678" s="4"/>
      <c r="Z678" s="4"/>
      <c r="AA678" s="4"/>
      <c r="AB678" s="1"/>
      <c r="AC678" s="1"/>
      <c r="AD678" s="1"/>
      <c r="AE678" s="1"/>
      <c r="AF678" s="1"/>
      <c r="AG678" s="4"/>
      <c r="AH678" s="1"/>
      <c r="AI678" s="4"/>
      <c r="AJ678" s="6"/>
      <c r="AK678" s="7"/>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1:61" ht="16.5" customHeight="1">
      <c r="A679" s="1"/>
      <c r="B679" s="139"/>
      <c r="C679" s="1"/>
      <c r="D679" s="1"/>
      <c r="E679" s="1"/>
      <c r="F679" s="1"/>
      <c r="G679" s="1"/>
      <c r="H679" s="4"/>
      <c r="I679" s="4"/>
      <c r="J679" s="4"/>
      <c r="K679" s="4"/>
      <c r="L679" s="4"/>
      <c r="M679" s="4"/>
      <c r="N679" s="1"/>
      <c r="O679" s="1"/>
      <c r="P679" s="4"/>
      <c r="Q679" s="5"/>
      <c r="R679" s="4"/>
      <c r="S679" s="1"/>
      <c r="T679" s="1"/>
      <c r="U679" s="1"/>
      <c r="V679" s="1"/>
      <c r="W679" s="1"/>
      <c r="X679" s="6"/>
      <c r="Y679" s="4"/>
      <c r="Z679" s="4"/>
      <c r="AA679" s="4"/>
      <c r="AB679" s="1"/>
      <c r="AC679" s="1"/>
      <c r="AD679" s="1"/>
      <c r="AE679" s="1"/>
      <c r="AF679" s="1"/>
      <c r="AG679" s="4"/>
      <c r="AH679" s="1"/>
      <c r="AI679" s="4"/>
      <c r="AJ679" s="6"/>
      <c r="AK679" s="7"/>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1:61" ht="16.5" customHeight="1">
      <c r="A680" s="1"/>
      <c r="B680" s="139"/>
      <c r="C680" s="1"/>
      <c r="D680" s="1"/>
      <c r="E680" s="1"/>
      <c r="F680" s="1"/>
      <c r="G680" s="1"/>
      <c r="H680" s="4"/>
      <c r="I680" s="4"/>
      <c r="J680" s="4"/>
      <c r="K680" s="4"/>
      <c r="L680" s="4"/>
      <c r="M680" s="4"/>
      <c r="N680" s="1"/>
      <c r="O680" s="1"/>
      <c r="P680" s="4"/>
      <c r="Q680" s="5"/>
      <c r="R680" s="4"/>
      <c r="S680" s="1"/>
      <c r="T680" s="1"/>
      <c r="U680" s="1"/>
      <c r="V680" s="1"/>
      <c r="W680" s="1"/>
      <c r="X680" s="6"/>
      <c r="Y680" s="4"/>
      <c r="Z680" s="4"/>
      <c r="AA680" s="4"/>
      <c r="AB680" s="1"/>
      <c r="AC680" s="1"/>
      <c r="AD680" s="1"/>
      <c r="AE680" s="1"/>
      <c r="AF680" s="1"/>
      <c r="AG680" s="4"/>
      <c r="AH680" s="1"/>
      <c r="AI680" s="4"/>
      <c r="AJ680" s="6"/>
      <c r="AK680" s="7"/>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1:61" ht="16.5" customHeight="1">
      <c r="A681" s="1"/>
      <c r="B681" s="139"/>
      <c r="C681" s="1"/>
      <c r="D681" s="1"/>
      <c r="E681" s="1"/>
      <c r="F681" s="1"/>
      <c r="G681" s="1"/>
      <c r="H681" s="4"/>
      <c r="I681" s="4"/>
      <c r="J681" s="4"/>
      <c r="K681" s="4"/>
      <c r="L681" s="4"/>
      <c r="M681" s="4"/>
      <c r="N681" s="1"/>
      <c r="O681" s="1"/>
      <c r="P681" s="4"/>
      <c r="Q681" s="5"/>
      <c r="R681" s="4"/>
      <c r="S681" s="1"/>
      <c r="T681" s="1"/>
      <c r="U681" s="1"/>
      <c r="V681" s="1"/>
      <c r="W681" s="1"/>
      <c r="X681" s="6"/>
      <c r="Y681" s="4"/>
      <c r="Z681" s="4"/>
      <c r="AA681" s="4"/>
      <c r="AB681" s="1"/>
      <c r="AC681" s="1"/>
      <c r="AD681" s="1"/>
      <c r="AE681" s="1"/>
      <c r="AF681" s="1"/>
      <c r="AG681" s="4"/>
      <c r="AH681" s="1"/>
      <c r="AI681" s="4"/>
      <c r="AJ681" s="6"/>
      <c r="AK681" s="7"/>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1:61" ht="16.5" customHeight="1">
      <c r="A682" s="1"/>
      <c r="B682" s="139"/>
      <c r="C682" s="1"/>
      <c r="D682" s="1"/>
      <c r="E682" s="1"/>
      <c r="F682" s="1"/>
      <c r="G682" s="1"/>
      <c r="H682" s="4"/>
      <c r="I682" s="4"/>
      <c r="J682" s="4"/>
      <c r="K682" s="4"/>
      <c r="L682" s="4"/>
      <c r="M682" s="4"/>
      <c r="N682" s="1"/>
      <c r="O682" s="1"/>
      <c r="P682" s="4"/>
      <c r="Q682" s="5"/>
      <c r="R682" s="4"/>
      <c r="S682" s="1"/>
      <c r="T682" s="1"/>
      <c r="U682" s="1"/>
      <c r="V682" s="1"/>
      <c r="W682" s="1"/>
      <c r="X682" s="6"/>
      <c r="Y682" s="4"/>
      <c r="Z682" s="4"/>
      <c r="AA682" s="4"/>
      <c r="AB682" s="1"/>
      <c r="AC682" s="1"/>
      <c r="AD682" s="1"/>
      <c r="AE682" s="1"/>
      <c r="AF682" s="1"/>
      <c r="AG682" s="4"/>
      <c r="AH682" s="1"/>
      <c r="AI682" s="4"/>
      <c r="AJ682" s="6"/>
      <c r="AK682" s="7"/>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1:61" ht="16.5" customHeight="1">
      <c r="A683" s="1"/>
      <c r="B683" s="139"/>
      <c r="C683" s="1"/>
      <c r="D683" s="1"/>
      <c r="E683" s="1"/>
      <c r="F683" s="1"/>
      <c r="G683" s="1"/>
      <c r="H683" s="4"/>
      <c r="I683" s="4"/>
      <c r="J683" s="4"/>
      <c r="K683" s="4"/>
      <c r="L683" s="4"/>
      <c r="M683" s="4"/>
      <c r="N683" s="1"/>
      <c r="O683" s="1"/>
      <c r="P683" s="4"/>
      <c r="Q683" s="5"/>
      <c r="R683" s="4"/>
      <c r="S683" s="1"/>
      <c r="T683" s="1"/>
      <c r="U683" s="1"/>
      <c r="V683" s="1"/>
      <c r="W683" s="1"/>
      <c r="X683" s="6"/>
      <c r="Y683" s="4"/>
      <c r="Z683" s="4"/>
      <c r="AA683" s="4"/>
      <c r="AB683" s="1"/>
      <c r="AC683" s="1"/>
      <c r="AD683" s="1"/>
      <c r="AE683" s="1"/>
      <c r="AF683" s="1"/>
      <c r="AG683" s="4"/>
      <c r="AH683" s="1"/>
      <c r="AI683" s="4"/>
      <c r="AJ683" s="6"/>
      <c r="AK683" s="7"/>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1:61" ht="16.5" customHeight="1">
      <c r="A684" s="1"/>
      <c r="B684" s="139"/>
      <c r="C684" s="1"/>
      <c r="D684" s="1"/>
      <c r="E684" s="1"/>
      <c r="F684" s="1"/>
      <c r="G684" s="1"/>
      <c r="H684" s="4"/>
      <c r="I684" s="4"/>
      <c r="J684" s="4"/>
      <c r="K684" s="4"/>
      <c r="L684" s="4"/>
      <c r="M684" s="4"/>
      <c r="N684" s="1"/>
      <c r="O684" s="1"/>
      <c r="P684" s="4"/>
      <c r="Q684" s="5"/>
      <c r="R684" s="4"/>
      <c r="S684" s="1"/>
      <c r="T684" s="1"/>
      <c r="U684" s="1"/>
      <c r="V684" s="1"/>
      <c r="W684" s="1"/>
      <c r="X684" s="6"/>
      <c r="Y684" s="4"/>
      <c r="Z684" s="4"/>
      <c r="AA684" s="4"/>
      <c r="AB684" s="1"/>
      <c r="AC684" s="1"/>
      <c r="AD684" s="1"/>
      <c r="AE684" s="1"/>
      <c r="AF684" s="1"/>
      <c r="AG684" s="4"/>
      <c r="AH684" s="1"/>
      <c r="AI684" s="4"/>
      <c r="AJ684" s="6"/>
      <c r="AK684" s="7"/>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1:61" ht="16.5" customHeight="1">
      <c r="A685" s="1"/>
      <c r="B685" s="139"/>
      <c r="C685" s="1"/>
      <c r="D685" s="1"/>
      <c r="E685" s="1"/>
      <c r="F685" s="1"/>
      <c r="G685" s="1"/>
      <c r="H685" s="4"/>
      <c r="I685" s="4"/>
      <c r="J685" s="4"/>
      <c r="K685" s="4"/>
      <c r="L685" s="4"/>
      <c r="M685" s="4"/>
      <c r="N685" s="1"/>
      <c r="O685" s="1"/>
      <c r="P685" s="4"/>
      <c r="Q685" s="5"/>
      <c r="R685" s="4"/>
      <c r="S685" s="1"/>
      <c r="T685" s="1"/>
      <c r="U685" s="1"/>
      <c r="V685" s="1"/>
      <c r="W685" s="1"/>
      <c r="X685" s="6"/>
      <c r="Y685" s="4"/>
      <c r="Z685" s="4"/>
      <c r="AA685" s="4"/>
      <c r="AB685" s="1"/>
      <c r="AC685" s="1"/>
      <c r="AD685" s="1"/>
      <c r="AE685" s="1"/>
      <c r="AF685" s="1"/>
      <c r="AG685" s="4"/>
      <c r="AH685" s="1"/>
      <c r="AI685" s="4"/>
      <c r="AJ685" s="6"/>
      <c r="AK685" s="7"/>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1:61" ht="16.5" customHeight="1">
      <c r="A686" s="1"/>
      <c r="B686" s="139"/>
      <c r="C686" s="1"/>
      <c r="D686" s="1"/>
      <c r="E686" s="1"/>
      <c r="F686" s="1"/>
      <c r="G686" s="1"/>
      <c r="H686" s="4"/>
      <c r="I686" s="4"/>
      <c r="J686" s="4"/>
      <c r="K686" s="4"/>
      <c r="L686" s="4"/>
      <c r="M686" s="4"/>
      <c r="N686" s="1"/>
      <c r="O686" s="1"/>
      <c r="P686" s="4"/>
      <c r="Q686" s="5"/>
      <c r="R686" s="4"/>
      <c r="S686" s="1"/>
      <c r="T686" s="1"/>
      <c r="U686" s="1"/>
      <c r="V686" s="1"/>
      <c r="W686" s="1"/>
      <c r="X686" s="6"/>
      <c r="Y686" s="4"/>
      <c r="Z686" s="4"/>
      <c r="AA686" s="4"/>
      <c r="AB686" s="1"/>
      <c r="AC686" s="1"/>
      <c r="AD686" s="1"/>
      <c r="AE686" s="1"/>
      <c r="AF686" s="1"/>
      <c r="AG686" s="4"/>
      <c r="AH686" s="1"/>
      <c r="AI686" s="4"/>
      <c r="AJ686" s="6"/>
      <c r="AK686" s="7"/>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1:61" ht="16.5" customHeight="1">
      <c r="A687" s="1"/>
      <c r="B687" s="139"/>
      <c r="C687" s="1"/>
      <c r="D687" s="1"/>
      <c r="E687" s="1"/>
      <c r="F687" s="1"/>
      <c r="G687" s="1"/>
      <c r="H687" s="4"/>
      <c r="I687" s="4"/>
      <c r="J687" s="4"/>
      <c r="K687" s="4"/>
      <c r="L687" s="4"/>
      <c r="M687" s="4"/>
      <c r="N687" s="1"/>
      <c r="O687" s="1"/>
      <c r="P687" s="4"/>
      <c r="Q687" s="5"/>
      <c r="R687" s="4"/>
      <c r="S687" s="1"/>
      <c r="T687" s="1"/>
      <c r="U687" s="1"/>
      <c r="V687" s="1"/>
      <c r="W687" s="1"/>
      <c r="X687" s="6"/>
      <c r="Y687" s="4"/>
      <c r="Z687" s="4"/>
      <c r="AA687" s="4"/>
      <c r="AB687" s="1"/>
      <c r="AC687" s="1"/>
      <c r="AD687" s="1"/>
      <c r="AE687" s="1"/>
      <c r="AF687" s="1"/>
      <c r="AG687" s="4"/>
      <c r="AH687" s="1"/>
      <c r="AI687" s="4"/>
      <c r="AJ687" s="6"/>
      <c r="AK687" s="7"/>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1:61" ht="16.5" customHeight="1">
      <c r="A688" s="1"/>
      <c r="B688" s="139"/>
      <c r="C688" s="1"/>
      <c r="D688" s="1"/>
      <c r="E688" s="1"/>
      <c r="F688" s="1"/>
      <c r="G688" s="1"/>
      <c r="H688" s="4"/>
      <c r="I688" s="4"/>
      <c r="J688" s="4"/>
      <c r="K688" s="4"/>
      <c r="L688" s="4"/>
      <c r="M688" s="4"/>
      <c r="N688" s="1"/>
      <c r="O688" s="1"/>
      <c r="P688" s="4"/>
      <c r="Q688" s="5"/>
      <c r="R688" s="4"/>
      <c r="S688" s="1"/>
      <c r="T688" s="1"/>
      <c r="U688" s="1"/>
      <c r="V688" s="1"/>
      <c r="W688" s="1"/>
      <c r="X688" s="6"/>
      <c r="Y688" s="4"/>
      <c r="Z688" s="4"/>
      <c r="AA688" s="4"/>
      <c r="AB688" s="1"/>
      <c r="AC688" s="1"/>
      <c r="AD688" s="1"/>
      <c r="AE688" s="1"/>
      <c r="AF688" s="1"/>
      <c r="AG688" s="4"/>
      <c r="AH688" s="1"/>
      <c r="AI688" s="4"/>
      <c r="AJ688" s="6"/>
      <c r="AK688" s="7"/>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1:61" ht="16.5" customHeight="1">
      <c r="A689" s="1"/>
      <c r="B689" s="139"/>
      <c r="C689" s="1"/>
      <c r="D689" s="1"/>
      <c r="E689" s="1"/>
      <c r="F689" s="1"/>
      <c r="G689" s="1"/>
      <c r="H689" s="4"/>
      <c r="I689" s="4"/>
      <c r="J689" s="4"/>
      <c r="K689" s="4"/>
      <c r="L689" s="4"/>
      <c r="M689" s="4"/>
      <c r="N689" s="1"/>
      <c r="O689" s="1"/>
      <c r="P689" s="4"/>
      <c r="Q689" s="5"/>
      <c r="R689" s="4"/>
      <c r="S689" s="1"/>
      <c r="T689" s="1"/>
      <c r="U689" s="1"/>
      <c r="V689" s="1"/>
      <c r="W689" s="1"/>
      <c r="X689" s="6"/>
      <c r="Y689" s="4"/>
      <c r="Z689" s="4"/>
      <c r="AA689" s="4"/>
      <c r="AB689" s="1"/>
      <c r="AC689" s="1"/>
      <c r="AD689" s="1"/>
      <c r="AE689" s="1"/>
      <c r="AF689" s="1"/>
      <c r="AG689" s="4"/>
      <c r="AH689" s="1"/>
      <c r="AI689" s="4"/>
      <c r="AJ689" s="6"/>
      <c r="AK689" s="7"/>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1:61" ht="16.5" customHeight="1">
      <c r="A690" s="1"/>
      <c r="B690" s="139"/>
      <c r="C690" s="1"/>
      <c r="D690" s="1"/>
      <c r="E690" s="1"/>
      <c r="F690" s="1"/>
      <c r="G690" s="1"/>
      <c r="H690" s="4"/>
      <c r="I690" s="4"/>
      <c r="J690" s="4"/>
      <c r="K690" s="4"/>
      <c r="L690" s="4"/>
      <c r="M690" s="4"/>
      <c r="N690" s="1"/>
      <c r="O690" s="1"/>
      <c r="P690" s="4"/>
      <c r="Q690" s="5"/>
      <c r="R690" s="4"/>
      <c r="S690" s="1"/>
      <c r="T690" s="1"/>
      <c r="U690" s="1"/>
      <c r="V690" s="1"/>
      <c r="W690" s="1"/>
      <c r="X690" s="6"/>
      <c r="Y690" s="4"/>
      <c r="Z690" s="4"/>
      <c r="AA690" s="4"/>
      <c r="AB690" s="1"/>
      <c r="AC690" s="1"/>
      <c r="AD690" s="1"/>
      <c r="AE690" s="1"/>
      <c r="AF690" s="1"/>
      <c r="AG690" s="4"/>
      <c r="AH690" s="1"/>
      <c r="AI690" s="4"/>
      <c r="AJ690" s="6"/>
      <c r="AK690" s="7"/>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1:61" ht="16.5" customHeight="1">
      <c r="A691" s="1"/>
      <c r="B691" s="139"/>
      <c r="C691" s="1"/>
      <c r="D691" s="1"/>
      <c r="E691" s="1"/>
      <c r="F691" s="1"/>
      <c r="G691" s="1"/>
      <c r="H691" s="4"/>
      <c r="I691" s="4"/>
      <c r="J691" s="4"/>
      <c r="K691" s="4"/>
      <c r="L691" s="4"/>
      <c r="M691" s="4"/>
      <c r="N691" s="1"/>
      <c r="O691" s="1"/>
      <c r="P691" s="4"/>
      <c r="Q691" s="5"/>
      <c r="R691" s="4"/>
      <c r="S691" s="1"/>
      <c r="T691" s="1"/>
      <c r="U691" s="1"/>
      <c r="V691" s="1"/>
      <c r="W691" s="1"/>
      <c r="X691" s="6"/>
      <c r="Y691" s="4"/>
      <c r="Z691" s="4"/>
      <c r="AA691" s="4"/>
      <c r="AB691" s="1"/>
      <c r="AC691" s="1"/>
      <c r="AD691" s="1"/>
      <c r="AE691" s="1"/>
      <c r="AF691" s="1"/>
      <c r="AG691" s="4"/>
      <c r="AH691" s="1"/>
      <c r="AI691" s="4"/>
      <c r="AJ691" s="6"/>
      <c r="AK691" s="7"/>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1:61" ht="16.5" customHeight="1">
      <c r="A692" s="1"/>
      <c r="B692" s="139"/>
      <c r="C692" s="1"/>
      <c r="D692" s="1"/>
      <c r="E692" s="1"/>
      <c r="F692" s="1"/>
      <c r="G692" s="1"/>
      <c r="H692" s="4"/>
      <c r="I692" s="4"/>
      <c r="J692" s="4"/>
      <c r="K692" s="4"/>
      <c r="L692" s="4"/>
      <c r="M692" s="4"/>
      <c r="N692" s="1"/>
      <c r="O692" s="1"/>
      <c r="P692" s="4"/>
      <c r="Q692" s="5"/>
      <c r="R692" s="4"/>
      <c r="S692" s="1"/>
      <c r="T692" s="1"/>
      <c r="U692" s="1"/>
      <c r="V692" s="1"/>
      <c r="W692" s="1"/>
      <c r="X692" s="6"/>
      <c r="Y692" s="4"/>
      <c r="Z692" s="4"/>
      <c r="AA692" s="4"/>
      <c r="AB692" s="1"/>
      <c r="AC692" s="1"/>
      <c r="AD692" s="1"/>
      <c r="AE692" s="1"/>
      <c r="AF692" s="1"/>
      <c r="AG692" s="4"/>
      <c r="AH692" s="1"/>
      <c r="AI692" s="4"/>
      <c r="AJ692" s="6"/>
      <c r="AK692" s="7"/>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1:61" ht="16.5" customHeight="1">
      <c r="A693" s="1"/>
      <c r="B693" s="139"/>
      <c r="C693" s="1"/>
      <c r="D693" s="1"/>
      <c r="E693" s="1"/>
      <c r="F693" s="1"/>
      <c r="G693" s="1"/>
      <c r="H693" s="4"/>
      <c r="I693" s="4"/>
      <c r="J693" s="4"/>
      <c r="K693" s="4"/>
      <c r="L693" s="4"/>
      <c r="M693" s="4"/>
      <c r="N693" s="1"/>
      <c r="O693" s="1"/>
      <c r="P693" s="4"/>
      <c r="Q693" s="5"/>
      <c r="R693" s="4"/>
      <c r="S693" s="1"/>
      <c r="T693" s="1"/>
      <c r="U693" s="1"/>
      <c r="V693" s="1"/>
      <c r="W693" s="1"/>
      <c r="X693" s="6"/>
      <c r="Y693" s="4"/>
      <c r="Z693" s="4"/>
      <c r="AA693" s="4"/>
      <c r="AB693" s="1"/>
      <c r="AC693" s="1"/>
      <c r="AD693" s="1"/>
      <c r="AE693" s="1"/>
      <c r="AF693" s="1"/>
      <c r="AG693" s="4"/>
      <c r="AH693" s="1"/>
      <c r="AI693" s="4"/>
      <c r="AJ693" s="6"/>
      <c r="AK693" s="7"/>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1:61" ht="16.5" customHeight="1">
      <c r="A694" s="1"/>
      <c r="B694" s="139"/>
      <c r="C694" s="1"/>
      <c r="D694" s="1"/>
      <c r="E694" s="1"/>
      <c r="F694" s="1"/>
      <c r="G694" s="1"/>
      <c r="H694" s="4"/>
      <c r="I694" s="4"/>
      <c r="J694" s="4"/>
      <c r="K694" s="4"/>
      <c r="L694" s="4"/>
      <c r="M694" s="4"/>
      <c r="N694" s="1"/>
      <c r="O694" s="1"/>
      <c r="P694" s="4"/>
      <c r="Q694" s="5"/>
      <c r="R694" s="4"/>
      <c r="S694" s="1"/>
      <c r="T694" s="1"/>
      <c r="U694" s="1"/>
      <c r="V694" s="1"/>
      <c r="W694" s="1"/>
      <c r="X694" s="6"/>
      <c r="Y694" s="4"/>
      <c r="Z694" s="4"/>
      <c r="AA694" s="4"/>
      <c r="AB694" s="1"/>
      <c r="AC694" s="1"/>
      <c r="AD694" s="1"/>
      <c r="AE694" s="1"/>
      <c r="AF694" s="1"/>
      <c r="AG694" s="4"/>
      <c r="AH694" s="1"/>
      <c r="AI694" s="4"/>
      <c r="AJ694" s="6"/>
      <c r="AK694" s="7"/>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1:61" ht="16.5" customHeight="1">
      <c r="A695" s="1"/>
      <c r="B695" s="139"/>
      <c r="C695" s="1"/>
      <c r="D695" s="1"/>
      <c r="E695" s="1"/>
      <c r="F695" s="1"/>
      <c r="G695" s="1"/>
      <c r="H695" s="4"/>
      <c r="I695" s="4"/>
      <c r="J695" s="4"/>
      <c r="K695" s="4"/>
      <c r="L695" s="4"/>
      <c r="M695" s="4"/>
      <c r="N695" s="1"/>
      <c r="O695" s="1"/>
      <c r="P695" s="4"/>
      <c r="Q695" s="5"/>
      <c r="R695" s="4"/>
      <c r="S695" s="1"/>
      <c r="T695" s="1"/>
      <c r="U695" s="1"/>
      <c r="V695" s="1"/>
      <c r="W695" s="1"/>
      <c r="X695" s="6"/>
      <c r="Y695" s="4"/>
      <c r="Z695" s="4"/>
      <c r="AA695" s="4"/>
      <c r="AB695" s="1"/>
      <c r="AC695" s="1"/>
      <c r="AD695" s="1"/>
      <c r="AE695" s="1"/>
      <c r="AF695" s="1"/>
      <c r="AG695" s="4"/>
      <c r="AH695" s="1"/>
      <c r="AI695" s="4"/>
      <c r="AJ695" s="6"/>
      <c r="AK695" s="7"/>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1:61" ht="16.5" customHeight="1">
      <c r="A696" s="1"/>
      <c r="B696" s="139"/>
      <c r="C696" s="1"/>
      <c r="D696" s="1"/>
      <c r="E696" s="1"/>
      <c r="F696" s="1"/>
      <c r="G696" s="1"/>
      <c r="H696" s="4"/>
      <c r="I696" s="4"/>
      <c r="J696" s="4"/>
      <c r="K696" s="4"/>
      <c r="L696" s="4"/>
      <c r="M696" s="4"/>
      <c r="N696" s="1"/>
      <c r="O696" s="1"/>
      <c r="P696" s="4"/>
      <c r="Q696" s="5"/>
      <c r="R696" s="4"/>
      <c r="S696" s="1"/>
      <c r="T696" s="1"/>
      <c r="U696" s="1"/>
      <c r="V696" s="1"/>
      <c r="W696" s="1"/>
      <c r="X696" s="6"/>
      <c r="Y696" s="4"/>
      <c r="Z696" s="4"/>
      <c r="AA696" s="4"/>
      <c r="AB696" s="1"/>
      <c r="AC696" s="1"/>
      <c r="AD696" s="1"/>
      <c r="AE696" s="1"/>
      <c r="AF696" s="1"/>
      <c r="AG696" s="4"/>
      <c r="AH696" s="1"/>
      <c r="AI696" s="4"/>
      <c r="AJ696" s="6"/>
      <c r="AK696" s="7"/>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1:61" ht="16.5" customHeight="1">
      <c r="A697" s="1"/>
      <c r="B697" s="139"/>
      <c r="C697" s="1"/>
      <c r="D697" s="1"/>
      <c r="E697" s="1"/>
      <c r="F697" s="1"/>
      <c r="G697" s="1"/>
      <c r="H697" s="4"/>
      <c r="I697" s="4"/>
      <c r="J697" s="4"/>
      <c r="K697" s="4"/>
      <c r="L697" s="4"/>
      <c r="M697" s="4"/>
      <c r="N697" s="1"/>
      <c r="O697" s="1"/>
      <c r="P697" s="4"/>
      <c r="Q697" s="5"/>
      <c r="R697" s="4"/>
      <c r="S697" s="1"/>
      <c r="T697" s="1"/>
      <c r="U697" s="1"/>
      <c r="V697" s="1"/>
      <c r="W697" s="1"/>
      <c r="X697" s="6"/>
      <c r="Y697" s="4"/>
      <c r="Z697" s="4"/>
      <c r="AA697" s="4"/>
      <c r="AB697" s="1"/>
      <c r="AC697" s="1"/>
      <c r="AD697" s="1"/>
      <c r="AE697" s="1"/>
      <c r="AF697" s="1"/>
      <c r="AG697" s="4"/>
      <c r="AH697" s="1"/>
      <c r="AI697" s="4"/>
      <c r="AJ697" s="6"/>
      <c r="AK697" s="7"/>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1:61" ht="16.5" customHeight="1">
      <c r="A698" s="1"/>
      <c r="B698" s="139"/>
      <c r="C698" s="1"/>
      <c r="D698" s="1"/>
      <c r="E698" s="1"/>
      <c r="F698" s="1"/>
      <c r="G698" s="1"/>
      <c r="H698" s="4"/>
      <c r="I698" s="4"/>
      <c r="J698" s="4"/>
      <c r="K698" s="4"/>
      <c r="L698" s="4"/>
      <c r="M698" s="4"/>
      <c r="N698" s="1"/>
      <c r="O698" s="1"/>
      <c r="P698" s="4"/>
      <c r="Q698" s="5"/>
      <c r="R698" s="4"/>
      <c r="S698" s="1"/>
      <c r="T698" s="1"/>
      <c r="U698" s="1"/>
      <c r="V698" s="1"/>
      <c r="W698" s="1"/>
      <c r="X698" s="6"/>
      <c r="Y698" s="4"/>
      <c r="Z698" s="4"/>
      <c r="AA698" s="4"/>
      <c r="AB698" s="1"/>
      <c r="AC698" s="1"/>
      <c r="AD698" s="1"/>
      <c r="AE698" s="1"/>
      <c r="AF698" s="1"/>
      <c r="AG698" s="4"/>
      <c r="AH698" s="1"/>
      <c r="AI698" s="4"/>
      <c r="AJ698" s="6"/>
      <c r="AK698" s="7"/>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1:61" ht="16.5" customHeight="1">
      <c r="A699" s="1"/>
      <c r="B699" s="139"/>
      <c r="C699" s="1"/>
      <c r="D699" s="1"/>
      <c r="E699" s="1"/>
      <c r="F699" s="1"/>
      <c r="G699" s="1"/>
      <c r="H699" s="4"/>
      <c r="I699" s="4"/>
      <c r="J699" s="4"/>
      <c r="K699" s="4"/>
      <c r="L699" s="4"/>
      <c r="M699" s="4"/>
      <c r="N699" s="1"/>
      <c r="O699" s="1"/>
      <c r="P699" s="4"/>
      <c r="Q699" s="5"/>
      <c r="R699" s="4"/>
      <c r="S699" s="1"/>
      <c r="T699" s="1"/>
      <c r="U699" s="1"/>
      <c r="V699" s="1"/>
      <c r="W699" s="1"/>
      <c r="X699" s="6"/>
      <c r="Y699" s="4"/>
      <c r="Z699" s="4"/>
      <c r="AA699" s="4"/>
      <c r="AB699" s="1"/>
      <c r="AC699" s="1"/>
      <c r="AD699" s="1"/>
      <c r="AE699" s="1"/>
      <c r="AF699" s="1"/>
      <c r="AG699" s="4"/>
      <c r="AH699" s="1"/>
      <c r="AI699" s="4"/>
      <c r="AJ699" s="6"/>
      <c r="AK699" s="7"/>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1:61" ht="16.5" customHeight="1">
      <c r="A700" s="1"/>
      <c r="B700" s="139"/>
      <c r="C700" s="1"/>
      <c r="D700" s="1"/>
      <c r="E700" s="1"/>
      <c r="F700" s="1"/>
      <c r="G700" s="1"/>
      <c r="H700" s="4"/>
      <c r="I700" s="4"/>
      <c r="J700" s="4"/>
      <c r="K700" s="4"/>
      <c r="L700" s="4"/>
      <c r="M700" s="4"/>
      <c r="N700" s="1"/>
      <c r="O700" s="1"/>
      <c r="P700" s="4"/>
      <c r="Q700" s="5"/>
      <c r="R700" s="4"/>
      <c r="S700" s="1"/>
      <c r="T700" s="1"/>
      <c r="U700" s="1"/>
      <c r="V700" s="1"/>
      <c r="W700" s="1"/>
      <c r="X700" s="6"/>
      <c r="Y700" s="4"/>
      <c r="Z700" s="4"/>
      <c r="AA700" s="4"/>
      <c r="AB700" s="1"/>
      <c r="AC700" s="1"/>
      <c r="AD700" s="1"/>
      <c r="AE700" s="1"/>
      <c r="AF700" s="1"/>
      <c r="AG700" s="4"/>
      <c r="AH700" s="1"/>
      <c r="AI700" s="4"/>
      <c r="AJ700" s="6"/>
      <c r="AK700" s="7"/>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1:61" ht="16.5" customHeight="1">
      <c r="A701" s="1"/>
      <c r="B701" s="139"/>
      <c r="C701" s="1"/>
      <c r="D701" s="1"/>
      <c r="E701" s="1"/>
      <c r="F701" s="1"/>
      <c r="G701" s="1"/>
      <c r="H701" s="4"/>
      <c r="I701" s="4"/>
      <c r="J701" s="4"/>
      <c r="K701" s="4"/>
      <c r="L701" s="4"/>
      <c r="M701" s="4"/>
      <c r="N701" s="1"/>
      <c r="O701" s="1"/>
      <c r="P701" s="4"/>
      <c r="Q701" s="5"/>
      <c r="R701" s="4"/>
      <c r="S701" s="1"/>
      <c r="T701" s="1"/>
      <c r="U701" s="1"/>
      <c r="V701" s="1"/>
      <c r="W701" s="1"/>
      <c r="X701" s="6"/>
      <c r="Y701" s="4"/>
      <c r="Z701" s="4"/>
      <c r="AA701" s="4"/>
      <c r="AB701" s="1"/>
      <c r="AC701" s="1"/>
      <c r="AD701" s="1"/>
      <c r="AE701" s="1"/>
      <c r="AF701" s="1"/>
      <c r="AG701" s="4"/>
      <c r="AH701" s="1"/>
      <c r="AI701" s="4"/>
      <c r="AJ701" s="6"/>
      <c r="AK701" s="7"/>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1:61" ht="16.5" customHeight="1">
      <c r="A702" s="1"/>
      <c r="B702" s="139"/>
      <c r="C702" s="1"/>
      <c r="D702" s="1"/>
      <c r="E702" s="1"/>
      <c r="F702" s="1"/>
      <c r="G702" s="1"/>
      <c r="H702" s="4"/>
      <c r="I702" s="4"/>
      <c r="J702" s="4"/>
      <c r="K702" s="4"/>
      <c r="L702" s="4"/>
      <c r="M702" s="4"/>
      <c r="N702" s="1"/>
      <c r="O702" s="1"/>
      <c r="P702" s="4"/>
      <c r="Q702" s="5"/>
      <c r="R702" s="4"/>
      <c r="S702" s="1"/>
      <c r="T702" s="1"/>
      <c r="U702" s="1"/>
      <c r="V702" s="1"/>
      <c r="W702" s="1"/>
      <c r="X702" s="6"/>
      <c r="Y702" s="4"/>
      <c r="Z702" s="4"/>
      <c r="AA702" s="4"/>
      <c r="AB702" s="1"/>
      <c r="AC702" s="1"/>
      <c r="AD702" s="1"/>
      <c r="AE702" s="1"/>
      <c r="AF702" s="1"/>
      <c r="AG702" s="4"/>
      <c r="AH702" s="1"/>
      <c r="AI702" s="4"/>
      <c r="AJ702" s="6"/>
      <c r="AK702" s="7"/>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1:61" ht="16.5" customHeight="1">
      <c r="A703" s="1"/>
      <c r="B703" s="139"/>
      <c r="C703" s="1"/>
      <c r="D703" s="1"/>
      <c r="E703" s="1"/>
      <c r="F703" s="1"/>
      <c r="G703" s="1"/>
      <c r="H703" s="4"/>
      <c r="I703" s="4"/>
      <c r="J703" s="4"/>
      <c r="K703" s="4"/>
      <c r="L703" s="4"/>
      <c r="M703" s="4"/>
      <c r="N703" s="1"/>
      <c r="O703" s="1"/>
      <c r="P703" s="4"/>
      <c r="Q703" s="5"/>
      <c r="R703" s="4"/>
      <c r="S703" s="1"/>
      <c r="T703" s="1"/>
      <c r="U703" s="1"/>
      <c r="V703" s="1"/>
      <c r="W703" s="1"/>
      <c r="X703" s="6"/>
      <c r="Y703" s="4"/>
      <c r="Z703" s="4"/>
      <c r="AA703" s="4"/>
      <c r="AB703" s="1"/>
      <c r="AC703" s="1"/>
      <c r="AD703" s="1"/>
      <c r="AE703" s="1"/>
      <c r="AF703" s="1"/>
      <c r="AG703" s="4"/>
      <c r="AH703" s="1"/>
      <c r="AI703" s="4"/>
      <c r="AJ703" s="6"/>
      <c r="AK703" s="7"/>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1:61" ht="16.5" customHeight="1">
      <c r="A704" s="1"/>
      <c r="B704" s="139"/>
      <c r="C704" s="1"/>
      <c r="D704" s="1"/>
      <c r="E704" s="1"/>
      <c r="F704" s="1"/>
      <c r="G704" s="1"/>
      <c r="H704" s="4"/>
      <c r="I704" s="4"/>
      <c r="J704" s="4"/>
      <c r="K704" s="4"/>
      <c r="L704" s="4"/>
      <c r="M704" s="4"/>
      <c r="N704" s="1"/>
      <c r="O704" s="1"/>
      <c r="P704" s="4"/>
      <c r="Q704" s="5"/>
      <c r="R704" s="4"/>
      <c r="S704" s="1"/>
      <c r="T704" s="1"/>
      <c r="U704" s="1"/>
      <c r="V704" s="1"/>
      <c r="W704" s="1"/>
      <c r="X704" s="6"/>
      <c r="Y704" s="4"/>
      <c r="Z704" s="4"/>
      <c r="AA704" s="4"/>
      <c r="AB704" s="1"/>
      <c r="AC704" s="1"/>
      <c r="AD704" s="1"/>
      <c r="AE704" s="1"/>
      <c r="AF704" s="1"/>
      <c r="AG704" s="4"/>
      <c r="AH704" s="1"/>
      <c r="AI704" s="4"/>
      <c r="AJ704" s="6"/>
      <c r="AK704" s="7"/>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1:61" ht="16.5" customHeight="1">
      <c r="A705" s="1"/>
      <c r="B705" s="139"/>
      <c r="C705" s="1"/>
      <c r="D705" s="1"/>
      <c r="E705" s="1"/>
      <c r="F705" s="1"/>
      <c r="G705" s="1"/>
      <c r="H705" s="4"/>
      <c r="I705" s="4"/>
      <c r="J705" s="4"/>
      <c r="K705" s="4"/>
      <c r="L705" s="4"/>
      <c r="M705" s="4"/>
      <c r="N705" s="1"/>
      <c r="O705" s="1"/>
      <c r="P705" s="4"/>
      <c r="Q705" s="5"/>
      <c r="R705" s="4"/>
      <c r="S705" s="1"/>
      <c r="T705" s="1"/>
      <c r="U705" s="1"/>
      <c r="V705" s="1"/>
      <c r="W705" s="1"/>
      <c r="X705" s="6"/>
      <c r="Y705" s="4"/>
      <c r="Z705" s="4"/>
      <c r="AA705" s="4"/>
      <c r="AB705" s="1"/>
      <c r="AC705" s="1"/>
      <c r="AD705" s="1"/>
      <c r="AE705" s="1"/>
      <c r="AF705" s="1"/>
      <c r="AG705" s="4"/>
      <c r="AH705" s="1"/>
      <c r="AI705" s="4"/>
      <c r="AJ705" s="6"/>
      <c r="AK705" s="7"/>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1:61" ht="16.5" customHeight="1">
      <c r="A706" s="1"/>
      <c r="B706" s="139"/>
      <c r="C706" s="1"/>
      <c r="D706" s="1"/>
      <c r="E706" s="1"/>
      <c r="F706" s="1"/>
      <c r="G706" s="1"/>
      <c r="H706" s="4"/>
      <c r="I706" s="4"/>
      <c r="J706" s="4"/>
      <c r="K706" s="4"/>
      <c r="L706" s="4"/>
      <c r="M706" s="4"/>
      <c r="N706" s="1"/>
      <c r="O706" s="1"/>
      <c r="P706" s="4"/>
      <c r="Q706" s="5"/>
      <c r="R706" s="4"/>
      <c r="S706" s="1"/>
      <c r="T706" s="1"/>
      <c r="U706" s="1"/>
      <c r="V706" s="1"/>
      <c r="W706" s="1"/>
      <c r="X706" s="6"/>
      <c r="Y706" s="4"/>
      <c r="Z706" s="4"/>
      <c r="AA706" s="4"/>
      <c r="AB706" s="1"/>
      <c r="AC706" s="1"/>
      <c r="AD706" s="1"/>
      <c r="AE706" s="1"/>
      <c r="AF706" s="1"/>
      <c r="AG706" s="4"/>
      <c r="AH706" s="1"/>
      <c r="AI706" s="4"/>
      <c r="AJ706" s="6"/>
      <c r="AK706" s="7"/>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1:61" ht="16.5" customHeight="1">
      <c r="A707" s="1"/>
      <c r="B707" s="139"/>
      <c r="C707" s="1"/>
      <c r="D707" s="1"/>
      <c r="E707" s="1"/>
      <c r="F707" s="1"/>
      <c r="G707" s="1"/>
      <c r="H707" s="4"/>
      <c r="I707" s="4"/>
      <c r="J707" s="4"/>
      <c r="K707" s="4"/>
      <c r="L707" s="4"/>
      <c r="M707" s="4"/>
      <c r="N707" s="1"/>
      <c r="O707" s="1"/>
      <c r="P707" s="4"/>
      <c r="Q707" s="5"/>
      <c r="R707" s="4"/>
      <c r="S707" s="1"/>
      <c r="T707" s="1"/>
      <c r="U707" s="1"/>
      <c r="V707" s="1"/>
      <c r="W707" s="1"/>
      <c r="X707" s="6"/>
      <c r="Y707" s="4"/>
      <c r="Z707" s="4"/>
      <c r="AA707" s="4"/>
      <c r="AB707" s="1"/>
      <c r="AC707" s="1"/>
      <c r="AD707" s="1"/>
      <c r="AE707" s="1"/>
      <c r="AF707" s="1"/>
      <c r="AG707" s="4"/>
      <c r="AH707" s="1"/>
      <c r="AI707" s="4"/>
      <c r="AJ707" s="6"/>
      <c r="AK707" s="7"/>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1:61" ht="16.5" customHeight="1">
      <c r="A708" s="1"/>
      <c r="B708" s="139"/>
      <c r="C708" s="1"/>
      <c r="D708" s="1"/>
      <c r="E708" s="1"/>
      <c r="F708" s="1"/>
      <c r="G708" s="1"/>
      <c r="H708" s="4"/>
      <c r="I708" s="4"/>
      <c r="J708" s="4"/>
      <c r="K708" s="4"/>
      <c r="L708" s="4"/>
      <c r="M708" s="4"/>
      <c r="N708" s="1"/>
      <c r="O708" s="1"/>
      <c r="P708" s="4"/>
      <c r="Q708" s="5"/>
      <c r="R708" s="4"/>
      <c r="S708" s="1"/>
      <c r="T708" s="1"/>
      <c r="U708" s="1"/>
      <c r="V708" s="1"/>
      <c r="W708" s="1"/>
      <c r="X708" s="6"/>
      <c r="Y708" s="4"/>
      <c r="Z708" s="4"/>
      <c r="AA708" s="4"/>
      <c r="AB708" s="1"/>
      <c r="AC708" s="1"/>
      <c r="AD708" s="1"/>
      <c r="AE708" s="1"/>
      <c r="AF708" s="1"/>
      <c r="AG708" s="4"/>
      <c r="AH708" s="1"/>
      <c r="AI708" s="4"/>
      <c r="AJ708" s="6"/>
      <c r="AK708" s="7"/>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1:61" ht="16.5" customHeight="1">
      <c r="A709" s="1"/>
      <c r="B709" s="139"/>
      <c r="C709" s="1"/>
      <c r="D709" s="1"/>
      <c r="E709" s="1"/>
      <c r="F709" s="1"/>
      <c r="G709" s="1"/>
      <c r="H709" s="4"/>
      <c r="I709" s="4"/>
      <c r="J709" s="4"/>
      <c r="K709" s="4"/>
      <c r="L709" s="4"/>
      <c r="M709" s="4"/>
      <c r="N709" s="1"/>
      <c r="O709" s="1"/>
      <c r="P709" s="4"/>
      <c r="Q709" s="5"/>
      <c r="R709" s="4"/>
      <c r="S709" s="1"/>
      <c r="T709" s="1"/>
      <c r="U709" s="1"/>
      <c r="V709" s="1"/>
      <c r="W709" s="1"/>
      <c r="X709" s="6"/>
      <c r="Y709" s="4"/>
      <c r="Z709" s="4"/>
      <c r="AA709" s="4"/>
      <c r="AB709" s="1"/>
      <c r="AC709" s="1"/>
      <c r="AD709" s="1"/>
      <c r="AE709" s="1"/>
      <c r="AF709" s="1"/>
      <c r="AG709" s="4"/>
      <c r="AH709" s="1"/>
      <c r="AI709" s="4"/>
      <c r="AJ709" s="6"/>
      <c r="AK709" s="7"/>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1:61" ht="16.5" customHeight="1">
      <c r="A710" s="1"/>
      <c r="B710" s="139"/>
      <c r="C710" s="1"/>
      <c r="D710" s="1"/>
      <c r="E710" s="1"/>
      <c r="F710" s="1"/>
      <c r="G710" s="1"/>
      <c r="H710" s="4"/>
      <c r="I710" s="4"/>
      <c r="J710" s="4"/>
      <c r="K710" s="4"/>
      <c r="L710" s="4"/>
      <c r="M710" s="4"/>
      <c r="N710" s="1"/>
      <c r="O710" s="1"/>
      <c r="P710" s="4"/>
      <c r="Q710" s="5"/>
      <c r="R710" s="4"/>
      <c r="S710" s="1"/>
      <c r="T710" s="1"/>
      <c r="U710" s="1"/>
      <c r="V710" s="1"/>
      <c r="W710" s="1"/>
      <c r="X710" s="6"/>
      <c r="Y710" s="4"/>
      <c r="Z710" s="4"/>
      <c r="AA710" s="4"/>
      <c r="AB710" s="1"/>
      <c r="AC710" s="1"/>
      <c r="AD710" s="1"/>
      <c r="AE710" s="1"/>
      <c r="AF710" s="1"/>
      <c r="AG710" s="4"/>
      <c r="AH710" s="1"/>
      <c r="AI710" s="4"/>
      <c r="AJ710" s="6"/>
      <c r="AK710" s="7"/>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1:61" ht="16.5" customHeight="1">
      <c r="A711" s="1"/>
      <c r="B711" s="139"/>
      <c r="C711" s="1"/>
      <c r="D711" s="1"/>
      <c r="E711" s="1"/>
      <c r="F711" s="1"/>
      <c r="G711" s="1"/>
      <c r="H711" s="4"/>
      <c r="I711" s="4"/>
      <c r="J711" s="4"/>
      <c r="K711" s="4"/>
      <c r="L711" s="4"/>
      <c r="M711" s="4"/>
      <c r="N711" s="1"/>
      <c r="O711" s="1"/>
      <c r="P711" s="4"/>
      <c r="Q711" s="5"/>
      <c r="R711" s="4"/>
      <c r="S711" s="1"/>
      <c r="T711" s="1"/>
      <c r="U711" s="1"/>
      <c r="V711" s="1"/>
      <c r="W711" s="1"/>
      <c r="X711" s="6"/>
      <c r="Y711" s="4"/>
      <c r="Z711" s="4"/>
      <c r="AA711" s="4"/>
      <c r="AB711" s="1"/>
      <c r="AC711" s="1"/>
      <c r="AD711" s="1"/>
      <c r="AE711" s="1"/>
      <c r="AF711" s="1"/>
      <c r="AG711" s="4"/>
      <c r="AH711" s="1"/>
      <c r="AI711" s="4"/>
      <c r="AJ711" s="6"/>
      <c r="AK711" s="7"/>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1:61" ht="16.5" customHeight="1">
      <c r="A712" s="1"/>
      <c r="B712" s="139"/>
      <c r="C712" s="1"/>
      <c r="D712" s="1"/>
      <c r="E712" s="1"/>
      <c r="F712" s="1"/>
      <c r="G712" s="1"/>
      <c r="H712" s="4"/>
      <c r="I712" s="4"/>
      <c r="J712" s="4"/>
      <c r="K712" s="4"/>
      <c r="L712" s="4"/>
      <c r="M712" s="4"/>
      <c r="N712" s="1"/>
      <c r="O712" s="1"/>
      <c r="P712" s="4"/>
      <c r="Q712" s="5"/>
      <c r="R712" s="4"/>
      <c r="S712" s="1"/>
      <c r="T712" s="1"/>
      <c r="U712" s="1"/>
      <c r="V712" s="1"/>
      <c r="W712" s="1"/>
      <c r="X712" s="6"/>
      <c r="Y712" s="4"/>
      <c r="Z712" s="4"/>
      <c r="AA712" s="4"/>
      <c r="AB712" s="1"/>
      <c r="AC712" s="1"/>
      <c r="AD712" s="1"/>
      <c r="AE712" s="1"/>
      <c r="AF712" s="1"/>
      <c r="AG712" s="4"/>
      <c r="AH712" s="1"/>
      <c r="AI712" s="4"/>
      <c r="AJ712" s="6"/>
      <c r="AK712" s="7"/>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1:61" ht="16.5" customHeight="1">
      <c r="A713" s="1"/>
      <c r="B713" s="139"/>
      <c r="C713" s="1"/>
      <c r="D713" s="1"/>
      <c r="E713" s="1"/>
      <c r="F713" s="1"/>
      <c r="G713" s="1"/>
      <c r="H713" s="4"/>
      <c r="I713" s="4"/>
      <c r="J713" s="4"/>
      <c r="K713" s="4"/>
      <c r="L713" s="4"/>
      <c r="M713" s="4"/>
      <c r="N713" s="1"/>
      <c r="O713" s="1"/>
      <c r="P713" s="4"/>
      <c r="Q713" s="5"/>
      <c r="R713" s="4"/>
      <c r="S713" s="1"/>
      <c r="T713" s="1"/>
      <c r="U713" s="1"/>
      <c r="V713" s="1"/>
      <c r="W713" s="1"/>
      <c r="X713" s="6"/>
      <c r="Y713" s="4"/>
      <c r="Z713" s="4"/>
      <c r="AA713" s="4"/>
      <c r="AB713" s="1"/>
      <c r="AC713" s="1"/>
      <c r="AD713" s="1"/>
      <c r="AE713" s="1"/>
      <c r="AF713" s="1"/>
      <c r="AG713" s="4"/>
      <c r="AH713" s="1"/>
      <c r="AI713" s="4"/>
      <c r="AJ713" s="6"/>
      <c r="AK713" s="7"/>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1:61" ht="16.5" customHeight="1">
      <c r="A714" s="1"/>
      <c r="B714" s="139"/>
      <c r="C714" s="1"/>
      <c r="D714" s="1"/>
      <c r="E714" s="1"/>
      <c r="F714" s="1"/>
      <c r="G714" s="1"/>
      <c r="H714" s="4"/>
      <c r="I714" s="4"/>
      <c r="J714" s="4"/>
      <c r="K714" s="4"/>
      <c r="L714" s="4"/>
      <c r="M714" s="4"/>
      <c r="N714" s="1"/>
      <c r="O714" s="1"/>
      <c r="P714" s="4"/>
      <c r="Q714" s="5"/>
      <c r="R714" s="4"/>
      <c r="S714" s="1"/>
      <c r="T714" s="1"/>
      <c r="U714" s="1"/>
      <c r="V714" s="1"/>
      <c r="W714" s="1"/>
      <c r="X714" s="6"/>
      <c r="Y714" s="4"/>
      <c r="Z714" s="4"/>
      <c r="AA714" s="4"/>
      <c r="AB714" s="1"/>
      <c r="AC714" s="1"/>
      <c r="AD714" s="1"/>
      <c r="AE714" s="1"/>
      <c r="AF714" s="1"/>
      <c r="AG714" s="4"/>
      <c r="AH714" s="1"/>
      <c r="AI714" s="4"/>
      <c r="AJ714" s="6"/>
      <c r="AK714" s="7"/>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1:61" ht="16.5" customHeight="1">
      <c r="A715" s="1"/>
      <c r="B715" s="139"/>
      <c r="C715" s="1"/>
      <c r="D715" s="1"/>
      <c r="E715" s="1"/>
      <c r="F715" s="1"/>
      <c r="G715" s="1"/>
      <c r="H715" s="4"/>
      <c r="I715" s="4"/>
      <c r="J715" s="4"/>
      <c r="K715" s="4"/>
      <c r="L715" s="4"/>
      <c r="M715" s="4"/>
      <c r="N715" s="1"/>
      <c r="O715" s="1"/>
      <c r="P715" s="4"/>
      <c r="Q715" s="5"/>
      <c r="R715" s="4"/>
      <c r="S715" s="1"/>
      <c r="T715" s="1"/>
      <c r="U715" s="1"/>
      <c r="V715" s="1"/>
      <c r="W715" s="1"/>
      <c r="X715" s="6"/>
      <c r="Y715" s="4"/>
      <c r="Z715" s="4"/>
      <c r="AA715" s="4"/>
      <c r="AB715" s="1"/>
      <c r="AC715" s="1"/>
      <c r="AD715" s="1"/>
      <c r="AE715" s="1"/>
      <c r="AF715" s="1"/>
      <c r="AG715" s="4"/>
      <c r="AH715" s="1"/>
      <c r="AI715" s="4"/>
      <c r="AJ715" s="6"/>
      <c r="AK715" s="7"/>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1:61" ht="16.5" customHeight="1">
      <c r="A716" s="1"/>
      <c r="B716" s="139"/>
      <c r="C716" s="1"/>
      <c r="D716" s="1"/>
      <c r="E716" s="1"/>
      <c r="F716" s="1"/>
      <c r="G716" s="1"/>
      <c r="H716" s="4"/>
      <c r="I716" s="4"/>
      <c r="J716" s="4"/>
      <c r="K716" s="4"/>
      <c r="L716" s="4"/>
      <c r="M716" s="4"/>
      <c r="N716" s="1"/>
      <c r="O716" s="1"/>
      <c r="P716" s="4"/>
      <c r="Q716" s="5"/>
      <c r="R716" s="4"/>
      <c r="S716" s="1"/>
      <c r="T716" s="1"/>
      <c r="U716" s="1"/>
      <c r="V716" s="1"/>
      <c r="W716" s="1"/>
      <c r="X716" s="6"/>
      <c r="Y716" s="4"/>
      <c r="Z716" s="4"/>
      <c r="AA716" s="4"/>
      <c r="AB716" s="1"/>
      <c r="AC716" s="1"/>
      <c r="AD716" s="1"/>
      <c r="AE716" s="1"/>
      <c r="AF716" s="1"/>
      <c r="AG716" s="4"/>
      <c r="AH716" s="1"/>
      <c r="AI716" s="4"/>
      <c r="AJ716" s="6"/>
      <c r="AK716" s="7"/>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1:61" ht="16.5" customHeight="1">
      <c r="A717" s="1"/>
      <c r="B717" s="139"/>
      <c r="C717" s="1"/>
      <c r="D717" s="1"/>
      <c r="E717" s="1"/>
      <c r="F717" s="1"/>
      <c r="G717" s="1"/>
      <c r="H717" s="4"/>
      <c r="I717" s="4"/>
      <c r="J717" s="4"/>
      <c r="K717" s="4"/>
      <c r="L717" s="4"/>
      <c r="M717" s="4"/>
      <c r="N717" s="1"/>
      <c r="O717" s="1"/>
      <c r="P717" s="4"/>
      <c r="Q717" s="5"/>
      <c r="R717" s="4"/>
      <c r="S717" s="1"/>
      <c r="T717" s="1"/>
      <c r="U717" s="1"/>
      <c r="V717" s="1"/>
      <c r="W717" s="1"/>
      <c r="X717" s="6"/>
      <c r="Y717" s="4"/>
      <c r="Z717" s="4"/>
      <c r="AA717" s="4"/>
      <c r="AB717" s="1"/>
      <c r="AC717" s="1"/>
      <c r="AD717" s="1"/>
      <c r="AE717" s="1"/>
      <c r="AF717" s="1"/>
      <c r="AG717" s="4"/>
      <c r="AH717" s="1"/>
      <c r="AI717" s="4"/>
      <c r="AJ717" s="6"/>
      <c r="AK717" s="7"/>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1:61" ht="16.5" customHeight="1">
      <c r="A718" s="1"/>
      <c r="B718" s="139"/>
      <c r="C718" s="1"/>
      <c r="D718" s="1"/>
      <c r="E718" s="1"/>
      <c r="F718" s="1"/>
      <c r="G718" s="1"/>
      <c r="H718" s="4"/>
      <c r="I718" s="4"/>
      <c r="J718" s="4"/>
      <c r="K718" s="4"/>
      <c r="L718" s="4"/>
      <c r="M718" s="4"/>
      <c r="N718" s="1"/>
      <c r="O718" s="1"/>
      <c r="P718" s="4"/>
      <c r="Q718" s="5"/>
      <c r="R718" s="4"/>
      <c r="S718" s="1"/>
      <c r="T718" s="1"/>
      <c r="U718" s="1"/>
      <c r="V718" s="1"/>
      <c r="W718" s="1"/>
      <c r="X718" s="6"/>
      <c r="Y718" s="4"/>
      <c r="Z718" s="4"/>
      <c r="AA718" s="4"/>
      <c r="AB718" s="1"/>
      <c r="AC718" s="1"/>
      <c r="AD718" s="1"/>
      <c r="AE718" s="1"/>
      <c r="AF718" s="1"/>
      <c r="AG718" s="4"/>
      <c r="AH718" s="1"/>
      <c r="AI718" s="4"/>
      <c r="AJ718" s="6"/>
      <c r="AK718" s="7"/>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1:61" ht="16.5" customHeight="1">
      <c r="A719" s="1"/>
      <c r="B719" s="139"/>
      <c r="C719" s="1"/>
      <c r="D719" s="1"/>
      <c r="E719" s="1"/>
      <c r="F719" s="1"/>
      <c r="G719" s="1"/>
      <c r="H719" s="4"/>
      <c r="I719" s="4"/>
      <c r="J719" s="4"/>
      <c r="K719" s="4"/>
      <c r="L719" s="4"/>
      <c r="M719" s="4"/>
      <c r="N719" s="1"/>
      <c r="O719" s="1"/>
      <c r="P719" s="4"/>
      <c r="Q719" s="5"/>
      <c r="R719" s="4"/>
      <c r="S719" s="1"/>
      <c r="T719" s="1"/>
      <c r="U719" s="1"/>
      <c r="V719" s="1"/>
      <c r="W719" s="1"/>
      <c r="X719" s="6"/>
      <c r="Y719" s="4"/>
      <c r="Z719" s="4"/>
      <c r="AA719" s="4"/>
      <c r="AB719" s="1"/>
      <c r="AC719" s="1"/>
      <c r="AD719" s="1"/>
      <c r="AE719" s="1"/>
      <c r="AF719" s="1"/>
      <c r="AG719" s="4"/>
      <c r="AH719" s="1"/>
      <c r="AI719" s="4"/>
      <c r="AJ719" s="6"/>
      <c r="AK719" s="7"/>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1:61" ht="16.5" customHeight="1">
      <c r="A720" s="1"/>
      <c r="B720" s="139"/>
      <c r="C720" s="1"/>
      <c r="D720" s="1"/>
      <c r="E720" s="1"/>
      <c r="F720" s="1"/>
      <c r="G720" s="1"/>
      <c r="H720" s="4"/>
      <c r="I720" s="4"/>
      <c r="J720" s="4"/>
      <c r="K720" s="4"/>
      <c r="L720" s="4"/>
      <c r="M720" s="4"/>
      <c r="N720" s="1"/>
      <c r="O720" s="1"/>
      <c r="P720" s="4"/>
      <c r="Q720" s="5"/>
      <c r="R720" s="4"/>
      <c r="S720" s="1"/>
      <c r="T720" s="1"/>
      <c r="U720" s="1"/>
      <c r="V720" s="1"/>
      <c r="W720" s="1"/>
      <c r="X720" s="6"/>
      <c r="Y720" s="4"/>
      <c r="Z720" s="4"/>
      <c r="AA720" s="4"/>
      <c r="AB720" s="1"/>
      <c r="AC720" s="1"/>
      <c r="AD720" s="1"/>
      <c r="AE720" s="1"/>
      <c r="AF720" s="1"/>
      <c r="AG720" s="4"/>
      <c r="AH720" s="1"/>
      <c r="AI720" s="4"/>
      <c r="AJ720" s="6"/>
      <c r="AK720" s="7"/>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1:61" ht="16.5" customHeight="1">
      <c r="A721" s="1"/>
      <c r="B721" s="139"/>
      <c r="C721" s="1"/>
      <c r="D721" s="1"/>
      <c r="E721" s="1"/>
      <c r="F721" s="1"/>
      <c r="G721" s="1"/>
      <c r="H721" s="4"/>
      <c r="I721" s="4"/>
      <c r="J721" s="4"/>
      <c r="K721" s="4"/>
      <c r="L721" s="4"/>
      <c r="M721" s="4"/>
      <c r="N721" s="1"/>
      <c r="O721" s="1"/>
      <c r="P721" s="4"/>
      <c r="Q721" s="5"/>
      <c r="R721" s="4"/>
      <c r="S721" s="1"/>
      <c r="T721" s="1"/>
      <c r="U721" s="1"/>
      <c r="V721" s="1"/>
      <c r="W721" s="1"/>
      <c r="X721" s="6"/>
      <c r="Y721" s="4"/>
      <c r="Z721" s="4"/>
      <c r="AA721" s="4"/>
      <c r="AB721" s="1"/>
      <c r="AC721" s="1"/>
      <c r="AD721" s="1"/>
      <c r="AE721" s="1"/>
      <c r="AF721" s="1"/>
      <c r="AG721" s="4"/>
      <c r="AH721" s="1"/>
      <c r="AI721" s="4"/>
      <c r="AJ721" s="6"/>
      <c r="AK721" s="7"/>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1:61" ht="16.5" customHeight="1">
      <c r="A722" s="1"/>
      <c r="B722" s="139"/>
      <c r="C722" s="1"/>
      <c r="D722" s="1"/>
      <c r="E722" s="1"/>
      <c r="F722" s="1"/>
      <c r="G722" s="1"/>
      <c r="H722" s="4"/>
      <c r="I722" s="4"/>
      <c r="J722" s="4"/>
      <c r="K722" s="4"/>
      <c r="L722" s="4"/>
      <c r="M722" s="4"/>
      <c r="N722" s="1"/>
      <c r="O722" s="1"/>
      <c r="P722" s="4"/>
      <c r="Q722" s="5"/>
      <c r="R722" s="4"/>
      <c r="S722" s="1"/>
      <c r="T722" s="1"/>
      <c r="U722" s="1"/>
      <c r="V722" s="1"/>
      <c r="W722" s="1"/>
      <c r="X722" s="6"/>
      <c r="Y722" s="4"/>
      <c r="Z722" s="4"/>
      <c r="AA722" s="4"/>
      <c r="AB722" s="1"/>
      <c r="AC722" s="1"/>
      <c r="AD722" s="1"/>
      <c r="AE722" s="1"/>
      <c r="AF722" s="1"/>
      <c r="AG722" s="4"/>
      <c r="AH722" s="1"/>
      <c r="AI722" s="4"/>
      <c r="AJ722" s="6"/>
      <c r="AK722" s="7"/>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1:61" ht="16.5" customHeight="1">
      <c r="A723" s="1"/>
      <c r="B723" s="139"/>
      <c r="C723" s="1"/>
      <c r="D723" s="1"/>
      <c r="E723" s="1"/>
      <c r="F723" s="1"/>
      <c r="G723" s="1"/>
      <c r="H723" s="4"/>
      <c r="I723" s="4"/>
      <c r="J723" s="4"/>
      <c r="K723" s="4"/>
      <c r="L723" s="4"/>
      <c r="M723" s="4"/>
      <c r="N723" s="1"/>
      <c r="O723" s="1"/>
      <c r="P723" s="4"/>
      <c r="Q723" s="5"/>
      <c r="R723" s="4"/>
      <c r="S723" s="1"/>
      <c r="T723" s="1"/>
      <c r="U723" s="1"/>
      <c r="V723" s="1"/>
      <c r="W723" s="1"/>
      <c r="X723" s="6"/>
      <c r="Y723" s="4"/>
      <c r="Z723" s="4"/>
      <c r="AA723" s="4"/>
      <c r="AB723" s="1"/>
      <c r="AC723" s="1"/>
      <c r="AD723" s="1"/>
      <c r="AE723" s="1"/>
      <c r="AF723" s="1"/>
      <c r="AG723" s="4"/>
      <c r="AH723" s="1"/>
      <c r="AI723" s="4"/>
      <c r="AJ723" s="6"/>
      <c r="AK723" s="7"/>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1:61" ht="16.5" customHeight="1">
      <c r="A724" s="1"/>
      <c r="B724" s="139"/>
      <c r="C724" s="1"/>
      <c r="D724" s="1"/>
      <c r="E724" s="1"/>
      <c r="F724" s="1"/>
      <c r="G724" s="1"/>
      <c r="H724" s="4"/>
      <c r="I724" s="4"/>
      <c r="J724" s="4"/>
      <c r="K724" s="4"/>
      <c r="L724" s="4"/>
      <c r="M724" s="4"/>
      <c r="N724" s="1"/>
      <c r="O724" s="1"/>
      <c r="P724" s="4"/>
      <c r="Q724" s="5"/>
      <c r="R724" s="4"/>
      <c r="S724" s="1"/>
      <c r="T724" s="1"/>
      <c r="U724" s="1"/>
      <c r="V724" s="1"/>
      <c r="W724" s="1"/>
      <c r="X724" s="6"/>
      <c r="Y724" s="4"/>
      <c r="Z724" s="4"/>
      <c r="AA724" s="4"/>
      <c r="AB724" s="1"/>
      <c r="AC724" s="1"/>
      <c r="AD724" s="1"/>
      <c r="AE724" s="1"/>
      <c r="AF724" s="1"/>
      <c r="AG724" s="4"/>
      <c r="AH724" s="1"/>
      <c r="AI724" s="4"/>
      <c r="AJ724" s="6"/>
      <c r="AK724" s="7"/>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1:61" ht="16.5" customHeight="1">
      <c r="A725" s="1"/>
      <c r="B725" s="139"/>
      <c r="C725" s="1"/>
      <c r="D725" s="1"/>
      <c r="E725" s="1"/>
      <c r="F725" s="1"/>
      <c r="G725" s="1"/>
      <c r="H725" s="4"/>
      <c r="I725" s="4"/>
      <c r="J725" s="4"/>
      <c r="K725" s="4"/>
      <c r="L725" s="4"/>
      <c r="M725" s="4"/>
      <c r="N725" s="1"/>
      <c r="O725" s="1"/>
      <c r="P725" s="4"/>
      <c r="Q725" s="5"/>
      <c r="R725" s="4"/>
      <c r="S725" s="1"/>
      <c r="T725" s="1"/>
      <c r="U725" s="1"/>
      <c r="V725" s="1"/>
      <c r="W725" s="1"/>
      <c r="X725" s="6"/>
      <c r="Y725" s="4"/>
      <c r="Z725" s="4"/>
      <c r="AA725" s="4"/>
      <c r="AB725" s="1"/>
      <c r="AC725" s="1"/>
      <c r="AD725" s="1"/>
      <c r="AE725" s="1"/>
      <c r="AF725" s="1"/>
      <c r="AG725" s="4"/>
      <c r="AH725" s="1"/>
      <c r="AI725" s="4"/>
      <c r="AJ725" s="6"/>
      <c r="AK725" s="7"/>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1:61" ht="16.5" customHeight="1">
      <c r="A726" s="1"/>
      <c r="B726" s="139"/>
      <c r="C726" s="1"/>
      <c r="D726" s="1"/>
      <c r="E726" s="1"/>
      <c r="F726" s="1"/>
      <c r="G726" s="1"/>
      <c r="H726" s="4"/>
      <c r="I726" s="4"/>
      <c r="J726" s="4"/>
      <c r="K726" s="4"/>
      <c r="L726" s="4"/>
      <c r="M726" s="4"/>
      <c r="N726" s="1"/>
      <c r="O726" s="1"/>
      <c r="P726" s="4"/>
      <c r="Q726" s="5"/>
      <c r="R726" s="4"/>
      <c r="S726" s="1"/>
      <c r="T726" s="1"/>
      <c r="U726" s="1"/>
      <c r="V726" s="1"/>
      <c r="W726" s="1"/>
      <c r="X726" s="6"/>
      <c r="Y726" s="4"/>
      <c r="Z726" s="4"/>
      <c r="AA726" s="4"/>
      <c r="AB726" s="1"/>
      <c r="AC726" s="1"/>
      <c r="AD726" s="1"/>
      <c r="AE726" s="1"/>
      <c r="AF726" s="1"/>
      <c r="AG726" s="4"/>
      <c r="AH726" s="1"/>
      <c r="AI726" s="4"/>
      <c r="AJ726" s="6"/>
      <c r="AK726" s="7"/>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1:61" ht="16.5" customHeight="1">
      <c r="A727" s="1"/>
      <c r="B727" s="139"/>
      <c r="C727" s="1"/>
      <c r="D727" s="1"/>
      <c r="E727" s="1"/>
      <c r="F727" s="1"/>
      <c r="G727" s="1"/>
      <c r="H727" s="4"/>
      <c r="I727" s="4"/>
      <c r="J727" s="4"/>
      <c r="K727" s="4"/>
      <c r="L727" s="4"/>
      <c r="M727" s="4"/>
      <c r="N727" s="1"/>
      <c r="O727" s="1"/>
      <c r="P727" s="4"/>
      <c r="Q727" s="5"/>
      <c r="R727" s="4"/>
      <c r="S727" s="1"/>
      <c r="T727" s="1"/>
      <c r="U727" s="1"/>
      <c r="V727" s="1"/>
      <c r="W727" s="1"/>
      <c r="X727" s="6"/>
      <c r="Y727" s="4"/>
      <c r="Z727" s="4"/>
      <c r="AA727" s="4"/>
      <c r="AB727" s="1"/>
      <c r="AC727" s="1"/>
      <c r="AD727" s="1"/>
      <c r="AE727" s="1"/>
      <c r="AF727" s="1"/>
      <c r="AG727" s="4"/>
      <c r="AH727" s="1"/>
      <c r="AI727" s="4"/>
      <c r="AJ727" s="6"/>
      <c r="AK727" s="7"/>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1:61" ht="16.5" customHeight="1">
      <c r="A728" s="1"/>
      <c r="B728" s="139"/>
      <c r="C728" s="1"/>
      <c r="D728" s="1"/>
      <c r="E728" s="1"/>
      <c r="F728" s="1"/>
      <c r="G728" s="1"/>
      <c r="H728" s="4"/>
      <c r="I728" s="4"/>
      <c r="J728" s="4"/>
      <c r="K728" s="4"/>
      <c r="L728" s="4"/>
      <c r="M728" s="4"/>
      <c r="N728" s="1"/>
      <c r="O728" s="1"/>
      <c r="P728" s="4"/>
      <c r="Q728" s="5"/>
      <c r="R728" s="4"/>
      <c r="S728" s="1"/>
      <c r="T728" s="1"/>
      <c r="U728" s="1"/>
      <c r="V728" s="1"/>
      <c r="W728" s="1"/>
      <c r="X728" s="6"/>
      <c r="Y728" s="4"/>
      <c r="Z728" s="4"/>
      <c r="AA728" s="4"/>
      <c r="AB728" s="1"/>
      <c r="AC728" s="1"/>
      <c r="AD728" s="1"/>
      <c r="AE728" s="1"/>
      <c r="AF728" s="1"/>
      <c r="AG728" s="4"/>
      <c r="AH728" s="1"/>
      <c r="AI728" s="4"/>
      <c r="AJ728" s="6"/>
      <c r="AK728" s="7"/>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1:61" ht="16.5" customHeight="1">
      <c r="A729" s="1"/>
      <c r="B729" s="139"/>
      <c r="C729" s="1"/>
      <c r="D729" s="1"/>
      <c r="E729" s="1"/>
      <c r="F729" s="1"/>
      <c r="G729" s="1"/>
      <c r="H729" s="4"/>
      <c r="I729" s="4"/>
      <c r="J729" s="4"/>
      <c r="K729" s="4"/>
      <c r="L729" s="4"/>
      <c r="M729" s="4"/>
      <c r="N729" s="1"/>
      <c r="O729" s="1"/>
      <c r="P729" s="4"/>
      <c r="Q729" s="5"/>
      <c r="R729" s="4"/>
      <c r="S729" s="1"/>
      <c r="T729" s="1"/>
      <c r="U729" s="1"/>
      <c r="V729" s="1"/>
      <c r="W729" s="1"/>
      <c r="X729" s="6"/>
      <c r="Y729" s="4"/>
      <c r="Z729" s="4"/>
      <c r="AA729" s="4"/>
      <c r="AB729" s="1"/>
      <c r="AC729" s="1"/>
      <c r="AD729" s="1"/>
      <c r="AE729" s="1"/>
      <c r="AF729" s="1"/>
      <c r="AG729" s="4"/>
      <c r="AH729" s="1"/>
      <c r="AI729" s="4"/>
      <c r="AJ729" s="6"/>
      <c r="AK729" s="7"/>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1:61" ht="16.5" customHeight="1">
      <c r="A730" s="1"/>
      <c r="B730" s="139"/>
      <c r="C730" s="1"/>
      <c r="D730" s="1"/>
      <c r="E730" s="1"/>
      <c r="F730" s="1"/>
      <c r="G730" s="1"/>
      <c r="H730" s="4"/>
      <c r="I730" s="4"/>
      <c r="J730" s="4"/>
      <c r="K730" s="4"/>
      <c r="L730" s="4"/>
      <c r="M730" s="4"/>
      <c r="N730" s="1"/>
      <c r="O730" s="1"/>
      <c r="P730" s="4"/>
      <c r="Q730" s="5"/>
      <c r="R730" s="4"/>
      <c r="S730" s="1"/>
      <c r="T730" s="1"/>
      <c r="U730" s="1"/>
      <c r="V730" s="1"/>
      <c r="W730" s="1"/>
      <c r="X730" s="6"/>
      <c r="Y730" s="4"/>
      <c r="Z730" s="4"/>
      <c r="AA730" s="4"/>
      <c r="AB730" s="1"/>
      <c r="AC730" s="1"/>
      <c r="AD730" s="1"/>
      <c r="AE730" s="1"/>
      <c r="AF730" s="1"/>
      <c r="AG730" s="4"/>
      <c r="AH730" s="1"/>
      <c r="AI730" s="4"/>
      <c r="AJ730" s="6"/>
      <c r="AK730" s="7"/>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1:61" ht="16.5" customHeight="1">
      <c r="A731" s="1"/>
      <c r="B731" s="139"/>
      <c r="C731" s="1"/>
      <c r="D731" s="1"/>
      <c r="E731" s="1"/>
      <c r="F731" s="1"/>
      <c r="G731" s="1"/>
      <c r="H731" s="4"/>
      <c r="I731" s="4"/>
      <c r="J731" s="4"/>
      <c r="K731" s="4"/>
      <c r="L731" s="4"/>
      <c r="M731" s="4"/>
      <c r="N731" s="1"/>
      <c r="O731" s="1"/>
      <c r="P731" s="4"/>
      <c r="Q731" s="5"/>
      <c r="R731" s="4"/>
      <c r="S731" s="1"/>
      <c r="T731" s="1"/>
      <c r="U731" s="1"/>
      <c r="V731" s="1"/>
      <c r="W731" s="1"/>
      <c r="X731" s="6"/>
      <c r="Y731" s="4"/>
      <c r="Z731" s="4"/>
      <c r="AA731" s="4"/>
      <c r="AB731" s="1"/>
      <c r="AC731" s="1"/>
      <c r="AD731" s="1"/>
      <c r="AE731" s="1"/>
      <c r="AF731" s="1"/>
      <c r="AG731" s="4"/>
      <c r="AH731" s="1"/>
      <c r="AI731" s="4"/>
      <c r="AJ731" s="6"/>
      <c r="AK731" s="7"/>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1:61" ht="16.5" customHeight="1">
      <c r="A732" s="1"/>
      <c r="B732" s="139"/>
      <c r="C732" s="1"/>
      <c r="D732" s="1"/>
      <c r="E732" s="1"/>
      <c r="F732" s="1"/>
      <c r="G732" s="1"/>
      <c r="H732" s="4"/>
      <c r="I732" s="4"/>
      <c r="J732" s="4"/>
      <c r="K732" s="4"/>
      <c r="L732" s="4"/>
      <c r="M732" s="4"/>
      <c r="N732" s="1"/>
      <c r="O732" s="1"/>
      <c r="P732" s="4"/>
      <c r="Q732" s="5"/>
      <c r="R732" s="4"/>
      <c r="S732" s="1"/>
      <c r="T732" s="1"/>
      <c r="U732" s="1"/>
      <c r="V732" s="1"/>
      <c r="W732" s="1"/>
      <c r="X732" s="6"/>
      <c r="Y732" s="4"/>
      <c r="Z732" s="4"/>
      <c r="AA732" s="4"/>
      <c r="AB732" s="1"/>
      <c r="AC732" s="1"/>
      <c r="AD732" s="1"/>
      <c r="AE732" s="1"/>
      <c r="AF732" s="1"/>
      <c r="AG732" s="4"/>
      <c r="AH732" s="1"/>
      <c r="AI732" s="4"/>
      <c r="AJ732" s="6"/>
      <c r="AK732" s="7"/>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1:61" ht="16.5" customHeight="1">
      <c r="A733" s="1"/>
      <c r="B733" s="139"/>
      <c r="C733" s="1"/>
      <c r="D733" s="1"/>
      <c r="E733" s="1"/>
      <c r="F733" s="1"/>
      <c r="G733" s="1"/>
      <c r="H733" s="4"/>
      <c r="I733" s="4"/>
      <c r="J733" s="4"/>
      <c r="K733" s="4"/>
      <c r="L733" s="4"/>
      <c r="M733" s="4"/>
      <c r="N733" s="1"/>
      <c r="O733" s="1"/>
      <c r="P733" s="4"/>
      <c r="Q733" s="5"/>
      <c r="R733" s="4"/>
      <c r="S733" s="1"/>
      <c r="T733" s="1"/>
      <c r="U733" s="1"/>
      <c r="V733" s="1"/>
      <c r="W733" s="1"/>
      <c r="X733" s="6"/>
      <c r="Y733" s="4"/>
      <c r="Z733" s="4"/>
      <c r="AA733" s="4"/>
      <c r="AB733" s="1"/>
      <c r="AC733" s="1"/>
      <c r="AD733" s="1"/>
      <c r="AE733" s="1"/>
      <c r="AF733" s="1"/>
      <c r="AG733" s="4"/>
      <c r="AH733" s="1"/>
      <c r="AI733" s="4"/>
      <c r="AJ733" s="6"/>
      <c r="AK733" s="7"/>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1:61" ht="16.5" customHeight="1">
      <c r="A734" s="1"/>
      <c r="B734" s="139"/>
      <c r="C734" s="1"/>
      <c r="D734" s="1"/>
      <c r="E734" s="1"/>
      <c r="F734" s="1"/>
      <c r="G734" s="1"/>
      <c r="H734" s="4"/>
      <c r="I734" s="4"/>
      <c r="J734" s="4"/>
      <c r="K734" s="4"/>
      <c r="L734" s="4"/>
      <c r="M734" s="4"/>
      <c r="N734" s="1"/>
      <c r="O734" s="1"/>
      <c r="P734" s="4"/>
      <c r="Q734" s="5"/>
      <c r="R734" s="4"/>
      <c r="S734" s="1"/>
      <c r="T734" s="1"/>
      <c r="U734" s="1"/>
      <c r="V734" s="1"/>
      <c r="W734" s="1"/>
      <c r="X734" s="6"/>
      <c r="Y734" s="4"/>
      <c r="Z734" s="4"/>
      <c r="AA734" s="4"/>
      <c r="AB734" s="1"/>
      <c r="AC734" s="1"/>
      <c r="AD734" s="1"/>
      <c r="AE734" s="1"/>
      <c r="AF734" s="1"/>
      <c r="AG734" s="4"/>
      <c r="AH734" s="1"/>
      <c r="AI734" s="4"/>
      <c r="AJ734" s="6"/>
      <c r="AK734" s="7"/>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1:61" ht="16.5" customHeight="1">
      <c r="A735" s="1"/>
      <c r="B735" s="139"/>
      <c r="C735" s="1"/>
      <c r="D735" s="1"/>
      <c r="E735" s="1"/>
      <c r="F735" s="1"/>
      <c r="G735" s="1"/>
      <c r="H735" s="4"/>
      <c r="I735" s="4"/>
      <c r="J735" s="4"/>
      <c r="K735" s="4"/>
      <c r="L735" s="4"/>
      <c r="M735" s="4"/>
      <c r="N735" s="1"/>
      <c r="O735" s="1"/>
      <c r="P735" s="4"/>
      <c r="Q735" s="5"/>
      <c r="R735" s="4"/>
      <c r="S735" s="1"/>
      <c r="T735" s="1"/>
      <c r="U735" s="1"/>
      <c r="V735" s="1"/>
      <c r="W735" s="1"/>
      <c r="X735" s="6"/>
      <c r="Y735" s="4"/>
      <c r="Z735" s="4"/>
      <c r="AA735" s="4"/>
      <c r="AB735" s="1"/>
      <c r="AC735" s="1"/>
      <c r="AD735" s="1"/>
      <c r="AE735" s="1"/>
      <c r="AF735" s="1"/>
      <c r="AG735" s="4"/>
      <c r="AH735" s="1"/>
      <c r="AI735" s="4"/>
      <c r="AJ735" s="6"/>
      <c r="AK735" s="7"/>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1:61" ht="16.5" customHeight="1">
      <c r="A736" s="1"/>
      <c r="B736" s="139"/>
      <c r="C736" s="1"/>
      <c r="D736" s="1"/>
      <c r="E736" s="1"/>
      <c r="F736" s="1"/>
      <c r="G736" s="1"/>
      <c r="H736" s="4"/>
      <c r="I736" s="4"/>
      <c r="J736" s="4"/>
      <c r="K736" s="4"/>
      <c r="L736" s="4"/>
      <c r="M736" s="4"/>
      <c r="N736" s="1"/>
      <c r="O736" s="1"/>
      <c r="P736" s="4"/>
      <c r="Q736" s="5"/>
      <c r="R736" s="4"/>
      <c r="S736" s="1"/>
      <c r="T736" s="1"/>
      <c r="U736" s="1"/>
      <c r="V736" s="1"/>
      <c r="W736" s="1"/>
      <c r="X736" s="6"/>
      <c r="Y736" s="4"/>
      <c r="Z736" s="4"/>
      <c r="AA736" s="4"/>
      <c r="AB736" s="1"/>
      <c r="AC736" s="1"/>
      <c r="AD736" s="1"/>
      <c r="AE736" s="1"/>
      <c r="AF736" s="1"/>
      <c r="AG736" s="4"/>
      <c r="AH736" s="1"/>
      <c r="AI736" s="4"/>
      <c r="AJ736" s="6"/>
      <c r="AK736" s="7"/>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1:61" ht="16.5" customHeight="1">
      <c r="A737" s="1"/>
      <c r="B737" s="139"/>
      <c r="C737" s="1"/>
      <c r="D737" s="1"/>
      <c r="E737" s="1"/>
      <c r="F737" s="1"/>
      <c r="G737" s="1"/>
      <c r="H737" s="4"/>
      <c r="I737" s="4"/>
      <c r="J737" s="4"/>
      <c r="K737" s="4"/>
      <c r="L737" s="4"/>
      <c r="M737" s="4"/>
      <c r="N737" s="1"/>
      <c r="O737" s="1"/>
      <c r="P737" s="4"/>
      <c r="Q737" s="5"/>
      <c r="R737" s="4"/>
      <c r="S737" s="1"/>
      <c r="T737" s="1"/>
      <c r="U737" s="1"/>
      <c r="V737" s="1"/>
      <c r="W737" s="1"/>
      <c r="X737" s="6"/>
      <c r="Y737" s="4"/>
      <c r="Z737" s="4"/>
      <c r="AA737" s="4"/>
      <c r="AB737" s="1"/>
      <c r="AC737" s="1"/>
      <c r="AD737" s="1"/>
      <c r="AE737" s="1"/>
      <c r="AF737" s="1"/>
      <c r="AG737" s="4"/>
      <c r="AH737" s="1"/>
      <c r="AI737" s="4"/>
      <c r="AJ737" s="6"/>
      <c r="AK737" s="7"/>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1:61" ht="16.5" customHeight="1">
      <c r="A738" s="1"/>
      <c r="B738" s="139"/>
      <c r="C738" s="1"/>
      <c r="D738" s="1"/>
      <c r="E738" s="1"/>
      <c r="F738" s="1"/>
      <c r="G738" s="1"/>
      <c r="H738" s="4"/>
      <c r="I738" s="4"/>
      <c r="J738" s="4"/>
      <c r="K738" s="4"/>
      <c r="L738" s="4"/>
      <c r="M738" s="4"/>
      <c r="N738" s="1"/>
      <c r="O738" s="1"/>
      <c r="P738" s="4"/>
      <c r="Q738" s="5"/>
      <c r="R738" s="4"/>
      <c r="S738" s="1"/>
      <c r="T738" s="1"/>
      <c r="U738" s="1"/>
      <c r="V738" s="1"/>
      <c r="W738" s="1"/>
      <c r="X738" s="6"/>
      <c r="Y738" s="4"/>
      <c r="Z738" s="4"/>
      <c r="AA738" s="4"/>
      <c r="AB738" s="1"/>
      <c r="AC738" s="1"/>
      <c r="AD738" s="1"/>
      <c r="AE738" s="1"/>
      <c r="AF738" s="1"/>
      <c r="AG738" s="4"/>
      <c r="AH738" s="1"/>
      <c r="AI738" s="4"/>
      <c r="AJ738" s="6"/>
      <c r="AK738" s="7"/>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1:61" ht="16.5" customHeight="1">
      <c r="A739" s="1"/>
      <c r="B739" s="139"/>
      <c r="C739" s="1"/>
      <c r="D739" s="1"/>
      <c r="E739" s="1"/>
      <c r="F739" s="1"/>
      <c r="G739" s="1"/>
      <c r="H739" s="4"/>
      <c r="I739" s="4"/>
      <c r="J739" s="4"/>
      <c r="K739" s="4"/>
      <c r="L739" s="4"/>
      <c r="M739" s="4"/>
      <c r="N739" s="1"/>
      <c r="O739" s="1"/>
      <c r="P739" s="4"/>
      <c r="Q739" s="5"/>
      <c r="R739" s="4"/>
      <c r="S739" s="1"/>
      <c r="T739" s="1"/>
      <c r="U739" s="1"/>
      <c r="V739" s="1"/>
      <c r="W739" s="1"/>
      <c r="X739" s="6"/>
      <c r="Y739" s="4"/>
      <c r="Z739" s="4"/>
      <c r="AA739" s="4"/>
      <c r="AB739" s="1"/>
      <c r="AC739" s="1"/>
      <c r="AD739" s="1"/>
      <c r="AE739" s="1"/>
      <c r="AF739" s="1"/>
      <c r="AG739" s="4"/>
      <c r="AH739" s="1"/>
      <c r="AI739" s="4"/>
      <c r="AJ739" s="6"/>
      <c r="AK739" s="7"/>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1:61" ht="16.5" customHeight="1">
      <c r="A740" s="1"/>
      <c r="B740" s="139"/>
      <c r="C740" s="1"/>
      <c r="D740" s="1"/>
      <c r="E740" s="1"/>
      <c r="F740" s="1"/>
      <c r="G740" s="1"/>
      <c r="H740" s="4"/>
      <c r="I740" s="4"/>
      <c r="J740" s="4"/>
      <c r="K740" s="4"/>
      <c r="L740" s="4"/>
      <c r="M740" s="4"/>
      <c r="N740" s="1"/>
      <c r="O740" s="1"/>
      <c r="P740" s="4"/>
      <c r="Q740" s="5"/>
      <c r="R740" s="4"/>
      <c r="S740" s="1"/>
      <c r="T740" s="1"/>
      <c r="U740" s="1"/>
      <c r="V740" s="1"/>
      <c r="W740" s="1"/>
      <c r="X740" s="6"/>
      <c r="Y740" s="4"/>
      <c r="Z740" s="4"/>
      <c r="AA740" s="4"/>
      <c r="AB740" s="1"/>
      <c r="AC740" s="1"/>
      <c r="AD740" s="1"/>
      <c r="AE740" s="1"/>
      <c r="AF740" s="1"/>
      <c r="AG740" s="4"/>
      <c r="AH740" s="1"/>
      <c r="AI740" s="4"/>
      <c r="AJ740" s="6"/>
      <c r="AK740" s="7"/>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1:61" ht="16.5" customHeight="1">
      <c r="A741" s="1"/>
      <c r="B741" s="139"/>
      <c r="C741" s="1"/>
      <c r="D741" s="1"/>
      <c r="E741" s="1"/>
      <c r="F741" s="1"/>
      <c r="G741" s="1"/>
      <c r="H741" s="4"/>
      <c r="I741" s="4"/>
      <c r="J741" s="4"/>
      <c r="K741" s="4"/>
      <c r="L741" s="4"/>
      <c r="M741" s="4"/>
      <c r="N741" s="1"/>
      <c r="O741" s="1"/>
      <c r="P741" s="4"/>
      <c r="Q741" s="5"/>
      <c r="R741" s="4"/>
      <c r="S741" s="1"/>
      <c r="T741" s="1"/>
      <c r="U741" s="1"/>
      <c r="V741" s="1"/>
      <c r="W741" s="1"/>
      <c r="X741" s="6"/>
      <c r="Y741" s="4"/>
      <c r="Z741" s="4"/>
      <c r="AA741" s="4"/>
      <c r="AB741" s="1"/>
      <c r="AC741" s="1"/>
      <c r="AD741" s="1"/>
      <c r="AE741" s="1"/>
      <c r="AF741" s="1"/>
      <c r="AG741" s="4"/>
      <c r="AH741" s="1"/>
      <c r="AI741" s="4"/>
      <c r="AJ741" s="6"/>
      <c r="AK741" s="7"/>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1:61" ht="16.5" customHeight="1">
      <c r="A742" s="1"/>
      <c r="B742" s="139"/>
      <c r="C742" s="1"/>
      <c r="D742" s="1"/>
      <c r="E742" s="1"/>
      <c r="F742" s="1"/>
      <c r="G742" s="1"/>
      <c r="H742" s="4"/>
      <c r="I742" s="4"/>
      <c r="J742" s="4"/>
      <c r="K742" s="4"/>
      <c r="L742" s="4"/>
      <c r="M742" s="4"/>
      <c r="N742" s="1"/>
      <c r="O742" s="1"/>
      <c r="P742" s="4"/>
      <c r="Q742" s="5"/>
      <c r="R742" s="4"/>
      <c r="S742" s="1"/>
      <c r="T742" s="1"/>
      <c r="U742" s="1"/>
      <c r="V742" s="1"/>
      <c r="W742" s="1"/>
      <c r="X742" s="6"/>
      <c r="Y742" s="4"/>
      <c r="Z742" s="4"/>
      <c r="AA742" s="4"/>
      <c r="AB742" s="1"/>
      <c r="AC742" s="1"/>
      <c r="AD742" s="1"/>
      <c r="AE742" s="1"/>
      <c r="AF742" s="1"/>
      <c r="AG742" s="4"/>
      <c r="AH742" s="1"/>
      <c r="AI742" s="4"/>
      <c r="AJ742" s="6"/>
      <c r="AK742" s="7"/>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1:61" ht="16.5" customHeight="1">
      <c r="A743" s="1"/>
      <c r="B743" s="139"/>
      <c r="C743" s="1"/>
      <c r="D743" s="1"/>
      <c r="E743" s="1"/>
      <c r="F743" s="1"/>
      <c r="G743" s="1"/>
      <c r="H743" s="4"/>
      <c r="I743" s="4"/>
      <c r="J743" s="4"/>
      <c r="K743" s="4"/>
      <c r="L743" s="4"/>
      <c r="M743" s="4"/>
      <c r="N743" s="1"/>
      <c r="O743" s="1"/>
      <c r="P743" s="4"/>
      <c r="Q743" s="5"/>
      <c r="R743" s="4"/>
      <c r="S743" s="1"/>
      <c r="T743" s="1"/>
      <c r="U743" s="1"/>
      <c r="V743" s="1"/>
      <c r="W743" s="1"/>
      <c r="X743" s="6"/>
      <c r="Y743" s="4"/>
      <c r="Z743" s="4"/>
      <c r="AA743" s="4"/>
      <c r="AB743" s="1"/>
      <c r="AC743" s="1"/>
      <c r="AD743" s="1"/>
      <c r="AE743" s="1"/>
      <c r="AF743" s="1"/>
      <c r="AG743" s="4"/>
      <c r="AH743" s="1"/>
      <c r="AI743" s="4"/>
      <c r="AJ743" s="6"/>
      <c r="AK743" s="7"/>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1:61" ht="16.5" customHeight="1">
      <c r="A744" s="1"/>
      <c r="B744" s="139"/>
      <c r="C744" s="1"/>
      <c r="D744" s="1"/>
      <c r="E744" s="1"/>
      <c r="F744" s="1"/>
      <c r="G744" s="1"/>
      <c r="H744" s="4"/>
      <c r="I744" s="4"/>
      <c r="J744" s="4"/>
      <c r="K744" s="4"/>
      <c r="L744" s="4"/>
      <c r="M744" s="4"/>
      <c r="N744" s="1"/>
      <c r="O744" s="1"/>
      <c r="P744" s="4"/>
      <c r="Q744" s="5"/>
      <c r="R744" s="4"/>
      <c r="S744" s="1"/>
      <c r="T744" s="1"/>
      <c r="U744" s="1"/>
      <c r="V744" s="1"/>
      <c r="W744" s="1"/>
      <c r="X744" s="6"/>
      <c r="Y744" s="4"/>
      <c r="Z744" s="4"/>
      <c r="AA744" s="4"/>
      <c r="AB744" s="1"/>
      <c r="AC744" s="1"/>
      <c r="AD744" s="1"/>
      <c r="AE744" s="1"/>
      <c r="AF744" s="1"/>
      <c r="AG744" s="4"/>
      <c r="AH744" s="1"/>
      <c r="AI744" s="4"/>
      <c r="AJ744" s="6"/>
      <c r="AK744" s="7"/>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1:61" ht="16.5" customHeight="1">
      <c r="A745" s="1"/>
      <c r="B745" s="139"/>
      <c r="C745" s="1"/>
      <c r="D745" s="1"/>
      <c r="E745" s="1"/>
      <c r="F745" s="1"/>
      <c r="G745" s="1"/>
      <c r="H745" s="4"/>
      <c r="I745" s="4"/>
      <c r="J745" s="4"/>
      <c r="K745" s="4"/>
      <c r="L745" s="4"/>
      <c r="M745" s="4"/>
      <c r="N745" s="1"/>
      <c r="O745" s="1"/>
      <c r="P745" s="4"/>
      <c r="Q745" s="5"/>
      <c r="R745" s="4"/>
      <c r="S745" s="1"/>
      <c r="T745" s="1"/>
      <c r="U745" s="1"/>
      <c r="V745" s="1"/>
      <c r="W745" s="1"/>
      <c r="X745" s="6"/>
      <c r="Y745" s="4"/>
      <c r="Z745" s="4"/>
      <c r="AA745" s="4"/>
      <c r="AB745" s="1"/>
      <c r="AC745" s="1"/>
      <c r="AD745" s="1"/>
      <c r="AE745" s="1"/>
      <c r="AF745" s="1"/>
      <c r="AG745" s="4"/>
      <c r="AH745" s="1"/>
      <c r="AI745" s="4"/>
      <c r="AJ745" s="6"/>
      <c r="AK745" s="7"/>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1:61" ht="16.5" customHeight="1">
      <c r="A746" s="1"/>
      <c r="B746" s="139"/>
      <c r="C746" s="1"/>
      <c r="D746" s="1"/>
      <c r="E746" s="1"/>
      <c r="F746" s="1"/>
      <c r="G746" s="1"/>
      <c r="H746" s="4"/>
      <c r="I746" s="4"/>
      <c r="J746" s="4"/>
      <c r="K746" s="4"/>
      <c r="L746" s="4"/>
      <c r="M746" s="4"/>
      <c r="N746" s="1"/>
      <c r="O746" s="1"/>
      <c r="P746" s="4"/>
      <c r="Q746" s="5"/>
      <c r="R746" s="4"/>
      <c r="S746" s="1"/>
      <c r="T746" s="1"/>
      <c r="U746" s="1"/>
      <c r="V746" s="1"/>
      <c r="W746" s="1"/>
      <c r="X746" s="6"/>
      <c r="Y746" s="4"/>
      <c r="Z746" s="4"/>
      <c r="AA746" s="4"/>
      <c r="AB746" s="1"/>
      <c r="AC746" s="1"/>
      <c r="AD746" s="1"/>
      <c r="AE746" s="1"/>
      <c r="AF746" s="1"/>
      <c r="AG746" s="4"/>
      <c r="AH746" s="1"/>
      <c r="AI746" s="4"/>
      <c r="AJ746" s="6"/>
      <c r="AK746" s="7"/>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1:61" ht="16.5" customHeight="1">
      <c r="A747" s="1"/>
      <c r="B747" s="139"/>
      <c r="C747" s="1"/>
      <c r="D747" s="1"/>
      <c r="E747" s="1"/>
      <c r="F747" s="1"/>
      <c r="G747" s="1"/>
      <c r="H747" s="4"/>
      <c r="I747" s="4"/>
      <c r="J747" s="4"/>
      <c r="K747" s="4"/>
      <c r="L747" s="4"/>
      <c r="M747" s="4"/>
      <c r="N747" s="1"/>
      <c r="O747" s="1"/>
      <c r="P747" s="4"/>
      <c r="Q747" s="5"/>
      <c r="R747" s="4"/>
      <c r="S747" s="1"/>
      <c r="T747" s="1"/>
      <c r="U747" s="1"/>
      <c r="V747" s="1"/>
      <c r="W747" s="1"/>
      <c r="X747" s="6"/>
      <c r="Y747" s="4"/>
      <c r="Z747" s="4"/>
      <c r="AA747" s="4"/>
      <c r="AB747" s="1"/>
      <c r="AC747" s="1"/>
      <c r="AD747" s="1"/>
      <c r="AE747" s="1"/>
      <c r="AF747" s="1"/>
      <c r="AG747" s="4"/>
      <c r="AH747" s="1"/>
      <c r="AI747" s="4"/>
      <c r="AJ747" s="6"/>
      <c r="AK747" s="7"/>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1:61" ht="16.5" customHeight="1">
      <c r="A748" s="1"/>
      <c r="B748" s="139"/>
      <c r="C748" s="1"/>
      <c r="D748" s="1"/>
      <c r="E748" s="1"/>
      <c r="F748" s="1"/>
      <c r="G748" s="1"/>
      <c r="H748" s="4"/>
      <c r="I748" s="4"/>
      <c r="J748" s="4"/>
      <c r="K748" s="4"/>
      <c r="L748" s="4"/>
      <c r="M748" s="4"/>
      <c r="N748" s="1"/>
      <c r="O748" s="1"/>
      <c r="P748" s="4"/>
      <c r="Q748" s="5"/>
      <c r="R748" s="4"/>
      <c r="S748" s="1"/>
      <c r="T748" s="1"/>
      <c r="U748" s="1"/>
      <c r="V748" s="1"/>
      <c r="W748" s="1"/>
      <c r="X748" s="6"/>
      <c r="Y748" s="4"/>
      <c r="Z748" s="4"/>
      <c r="AA748" s="4"/>
      <c r="AB748" s="1"/>
      <c r="AC748" s="1"/>
      <c r="AD748" s="1"/>
      <c r="AE748" s="1"/>
      <c r="AF748" s="1"/>
      <c r="AG748" s="4"/>
      <c r="AH748" s="1"/>
      <c r="AI748" s="4"/>
      <c r="AJ748" s="6"/>
      <c r="AK748" s="7"/>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1:61" ht="16.5" customHeight="1">
      <c r="A749" s="1"/>
      <c r="B749" s="139"/>
      <c r="C749" s="1"/>
      <c r="D749" s="1"/>
      <c r="E749" s="1"/>
      <c r="F749" s="1"/>
      <c r="G749" s="1"/>
      <c r="H749" s="4"/>
      <c r="I749" s="4"/>
      <c r="J749" s="4"/>
      <c r="K749" s="4"/>
      <c r="L749" s="4"/>
      <c r="M749" s="4"/>
      <c r="N749" s="1"/>
      <c r="O749" s="1"/>
      <c r="P749" s="4"/>
      <c r="Q749" s="5"/>
      <c r="R749" s="4"/>
      <c r="S749" s="1"/>
      <c r="T749" s="1"/>
      <c r="U749" s="1"/>
      <c r="V749" s="1"/>
      <c r="W749" s="1"/>
      <c r="X749" s="6"/>
      <c r="Y749" s="4"/>
      <c r="Z749" s="4"/>
      <c r="AA749" s="4"/>
      <c r="AB749" s="1"/>
      <c r="AC749" s="1"/>
      <c r="AD749" s="1"/>
      <c r="AE749" s="1"/>
      <c r="AF749" s="1"/>
      <c r="AG749" s="4"/>
      <c r="AH749" s="1"/>
      <c r="AI749" s="4"/>
      <c r="AJ749" s="6"/>
      <c r="AK749" s="7"/>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1:61" ht="16.5" customHeight="1">
      <c r="A750" s="1"/>
      <c r="B750" s="139"/>
      <c r="C750" s="1"/>
      <c r="D750" s="1"/>
      <c r="E750" s="1"/>
      <c r="F750" s="1"/>
      <c r="G750" s="1"/>
      <c r="H750" s="4"/>
      <c r="I750" s="4"/>
      <c r="J750" s="4"/>
      <c r="K750" s="4"/>
      <c r="L750" s="4"/>
      <c r="M750" s="4"/>
      <c r="N750" s="1"/>
      <c r="O750" s="1"/>
      <c r="P750" s="4"/>
      <c r="Q750" s="5"/>
      <c r="R750" s="4"/>
      <c r="S750" s="1"/>
      <c r="T750" s="1"/>
      <c r="U750" s="1"/>
      <c r="V750" s="1"/>
      <c r="W750" s="1"/>
      <c r="X750" s="6"/>
      <c r="Y750" s="4"/>
      <c r="Z750" s="4"/>
      <c r="AA750" s="4"/>
      <c r="AB750" s="1"/>
      <c r="AC750" s="1"/>
      <c r="AD750" s="1"/>
      <c r="AE750" s="1"/>
      <c r="AF750" s="1"/>
      <c r="AG750" s="4"/>
      <c r="AH750" s="1"/>
      <c r="AI750" s="4"/>
      <c r="AJ750" s="6"/>
      <c r="AK750" s="7"/>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1:61" ht="16.5" customHeight="1">
      <c r="A751" s="1"/>
      <c r="B751" s="139"/>
      <c r="C751" s="1"/>
      <c r="D751" s="1"/>
      <c r="E751" s="1"/>
      <c r="F751" s="1"/>
      <c r="G751" s="1"/>
      <c r="H751" s="4"/>
      <c r="I751" s="4"/>
      <c r="J751" s="4"/>
      <c r="K751" s="4"/>
      <c r="L751" s="4"/>
      <c r="M751" s="4"/>
      <c r="N751" s="1"/>
      <c r="O751" s="1"/>
      <c r="P751" s="4"/>
      <c r="Q751" s="5"/>
      <c r="R751" s="4"/>
      <c r="S751" s="1"/>
      <c r="T751" s="1"/>
      <c r="U751" s="1"/>
      <c r="V751" s="1"/>
      <c r="W751" s="1"/>
      <c r="X751" s="6"/>
      <c r="Y751" s="4"/>
      <c r="Z751" s="4"/>
      <c r="AA751" s="4"/>
      <c r="AB751" s="1"/>
      <c r="AC751" s="1"/>
      <c r="AD751" s="1"/>
      <c r="AE751" s="1"/>
      <c r="AF751" s="1"/>
      <c r="AG751" s="4"/>
      <c r="AH751" s="1"/>
      <c r="AI751" s="4"/>
      <c r="AJ751" s="6"/>
      <c r="AK751" s="7"/>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1:61" ht="16.5" customHeight="1">
      <c r="A752" s="1"/>
      <c r="B752" s="139"/>
      <c r="C752" s="1"/>
      <c r="D752" s="1"/>
      <c r="E752" s="1"/>
      <c r="F752" s="1"/>
      <c r="G752" s="1"/>
      <c r="H752" s="4"/>
      <c r="I752" s="4"/>
      <c r="J752" s="4"/>
      <c r="K752" s="4"/>
      <c r="L752" s="4"/>
      <c r="M752" s="4"/>
      <c r="N752" s="1"/>
      <c r="O752" s="1"/>
      <c r="P752" s="4"/>
      <c r="Q752" s="5"/>
      <c r="R752" s="4"/>
      <c r="S752" s="1"/>
      <c r="T752" s="1"/>
      <c r="U752" s="1"/>
      <c r="V752" s="1"/>
      <c r="W752" s="1"/>
      <c r="X752" s="6"/>
      <c r="Y752" s="4"/>
      <c r="Z752" s="4"/>
      <c r="AA752" s="4"/>
      <c r="AB752" s="1"/>
      <c r="AC752" s="1"/>
      <c r="AD752" s="1"/>
      <c r="AE752" s="1"/>
      <c r="AF752" s="1"/>
      <c r="AG752" s="4"/>
      <c r="AH752" s="1"/>
      <c r="AI752" s="4"/>
      <c r="AJ752" s="6"/>
      <c r="AK752" s="7"/>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1:61" ht="16.5" customHeight="1">
      <c r="A753" s="1"/>
      <c r="B753" s="139"/>
      <c r="C753" s="1"/>
      <c r="D753" s="1"/>
      <c r="E753" s="1"/>
      <c r="F753" s="1"/>
      <c r="G753" s="1"/>
      <c r="H753" s="4"/>
      <c r="I753" s="4"/>
      <c r="J753" s="4"/>
      <c r="K753" s="4"/>
      <c r="L753" s="4"/>
      <c r="M753" s="4"/>
      <c r="N753" s="1"/>
      <c r="O753" s="1"/>
      <c r="P753" s="4"/>
      <c r="Q753" s="5"/>
      <c r="R753" s="4"/>
      <c r="S753" s="1"/>
      <c r="T753" s="1"/>
      <c r="U753" s="1"/>
      <c r="V753" s="1"/>
      <c r="W753" s="1"/>
      <c r="X753" s="6"/>
      <c r="Y753" s="4"/>
      <c r="Z753" s="4"/>
      <c r="AA753" s="4"/>
      <c r="AB753" s="1"/>
      <c r="AC753" s="1"/>
      <c r="AD753" s="1"/>
      <c r="AE753" s="1"/>
      <c r="AF753" s="1"/>
      <c r="AG753" s="4"/>
      <c r="AH753" s="1"/>
      <c r="AI753" s="4"/>
      <c r="AJ753" s="6"/>
      <c r="AK753" s="7"/>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1:61" ht="16.5" customHeight="1">
      <c r="A754" s="1"/>
      <c r="B754" s="139"/>
      <c r="C754" s="1"/>
      <c r="D754" s="1"/>
      <c r="E754" s="1"/>
      <c r="F754" s="1"/>
      <c r="G754" s="1"/>
      <c r="H754" s="4"/>
      <c r="I754" s="4"/>
      <c r="J754" s="4"/>
      <c r="K754" s="4"/>
      <c r="L754" s="4"/>
      <c r="M754" s="4"/>
      <c r="N754" s="1"/>
      <c r="O754" s="1"/>
      <c r="P754" s="4"/>
      <c r="Q754" s="5"/>
      <c r="R754" s="4"/>
      <c r="S754" s="1"/>
      <c r="T754" s="1"/>
      <c r="U754" s="1"/>
      <c r="V754" s="1"/>
      <c r="W754" s="1"/>
      <c r="X754" s="6"/>
      <c r="Y754" s="4"/>
      <c r="Z754" s="4"/>
      <c r="AA754" s="4"/>
      <c r="AB754" s="1"/>
      <c r="AC754" s="1"/>
      <c r="AD754" s="1"/>
      <c r="AE754" s="1"/>
      <c r="AF754" s="1"/>
      <c r="AG754" s="4"/>
      <c r="AH754" s="1"/>
      <c r="AI754" s="4"/>
      <c r="AJ754" s="6"/>
      <c r="AK754" s="7"/>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1:61" ht="16.5" customHeight="1">
      <c r="A755" s="1"/>
      <c r="B755" s="139"/>
      <c r="C755" s="1"/>
      <c r="D755" s="1"/>
      <c r="E755" s="1"/>
      <c r="F755" s="1"/>
      <c r="G755" s="1"/>
      <c r="H755" s="4"/>
      <c r="I755" s="4"/>
      <c r="J755" s="4"/>
      <c r="K755" s="4"/>
      <c r="L755" s="4"/>
      <c r="M755" s="4"/>
      <c r="N755" s="1"/>
      <c r="O755" s="1"/>
      <c r="P755" s="4"/>
      <c r="Q755" s="5"/>
      <c r="R755" s="4"/>
      <c r="S755" s="1"/>
      <c r="T755" s="1"/>
      <c r="U755" s="1"/>
      <c r="V755" s="1"/>
      <c r="W755" s="1"/>
      <c r="X755" s="6"/>
      <c r="Y755" s="4"/>
      <c r="Z755" s="4"/>
      <c r="AA755" s="4"/>
      <c r="AB755" s="1"/>
      <c r="AC755" s="1"/>
      <c r="AD755" s="1"/>
      <c r="AE755" s="1"/>
      <c r="AF755" s="1"/>
      <c r="AG755" s="4"/>
      <c r="AH755" s="1"/>
      <c r="AI755" s="4"/>
      <c r="AJ755" s="6"/>
      <c r="AK755" s="7"/>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1:61" ht="16.5" customHeight="1">
      <c r="A756" s="1"/>
      <c r="B756" s="139"/>
      <c r="C756" s="1"/>
      <c r="D756" s="1"/>
      <c r="E756" s="1"/>
      <c r="F756" s="1"/>
      <c r="G756" s="1"/>
      <c r="H756" s="4"/>
      <c r="I756" s="4"/>
      <c r="J756" s="4"/>
      <c r="K756" s="4"/>
      <c r="L756" s="4"/>
      <c r="M756" s="4"/>
      <c r="N756" s="1"/>
      <c r="O756" s="1"/>
      <c r="P756" s="4"/>
      <c r="Q756" s="5"/>
      <c r="R756" s="4"/>
      <c r="S756" s="1"/>
      <c r="T756" s="1"/>
      <c r="U756" s="1"/>
      <c r="V756" s="1"/>
      <c r="W756" s="1"/>
      <c r="X756" s="6"/>
      <c r="Y756" s="4"/>
      <c r="Z756" s="4"/>
      <c r="AA756" s="4"/>
      <c r="AB756" s="1"/>
      <c r="AC756" s="1"/>
      <c r="AD756" s="1"/>
      <c r="AE756" s="1"/>
      <c r="AF756" s="1"/>
      <c r="AG756" s="4"/>
      <c r="AH756" s="1"/>
      <c r="AI756" s="4"/>
      <c r="AJ756" s="6"/>
      <c r="AK756" s="7"/>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1:61" ht="16.5" customHeight="1">
      <c r="A757" s="1"/>
      <c r="B757" s="139"/>
      <c r="C757" s="1"/>
      <c r="D757" s="1"/>
      <c r="E757" s="1"/>
      <c r="F757" s="1"/>
      <c r="G757" s="1"/>
      <c r="H757" s="4"/>
      <c r="I757" s="4"/>
      <c r="J757" s="4"/>
      <c r="K757" s="4"/>
      <c r="L757" s="4"/>
      <c r="M757" s="4"/>
      <c r="N757" s="1"/>
      <c r="O757" s="1"/>
      <c r="P757" s="4"/>
      <c r="Q757" s="5"/>
      <c r="R757" s="4"/>
      <c r="S757" s="1"/>
      <c r="T757" s="1"/>
      <c r="U757" s="1"/>
      <c r="V757" s="1"/>
      <c r="W757" s="1"/>
      <c r="X757" s="6"/>
      <c r="Y757" s="4"/>
      <c r="Z757" s="4"/>
      <c r="AA757" s="4"/>
      <c r="AB757" s="1"/>
      <c r="AC757" s="1"/>
      <c r="AD757" s="1"/>
      <c r="AE757" s="1"/>
      <c r="AF757" s="1"/>
      <c r="AG757" s="4"/>
      <c r="AH757" s="1"/>
      <c r="AI757" s="4"/>
      <c r="AJ757" s="6"/>
      <c r="AK757" s="7"/>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1:61" ht="16.5" customHeight="1">
      <c r="A758" s="1"/>
      <c r="B758" s="139"/>
      <c r="C758" s="1"/>
      <c r="D758" s="1"/>
      <c r="E758" s="1"/>
      <c r="F758" s="1"/>
      <c r="G758" s="1"/>
      <c r="H758" s="4"/>
      <c r="I758" s="4"/>
      <c r="J758" s="4"/>
      <c r="K758" s="4"/>
      <c r="L758" s="4"/>
      <c r="M758" s="4"/>
      <c r="N758" s="1"/>
      <c r="O758" s="1"/>
      <c r="P758" s="4"/>
      <c r="Q758" s="5"/>
      <c r="R758" s="4"/>
      <c r="S758" s="1"/>
      <c r="T758" s="1"/>
      <c r="U758" s="1"/>
      <c r="V758" s="1"/>
      <c r="W758" s="1"/>
      <c r="X758" s="6"/>
      <c r="Y758" s="4"/>
      <c r="Z758" s="4"/>
      <c r="AA758" s="4"/>
      <c r="AB758" s="1"/>
      <c r="AC758" s="1"/>
      <c r="AD758" s="1"/>
      <c r="AE758" s="1"/>
      <c r="AF758" s="1"/>
      <c r="AG758" s="4"/>
      <c r="AH758" s="1"/>
      <c r="AI758" s="4"/>
      <c r="AJ758" s="6"/>
      <c r="AK758" s="7"/>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1:61" ht="16.5" customHeight="1">
      <c r="A759" s="1"/>
      <c r="B759" s="139"/>
      <c r="C759" s="1"/>
      <c r="D759" s="1"/>
      <c r="E759" s="1"/>
      <c r="F759" s="1"/>
      <c r="G759" s="1"/>
      <c r="H759" s="4"/>
      <c r="I759" s="4"/>
      <c r="J759" s="4"/>
      <c r="K759" s="4"/>
      <c r="L759" s="4"/>
      <c r="M759" s="4"/>
      <c r="N759" s="1"/>
      <c r="O759" s="1"/>
      <c r="P759" s="4"/>
      <c r="Q759" s="5"/>
      <c r="R759" s="4"/>
      <c r="S759" s="1"/>
      <c r="T759" s="1"/>
      <c r="U759" s="1"/>
      <c r="V759" s="1"/>
      <c r="W759" s="1"/>
      <c r="X759" s="6"/>
      <c r="Y759" s="4"/>
      <c r="Z759" s="4"/>
      <c r="AA759" s="4"/>
      <c r="AB759" s="1"/>
      <c r="AC759" s="1"/>
      <c r="AD759" s="1"/>
      <c r="AE759" s="1"/>
      <c r="AF759" s="1"/>
      <c r="AG759" s="4"/>
      <c r="AH759" s="1"/>
      <c r="AI759" s="4"/>
      <c r="AJ759" s="6"/>
      <c r="AK759" s="7"/>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1:61" ht="16.5" customHeight="1">
      <c r="A760" s="1"/>
      <c r="B760" s="139"/>
      <c r="C760" s="1"/>
      <c r="D760" s="1"/>
      <c r="E760" s="1"/>
      <c r="F760" s="1"/>
      <c r="G760" s="1"/>
      <c r="H760" s="4"/>
      <c r="I760" s="4"/>
      <c r="J760" s="4"/>
      <c r="K760" s="4"/>
      <c r="L760" s="4"/>
      <c r="M760" s="4"/>
      <c r="N760" s="1"/>
      <c r="O760" s="1"/>
      <c r="P760" s="4"/>
      <c r="Q760" s="5"/>
      <c r="R760" s="4"/>
      <c r="S760" s="1"/>
      <c r="T760" s="1"/>
      <c r="U760" s="1"/>
      <c r="V760" s="1"/>
      <c r="W760" s="1"/>
      <c r="X760" s="6"/>
      <c r="Y760" s="4"/>
      <c r="Z760" s="4"/>
      <c r="AA760" s="4"/>
      <c r="AB760" s="1"/>
      <c r="AC760" s="1"/>
      <c r="AD760" s="1"/>
      <c r="AE760" s="1"/>
      <c r="AF760" s="1"/>
      <c r="AG760" s="4"/>
      <c r="AH760" s="1"/>
      <c r="AI760" s="4"/>
      <c r="AJ760" s="6"/>
      <c r="AK760" s="7"/>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1:61" ht="16.5" customHeight="1">
      <c r="A761" s="1"/>
      <c r="B761" s="139"/>
      <c r="C761" s="1"/>
      <c r="D761" s="1"/>
      <c r="E761" s="1"/>
      <c r="F761" s="1"/>
      <c r="G761" s="1"/>
      <c r="H761" s="4"/>
      <c r="I761" s="4"/>
      <c r="J761" s="4"/>
      <c r="K761" s="4"/>
      <c r="L761" s="4"/>
      <c r="M761" s="4"/>
      <c r="N761" s="1"/>
      <c r="O761" s="1"/>
      <c r="P761" s="4"/>
      <c r="Q761" s="5"/>
      <c r="R761" s="4"/>
      <c r="S761" s="1"/>
      <c r="T761" s="1"/>
      <c r="U761" s="1"/>
      <c r="V761" s="1"/>
      <c r="W761" s="1"/>
      <c r="X761" s="6"/>
      <c r="Y761" s="4"/>
      <c r="Z761" s="4"/>
      <c r="AA761" s="4"/>
      <c r="AB761" s="1"/>
      <c r="AC761" s="1"/>
      <c r="AD761" s="1"/>
      <c r="AE761" s="1"/>
      <c r="AF761" s="1"/>
      <c r="AG761" s="4"/>
      <c r="AH761" s="1"/>
      <c r="AI761" s="4"/>
      <c r="AJ761" s="6"/>
      <c r="AK761" s="7"/>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1:61" ht="16.5" customHeight="1">
      <c r="A762" s="1"/>
      <c r="B762" s="139"/>
      <c r="C762" s="1"/>
      <c r="D762" s="1"/>
      <c r="E762" s="1"/>
      <c r="F762" s="1"/>
      <c r="G762" s="1"/>
      <c r="H762" s="4"/>
      <c r="I762" s="4"/>
      <c r="J762" s="4"/>
      <c r="K762" s="4"/>
      <c r="L762" s="4"/>
      <c r="M762" s="4"/>
      <c r="N762" s="1"/>
      <c r="O762" s="1"/>
      <c r="P762" s="4"/>
      <c r="Q762" s="5"/>
      <c r="R762" s="4"/>
      <c r="S762" s="1"/>
      <c r="T762" s="1"/>
      <c r="U762" s="1"/>
      <c r="V762" s="1"/>
      <c r="W762" s="1"/>
      <c r="X762" s="6"/>
      <c r="Y762" s="4"/>
      <c r="Z762" s="4"/>
      <c r="AA762" s="4"/>
      <c r="AB762" s="1"/>
      <c r="AC762" s="1"/>
      <c r="AD762" s="1"/>
      <c r="AE762" s="1"/>
      <c r="AF762" s="1"/>
      <c r="AG762" s="4"/>
      <c r="AH762" s="1"/>
      <c r="AI762" s="4"/>
      <c r="AJ762" s="6"/>
      <c r="AK762" s="7"/>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1:61" ht="16.5" customHeight="1">
      <c r="A763" s="1"/>
      <c r="B763" s="139"/>
      <c r="C763" s="1"/>
      <c r="D763" s="1"/>
      <c r="E763" s="1"/>
      <c r="F763" s="1"/>
      <c r="G763" s="1"/>
      <c r="H763" s="4"/>
      <c r="I763" s="4"/>
      <c r="J763" s="4"/>
      <c r="K763" s="4"/>
      <c r="L763" s="4"/>
      <c r="M763" s="4"/>
      <c r="N763" s="1"/>
      <c r="O763" s="1"/>
      <c r="P763" s="4"/>
      <c r="Q763" s="5"/>
      <c r="R763" s="4"/>
      <c r="S763" s="1"/>
      <c r="T763" s="1"/>
      <c r="U763" s="1"/>
      <c r="V763" s="1"/>
      <c r="W763" s="1"/>
      <c r="X763" s="6"/>
      <c r="Y763" s="4"/>
      <c r="Z763" s="4"/>
      <c r="AA763" s="4"/>
      <c r="AB763" s="1"/>
      <c r="AC763" s="1"/>
      <c r="AD763" s="1"/>
      <c r="AE763" s="1"/>
      <c r="AF763" s="1"/>
      <c r="AG763" s="4"/>
      <c r="AH763" s="1"/>
      <c r="AI763" s="4"/>
      <c r="AJ763" s="6"/>
      <c r="AK763" s="7"/>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1:61" ht="16.5" customHeight="1">
      <c r="A764" s="1"/>
      <c r="B764" s="139"/>
      <c r="C764" s="1"/>
      <c r="D764" s="1"/>
      <c r="E764" s="1"/>
      <c r="F764" s="1"/>
      <c r="G764" s="1"/>
      <c r="H764" s="4"/>
      <c r="I764" s="4"/>
      <c r="J764" s="4"/>
      <c r="K764" s="4"/>
      <c r="L764" s="4"/>
      <c r="M764" s="4"/>
      <c r="N764" s="1"/>
      <c r="O764" s="1"/>
      <c r="P764" s="4"/>
      <c r="Q764" s="5"/>
      <c r="R764" s="4"/>
      <c r="S764" s="1"/>
      <c r="T764" s="1"/>
      <c r="U764" s="1"/>
      <c r="V764" s="1"/>
      <c r="W764" s="1"/>
      <c r="X764" s="6"/>
      <c r="Y764" s="4"/>
      <c r="Z764" s="4"/>
      <c r="AA764" s="4"/>
      <c r="AB764" s="1"/>
      <c r="AC764" s="1"/>
      <c r="AD764" s="1"/>
      <c r="AE764" s="1"/>
      <c r="AF764" s="1"/>
      <c r="AG764" s="4"/>
      <c r="AH764" s="1"/>
      <c r="AI764" s="4"/>
      <c r="AJ764" s="6"/>
      <c r="AK764" s="7"/>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1:61" ht="16.5" customHeight="1">
      <c r="A765" s="1"/>
      <c r="B765" s="139"/>
      <c r="C765" s="1"/>
      <c r="D765" s="1"/>
      <c r="E765" s="1"/>
      <c r="F765" s="1"/>
      <c r="G765" s="1"/>
      <c r="H765" s="4"/>
      <c r="I765" s="4"/>
      <c r="J765" s="4"/>
      <c r="K765" s="4"/>
      <c r="L765" s="4"/>
      <c r="M765" s="4"/>
      <c r="N765" s="1"/>
      <c r="O765" s="1"/>
      <c r="P765" s="4"/>
      <c r="Q765" s="5"/>
      <c r="R765" s="4"/>
      <c r="S765" s="1"/>
      <c r="T765" s="1"/>
      <c r="U765" s="1"/>
      <c r="V765" s="1"/>
      <c r="W765" s="1"/>
      <c r="X765" s="6"/>
      <c r="Y765" s="4"/>
      <c r="Z765" s="4"/>
      <c r="AA765" s="4"/>
      <c r="AB765" s="1"/>
      <c r="AC765" s="1"/>
      <c r="AD765" s="1"/>
      <c r="AE765" s="1"/>
      <c r="AF765" s="1"/>
      <c r="AG765" s="4"/>
      <c r="AH765" s="1"/>
      <c r="AI765" s="4"/>
      <c r="AJ765" s="6"/>
      <c r="AK765" s="7"/>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1:61" ht="16.5" customHeight="1">
      <c r="A766" s="1"/>
      <c r="B766" s="139"/>
      <c r="C766" s="1"/>
      <c r="D766" s="1"/>
      <c r="E766" s="1"/>
      <c r="F766" s="1"/>
      <c r="G766" s="1"/>
      <c r="H766" s="4"/>
      <c r="I766" s="4"/>
      <c r="J766" s="4"/>
      <c r="K766" s="4"/>
      <c r="L766" s="4"/>
      <c r="M766" s="4"/>
      <c r="N766" s="1"/>
      <c r="O766" s="1"/>
      <c r="P766" s="4"/>
      <c r="Q766" s="5"/>
      <c r="R766" s="4"/>
      <c r="S766" s="1"/>
      <c r="T766" s="1"/>
      <c r="U766" s="1"/>
      <c r="V766" s="1"/>
      <c r="W766" s="1"/>
      <c r="X766" s="6"/>
      <c r="Y766" s="4"/>
      <c r="Z766" s="4"/>
      <c r="AA766" s="4"/>
      <c r="AB766" s="1"/>
      <c r="AC766" s="1"/>
      <c r="AD766" s="1"/>
      <c r="AE766" s="1"/>
      <c r="AF766" s="1"/>
      <c r="AG766" s="4"/>
      <c r="AH766" s="1"/>
      <c r="AI766" s="4"/>
      <c r="AJ766" s="6"/>
      <c r="AK766" s="7"/>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1:61" ht="16.5" customHeight="1">
      <c r="A767" s="1"/>
      <c r="B767" s="139"/>
      <c r="C767" s="1"/>
      <c r="D767" s="1"/>
      <c r="E767" s="1"/>
      <c r="F767" s="1"/>
      <c r="G767" s="1"/>
      <c r="H767" s="4"/>
      <c r="I767" s="4"/>
      <c r="J767" s="4"/>
      <c r="K767" s="4"/>
      <c r="L767" s="4"/>
      <c r="M767" s="4"/>
      <c r="N767" s="1"/>
      <c r="O767" s="1"/>
      <c r="P767" s="4"/>
      <c r="Q767" s="5"/>
      <c r="R767" s="4"/>
      <c r="S767" s="1"/>
      <c r="T767" s="1"/>
      <c r="U767" s="1"/>
      <c r="V767" s="1"/>
      <c r="W767" s="1"/>
      <c r="X767" s="6"/>
      <c r="Y767" s="4"/>
      <c r="Z767" s="4"/>
      <c r="AA767" s="4"/>
      <c r="AB767" s="1"/>
      <c r="AC767" s="1"/>
      <c r="AD767" s="1"/>
      <c r="AE767" s="1"/>
      <c r="AF767" s="1"/>
      <c r="AG767" s="4"/>
      <c r="AH767" s="1"/>
      <c r="AI767" s="4"/>
      <c r="AJ767" s="6"/>
      <c r="AK767" s="7"/>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1:61" ht="16.5" customHeight="1">
      <c r="A768" s="1"/>
      <c r="B768" s="139"/>
      <c r="C768" s="1"/>
      <c r="D768" s="1"/>
      <c r="E768" s="1"/>
      <c r="F768" s="1"/>
      <c r="G768" s="1"/>
      <c r="H768" s="4"/>
      <c r="I768" s="4"/>
      <c r="J768" s="4"/>
      <c r="K768" s="4"/>
      <c r="L768" s="4"/>
      <c r="M768" s="4"/>
      <c r="N768" s="1"/>
      <c r="O768" s="1"/>
      <c r="P768" s="4"/>
      <c r="Q768" s="5"/>
      <c r="R768" s="4"/>
      <c r="S768" s="1"/>
      <c r="T768" s="1"/>
      <c r="U768" s="1"/>
      <c r="V768" s="1"/>
      <c r="W768" s="1"/>
      <c r="X768" s="6"/>
      <c r="Y768" s="4"/>
      <c r="Z768" s="4"/>
      <c r="AA768" s="4"/>
      <c r="AB768" s="1"/>
      <c r="AC768" s="1"/>
      <c r="AD768" s="1"/>
      <c r="AE768" s="1"/>
      <c r="AF768" s="1"/>
      <c r="AG768" s="4"/>
      <c r="AH768" s="1"/>
      <c r="AI768" s="4"/>
      <c r="AJ768" s="6"/>
      <c r="AK768" s="7"/>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1:61" ht="16.5" customHeight="1">
      <c r="A769" s="1"/>
      <c r="B769" s="139"/>
      <c r="C769" s="1"/>
      <c r="D769" s="1"/>
      <c r="E769" s="1"/>
      <c r="F769" s="1"/>
      <c r="G769" s="1"/>
      <c r="H769" s="4"/>
      <c r="I769" s="4"/>
      <c r="J769" s="4"/>
      <c r="K769" s="4"/>
      <c r="L769" s="4"/>
      <c r="M769" s="4"/>
      <c r="N769" s="1"/>
      <c r="O769" s="1"/>
      <c r="P769" s="4"/>
      <c r="Q769" s="5"/>
      <c r="R769" s="4"/>
      <c r="S769" s="1"/>
      <c r="T769" s="1"/>
      <c r="U769" s="1"/>
      <c r="V769" s="1"/>
      <c r="W769" s="1"/>
      <c r="X769" s="6"/>
      <c r="Y769" s="4"/>
      <c r="Z769" s="4"/>
      <c r="AA769" s="4"/>
      <c r="AB769" s="1"/>
      <c r="AC769" s="1"/>
      <c r="AD769" s="1"/>
      <c r="AE769" s="1"/>
      <c r="AF769" s="1"/>
      <c r="AG769" s="4"/>
      <c r="AH769" s="1"/>
      <c r="AI769" s="4"/>
      <c r="AJ769" s="6"/>
      <c r="AK769" s="7"/>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1:61" ht="16.5" customHeight="1">
      <c r="A770" s="1"/>
      <c r="B770" s="139"/>
      <c r="C770" s="1"/>
      <c r="D770" s="1"/>
      <c r="E770" s="1"/>
      <c r="F770" s="1"/>
      <c r="G770" s="1"/>
      <c r="H770" s="4"/>
      <c r="I770" s="4"/>
      <c r="J770" s="4"/>
      <c r="K770" s="4"/>
      <c r="L770" s="4"/>
      <c r="M770" s="4"/>
      <c r="N770" s="1"/>
      <c r="O770" s="1"/>
      <c r="P770" s="4"/>
      <c r="Q770" s="5"/>
      <c r="R770" s="4"/>
      <c r="S770" s="1"/>
      <c r="T770" s="1"/>
      <c r="U770" s="1"/>
      <c r="V770" s="1"/>
      <c r="W770" s="1"/>
      <c r="X770" s="6"/>
      <c r="Y770" s="4"/>
      <c r="Z770" s="4"/>
      <c r="AA770" s="4"/>
      <c r="AB770" s="1"/>
      <c r="AC770" s="1"/>
      <c r="AD770" s="1"/>
      <c r="AE770" s="1"/>
      <c r="AF770" s="1"/>
      <c r="AG770" s="4"/>
      <c r="AH770" s="1"/>
      <c r="AI770" s="4"/>
      <c r="AJ770" s="6"/>
      <c r="AK770" s="7"/>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1:61" ht="16.5" customHeight="1">
      <c r="A771" s="1"/>
      <c r="B771" s="139"/>
      <c r="C771" s="1"/>
      <c r="D771" s="1"/>
      <c r="E771" s="1"/>
      <c r="F771" s="1"/>
      <c r="G771" s="1"/>
      <c r="H771" s="4"/>
      <c r="I771" s="4"/>
      <c r="J771" s="4"/>
      <c r="K771" s="4"/>
      <c r="L771" s="4"/>
      <c r="M771" s="4"/>
      <c r="N771" s="1"/>
      <c r="O771" s="1"/>
      <c r="P771" s="4"/>
      <c r="Q771" s="5"/>
      <c r="R771" s="4"/>
      <c r="S771" s="1"/>
      <c r="T771" s="1"/>
      <c r="U771" s="1"/>
      <c r="V771" s="1"/>
      <c r="W771" s="1"/>
      <c r="X771" s="6"/>
      <c r="Y771" s="4"/>
      <c r="Z771" s="4"/>
      <c r="AA771" s="4"/>
      <c r="AB771" s="1"/>
      <c r="AC771" s="1"/>
      <c r="AD771" s="1"/>
      <c r="AE771" s="1"/>
      <c r="AF771" s="1"/>
      <c r="AG771" s="4"/>
      <c r="AH771" s="1"/>
      <c r="AI771" s="4"/>
      <c r="AJ771" s="6"/>
      <c r="AK771" s="7"/>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1:61" ht="16.5" customHeight="1">
      <c r="A772" s="1"/>
      <c r="B772" s="139"/>
      <c r="C772" s="1"/>
      <c r="D772" s="1"/>
      <c r="E772" s="1"/>
      <c r="F772" s="1"/>
      <c r="G772" s="1"/>
      <c r="H772" s="4"/>
      <c r="I772" s="4"/>
      <c r="J772" s="4"/>
      <c r="K772" s="4"/>
      <c r="L772" s="4"/>
      <c r="M772" s="4"/>
      <c r="N772" s="1"/>
      <c r="O772" s="1"/>
      <c r="P772" s="4"/>
      <c r="Q772" s="5"/>
      <c r="R772" s="4"/>
      <c r="S772" s="1"/>
      <c r="T772" s="1"/>
      <c r="U772" s="1"/>
      <c r="V772" s="1"/>
      <c r="W772" s="1"/>
      <c r="X772" s="6"/>
      <c r="Y772" s="4"/>
      <c r="Z772" s="4"/>
      <c r="AA772" s="4"/>
      <c r="AB772" s="1"/>
      <c r="AC772" s="1"/>
      <c r="AD772" s="1"/>
      <c r="AE772" s="1"/>
      <c r="AF772" s="1"/>
      <c r="AG772" s="4"/>
      <c r="AH772" s="1"/>
      <c r="AI772" s="4"/>
      <c r="AJ772" s="6"/>
      <c r="AK772" s="7"/>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1:61" ht="16.5" customHeight="1">
      <c r="A773" s="1"/>
      <c r="B773" s="139"/>
      <c r="C773" s="1"/>
      <c r="D773" s="1"/>
      <c r="E773" s="1"/>
      <c r="F773" s="1"/>
      <c r="G773" s="1"/>
      <c r="H773" s="4"/>
      <c r="I773" s="4"/>
      <c r="J773" s="4"/>
      <c r="K773" s="4"/>
      <c r="L773" s="4"/>
      <c r="M773" s="4"/>
      <c r="N773" s="1"/>
      <c r="O773" s="1"/>
      <c r="P773" s="4"/>
      <c r="Q773" s="5"/>
      <c r="R773" s="4"/>
      <c r="S773" s="1"/>
      <c r="T773" s="1"/>
      <c r="U773" s="1"/>
      <c r="V773" s="1"/>
      <c r="W773" s="1"/>
      <c r="X773" s="6"/>
      <c r="Y773" s="4"/>
      <c r="Z773" s="4"/>
      <c r="AA773" s="4"/>
      <c r="AB773" s="1"/>
      <c r="AC773" s="1"/>
      <c r="AD773" s="1"/>
      <c r="AE773" s="1"/>
      <c r="AF773" s="1"/>
      <c r="AG773" s="4"/>
      <c r="AH773" s="1"/>
      <c r="AI773" s="4"/>
      <c r="AJ773" s="6"/>
      <c r="AK773" s="7"/>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1:61" ht="16.5" customHeight="1">
      <c r="A774" s="1"/>
      <c r="B774" s="139"/>
      <c r="C774" s="1"/>
      <c r="D774" s="1"/>
      <c r="E774" s="1"/>
      <c r="F774" s="1"/>
      <c r="G774" s="1"/>
      <c r="H774" s="4"/>
      <c r="I774" s="4"/>
      <c r="J774" s="4"/>
      <c r="K774" s="4"/>
      <c r="L774" s="4"/>
      <c r="M774" s="4"/>
      <c r="N774" s="1"/>
      <c r="O774" s="1"/>
      <c r="P774" s="4"/>
      <c r="Q774" s="5"/>
      <c r="R774" s="4"/>
      <c r="S774" s="1"/>
      <c r="T774" s="1"/>
      <c r="U774" s="1"/>
      <c r="V774" s="1"/>
      <c r="W774" s="1"/>
      <c r="X774" s="6"/>
      <c r="Y774" s="4"/>
      <c r="Z774" s="4"/>
      <c r="AA774" s="4"/>
      <c r="AB774" s="1"/>
      <c r="AC774" s="1"/>
      <c r="AD774" s="1"/>
      <c r="AE774" s="1"/>
      <c r="AF774" s="1"/>
      <c r="AG774" s="4"/>
      <c r="AH774" s="1"/>
      <c r="AI774" s="4"/>
      <c r="AJ774" s="6"/>
      <c r="AK774" s="7"/>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1:61" ht="16.5" customHeight="1">
      <c r="A775" s="1"/>
      <c r="B775" s="139"/>
      <c r="C775" s="1"/>
      <c r="D775" s="1"/>
      <c r="E775" s="1"/>
      <c r="F775" s="1"/>
      <c r="G775" s="1"/>
      <c r="H775" s="4"/>
      <c r="I775" s="4"/>
      <c r="J775" s="4"/>
      <c r="K775" s="4"/>
      <c r="L775" s="4"/>
      <c r="M775" s="4"/>
      <c r="N775" s="1"/>
      <c r="O775" s="1"/>
      <c r="P775" s="4"/>
      <c r="Q775" s="5"/>
      <c r="R775" s="4"/>
      <c r="S775" s="1"/>
      <c r="T775" s="1"/>
      <c r="U775" s="1"/>
      <c r="V775" s="1"/>
      <c r="W775" s="1"/>
      <c r="X775" s="6"/>
      <c r="Y775" s="4"/>
      <c r="Z775" s="4"/>
      <c r="AA775" s="4"/>
      <c r="AB775" s="1"/>
      <c r="AC775" s="1"/>
      <c r="AD775" s="1"/>
      <c r="AE775" s="1"/>
      <c r="AF775" s="1"/>
      <c r="AG775" s="4"/>
      <c r="AH775" s="1"/>
      <c r="AI775" s="4"/>
      <c r="AJ775" s="6"/>
      <c r="AK775" s="7"/>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1:61" ht="16.5" customHeight="1">
      <c r="A776" s="1"/>
      <c r="B776" s="139"/>
      <c r="C776" s="1"/>
      <c r="D776" s="1"/>
      <c r="E776" s="1"/>
      <c r="F776" s="1"/>
      <c r="G776" s="1"/>
      <c r="H776" s="4"/>
      <c r="I776" s="4"/>
      <c r="J776" s="4"/>
      <c r="K776" s="4"/>
      <c r="L776" s="4"/>
      <c r="M776" s="4"/>
      <c r="N776" s="1"/>
      <c r="O776" s="1"/>
      <c r="P776" s="4"/>
      <c r="Q776" s="5"/>
      <c r="R776" s="4"/>
      <c r="S776" s="1"/>
      <c r="T776" s="1"/>
      <c r="U776" s="1"/>
      <c r="V776" s="1"/>
      <c r="W776" s="1"/>
      <c r="X776" s="6"/>
      <c r="Y776" s="4"/>
      <c r="Z776" s="4"/>
      <c r="AA776" s="4"/>
      <c r="AB776" s="1"/>
      <c r="AC776" s="1"/>
      <c r="AD776" s="1"/>
      <c r="AE776" s="1"/>
      <c r="AF776" s="1"/>
      <c r="AG776" s="4"/>
      <c r="AH776" s="1"/>
      <c r="AI776" s="4"/>
      <c r="AJ776" s="6"/>
      <c r="AK776" s="7"/>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1:61" ht="16.5" customHeight="1">
      <c r="A777" s="1"/>
      <c r="B777" s="139"/>
      <c r="C777" s="1"/>
      <c r="D777" s="1"/>
      <c r="E777" s="1"/>
      <c r="F777" s="1"/>
      <c r="G777" s="1"/>
      <c r="H777" s="4"/>
      <c r="I777" s="4"/>
      <c r="J777" s="4"/>
      <c r="K777" s="4"/>
      <c r="L777" s="4"/>
      <c r="M777" s="4"/>
      <c r="N777" s="1"/>
      <c r="O777" s="1"/>
      <c r="P777" s="4"/>
      <c r="Q777" s="5"/>
      <c r="R777" s="4"/>
      <c r="S777" s="1"/>
      <c r="T777" s="1"/>
      <c r="U777" s="1"/>
      <c r="V777" s="1"/>
      <c r="W777" s="1"/>
      <c r="X777" s="6"/>
      <c r="Y777" s="4"/>
      <c r="Z777" s="4"/>
      <c r="AA777" s="4"/>
      <c r="AB777" s="1"/>
      <c r="AC777" s="1"/>
      <c r="AD777" s="1"/>
      <c r="AE777" s="1"/>
      <c r="AF777" s="1"/>
      <c r="AG777" s="4"/>
      <c r="AH777" s="1"/>
      <c r="AI777" s="4"/>
      <c r="AJ777" s="6"/>
      <c r="AK777" s="7"/>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1:61" ht="16.5" customHeight="1">
      <c r="A778" s="1"/>
      <c r="B778" s="139"/>
      <c r="C778" s="1"/>
      <c r="D778" s="1"/>
      <c r="E778" s="1"/>
      <c r="F778" s="1"/>
      <c r="G778" s="1"/>
      <c r="H778" s="4"/>
      <c r="I778" s="4"/>
      <c r="J778" s="4"/>
      <c r="K778" s="4"/>
      <c r="L778" s="4"/>
      <c r="M778" s="4"/>
      <c r="N778" s="1"/>
      <c r="O778" s="1"/>
      <c r="P778" s="4"/>
      <c r="Q778" s="5"/>
      <c r="R778" s="4"/>
      <c r="S778" s="1"/>
      <c r="T778" s="1"/>
      <c r="U778" s="1"/>
      <c r="V778" s="1"/>
      <c r="W778" s="1"/>
      <c r="X778" s="6"/>
      <c r="Y778" s="4"/>
      <c r="Z778" s="4"/>
      <c r="AA778" s="4"/>
      <c r="AB778" s="1"/>
      <c r="AC778" s="1"/>
      <c r="AD778" s="1"/>
      <c r="AE778" s="1"/>
      <c r="AF778" s="1"/>
      <c r="AG778" s="4"/>
      <c r="AH778" s="1"/>
      <c r="AI778" s="4"/>
      <c r="AJ778" s="6"/>
      <c r="AK778" s="7"/>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1:61" ht="16.5" customHeight="1">
      <c r="A779" s="1"/>
      <c r="B779" s="139"/>
      <c r="C779" s="1"/>
      <c r="D779" s="1"/>
      <c r="E779" s="1"/>
      <c r="F779" s="1"/>
      <c r="G779" s="1"/>
      <c r="H779" s="4"/>
      <c r="I779" s="4"/>
      <c r="J779" s="4"/>
      <c r="K779" s="4"/>
      <c r="L779" s="4"/>
      <c r="M779" s="4"/>
      <c r="N779" s="1"/>
      <c r="O779" s="1"/>
      <c r="P779" s="4"/>
      <c r="Q779" s="5"/>
      <c r="R779" s="4"/>
      <c r="S779" s="1"/>
      <c r="T779" s="1"/>
      <c r="U779" s="1"/>
      <c r="V779" s="1"/>
      <c r="W779" s="1"/>
      <c r="X779" s="6"/>
      <c r="Y779" s="4"/>
      <c r="Z779" s="4"/>
      <c r="AA779" s="4"/>
      <c r="AB779" s="1"/>
      <c r="AC779" s="1"/>
      <c r="AD779" s="1"/>
      <c r="AE779" s="1"/>
      <c r="AF779" s="1"/>
      <c r="AG779" s="4"/>
      <c r="AH779" s="1"/>
      <c r="AI779" s="4"/>
      <c r="AJ779" s="6"/>
      <c r="AK779" s="7"/>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1:61" ht="16.5" customHeight="1">
      <c r="A780" s="1"/>
      <c r="B780" s="139"/>
      <c r="C780" s="1"/>
      <c r="D780" s="1"/>
      <c r="E780" s="1"/>
      <c r="F780" s="1"/>
      <c r="G780" s="1"/>
      <c r="H780" s="4"/>
      <c r="I780" s="4"/>
      <c r="J780" s="4"/>
      <c r="K780" s="4"/>
      <c r="L780" s="4"/>
      <c r="M780" s="4"/>
      <c r="N780" s="1"/>
      <c r="O780" s="1"/>
      <c r="P780" s="4"/>
      <c r="Q780" s="5"/>
      <c r="R780" s="4"/>
      <c r="S780" s="1"/>
      <c r="T780" s="1"/>
      <c r="U780" s="1"/>
      <c r="V780" s="1"/>
      <c r="W780" s="1"/>
      <c r="X780" s="6"/>
      <c r="Y780" s="4"/>
      <c r="Z780" s="4"/>
      <c r="AA780" s="4"/>
      <c r="AB780" s="1"/>
      <c r="AC780" s="1"/>
      <c r="AD780" s="1"/>
      <c r="AE780" s="1"/>
      <c r="AF780" s="1"/>
      <c r="AG780" s="4"/>
      <c r="AH780" s="1"/>
      <c r="AI780" s="4"/>
      <c r="AJ780" s="6"/>
      <c r="AK780" s="7"/>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1:61" ht="16.5" customHeight="1">
      <c r="A781" s="1"/>
      <c r="B781" s="139"/>
      <c r="C781" s="1"/>
      <c r="D781" s="1"/>
      <c r="E781" s="1"/>
      <c r="F781" s="1"/>
      <c r="G781" s="1"/>
      <c r="H781" s="4"/>
      <c r="I781" s="4"/>
      <c r="J781" s="4"/>
      <c r="K781" s="4"/>
      <c r="L781" s="4"/>
      <c r="M781" s="4"/>
      <c r="N781" s="1"/>
      <c r="O781" s="1"/>
      <c r="P781" s="4"/>
      <c r="Q781" s="5"/>
      <c r="R781" s="4"/>
      <c r="S781" s="1"/>
      <c r="T781" s="1"/>
      <c r="U781" s="1"/>
      <c r="V781" s="1"/>
      <c r="W781" s="1"/>
      <c r="X781" s="6"/>
      <c r="Y781" s="4"/>
      <c r="Z781" s="4"/>
      <c r="AA781" s="4"/>
      <c r="AB781" s="1"/>
      <c r="AC781" s="1"/>
      <c r="AD781" s="1"/>
      <c r="AE781" s="1"/>
      <c r="AF781" s="1"/>
      <c r="AG781" s="4"/>
      <c r="AH781" s="1"/>
      <c r="AI781" s="4"/>
      <c r="AJ781" s="6"/>
      <c r="AK781" s="7"/>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1:61" ht="16.5" customHeight="1">
      <c r="A782" s="1"/>
      <c r="B782" s="139"/>
      <c r="C782" s="1"/>
      <c r="D782" s="1"/>
      <c r="E782" s="1"/>
      <c r="F782" s="1"/>
      <c r="G782" s="1"/>
      <c r="H782" s="4"/>
      <c r="I782" s="4"/>
      <c r="J782" s="4"/>
      <c r="K782" s="4"/>
      <c r="L782" s="4"/>
      <c r="M782" s="4"/>
      <c r="N782" s="1"/>
      <c r="O782" s="1"/>
      <c r="P782" s="4"/>
      <c r="Q782" s="5"/>
      <c r="R782" s="4"/>
      <c r="S782" s="1"/>
      <c r="T782" s="1"/>
      <c r="U782" s="1"/>
      <c r="V782" s="1"/>
      <c r="W782" s="1"/>
      <c r="X782" s="6"/>
      <c r="Y782" s="4"/>
      <c r="Z782" s="4"/>
      <c r="AA782" s="4"/>
      <c r="AB782" s="1"/>
      <c r="AC782" s="1"/>
      <c r="AD782" s="1"/>
      <c r="AE782" s="1"/>
      <c r="AF782" s="1"/>
      <c r="AG782" s="4"/>
      <c r="AH782" s="1"/>
      <c r="AI782" s="4"/>
      <c r="AJ782" s="6"/>
      <c r="AK782" s="7"/>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1:61" ht="16.5" customHeight="1">
      <c r="A783" s="1"/>
      <c r="B783" s="139"/>
      <c r="C783" s="1"/>
      <c r="D783" s="1"/>
      <c r="E783" s="1"/>
      <c r="F783" s="1"/>
      <c r="G783" s="1"/>
      <c r="H783" s="4"/>
      <c r="I783" s="4"/>
      <c r="J783" s="4"/>
      <c r="K783" s="4"/>
      <c r="L783" s="4"/>
      <c r="M783" s="4"/>
      <c r="N783" s="1"/>
      <c r="O783" s="1"/>
      <c r="P783" s="4"/>
      <c r="Q783" s="5"/>
      <c r="R783" s="4"/>
      <c r="S783" s="1"/>
      <c r="T783" s="1"/>
      <c r="U783" s="1"/>
      <c r="V783" s="1"/>
      <c r="W783" s="1"/>
      <c r="X783" s="6"/>
      <c r="Y783" s="4"/>
      <c r="Z783" s="4"/>
      <c r="AA783" s="4"/>
      <c r="AB783" s="1"/>
      <c r="AC783" s="1"/>
      <c r="AD783" s="1"/>
      <c r="AE783" s="1"/>
      <c r="AF783" s="1"/>
      <c r="AG783" s="4"/>
      <c r="AH783" s="1"/>
      <c r="AI783" s="4"/>
      <c r="AJ783" s="6"/>
      <c r="AK783" s="7"/>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1:61" ht="16.5" customHeight="1">
      <c r="A784" s="1"/>
      <c r="B784" s="139"/>
      <c r="C784" s="1"/>
      <c r="D784" s="1"/>
      <c r="E784" s="1"/>
      <c r="F784" s="1"/>
      <c r="G784" s="1"/>
      <c r="H784" s="4"/>
      <c r="I784" s="4"/>
      <c r="J784" s="4"/>
      <c r="K784" s="4"/>
      <c r="L784" s="4"/>
      <c r="M784" s="4"/>
      <c r="N784" s="1"/>
      <c r="O784" s="1"/>
      <c r="P784" s="4"/>
      <c r="Q784" s="5"/>
      <c r="R784" s="4"/>
      <c r="S784" s="1"/>
      <c r="T784" s="1"/>
      <c r="U784" s="1"/>
      <c r="V784" s="1"/>
      <c r="W784" s="1"/>
      <c r="X784" s="6"/>
      <c r="Y784" s="4"/>
      <c r="Z784" s="4"/>
      <c r="AA784" s="4"/>
      <c r="AB784" s="1"/>
      <c r="AC784" s="1"/>
      <c r="AD784" s="1"/>
      <c r="AE784" s="1"/>
      <c r="AF784" s="1"/>
      <c r="AG784" s="4"/>
      <c r="AH784" s="1"/>
      <c r="AI784" s="4"/>
      <c r="AJ784" s="6"/>
      <c r="AK784" s="7"/>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1:61" ht="16.5" customHeight="1">
      <c r="A785" s="1"/>
      <c r="B785" s="139"/>
      <c r="C785" s="1"/>
      <c r="D785" s="1"/>
      <c r="E785" s="1"/>
      <c r="F785" s="1"/>
      <c r="G785" s="1"/>
      <c r="H785" s="4"/>
      <c r="I785" s="4"/>
      <c r="J785" s="4"/>
      <c r="K785" s="4"/>
      <c r="L785" s="4"/>
      <c r="M785" s="4"/>
      <c r="N785" s="1"/>
      <c r="O785" s="1"/>
      <c r="P785" s="4"/>
      <c r="Q785" s="5"/>
      <c r="R785" s="4"/>
      <c r="S785" s="1"/>
      <c r="T785" s="1"/>
      <c r="U785" s="1"/>
      <c r="V785" s="1"/>
      <c r="W785" s="1"/>
      <c r="X785" s="6"/>
      <c r="Y785" s="4"/>
      <c r="Z785" s="4"/>
      <c r="AA785" s="4"/>
      <c r="AB785" s="1"/>
      <c r="AC785" s="1"/>
      <c r="AD785" s="1"/>
      <c r="AE785" s="1"/>
      <c r="AF785" s="1"/>
      <c r="AG785" s="4"/>
      <c r="AH785" s="1"/>
      <c r="AI785" s="4"/>
      <c r="AJ785" s="6"/>
      <c r="AK785" s="7"/>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1:61" ht="16.5" customHeight="1">
      <c r="A786" s="1"/>
      <c r="B786" s="139"/>
      <c r="C786" s="1"/>
      <c r="D786" s="1"/>
      <c r="E786" s="1"/>
      <c r="F786" s="1"/>
      <c r="G786" s="1"/>
      <c r="H786" s="4"/>
      <c r="I786" s="4"/>
      <c r="J786" s="4"/>
      <c r="K786" s="4"/>
      <c r="L786" s="4"/>
      <c r="M786" s="4"/>
      <c r="N786" s="1"/>
      <c r="O786" s="1"/>
      <c r="P786" s="4"/>
      <c r="Q786" s="5"/>
      <c r="R786" s="4"/>
      <c r="S786" s="1"/>
      <c r="T786" s="1"/>
      <c r="U786" s="1"/>
      <c r="V786" s="1"/>
      <c r="W786" s="1"/>
      <c r="X786" s="6"/>
      <c r="Y786" s="4"/>
      <c r="Z786" s="4"/>
      <c r="AA786" s="4"/>
      <c r="AB786" s="1"/>
      <c r="AC786" s="1"/>
      <c r="AD786" s="1"/>
      <c r="AE786" s="1"/>
      <c r="AF786" s="1"/>
      <c r="AG786" s="4"/>
      <c r="AH786" s="1"/>
      <c r="AI786" s="4"/>
      <c r="AJ786" s="6"/>
      <c r="AK786" s="7"/>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1:61" ht="16.5" customHeight="1">
      <c r="A787" s="1"/>
      <c r="B787" s="139"/>
      <c r="C787" s="1"/>
      <c r="D787" s="1"/>
      <c r="E787" s="1"/>
      <c r="F787" s="1"/>
      <c r="G787" s="1"/>
      <c r="H787" s="4"/>
      <c r="I787" s="4"/>
      <c r="J787" s="4"/>
      <c r="K787" s="4"/>
      <c r="L787" s="4"/>
      <c r="M787" s="4"/>
      <c r="N787" s="1"/>
      <c r="O787" s="1"/>
      <c r="P787" s="4"/>
      <c r="Q787" s="5"/>
      <c r="R787" s="4"/>
      <c r="S787" s="1"/>
      <c r="T787" s="1"/>
      <c r="U787" s="1"/>
      <c r="V787" s="1"/>
      <c r="W787" s="1"/>
      <c r="X787" s="6"/>
      <c r="Y787" s="4"/>
      <c r="Z787" s="4"/>
      <c r="AA787" s="4"/>
      <c r="AB787" s="1"/>
      <c r="AC787" s="1"/>
      <c r="AD787" s="1"/>
      <c r="AE787" s="1"/>
      <c r="AF787" s="1"/>
      <c r="AG787" s="4"/>
      <c r="AH787" s="1"/>
      <c r="AI787" s="4"/>
      <c r="AJ787" s="6"/>
      <c r="AK787" s="7"/>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1:61" ht="16.5" customHeight="1">
      <c r="A788" s="1"/>
      <c r="B788" s="139"/>
      <c r="C788" s="1"/>
      <c r="D788" s="1"/>
      <c r="E788" s="1"/>
      <c r="F788" s="1"/>
      <c r="G788" s="1"/>
      <c r="H788" s="4"/>
      <c r="I788" s="4"/>
      <c r="J788" s="4"/>
      <c r="K788" s="4"/>
      <c r="L788" s="4"/>
      <c r="M788" s="4"/>
      <c r="N788" s="1"/>
      <c r="O788" s="1"/>
      <c r="P788" s="4"/>
      <c r="Q788" s="5"/>
      <c r="R788" s="4"/>
      <c r="S788" s="1"/>
      <c r="T788" s="1"/>
      <c r="U788" s="1"/>
      <c r="V788" s="1"/>
      <c r="W788" s="1"/>
      <c r="X788" s="6"/>
      <c r="Y788" s="4"/>
      <c r="Z788" s="4"/>
      <c r="AA788" s="4"/>
      <c r="AB788" s="1"/>
      <c r="AC788" s="1"/>
      <c r="AD788" s="1"/>
      <c r="AE788" s="1"/>
      <c r="AF788" s="1"/>
      <c r="AG788" s="4"/>
      <c r="AH788" s="1"/>
      <c r="AI788" s="4"/>
      <c r="AJ788" s="6"/>
      <c r="AK788" s="7"/>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1:61" ht="16.5" customHeight="1">
      <c r="A789" s="1"/>
      <c r="B789" s="139"/>
      <c r="C789" s="1"/>
      <c r="D789" s="1"/>
      <c r="E789" s="1"/>
      <c r="F789" s="1"/>
      <c r="G789" s="1"/>
      <c r="H789" s="4"/>
      <c r="I789" s="4"/>
      <c r="J789" s="4"/>
      <c r="K789" s="4"/>
      <c r="L789" s="4"/>
      <c r="M789" s="4"/>
      <c r="N789" s="1"/>
      <c r="O789" s="1"/>
      <c r="P789" s="4"/>
      <c r="Q789" s="5"/>
      <c r="R789" s="4"/>
      <c r="S789" s="1"/>
      <c r="T789" s="1"/>
      <c r="U789" s="1"/>
      <c r="V789" s="1"/>
      <c r="W789" s="1"/>
      <c r="X789" s="6"/>
      <c r="Y789" s="4"/>
      <c r="Z789" s="4"/>
      <c r="AA789" s="4"/>
      <c r="AB789" s="1"/>
      <c r="AC789" s="1"/>
      <c r="AD789" s="1"/>
      <c r="AE789" s="1"/>
      <c r="AF789" s="1"/>
      <c r="AG789" s="4"/>
      <c r="AH789" s="1"/>
      <c r="AI789" s="4"/>
      <c r="AJ789" s="6"/>
      <c r="AK789" s="7"/>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1:61" ht="16.5" customHeight="1">
      <c r="A790" s="1"/>
      <c r="B790" s="139"/>
      <c r="C790" s="1"/>
      <c r="D790" s="1"/>
      <c r="E790" s="1"/>
      <c r="F790" s="1"/>
      <c r="G790" s="1"/>
      <c r="H790" s="4"/>
      <c r="I790" s="4"/>
      <c r="J790" s="4"/>
      <c r="K790" s="4"/>
      <c r="L790" s="4"/>
      <c r="M790" s="4"/>
      <c r="N790" s="1"/>
      <c r="O790" s="1"/>
      <c r="P790" s="4"/>
      <c r="Q790" s="5"/>
      <c r="R790" s="4"/>
      <c r="S790" s="1"/>
      <c r="T790" s="1"/>
      <c r="U790" s="1"/>
      <c r="V790" s="1"/>
      <c r="W790" s="1"/>
      <c r="X790" s="6"/>
      <c r="Y790" s="4"/>
      <c r="Z790" s="4"/>
      <c r="AA790" s="4"/>
      <c r="AB790" s="1"/>
      <c r="AC790" s="1"/>
      <c r="AD790" s="1"/>
      <c r="AE790" s="1"/>
      <c r="AF790" s="1"/>
      <c r="AG790" s="4"/>
      <c r="AH790" s="1"/>
      <c r="AI790" s="4"/>
      <c r="AJ790" s="6"/>
      <c r="AK790" s="7"/>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1:61" ht="16.5" customHeight="1">
      <c r="A791" s="1"/>
      <c r="B791" s="139"/>
      <c r="C791" s="1"/>
      <c r="D791" s="1"/>
      <c r="E791" s="1"/>
      <c r="F791" s="1"/>
      <c r="G791" s="1"/>
      <c r="H791" s="4"/>
      <c r="I791" s="4"/>
      <c r="J791" s="4"/>
      <c r="K791" s="4"/>
      <c r="L791" s="4"/>
      <c r="M791" s="4"/>
      <c r="N791" s="1"/>
      <c r="O791" s="1"/>
      <c r="P791" s="4"/>
      <c r="Q791" s="5"/>
      <c r="R791" s="4"/>
      <c r="S791" s="1"/>
      <c r="T791" s="1"/>
      <c r="U791" s="1"/>
      <c r="V791" s="1"/>
      <c r="W791" s="1"/>
      <c r="X791" s="6"/>
      <c r="Y791" s="4"/>
      <c r="Z791" s="4"/>
      <c r="AA791" s="4"/>
      <c r="AB791" s="1"/>
      <c r="AC791" s="1"/>
      <c r="AD791" s="1"/>
      <c r="AE791" s="1"/>
      <c r="AF791" s="1"/>
      <c r="AG791" s="4"/>
      <c r="AH791" s="1"/>
      <c r="AI791" s="4"/>
      <c r="AJ791" s="6"/>
      <c r="AK791" s="7"/>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1:61" ht="16.5" customHeight="1">
      <c r="A792" s="1"/>
      <c r="B792" s="139"/>
      <c r="C792" s="1"/>
      <c r="D792" s="1"/>
      <c r="E792" s="1"/>
      <c r="F792" s="1"/>
      <c r="G792" s="1"/>
      <c r="H792" s="4"/>
      <c r="I792" s="4"/>
      <c r="J792" s="4"/>
      <c r="K792" s="4"/>
      <c r="L792" s="4"/>
      <c r="M792" s="4"/>
      <c r="N792" s="1"/>
      <c r="O792" s="1"/>
      <c r="P792" s="4"/>
      <c r="Q792" s="5"/>
      <c r="R792" s="4"/>
      <c r="S792" s="1"/>
      <c r="T792" s="1"/>
      <c r="U792" s="1"/>
      <c r="V792" s="1"/>
      <c r="W792" s="1"/>
      <c r="X792" s="6"/>
      <c r="Y792" s="4"/>
      <c r="Z792" s="4"/>
      <c r="AA792" s="4"/>
      <c r="AB792" s="1"/>
      <c r="AC792" s="1"/>
      <c r="AD792" s="1"/>
      <c r="AE792" s="1"/>
      <c r="AF792" s="1"/>
      <c r="AG792" s="4"/>
      <c r="AH792" s="1"/>
      <c r="AI792" s="4"/>
      <c r="AJ792" s="6"/>
      <c r="AK792" s="7"/>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1:61" ht="16.5" customHeight="1">
      <c r="A793" s="1"/>
      <c r="B793" s="139"/>
      <c r="C793" s="1"/>
      <c r="D793" s="1"/>
      <c r="E793" s="1"/>
      <c r="F793" s="1"/>
      <c r="G793" s="1"/>
      <c r="H793" s="4"/>
      <c r="I793" s="4"/>
      <c r="J793" s="4"/>
      <c r="K793" s="4"/>
      <c r="L793" s="4"/>
      <c r="M793" s="4"/>
      <c r="N793" s="1"/>
      <c r="O793" s="1"/>
      <c r="P793" s="4"/>
      <c r="Q793" s="5"/>
      <c r="R793" s="4"/>
      <c r="S793" s="1"/>
      <c r="T793" s="1"/>
      <c r="U793" s="1"/>
      <c r="V793" s="1"/>
      <c r="W793" s="1"/>
      <c r="X793" s="6"/>
      <c r="Y793" s="4"/>
      <c r="Z793" s="4"/>
      <c r="AA793" s="4"/>
      <c r="AB793" s="1"/>
      <c r="AC793" s="1"/>
      <c r="AD793" s="1"/>
      <c r="AE793" s="1"/>
      <c r="AF793" s="1"/>
      <c r="AG793" s="4"/>
      <c r="AH793" s="1"/>
      <c r="AI793" s="4"/>
      <c r="AJ793" s="6"/>
      <c r="AK793" s="7"/>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1:61" ht="16.5" customHeight="1">
      <c r="A794" s="1"/>
      <c r="B794" s="139"/>
      <c r="C794" s="1"/>
      <c r="D794" s="1"/>
      <c r="E794" s="1"/>
      <c r="F794" s="1"/>
      <c r="G794" s="1"/>
      <c r="H794" s="4"/>
      <c r="I794" s="4"/>
      <c r="J794" s="4"/>
      <c r="K794" s="4"/>
      <c r="L794" s="4"/>
      <c r="M794" s="4"/>
      <c r="N794" s="1"/>
      <c r="O794" s="1"/>
      <c r="P794" s="4"/>
      <c r="Q794" s="5"/>
      <c r="R794" s="4"/>
      <c r="S794" s="1"/>
      <c r="T794" s="1"/>
      <c r="U794" s="1"/>
      <c r="V794" s="1"/>
      <c r="W794" s="1"/>
      <c r="X794" s="6"/>
      <c r="Y794" s="4"/>
      <c r="Z794" s="4"/>
      <c r="AA794" s="4"/>
      <c r="AB794" s="1"/>
      <c r="AC794" s="1"/>
      <c r="AD794" s="1"/>
      <c r="AE794" s="1"/>
      <c r="AF794" s="1"/>
      <c r="AG794" s="4"/>
      <c r="AH794" s="1"/>
      <c r="AI794" s="4"/>
      <c r="AJ794" s="6"/>
      <c r="AK794" s="7"/>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1:61" ht="16.5" customHeight="1">
      <c r="A795" s="1"/>
      <c r="B795" s="139"/>
      <c r="C795" s="1"/>
      <c r="D795" s="1"/>
      <c r="E795" s="1"/>
      <c r="F795" s="1"/>
      <c r="G795" s="1"/>
      <c r="H795" s="4"/>
      <c r="I795" s="4"/>
      <c r="J795" s="4"/>
      <c r="K795" s="4"/>
      <c r="L795" s="4"/>
      <c r="M795" s="4"/>
      <c r="N795" s="1"/>
      <c r="O795" s="1"/>
      <c r="P795" s="4"/>
      <c r="Q795" s="5"/>
      <c r="R795" s="4"/>
      <c r="S795" s="1"/>
      <c r="T795" s="1"/>
      <c r="U795" s="1"/>
      <c r="V795" s="1"/>
      <c r="W795" s="1"/>
      <c r="X795" s="6"/>
      <c r="Y795" s="4"/>
      <c r="Z795" s="4"/>
      <c r="AA795" s="4"/>
      <c r="AB795" s="1"/>
      <c r="AC795" s="1"/>
      <c r="AD795" s="1"/>
      <c r="AE795" s="1"/>
      <c r="AF795" s="1"/>
      <c r="AG795" s="4"/>
      <c r="AH795" s="1"/>
      <c r="AI795" s="4"/>
      <c r="AJ795" s="6"/>
      <c r="AK795" s="7"/>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1:61" ht="16.5" customHeight="1">
      <c r="A796" s="1"/>
      <c r="B796" s="139"/>
      <c r="C796" s="1"/>
      <c r="D796" s="1"/>
      <c r="E796" s="1"/>
      <c r="F796" s="1"/>
      <c r="G796" s="1"/>
      <c r="H796" s="4"/>
      <c r="I796" s="4"/>
      <c r="J796" s="4"/>
      <c r="K796" s="4"/>
      <c r="L796" s="4"/>
      <c r="M796" s="4"/>
      <c r="N796" s="1"/>
      <c r="O796" s="1"/>
      <c r="P796" s="4"/>
      <c r="Q796" s="5"/>
      <c r="R796" s="4"/>
      <c r="S796" s="1"/>
      <c r="T796" s="1"/>
      <c r="U796" s="1"/>
      <c r="V796" s="1"/>
      <c r="W796" s="1"/>
      <c r="X796" s="6"/>
      <c r="Y796" s="4"/>
      <c r="Z796" s="4"/>
      <c r="AA796" s="4"/>
      <c r="AB796" s="1"/>
      <c r="AC796" s="1"/>
      <c r="AD796" s="1"/>
      <c r="AE796" s="1"/>
      <c r="AF796" s="1"/>
      <c r="AG796" s="4"/>
      <c r="AH796" s="1"/>
      <c r="AI796" s="4"/>
      <c r="AJ796" s="6"/>
      <c r="AK796" s="7"/>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1:61" ht="16.5" customHeight="1">
      <c r="A797" s="1"/>
      <c r="B797" s="139"/>
      <c r="C797" s="1"/>
      <c r="D797" s="1"/>
      <c r="E797" s="1"/>
      <c r="F797" s="1"/>
      <c r="G797" s="1"/>
      <c r="H797" s="4"/>
      <c r="I797" s="4"/>
      <c r="J797" s="4"/>
      <c r="K797" s="4"/>
      <c r="L797" s="4"/>
      <c r="M797" s="4"/>
      <c r="N797" s="1"/>
      <c r="O797" s="1"/>
      <c r="P797" s="4"/>
      <c r="Q797" s="5"/>
      <c r="R797" s="4"/>
      <c r="S797" s="1"/>
      <c r="T797" s="1"/>
      <c r="U797" s="1"/>
      <c r="V797" s="1"/>
      <c r="W797" s="1"/>
      <c r="X797" s="6"/>
      <c r="Y797" s="4"/>
      <c r="Z797" s="4"/>
      <c r="AA797" s="4"/>
      <c r="AB797" s="1"/>
      <c r="AC797" s="1"/>
      <c r="AD797" s="1"/>
      <c r="AE797" s="1"/>
      <c r="AF797" s="1"/>
      <c r="AG797" s="4"/>
      <c r="AH797" s="1"/>
      <c r="AI797" s="4"/>
      <c r="AJ797" s="6"/>
      <c r="AK797" s="7"/>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1:61" ht="16.5" customHeight="1">
      <c r="A798" s="1"/>
      <c r="B798" s="139"/>
      <c r="C798" s="1"/>
      <c r="D798" s="1"/>
      <c r="E798" s="1"/>
      <c r="F798" s="1"/>
      <c r="G798" s="1"/>
      <c r="H798" s="4"/>
      <c r="I798" s="4"/>
      <c r="J798" s="4"/>
      <c r="K798" s="4"/>
      <c r="L798" s="4"/>
      <c r="M798" s="4"/>
      <c r="N798" s="1"/>
      <c r="O798" s="1"/>
      <c r="P798" s="4"/>
      <c r="Q798" s="5"/>
      <c r="R798" s="4"/>
      <c r="S798" s="1"/>
      <c r="T798" s="1"/>
      <c r="U798" s="1"/>
      <c r="V798" s="1"/>
      <c r="W798" s="1"/>
      <c r="X798" s="6"/>
      <c r="Y798" s="4"/>
      <c r="Z798" s="4"/>
      <c r="AA798" s="4"/>
      <c r="AB798" s="1"/>
      <c r="AC798" s="1"/>
      <c r="AD798" s="1"/>
      <c r="AE798" s="1"/>
      <c r="AF798" s="1"/>
      <c r="AG798" s="4"/>
      <c r="AH798" s="1"/>
      <c r="AI798" s="4"/>
      <c r="AJ798" s="6"/>
      <c r="AK798" s="7"/>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1:61" ht="16.5" customHeight="1">
      <c r="A799" s="1"/>
      <c r="B799" s="139"/>
      <c r="C799" s="1"/>
      <c r="D799" s="1"/>
      <c r="E799" s="1"/>
      <c r="F799" s="1"/>
      <c r="G799" s="1"/>
      <c r="H799" s="4"/>
      <c r="I799" s="4"/>
      <c r="J799" s="4"/>
      <c r="K799" s="4"/>
      <c r="L799" s="4"/>
      <c r="M799" s="4"/>
      <c r="N799" s="1"/>
      <c r="O799" s="1"/>
      <c r="P799" s="4"/>
      <c r="Q799" s="5"/>
      <c r="R799" s="4"/>
      <c r="S799" s="1"/>
      <c r="T799" s="1"/>
      <c r="U799" s="1"/>
      <c r="V799" s="1"/>
      <c r="W799" s="1"/>
      <c r="X799" s="6"/>
      <c r="Y799" s="4"/>
      <c r="Z799" s="4"/>
      <c r="AA799" s="4"/>
      <c r="AB799" s="1"/>
      <c r="AC799" s="1"/>
      <c r="AD799" s="1"/>
      <c r="AE799" s="1"/>
      <c r="AF799" s="1"/>
      <c r="AG799" s="4"/>
      <c r="AH799" s="1"/>
      <c r="AI799" s="4"/>
      <c r="AJ799" s="6"/>
      <c r="AK799" s="7"/>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1:61" ht="16.5" customHeight="1">
      <c r="A800" s="1"/>
      <c r="B800" s="139"/>
      <c r="C800" s="1"/>
      <c r="D800" s="1"/>
      <c r="E800" s="1"/>
      <c r="F800" s="1"/>
      <c r="G800" s="1"/>
      <c r="H800" s="4"/>
      <c r="I800" s="4"/>
      <c r="J800" s="4"/>
      <c r="K800" s="4"/>
      <c r="L800" s="4"/>
      <c r="M800" s="4"/>
      <c r="N800" s="1"/>
      <c r="O800" s="1"/>
      <c r="P800" s="4"/>
      <c r="Q800" s="5"/>
      <c r="R800" s="4"/>
      <c r="S800" s="1"/>
      <c r="T800" s="1"/>
      <c r="U800" s="1"/>
      <c r="V800" s="1"/>
      <c r="W800" s="1"/>
      <c r="X800" s="6"/>
      <c r="Y800" s="4"/>
      <c r="Z800" s="4"/>
      <c r="AA800" s="4"/>
      <c r="AB800" s="1"/>
      <c r="AC800" s="1"/>
      <c r="AD800" s="1"/>
      <c r="AE800" s="1"/>
      <c r="AF800" s="1"/>
      <c r="AG800" s="4"/>
      <c r="AH800" s="1"/>
      <c r="AI800" s="4"/>
      <c r="AJ800" s="6"/>
      <c r="AK800" s="7"/>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1:61" ht="16.5" customHeight="1">
      <c r="A801" s="1"/>
      <c r="B801" s="139"/>
      <c r="C801" s="1"/>
      <c r="D801" s="1"/>
      <c r="E801" s="1"/>
      <c r="F801" s="1"/>
      <c r="G801" s="1"/>
      <c r="H801" s="4"/>
      <c r="I801" s="4"/>
      <c r="J801" s="4"/>
      <c r="K801" s="4"/>
      <c r="L801" s="4"/>
      <c r="M801" s="4"/>
      <c r="N801" s="1"/>
      <c r="O801" s="1"/>
      <c r="P801" s="4"/>
      <c r="Q801" s="5"/>
      <c r="R801" s="4"/>
      <c r="S801" s="1"/>
      <c r="T801" s="1"/>
      <c r="U801" s="1"/>
      <c r="V801" s="1"/>
      <c r="W801" s="1"/>
      <c r="X801" s="6"/>
      <c r="Y801" s="4"/>
      <c r="Z801" s="4"/>
      <c r="AA801" s="4"/>
      <c r="AB801" s="1"/>
      <c r="AC801" s="1"/>
      <c r="AD801" s="1"/>
      <c r="AE801" s="1"/>
      <c r="AF801" s="1"/>
      <c r="AG801" s="4"/>
      <c r="AH801" s="1"/>
      <c r="AI801" s="4"/>
      <c r="AJ801" s="6"/>
      <c r="AK801" s="7"/>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1:61" ht="16.5" customHeight="1">
      <c r="A802" s="1"/>
      <c r="B802" s="139"/>
      <c r="C802" s="1"/>
      <c r="D802" s="1"/>
      <c r="E802" s="1"/>
      <c r="F802" s="1"/>
      <c r="G802" s="1"/>
      <c r="H802" s="4"/>
      <c r="I802" s="4"/>
      <c r="J802" s="4"/>
      <c r="K802" s="4"/>
      <c r="L802" s="4"/>
      <c r="M802" s="4"/>
      <c r="N802" s="1"/>
      <c r="O802" s="1"/>
      <c r="P802" s="4"/>
      <c r="Q802" s="5"/>
      <c r="R802" s="4"/>
      <c r="S802" s="1"/>
      <c r="T802" s="1"/>
      <c r="U802" s="1"/>
      <c r="V802" s="1"/>
      <c r="W802" s="1"/>
      <c r="X802" s="6"/>
      <c r="Y802" s="4"/>
      <c r="Z802" s="4"/>
      <c r="AA802" s="4"/>
      <c r="AB802" s="1"/>
      <c r="AC802" s="1"/>
      <c r="AD802" s="1"/>
      <c r="AE802" s="1"/>
      <c r="AF802" s="1"/>
      <c r="AG802" s="4"/>
      <c r="AH802" s="1"/>
      <c r="AI802" s="4"/>
      <c r="AJ802" s="6"/>
      <c r="AK802" s="7"/>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1:61" ht="16.5" customHeight="1">
      <c r="A803" s="1"/>
      <c r="B803" s="139"/>
      <c r="C803" s="1"/>
      <c r="D803" s="1"/>
      <c r="E803" s="1"/>
      <c r="F803" s="1"/>
      <c r="G803" s="1"/>
      <c r="H803" s="4"/>
      <c r="I803" s="4"/>
      <c r="J803" s="4"/>
      <c r="K803" s="4"/>
      <c r="L803" s="4"/>
      <c r="M803" s="4"/>
      <c r="N803" s="1"/>
      <c r="O803" s="1"/>
      <c r="P803" s="4"/>
      <c r="Q803" s="5"/>
      <c r="R803" s="4"/>
      <c r="S803" s="1"/>
      <c r="T803" s="1"/>
      <c r="U803" s="1"/>
      <c r="V803" s="1"/>
      <c r="W803" s="1"/>
      <c r="X803" s="6"/>
      <c r="Y803" s="4"/>
      <c r="Z803" s="4"/>
      <c r="AA803" s="4"/>
      <c r="AB803" s="1"/>
      <c r="AC803" s="1"/>
      <c r="AD803" s="1"/>
      <c r="AE803" s="1"/>
      <c r="AF803" s="1"/>
      <c r="AG803" s="4"/>
      <c r="AH803" s="1"/>
      <c r="AI803" s="4"/>
      <c r="AJ803" s="6"/>
      <c r="AK803" s="7"/>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1:61" ht="16.5" customHeight="1">
      <c r="A804" s="1"/>
      <c r="B804" s="139"/>
      <c r="C804" s="1"/>
      <c r="D804" s="1"/>
      <c r="E804" s="1"/>
      <c r="F804" s="1"/>
      <c r="G804" s="1"/>
      <c r="H804" s="4"/>
      <c r="I804" s="4"/>
      <c r="J804" s="4"/>
      <c r="K804" s="4"/>
      <c r="L804" s="4"/>
      <c r="M804" s="4"/>
      <c r="N804" s="1"/>
      <c r="O804" s="1"/>
      <c r="P804" s="4"/>
      <c r="Q804" s="5"/>
      <c r="R804" s="4"/>
      <c r="S804" s="1"/>
      <c r="T804" s="1"/>
      <c r="U804" s="1"/>
      <c r="V804" s="1"/>
      <c r="W804" s="1"/>
      <c r="X804" s="6"/>
      <c r="Y804" s="4"/>
      <c r="Z804" s="4"/>
      <c r="AA804" s="4"/>
      <c r="AB804" s="1"/>
      <c r="AC804" s="1"/>
      <c r="AD804" s="1"/>
      <c r="AE804" s="1"/>
      <c r="AF804" s="1"/>
      <c r="AG804" s="4"/>
      <c r="AH804" s="1"/>
      <c r="AI804" s="4"/>
      <c r="AJ804" s="6"/>
      <c r="AK804" s="7"/>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1:61" ht="16.5" customHeight="1">
      <c r="A805" s="1"/>
      <c r="B805" s="139"/>
      <c r="C805" s="1"/>
      <c r="D805" s="1"/>
      <c r="E805" s="1"/>
      <c r="F805" s="1"/>
      <c r="G805" s="1"/>
      <c r="H805" s="4"/>
      <c r="I805" s="4"/>
      <c r="J805" s="4"/>
      <c r="K805" s="4"/>
      <c r="L805" s="4"/>
      <c r="M805" s="4"/>
      <c r="N805" s="1"/>
      <c r="O805" s="1"/>
      <c r="P805" s="4"/>
      <c r="Q805" s="5"/>
      <c r="R805" s="4"/>
      <c r="S805" s="1"/>
      <c r="T805" s="1"/>
      <c r="U805" s="1"/>
      <c r="V805" s="1"/>
      <c r="W805" s="1"/>
      <c r="X805" s="6"/>
      <c r="Y805" s="4"/>
      <c r="Z805" s="4"/>
      <c r="AA805" s="4"/>
      <c r="AB805" s="1"/>
      <c r="AC805" s="1"/>
      <c r="AD805" s="1"/>
      <c r="AE805" s="1"/>
      <c r="AF805" s="1"/>
      <c r="AG805" s="4"/>
      <c r="AH805" s="1"/>
      <c r="AI805" s="4"/>
      <c r="AJ805" s="6"/>
      <c r="AK805" s="7"/>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1:61" ht="16.5" customHeight="1">
      <c r="A806" s="1"/>
      <c r="B806" s="139"/>
      <c r="C806" s="1"/>
      <c r="D806" s="1"/>
      <c r="E806" s="1"/>
      <c r="F806" s="1"/>
      <c r="G806" s="1"/>
      <c r="H806" s="4"/>
      <c r="I806" s="4"/>
      <c r="J806" s="4"/>
      <c r="K806" s="4"/>
      <c r="L806" s="4"/>
      <c r="M806" s="4"/>
      <c r="N806" s="1"/>
      <c r="O806" s="1"/>
      <c r="P806" s="4"/>
      <c r="Q806" s="5"/>
      <c r="R806" s="4"/>
      <c r="S806" s="1"/>
      <c r="T806" s="1"/>
      <c r="U806" s="1"/>
      <c r="V806" s="1"/>
      <c r="W806" s="1"/>
      <c r="X806" s="6"/>
      <c r="Y806" s="4"/>
      <c r="Z806" s="4"/>
      <c r="AA806" s="4"/>
      <c r="AB806" s="1"/>
      <c r="AC806" s="1"/>
      <c r="AD806" s="1"/>
      <c r="AE806" s="1"/>
      <c r="AF806" s="1"/>
      <c r="AG806" s="4"/>
      <c r="AH806" s="1"/>
      <c r="AI806" s="4"/>
      <c r="AJ806" s="6"/>
      <c r="AK806" s="7"/>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1:61" ht="16.5" customHeight="1">
      <c r="A807" s="1"/>
      <c r="B807" s="139"/>
      <c r="C807" s="1"/>
      <c r="D807" s="1"/>
      <c r="E807" s="1"/>
      <c r="F807" s="1"/>
      <c r="G807" s="1"/>
      <c r="H807" s="4"/>
      <c r="I807" s="4"/>
      <c r="J807" s="4"/>
      <c r="K807" s="4"/>
      <c r="L807" s="4"/>
      <c r="M807" s="4"/>
      <c r="N807" s="1"/>
      <c r="O807" s="1"/>
      <c r="P807" s="4"/>
      <c r="Q807" s="5"/>
      <c r="R807" s="4"/>
      <c r="S807" s="1"/>
      <c r="T807" s="1"/>
      <c r="U807" s="1"/>
      <c r="V807" s="1"/>
      <c r="W807" s="1"/>
      <c r="X807" s="6"/>
      <c r="Y807" s="4"/>
      <c r="Z807" s="4"/>
      <c r="AA807" s="4"/>
      <c r="AB807" s="1"/>
      <c r="AC807" s="1"/>
      <c r="AD807" s="1"/>
      <c r="AE807" s="1"/>
      <c r="AF807" s="1"/>
      <c r="AG807" s="4"/>
      <c r="AH807" s="1"/>
      <c r="AI807" s="4"/>
      <c r="AJ807" s="6"/>
      <c r="AK807" s="7"/>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1:61" ht="16.5" customHeight="1">
      <c r="A808" s="1"/>
      <c r="B808" s="139"/>
      <c r="C808" s="1"/>
      <c r="D808" s="1"/>
      <c r="E808" s="1"/>
      <c r="F808" s="1"/>
      <c r="G808" s="1"/>
      <c r="H808" s="4"/>
      <c r="I808" s="4"/>
      <c r="J808" s="4"/>
      <c r="K808" s="4"/>
      <c r="L808" s="4"/>
      <c r="M808" s="4"/>
      <c r="N808" s="1"/>
      <c r="O808" s="1"/>
      <c r="P808" s="4"/>
      <c r="Q808" s="5"/>
      <c r="R808" s="4"/>
      <c r="S808" s="1"/>
      <c r="T808" s="1"/>
      <c r="U808" s="1"/>
      <c r="V808" s="1"/>
      <c r="W808" s="1"/>
      <c r="X808" s="6"/>
      <c r="Y808" s="4"/>
      <c r="Z808" s="4"/>
      <c r="AA808" s="4"/>
      <c r="AB808" s="1"/>
      <c r="AC808" s="1"/>
      <c r="AD808" s="1"/>
      <c r="AE808" s="1"/>
      <c r="AF808" s="1"/>
      <c r="AG808" s="4"/>
      <c r="AH808" s="1"/>
      <c r="AI808" s="4"/>
      <c r="AJ808" s="6"/>
      <c r="AK808" s="7"/>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1:61" ht="16.5" customHeight="1">
      <c r="A809" s="1"/>
      <c r="B809" s="139"/>
      <c r="C809" s="1"/>
      <c r="D809" s="1"/>
      <c r="E809" s="1"/>
      <c r="F809" s="1"/>
      <c r="G809" s="1"/>
      <c r="H809" s="4"/>
      <c r="I809" s="4"/>
      <c r="J809" s="4"/>
      <c r="K809" s="4"/>
      <c r="L809" s="4"/>
      <c r="M809" s="4"/>
      <c r="N809" s="1"/>
      <c r="O809" s="1"/>
      <c r="P809" s="4"/>
      <c r="Q809" s="5"/>
      <c r="R809" s="4"/>
      <c r="S809" s="1"/>
      <c r="T809" s="1"/>
      <c r="U809" s="1"/>
      <c r="V809" s="1"/>
      <c r="W809" s="1"/>
      <c r="X809" s="6"/>
      <c r="Y809" s="4"/>
      <c r="Z809" s="4"/>
      <c r="AA809" s="4"/>
      <c r="AB809" s="1"/>
      <c r="AC809" s="1"/>
      <c r="AD809" s="1"/>
      <c r="AE809" s="1"/>
      <c r="AF809" s="1"/>
      <c r="AG809" s="4"/>
      <c r="AH809" s="1"/>
      <c r="AI809" s="4"/>
      <c r="AJ809" s="6"/>
      <c r="AK809" s="7"/>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1:61" ht="16.5" customHeight="1">
      <c r="A810" s="1"/>
      <c r="B810" s="139"/>
      <c r="C810" s="1"/>
      <c r="D810" s="1"/>
      <c r="E810" s="1"/>
      <c r="F810" s="1"/>
      <c r="G810" s="1"/>
      <c r="H810" s="4"/>
      <c r="I810" s="4"/>
      <c r="J810" s="4"/>
      <c r="K810" s="4"/>
      <c r="L810" s="4"/>
      <c r="M810" s="4"/>
      <c r="N810" s="1"/>
      <c r="O810" s="1"/>
      <c r="P810" s="4"/>
      <c r="Q810" s="5"/>
      <c r="R810" s="4"/>
      <c r="S810" s="1"/>
      <c r="T810" s="1"/>
      <c r="U810" s="1"/>
      <c r="V810" s="1"/>
      <c r="W810" s="1"/>
      <c r="X810" s="6"/>
      <c r="Y810" s="4"/>
      <c r="Z810" s="4"/>
      <c r="AA810" s="4"/>
      <c r="AB810" s="1"/>
      <c r="AC810" s="1"/>
      <c r="AD810" s="1"/>
      <c r="AE810" s="1"/>
      <c r="AF810" s="1"/>
      <c r="AG810" s="4"/>
      <c r="AH810" s="1"/>
      <c r="AI810" s="4"/>
      <c r="AJ810" s="6"/>
      <c r="AK810" s="7"/>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1:61" ht="16.5" customHeight="1">
      <c r="A811" s="1"/>
      <c r="B811" s="139"/>
      <c r="C811" s="1"/>
      <c r="D811" s="1"/>
      <c r="E811" s="1"/>
      <c r="F811" s="1"/>
      <c r="G811" s="1"/>
      <c r="H811" s="4"/>
      <c r="I811" s="4"/>
      <c r="J811" s="4"/>
      <c r="K811" s="4"/>
      <c r="L811" s="4"/>
      <c r="M811" s="4"/>
      <c r="N811" s="1"/>
      <c r="O811" s="1"/>
      <c r="P811" s="4"/>
      <c r="Q811" s="5"/>
      <c r="R811" s="4"/>
      <c r="S811" s="1"/>
      <c r="T811" s="1"/>
      <c r="U811" s="1"/>
      <c r="V811" s="1"/>
      <c r="W811" s="1"/>
      <c r="X811" s="6"/>
      <c r="Y811" s="4"/>
      <c r="Z811" s="4"/>
      <c r="AA811" s="4"/>
      <c r="AB811" s="1"/>
      <c r="AC811" s="1"/>
      <c r="AD811" s="1"/>
      <c r="AE811" s="1"/>
      <c r="AF811" s="1"/>
      <c r="AG811" s="4"/>
      <c r="AH811" s="1"/>
      <c r="AI811" s="4"/>
      <c r="AJ811" s="6"/>
      <c r="AK811" s="7"/>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1:61" ht="16.5" customHeight="1">
      <c r="A812" s="1"/>
      <c r="B812" s="139"/>
      <c r="C812" s="1"/>
      <c r="D812" s="1"/>
      <c r="E812" s="1"/>
      <c r="F812" s="1"/>
      <c r="G812" s="1"/>
      <c r="H812" s="4"/>
      <c r="I812" s="4"/>
      <c r="J812" s="4"/>
      <c r="K812" s="4"/>
      <c r="L812" s="4"/>
      <c r="M812" s="4"/>
      <c r="N812" s="1"/>
      <c r="O812" s="1"/>
      <c r="P812" s="4"/>
      <c r="Q812" s="5"/>
      <c r="R812" s="4"/>
      <c r="S812" s="1"/>
      <c r="T812" s="1"/>
      <c r="U812" s="1"/>
      <c r="V812" s="1"/>
      <c r="W812" s="1"/>
      <c r="X812" s="6"/>
      <c r="Y812" s="4"/>
      <c r="Z812" s="4"/>
      <c r="AA812" s="4"/>
      <c r="AB812" s="1"/>
      <c r="AC812" s="1"/>
      <c r="AD812" s="1"/>
      <c r="AE812" s="1"/>
      <c r="AF812" s="1"/>
      <c r="AG812" s="4"/>
      <c r="AH812" s="1"/>
      <c r="AI812" s="4"/>
      <c r="AJ812" s="6"/>
      <c r="AK812" s="7"/>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1:61" ht="16.5" customHeight="1">
      <c r="A813" s="1"/>
      <c r="B813" s="139"/>
      <c r="C813" s="1"/>
      <c r="D813" s="1"/>
      <c r="E813" s="1"/>
      <c r="F813" s="1"/>
      <c r="G813" s="1"/>
      <c r="H813" s="4"/>
      <c r="I813" s="4"/>
      <c r="J813" s="4"/>
      <c r="K813" s="4"/>
      <c r="L813" s="4"/>
      <c r="M813" s="4"/>
      <c r="N813" s="1"/>
      <c r="O813" s="1"/>
      <c r="P813" s="4"/>
      <c r="Q813" s="5"/>
      <c r="R813" s="4"/>
      <c r="S813" s="1"/>
      <c r="T813" s="1"/>
      <c r="U813" s="1"/>
      <c r="V813" s="1"/>
      <c r="W813" s="1"/>
      <c r="X813" s="6"/>
      <c r="Y813" s="4"/>
      <c r="Z813" s="4"/>
      <c r="AA813" s="4"/>
      <c r="AB813" s="1"/>
      <c r="AC813" s="1"/>
      <c r="AD813" s="1"/>
      <c r="AE813" s="1"/>
      <c r="AF813" s="1"/>
      <c r="AG813" s="4"/>
      <c r="AH813" s="1"/>
      <c r="AI813" s="4"/>
      <c r="AJ813" s="6"/>
      <c r="AK813" s="7"/>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1:61" ht="16.5" customHeight="1">
      <c r="A814" s="1"/>
      <c r="B814" s="139"/>
      <c r="C814" s="1"/>
      <c r="D814" s="1"/>
      <c r="E814" s="1"/>
      <c r="F814" s="1"/>
      <c r="G814" s="1"/>
      <c r="H814" s="4"/>
      <c r="I814" s="4"/>
      <c r="J814" s="4"/>
      <c r="K814" s="4"/>
      <c r="L814" s="4"/>
      <c r="M814" s="4"/>
      <c r="N814" s="1"/>
      <c r="O814" s="1"/>
      <c r="P814" s="4"/>
      <c r="Q814" s="5"/>
      <c r="R814" s="4"/>
      <c r="S814" s="1"/>
      <c r="T814" s="1"/>
      <c r="U814" s="1"/>
      <c r="V814" s="1"/>
      <c r="W814" s="1"/>
      <c r="X814" s="6"/>
      <c r="Y814" s="4"/>
      <c r="Z814" s="4"/>
      <c r="AA814" s="4"/>
      <c r="AB814" s="1"/>
      <c r="AC814" s="1"/>
      <c r="AD814" s="1"/>
      <c r="AE814" s="1"/>
      <c r="AF814" s="1"/>
      <c r="AG814" s="4"/>
      <c r="AH814" s="1"/>
      <c r="AI814" s="4"/>
      <c r="AJ814" s="6"/>
      <c r="AK814" s="7"/>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1:61" ht="16.5" customHeight="1">
      <c r="A815" s="1"/>
      <c r="B815" s="139"/>
      <c r="C815" s="1"/>
      <c r="D815" s="1"/>
      <c r="E815" s="1"/>
      <c r="F815" s="1"/>
      <c r="G815" s="1"/>
      <c r="H815" s="4"/>
      <c r="I815" s="4"/>
      <c r="J815" s="4"/>
      <c r="K815" s="4"/>
      <c r="L815" s="4"/>
      <c r="M815" s="4"/>
      <c r="N815" s="1"/>
      <c r="O815" s="1"/>
      <c r="P815" s="4"/>
      <c r="Q815" s="5"/>
      <c r="R815" s="4"/>
      <c r="S815" s="1"/>
      <c r="T815" s="1"/>
      <c r="U815" s="1"/>
      <c r="V815" s="1"/>
      <c r="W815" s="1"/>
      <c r="X815" s="6"/>
      <c r="Y815" s="4"/>
      <c r="Z815" s="4"/>
      <c r="AA815" s="4"/>
      <c r="AB815" s="1"/>
      <c r="AC815" s="1"/>
      <c r="AD815" s="1"/>
      <c r="AE815" s="1"/>
      <c r="AF815" s="1"/>
      <c r="AG815" s="4"/>
      <c r="AH815" s="1"/>
      <c r="AI815" s="4"/>
      <c r="AJ815" s="6"/>
      <c r="AK815" s="7"/>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1:61" ht="16.5" customHeight="1">
      <c r="A816" s="1"/>
      <c r="B816" s="139"/>
      <c r="C816" s="1"/>
      <c r="D816" s="1"/>
      <c r="E816" s="1"/>
      <c r="F816" s="1"/>
      <c r="G816" s="1"/>
      <c r="H816" s="4"/>
      <c r="I816" s="4"/>
      <c r="J816" s="4"/>
      <c r="K816" s="4"/>
      <c r="L816" s="4"/>
      <c r="M816" s="4"/>
      <c r="N816" s="1"/>
      <c r="O816" s="1"/>
      <c r="P816" s="4"/>
      <c r="Q816" s="5"/>
      <c r="R816" s="4"/>
      <c r="S816" s="1"/>
      <c r="T816" s="1"/>
      <c r="U816" s="1"/>
      <c r="V816" s="1"/>
      <c r="W816" s="1"/>
      <c r="X816" s="6"/>
      <c r="Y816" s="4"/>
      <c r="Z816" s="4"/>
      <c r="AA816" s="4"/>
      <c r="AB816" s="1"/>
      <c r="AC816" s="1"/>
      <c r="AD816" s="1"/>
      <c r="AE816" s="1"/>
      <c r="AF816" s="1"/>
      <c r="AG816" s="4"/>
      <c r="AH816" s="1"/>
      <c r="AI816" s="4"/>
      <c r="AJ816" s="6"/>
      <c r="AK816" s="7"/>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1:61" ht="16.5" customHeight="1">
      <c r="A817" s="1"/>
      <c r="B817" s="139"/>
      <c r="C817" s="1"/>
      <c r="D817" s="1"/>
      <c r="E817" s="1"/>
      <c r="F817" s="1"/>
      <c r="G817" s="1"/>
      <c r="H817" s="4"/>
      <c r="I817" s="4"/>
      <c r="J817" s="4"/>
      <c r="K817" s="4"/>
      <c r="L817" s="4"/>
      <c r="M817" s="4"/>
      <c r="N817" s="1"/>
      <c r="O817" s="1"/>
      <c r="P817" s="4"/>
      <c r="Q817" s="5"/>
      <c r="R817" s="4"/>
      <c r="S817" s="1"/>
      <c r="T817" s="1"/>
      <c r="U817" s="1"/>
      <c r="V817" s="1"/>
      <c r="W817" s="1"/>
      <c r="X817" s="6"/>
      <c r="Y817" s="4"/>
      <c r="Z817" s="4"/>
      <c r="AA817" s="4"/>
      <c r="AB817" s="1"/>
      <c r="AC817" s="1"/>
      <c r="AD817" s="1"/>
      <c r="AE817" s="1"/>
      <c r="AF817" s="1"/>
      <c r="AG817" s="4"/>
      <c r="AH817" s="1"/>
      <c r="AI817" s="4"/>
      <c r="AJ817" s="6"/>
      <c r="AK817" s="7"/>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1:61" ht="16.5" customHeight="1">
      <c r="A818" s="1"/>
      <c r="B818" s="139"/>
      <c r="C818" s="1"/>
      <c r="D818" s="1"/>
      <c r="E818" s="1"/>
      <c r="F818" s="1"/>
      <c r="G818" s="1"/>
      <c r="H818" s="4"/>
      <c r="I818" s="4"/>
      <c r="J818" s="4"/>
      <c r="K818" s="4"/>
      <c r="L818" s="4"/>
      <c r="M818" s="4"/>
      <c r="N818" s="1"/>
      <c r="O818" s="1"/>
      <c r="P818" s="4"/>
      <c r="Q818" s="5"/>
      <c r="R818" s="4"/>
      <c r="S818" s="1"/>
      <c r="T818" s="1"/>
      <c r="U818" s="1"/>
      <c r="V818" s="1"/>
      <c r="W818" s="1"/>
      <c r="X818" s="6"/>
      <c r="Y818" s="4"/>
      <c r="Z818" s="4"/>
      <c r="AA818" s="4"/>
      <c r="AB818" s="1"/>
      <c r="AC818" s="1"/>
      <c r="AD818" s="1"/>
      <c r="AE818" s="1"/>
      <c r="AF818" s="1"/>
      <c r="AG818" s="4"/>
      <c r="AH818" s="1"/>
      <c r="AI818" s="4"/>
      <c r="AJ818" s="6"/>
      <c r="AK818" s="7"/>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1:61" ht="16.5" customHeight="1">
      <c r="A819" s="1"/>
      <c r="B819" s="139"/>
      <c r="C819" s="1"/>
      <c r="D819" s="1"/>
      <c r="E819" s="1"/>
      <c r="F819" s="1"/>
      <c r="G819" s="1"/>
      <c r="H819" s="4"/>
      <c r="I819" s="4"/>
      <c r="J819" s="4"/>
      <c r="K819" s="4"/>
      <c r="L819" s="4"/>
      <c r="M819" s="4"/>
      <c r="N819" s="1"/>
      <c r="O819" s="1"/>
      <c r="P819" s="4"/>
      <c r="Q819" s="5"/>
      <c r="R819" s="4"/>
      <c r="S819" s="1"/>
      <c r="T819" s="1"/>
      <c r="U819" s="1"/>
      <c r="V819" s="1"/>
      <c r="W819" s="1"/>
      <c r="X819" s="6"/>
      <c r="Y819" s="4"/>
      <c r="Z819" s="4"/>
      <c r="AA819" s="4"/>
      <c r="AB819" s="1"/>
      <c r="AC819" s="1"/>
      <c r="AD819" s="1"/>
      <c r="AE819" s="1"/>
      <c r="AF819" s="1"/>
      <c r="AG819" s="4"/>
      <c r="AH819" s="1"/>
      <c r="AI819" s="4"/>
      <c r="AJ819" s="6"/>
      <c r="AK819" s="7"/>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1:61" ht="16.5" customHeight="1">
      <c r="A820" s="1"/>
      <c r="B820" s="139"/>
      <c r="C820" s="1"/>
      <c r="D820" s="1"/>
      <c r="E820" s="1"/>
      <c r="F820" s="1"/>
      <c r="G820" s="1"/>
      <c r="H820" s="4"/>
      <c r="I820" s="4"/>
      <c r="J820" s="4"/>
      <c r="K820" s="4"/>
      <c r="L820" s="4"/>
      <c r="M820" s="4"/>
      <c r="N820" s="1"/>
      <c r="O820" s="1"/>
      <c r="P820" s="4"/>
      <c r="Q820" s="5"/>
      <c r="R820" s="4"/>
      <c r="S820" s="1"/>
      <c r="T820" s="1"/>
      <c r="U820" s="1"/>
      <c r="V820" s="1"/>
      <c r="W820" s="1"/>
      <c r="X820" s="6"/>
      <c r="Y820" s="4"/>
      <c r="Z820" s="4"/>
      <c r="AA820" s="4"/>
      <c r="AB820" s="1"/>
      <c r="AC820" s="1"/>
      <c r="AD820" s="1"/>
      <c r="AE820" s="1"/>
      <c r="AF820" s="1"/>
      <c r="AG820" s="4"/>
      <c r="AH820" s="1"/>
      <c r="AI820" s="4"/>
      <c r="AJ820" s="6"/>
      <c r="AK820" s="7"/>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1:61" ht="16.5" customHeight="1">
      <c r="A821" s="1"/>
      <c r="B821" s="139"/>
      <c r="C821" s="1"/>
      <c r="D821" s="1"/>
      <c r="E821" s="1"/>
      <c r="F821" s="1"/>
      <c r="G821" s="1"/>
      <c r="H821" s="4"/>
      <c r="I821" s="4"/>
      <c r="J821" s="4"/>
      <c r="K821" s="4"/>
      <c r="L821" s="4"/>
      <c r="M821" s="4"/>
      <c r="N821" s="1"/>
      <c r="O821" s="1"/>
      <c r="P821" s="4"/>
      <c r="Q821" s="5"/>
      <c r="R821" s="4"/>
      <c r="S821" s="1"/>
      <c r="T821" s="1"/>
      <c r="U821" s="1"/>
      <c r="V821" s="1"/>
      <c r="W821" s="1"/>
      <c r="X821" s="6"/>
      <c r="Y821" s="4"/>
      <c r="Z821" s="4"/>
      <c r="AA821" s="4"/>
      <c r="AB821" s="1"/>
      <c r="AC821" s="1"/>
      <c r="AD821" s="1"/>
      <c r="AE821" s="1"/>
      <c r="AF821" s="1"/>
      <c r="AG821" s="4"/>
      <c r="AH821" s="1"/>
      <c r="AI821" s="4"/>
      <c r="AJ821" s="6"/>
      <c r="AK821" s="7"/>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1:61" ht="16.5" customHeight="1">
      <c r="A822" s="1"/>
      <c r="B822" s="139"/>
      <c r="C822" s="1"/>
      <c r="D822" s="1"/>
      <c r="E822" s="1"/>
      <c r="F822" s="1"/>
      <c r="G822" s="1"/>
      <c r="H822" s="4"/>
      <c r="I822" s="4"/>
      <c r="J822" s="4"/>
      <c r="K822" s="4"/>
      <c r="L822" s="4"/>
      <c r="M822" s="4"/>
      <c r="N822" s="1"/>
      <c r="O822" s="1"/>
      <c r="P822" s="4"/>
      <c r="Q822" s="5"/>
      <c r="R822" s="4"/>
      <c r="S822" s="1"/>
      <c r="T822" s="1"/>
      <c r="U822" s="1"/>
      <c r="V822" s="1"/>
      <c r="W822" s="1"/>
      <c r="X822" s="6"/>
      <c r="Y822" s="4"/>
      <c r="Z822" s="4"/>
      <c r="AA822" s="4"/>
      <c r="AB822" s="1"/>
      <c r="AC822" s="1"/>
      <c r="AD822" s="1"/>
      <c r="AE822" s="1"/>
      <c r="AF822" s="1"/>
      <c r="AG822" s="4"/>
      <c r="AH822" s="1"/>
      <c r="AI822" s="4"/>
      <c r="AJ822" s="6"/>
      <c r="AK822" s="7"/>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1:61" ht="16.5" customHeight="1">
      <c r="A823" s="1"/>
      <c r="B823" s="139"/>
      <c r="C823" s="1"/>
      <c r="D823" s="1"/>
      <c r="E823" s="1"/>
      <c r="F823" s="1"/>
      <c r="G823" s="1"/>
      <c r="H823" s="4"/>
      <c r="I823" s="4"/>
      <c r="J823" s="4"/>
      <c r="K823" s="4"/>
      <c r="L823" s="4"/>
      <c r="M823" s="4"/>
      <c r="N823" s="1"/>
      <c r="O823" s="1"/>
      <c r="P823" s="4"/>
      <c r="Q823" s="5"/>
      <c r="R823" s="4"/>
      <c r="S823" s="1"/>
      <c r="T823" s="1"/>
      <c r="U823" s="1"/>
      <c r="V823" s="1"/>
      <c r="W823" s="1"/>
      <c r="X823" s="6"/>
      <c r="Y823" s="4"/>
      <c r="Z823" s="4"/>
      <c r="AA823" s="4"/>
      <c r="AB823" s="1"/>
      <c r="AC823" s="1"/>
      <c r="AD823" s="1"/>
      <c r="AE823" s="1"/>
      <c r="AF823" s="1"/>
      <c r="AG823" s="4"/>
      <c r="AH823" s="1"/>
      <c r="AI823" s="4"/>
      <c r="AJ823" s="6"/>
      <c r="AK823" s="7"/>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1:61" ht="16.5" customHeight="1">
      <c r="A824" s="1"/>
      <c r="B824" s="139"/>
      <c r="C824" s="1"/>
      <c r="D824" s="1"/>
      <c r="E824" s="1"/>
      <c r="F824" s="1"/>
      <c r="G824" s="1"/>
      <c r="H824" s="4"/>
      <c r="I824" s="4"/>
      <c r="J824" s="4"/>
      <c r="K824" s="4"/>
      <c r="L824" s="4"/>
      <c r="M824" s="4"/>
      <c r="N824" s="1"/>
      <c r="O824" s="1"/>
      <c r="P824" s="4"/>
      <c r="Q824" s="5"/>
      <c r="R824" s="4"/>
      <c r="S824" s="1"/>
      <c r="T824" s="1"/>
      <c r="U824" s="1"/>
      <c r="V824" s="1"/>
      <c r="W824" s="1"/>
      <c r="X824" s="6"/>
      <c r="Y824" s="4"/>
      <c r="Z824" s="4"/>
      <c r="AA824" s="4"/>
      <c r="AB824" s="1"/>
      <c r="AC824" s="1"/>
      <c r="AD824" s="1"/>
      <c r="AE824" s="1"/>
      <c r="AF824" s="1"/>
      <c r="AG824" s="4"/>
      <c r="AH824" s="1"/>
      <c r="AI824" s="4"/>
      <c r="AJ824" s="6"/>
      <c r="AK824" s="7"/>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1:61" ht="16.5" customHeight="1">
      <c r="A825" s="1"/>
      <c r="B825" s="139"/>
      <c r="C825" s="1"/>
      <c r="D825" s="1"/>
      <c r="E825" s="1"/>
      <c r="F825" s="1"/>
      <c r="G825" s="1"/>
      <c r="H825" s="4"/>
      <c r="I825" s="4"/>
      <c r="J825" s="4"/>
      <c r="K825" s="4"/>
      <c r="L825" s="4"/>
      <c r="M825" s="4"/>
      <c r="N825" s="1"/>
      <c r="O825" s="1"/>
      <c r="P825" s="4"/>
      <c r="Q825" s="5"/>
      <c r="R825" s="4"/>
      <c r="S825" s="1"/>
      <c r="T825" s="1"/>
      <c r="U825" s="1"/>
      <c r="V825" s="1"/>
      <c r="W825" s="1"/>
      <c r="X825" s="6"/>
      <c r="Y825" s="4"/>
      <c r="Z825" s="4"/>
      <c r="AA825" s="4"/>
      <c r="AB825" s="1"/>
      <c r="AC825" s="1"/>
      <c r="AD825" s="1"/>
      <c r="AE825" s="1"/>
      <c r="AF825" s="1"/>
      <c r="AG825" s="4"/>
      <c r="AH825" s="1"/>
      <c r="AI825" s="4"/>
      <c r="AJ825" s="6"/>
      <c r="AK825" s="7"/>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1:61" ht="16.5" customHeight="1">
      <c r="A826" s="1"/>
      <c r="B826" s="139"/>
      <c r="C826" s="1"/>
      <c r="D826" s="1"/>
      <c r="E826" s="1"/>
      <c r="F826" s="1"/>
      <c r="G826" s="1"/>
      <c r="H826" s="4"/>
      <c r="I826" s="4"/>
      <c r="J826" s="4"/>
      <c r="K826" s="4"/>
      <c r="L826" s="4"/>
      <c r="M826" s="4"/>
      <c r="N826" s="1"/>
      <c r="O826" s="1"/>
      <c r="P826" s="4"/>
      <c r="Q826" s="5"/>
      <c r="R826" s="4"/>
      <c r="S826" s="1"/>
      <c r="T826" s="1"/>
      <c r="U826" s="1"/>
      <c r="V826" s="1"/>
      <c r="W826" s="1"/>
      <c r="X826" s="6"/>
      <c r="Y826" s="4"/>
      <c r="Z826" s="4"/>
      <c r="AA826" s="4"/>
      <c r="AB826" s="1"/>
      <c r="AC826" s="1"/>
      <c r="AD826" s="1"/>
      <c r="AE826" s="1"/>
      <c r="AF826" s="1"/>
      <c r="AG826" s="4"/>
      <c r="AH826" s="1"/>
      <c r="AI826" s="4"/>
      <c r="AJ826" s="6"/>
      <c r="AK826" s="7"/>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1:61" ht="16.5" customHeight="1">
      <c r="A827" s="1"/>
      <c r="B827" s="139"/>
      <c r="C827" s="1"/>
      <c r="D827" s="1"/>
      <c r="E827" s="1"/>
      <c r="F827" s="1"/>
      <c r="G827" s="1"/>
      <c r="H827" s="4"/>
      <c r="I827" s="4"/>
      <c r="J827" s="4"/>
      <c r="K827" s="4"/>
      <c r="L827" s="4"/>
      <c r="M827" s="4"/>
      <c r="N827" s="1"/>
      <c r="O827" s="1"/>
      <c r="P827" s="4"/>
      <c r="Q827" s="5"/>
      <c r="R827" s="4"/>
      <c r="S827" s="1"/>
      <c r="T827" s="1"/>
      <c r="U827" s="1"/>
      <c r="V827" s="1"/>
      <c r="W827" s="1"/>
      <c r="X827" s="6"/>
      <c r="Y827" s="4"/>
      <c r="Z827" s="4"/>
      <c r="AA827" s="4"/>
      <c r="AB827" s="1"/>
      <c r="AC827" s="1"/>
      <c r="AD827" s="1"/>
      <c r="AE827" s="1"/>
      <c r="AF827" s="1"/>
      <c r="AG827" s="4"/>
      <c r="AH827" s="1"/>
      <c r="AI827" s="4"/>
      <c r="AJ827" s="6"/>
      <c r="AK827" s="7"/>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1:61" ht="16.5" customHeight="1">
      <c r="A828" s="1"/>
      <c r="B828" s="139"/>
      <c r="C828" s="1"/>
      <c r="D828" s="1"/>
      <c r="E828" s="1"/>
      <c r="F828" s="1"/>
      <c r="G828" s="1"/>
      <c r="H828" s="4"/>
      <c r="I828" s="4"/>
      <c r="J828" s="4"/>
      <c r="K828" s="4"/>
      <c r="L828" s="4"/>
      <c r="M828" s="4"/>
      <c r="N828" s="1"/>
      <c r="O828" s="1"/>
      <c r="P828" s="4"/>
      <c r="Q828" s="5"/>
      <c r="R828" s="4"/>
      <c r="S828" s="1"/>
      <c r="T828" s="1"/>
      <c r="U828" s="1"/>
      <c r="V828" s="1"/>
      <c r="W828" s="1"/>
      <c r="X828" s="6"/>
      <c r="Y828" s="4"/>
      <c r="Z828" s="4"/>
      <c r="AA828" s="4"/>
      <c r="AB828" s="1"/>
      <c r="AC828" s="1"/>
      <c r="AD828" s="1"/>
      <c r="AE828" s="1"/>
      <c r="AF828" s="1"/>
      <c r="AG828" s="4"/>
      <c r="AH828" s="1"/>
      <c r="AI828" s="4"/>
      <c r="AJ828" s="6"/>
      <c r="AK828" s="7"/>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1:61" ht="16.5" customHeight="1">
      <c r="A829" s="1"/>
      <c r="B829" s="139"/>
      <c r="C829" s="1"/>
      <c r="D829" s="1"/>
      <c r="E829" s="1"/>
      <c r="F829" s="1"/>
      <c r="G829" s="1"/>
      <c r="H829" s="4"/>
      <c r="I829" s="4"/>
      <c r="J829" s="4"/>
      <c r="K829" s="4"/>
      <c r="L829" s="4"/>
      <c r="M829" s="4"/>
      <c r="N829" s="1"/>
      <c r="O829" s="1"/>
      <c r="P829" s="4"/>
      <c r="Q829" s="5"/>
      <c r="R829" s="4"/>
      <c r="S829" s="1"/>
      <c r="T829" s="1"/>
      <c r="U829" s="1"/>
      <c r="V829" s="1"/>
      <c r="W829" s="1"/>
      <c r="X829" s="6"/>
      <c r="Y829" s="4"/>
      <c r="Z829" s="4"/>
      <c r="AA829" s="4"/>
      <c r="AB829" s="1"/>
      <c r="AC829" s="1"/>
      <c r="AD829" s="1"/>
      <c r="AE829" s="1"/>
      <c r="AF829" s="1"/>
      <c r="AG829" s="4"/>
      <c r="AH829" s="1"/>
      <c r="AI829" s="4"/>
      <c r="AJ829" s="6"/>
      <c r="AK829" s="7"/>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1:61" ht="16.5" customHeight="1">
      <c r="A830" s="1"/>
      <c r="B830" s="139"/>
      <c r="C830" s="1"/>
      <c r="D830" s="1"/>
      <c r="E830" s="1"/>
      <c r="F830" s="1"/>
      <c r="G830" s="1"/>
      <c r="H830" s="4"/>
      <c r="I830" s="4"/>
      <c r="J830" s="4"/>
      <c r="K830" s="4"/>
      <c r="L830" s="4"/>
      <c r="M830" s="4"/>
      <c r="N830" s="1"/>
      <c r="O830" s="1"/>
      <c r="P830" s="4"/>
      <c r="Q830" s="5"/>
      <c r="R830" s="4"/>
      <c r="S830" s="1"/>
      <c r="T830" s="1"/>
      <c r="U830" s="1"/>
      <c r="V830" s="1"/>
      <c r="W830" s="1"/>
      <c r="X830" s="6"/>
      <c r="Y830" s="4"/>
      <c r="Z830" s="4"/>
      <c r="AA830" s="4"/>
      <c r="AB830" s="1"/>
      <c r="AC830" s="1"/>
      <c r="AD830" s="1"/>
      <c r="AE830" s="1"/>
      <c r="AF830" s="1"/>
      <c r="AG830" s="4"/>
      <c r="AH830" s="1"/>
      <c r="AI830" s="4"/>
      <c r="AJ830" s="6"/>
      <c r="AK830" s="7"/>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1:61" ht="16.5" customHeight="1">
      <c r="A831" s="1"/>
      <c r="B831" s="139"/>
      <c r="C831" s="1"/>
      <c r="D831" s="1"/>
      <c r="E831" s="1"/>
      <c r="F831" s="1"/>
      <c r="G831" s="1"/>
      <c r="H831" s="4"/>
      <c r="I831" s="4"/>
      <c r="J831" s="4"/>
      <c r="K831" s="4"/>
      <c r="L831" s="4"/>
      <c r="M831" s="4"/>
      <c r="N831" s="1"/>
      <c r="O831" s="1"/>
      <c r="P831" s="4"/>
      <c r="Q831" s="5"/>
      <c r="R831" s="4"/>
      <c r="S831" s="1"/>
      <c r="T831" s="1"/>
      <c r="U831" s="1"/>
      <c r="V831" s="1"/>
      <c r="W831" s="1"/>
      <c r="X831" s="6"/>
      <c r="Y831" s="4"/>
      <c r="Z831" s="4"/>
      <c r="AA831" s="4"/>
      <c r="AB831" s="1"/>
      <c r="AC831" s="1"/>
      <c r="AD831" s="1"/>
      <c r="AE831" s="1"/>
      <c r="AF831" s="1"/>
      <c r="AG831" s="4"/>
      <c r="AH831" s="1"/>
      <c r="AI831" s="4"/>
      <c r="AJ831" s="6"/>
      <c r="AK831" s="7"/>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1:61" ht="16.5" customHeight="1">
      <c r="A832" s="1"/>
      <c r="B832" s="139"/>
      <c r="C832" s="1"/>
      <c r="D832" s="1"/>
      <c r="E832" s="1"/>
      <c r="F832" s="1"/>
      <c r="G832" s="1"/>
      <c r="H832" s="4"/>
      <c r="I832" s="4"/>
      <c r="J832" s="4"/>
      <c r="K832" s="4"/>
      <c r="L832" s="4"/>
      <c r="M832" s="4"/>
      <c r="N832" s="1"/>
      <c r="O832" s="1"/>
      <c r="P832" s="4"/>
      <c r="Q832" s="5"/>
      <c r="R832" s="4"/>
      <c r="S832" s="1"/>
      <c r="T832" s="1"/>
      <c r="U832" s="1"/>
      <c r="V832" s="1"/>
      <c r="W832" s="1"/>
      <c r="X832" s="6"/>
      <c r="Y832" s="4"/>
      <c r="Z832" s="4"/>
      <c r="AA832" s="4"/>
      <c r="AB832" s="1"/>
      <c r="AC832" s="1"/>
      <c r="AD832" s="1"/>
      <c r="AE832" s="1"/>
      <c r="AF832" s="1"/>
      <c r="AG832" s="4"/>
      <c r="AH832" s="1"/>
      <c r="AI832" s="4"/>
      <c r="AJ832" s="6"/>
      <c r="AK832" s="7"/>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1:61" ht="16.5" customHeight="1">
      <c r="A833" s="1"/>
      <c r="B833" s="139"/>
      <c r="C833" s="1"/>
      <c r="D833" s="1"/>
      <c r="E833" s="1"/>
      <c r="F833" s="1"/>
      <c r="G833" s="1"/>
      <c r="H833" s="4"/>
      <c r="I833" s="4"/>
      <c r="J833" s="4"/>
      <c r="K833" s="4"/>
      <c r="L833" s="4"/>
      <c r="M833" s="4"/>
      <c r="N833" s="1"/>
      <c r="O833" s="1"/>
      <c r="P833" s="4"/>
      <c r="Q833" s="5"/>
      <c r="R833" s="4"/>
      <c r="S833" s="1"/>
      <c r="T833" s="1"/>
      <c r="U833" s="1"/>
      <c r="V833" s="1"/>
      <c r="W833" s="1"/>
      <c r="X833" s="6"/>
      <c r="Y833" s="4"/>
      <c r="Z833" s="4"/>
      <c r="AA833" s="4"/>
      <c r="AB833" s="1"/>
      <c r="AC833" s="1"/>
      <c r="AD833" s="1"/>
      <c r="AE833" s="1"/>
      <c r="AF833" s="1"/>
      <c r="AG833" s="4"/>
      <c r="AH833" s="1"/>
      <c r="AI833" s="4"/>
      <c r="AJ833" s="6"/>
      <c r="AK833" s="7"/>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1:61" ht="16.5" customHeight="1">
      <c r="A834" s="1"/>
      <c r="B834" s="139"/>
      <c r="C834" s="1"/>
      <c r="D834" s="1"/>
      <c r="E834" s="1"/>
      <c r="F834" s="1"/>
      <c r="G834" s="1"/>
      <c r="H834" s="4"/>
      <c r="I834" s="4"/>
      <c r="J834" s="4"/>
      <c r="K834" s="4"/>
      <c r="L834" s="4"/>
      <c r="M834" s="4"/>
      <c r="N834" s="1"/>
      <c r="O834" s="1"/>
      <c r="P834" s="4"/>
      <c r="Q834" s="5"/>
      <c r="R834" s="4"/>
      <c r="S834" s="1"/>
      <c r="T834" s="1"/>
      <c r="U834" s="1"/>
      <c r="V834" s="1"/>
      <c r="W834" s="1"/>
      <c r="X834" s="6"/>
      <c r="Y834" s="4"/>
      <c r="Z834" s="4"/>
      <c r="AA834" s="4"/>
      <c r="AB834" s="1"/>
      <c r="AC834" s="1"/>
      <c r="AD834" s="1"/>
      <c r="AE834" s="1"/>
      <c r="AF834" s="1"/>
      <c r="AG834" s="4"/>
      <c r="AH834" s="1"/>
      <c r="AI834" s="4"/>
      <c r="AJ834" s="6"/>
      <c r="AK834" s="7"/>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1:61" ht="16.5" customHeight="1">
      <c r="A835" s="1"/>
      <c r="B835" s="139"/>
      <c r="C835" s="1"/>
      <c r="D835" s="1"/>
      <c r="E835" s="1"/>
      <c r="F835" s="1"/>
      <c r="G835" s="1"/>
      <c r="H835" s="4"/>
      <c r="I835" s="4"/>
      <c r="J835" s="4"/>
      <c r="K835" s="4"/>
      <c r="L835" s="4"/>
      <c r="M835" s="4"/>
      <c r="N835" s="1"/>
      <c r="O835" s="1"/>
      <c r="P835" s="4"/>
      <c r="Q835" s="5"/>
      <c r="R835" s="4"/>
      <c r="S835" s="1"/>
      <c r="T835" s="1"/>
      <c r="U835" s="1"/>
      <c r="V835" s="1"/>
      <c r="W835" s="1"/>
      <c r="X835" s="6"/>
      <c r="Y835" s="4"/>
      <c r="Z835" s="4"/>
      <c r="AA835" s="4"/>
      <c r="AB835" s="1"/>
      <c r="AC835" s="1"/>
      <c r="AD835" s="1"/>
      <c r="AE835" s="1"/>
      <c r="AF835" s="1"/>
      <c r="AG835" s="4"/>
      <c r="AH835" s="1"/>
      <c r="AI835" s="4"/>
      <c r="AJ835" s="6"/>
      <c r="AK835" s="7"/>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1:61" ht="16.5" customHeight="1">
      <c r="A836" s="1"/>
      <c r="B836" s="139"/>
      <c r="C836" s="1"/>
      <c r="D836" s="1"/>
      <c r="E836" s="1"/>
      <c r="F836" s="1"/>
      <c r="G836" s="1"/>
      <c r="H836" s="4"/>
      <c r="I836" s="4"/>
      <c r="J836" s="4"/>
      <c r="K836" s="4"/>
      <c r="L836" s="4"/>
      <c r="M836" s="4"/>
      <c r="N836" s="1"/>
      <c r="O836" s="1"/>
      <c r="P836" s="4"/>
      <c r="Q836" s="5"/>
      <c r="R836" s="4"/>
      <c r="S836" s="1"/>
      <c r="T836" s="1"/>
      <c r="U836" s="1"/>
      <c r="V836" s="1"/>
      <c r="W836" s="1"/>
      <c r="X836" s="6"/>
      <c r="Y836" s="4"/>
      <c r="Z836" s="4"/>
      <c r="AA836" s="4"/>
      <c r="AB836" s="1"/>
      <c r="AC836" s="1"/>
      <c r="AD836" s="1"/>
      <c r="AE836" s="1"/>
      <c r="AF836" s="1"/>
      <c r="AG836" s="4"/>
      <c r="AH836" s="1"/>
      <c r="AI836" s="4"/>
      <c r="AJ836" s="6"/>
      <c r="AK836" s="7"/>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1:61" ht="16.5" customHeight="1">
      <c r="A837" s="1"/>
      <c r="B837" s="139"/>
      <c r="C837" s="1"/>
      <c r="D837" s="1"/>
      <c r="E837" s="1"/>
      <c r="F837" s="1"/>
      <c r="G837" s="1"/>
      <c r="H837" s="4"/>
      <c r="I837" s="4"/>
      <c r="J837" s="4"/>
      <c r="K837" s="4"/>
      <c r="L837" s="4"/>
      <c r="M837" s="4"/>
      <c r="N837" s="1"/>
      <c r="O837" s="1"/>
      <c r="P837" s="4"/>
      <c r="Q837" s="5"/>
      <c r="R837" s="4"/>
      <c r="S837" s="1"/>
      <c r="T837" s="1"/>
      <c r="U837" s="1"/>
      <c r="V837" s="1"/>
      <c r="W837" s="1"/>
      <c r="X837" s="6"/>
      <c r="Y837" s="4"/>
      <c r="Z837" s="4"/>
      <c r="AA837" s="4"/>
      <c r="AB837" s="1"/>
      <c r="AC837" s="1"/>
      <c r="AD837" s="1"/>
      <c r="AE837" s="1"/>
      <c r="AF837" s="1"/>
      <c r="AG837" s="4"/>
      <c r="AH837" s="1"/>
      <c r="AI837" s="4"/>
      <c r="AJ837" s="6"/>
      <c r="AK837" s="7"/>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1:61" ht="16.5" customHeight="1">
      <c r="A838" s="1"/>
      <c r="B838" s="139"/>
      <c r="C838" s="1"/>
      <c r="D838" s="1"/>
      <c r="E838" s="1"/>
      <c r="F838" s="1"/>
      <c r="G838" s="1"/>
      <c r="H838" s="4"/>
      <c r="I838" s="4"/>
      <c r="J838" s="4"/>
      <c r="K838" s="4"/>
      <c r="L838" s="4"/>
      <c r="M838" s="4"/>
      <c r="N838" s="1"/>
      <c r="O838" s="1"/>
      <c r="P838" s="4"/>
      <c r="Q838" s="5"/>
      <c r="R838" s="4"/>
      <c r="S838" s="1"/>
      <c r="T838" s="1"/>
      <c r="U838" s="1"/>
      <c r="V838" s="1"/>
      <c r="W838" s="1"/>
      <c r="X838" s="6"/>
      <c r="Y838" s="4"/>
      <c r="Z838" s="4"/>
      <c r="AA838" s="4"/>
      <c r="AB838" s="1"/>
      <c r="AC838" s="1"/>
      <c r="AD838" s="1"/>
      <c r="AE838" s="1"/>
      <c r="AF838" s="1"/>
      <c r="AG838" s="4"/>
      <c r="AH838" s="1"/>
      <c r="AI838" s="4"/>
      <c r="AJ838" s="6"/>
      <c r="AK838" s="7"/>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1:61" ht="16.5" customHeight="1">
      <c r="A839" s="1"/>
      <c r="B839" s="139"/>
      <c r="C839" s="1"/>
      <c r="D839" s="1"/>
      <c r="E839" s="1"/>
      <c r="F839" s="1"/>
      <c r="G839" s="1"/>
      <c r="H839" s="4"/>
      <c r="I839" s="4"/>
      <c r="J839" s="4"/>
      <c r="K839" s="4"/>
      <c r="L839" s="4"/>
      <c r="M839" s="4"/>
      <c r="N839" s="1"/>
      <c r="O839" s="1"/>
      <c r="P839" s="4"/>
      <c r="Q839" s="5"/>
      <c r="R839" s="4"/>
      <c r="S839" s="1"/>
      <c r="T839" s="1"/>
      <c r="U839" s="1"/>
      <c r="V839" s="1"/>
      <c r="W839" s="1"/>
      <c r="X839" s="6"/>
      <c r="Y839" s="4"/>
      <c r="Z839" s="4"/>
      <c r="AA839" s="4"/>
      <c r="AB839" s="1"/>
      <c r="AC839" s="1"/>
      <c r="AD839" s="1"/>
      <c r="AE839" s="1"/>
      <c r="AF839" s="1"/>
      <c r="AG839" s="4"/>
      <c r="AH839" s="1"/>
      <c r="AI839" s="4"/>
      <c r="AJ839" s="6"/>
      <c r="AK839" s="7"/>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1:61" ht="16.5" customHeight="1">
      <c r="A840" s="1"/>
      <c r="B840" s="139"/>
      <c r="C840" s="1"/>
      <c r="D840" s="1"/>
      <c r="E840" s="1"/>
      <c r="F840" s="1"/>
      <c r="G840" s="1"/>
      <c r="H840" s="4"/>
      <c r="I840" s="4"/>
      <c r="J840" s="4"/>
      <c r="K840" s="4"/>
      <c r="L840" s="4"/>
      <c r="M840" s="4"/>
      <c r="N840" s="1"/>
      <c r="O840" s="1"/>
      <c r="P840" s="4"/>
      <c r="Q840" s="5"/>
      <c r="R840" s="4"/>
      <c r="S840" s="1"/>
      <c r="T840" s="1"/>
      <c r="U840" s="1"/>
      <c r="V840" s="1"/>
      <c r="W840" s="1"/>
      <c r="X840" s="6"/>
      <c r="Y840" s="4"/>
      <c r="Z840" s="4"/>
      <c r="AA840" s="4"/>
      <c r="AB840" s="1"/>
      <c r="AC840" s="1"/>
      <c r="AD840" s="1"/>
      <c r="AE840" s="1"/>
      <c r="AF840" s="1"/>
      <c r="AG840" s="4"/>
      <c r="AH840" s="1"/>
      <c r="AI840" s="4"/>
      <c r="AJ840" s="6"/>
      <c r="AK840" s="7"/>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1:61" ht="16.5" customHeight="1">
      <c r="A841" s="1"/>
      <c r="B841" s="139"/>
      <c r="C841" s="1"/>
      <c r="D841" s="1"/>
      <c r="E841" s="1"/>
      <c r="F841" s="1"/>
      <c r="G841" s="1"/>
      <c r="H841" s="4"/>
      <c r="I841" s="4"/>
      <c r="J841" s="4"/>
      <c r="K841" s="4"/>
      <c r="L841" s="4"/>
      <c r="M841" s="4"/>
      <c r="N841" s="1"/>
      <c r="O841" s="1"/>
      <c r="P841" s="4"/>
      <c r="Q841" s="5"/>
      <c r="R841" s="4"/>
      <c r="S841" s="1"/>
      <c r="T841" s="1"/>
      <c r="U841" s="1"/>
      <c r="V841" s="1"/>
      <c r="W841" s="1"/>
      <c r="X841" s="6"/>
      <c r="Y841" s="4"/>
      <c r="Z841" s="4"/>
      <c r="AA841" s="4"/>
      <c r="AB841" s="1"/>
      <c r="AC841" s="1"/>
      <c r="AD841" s="1"/>
      <c r="AE841" s="1"/>
      <c r="AF841" s="1"/>
      <c r="AG841" s="4"/>
      <c r="AH841" s="1"/>
      <c r="AI841" s="4"/>
      <c r="AJ841" s="6"/>
      <c r="AK841" s="7"/>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1:61" ht="16.5" customHeight="1">
      <c r="A842" s="1"/>
      <c r="B842" s="139"/>
      <c r="C842" s="1"/>
      <c r="D842" s="1"/>
      <c r="E842" s="1"/>
      <c r="F842" s="1"/>
      <c r="G842" s="1"/>
      <c r="H842" s="4"/>
      <c r="I842" s="4"/>
      <c r="J842" s="4"/>
      <c r="K842" s="4"/>
      <c r="L842" s="4"/>
      <c r="M842" s="4"/>
      <c r="N842" s="1"/>
      <c r="O842" s="1"/>
      <c r="P842" s="4"/>
      <c r="Q842" s="5"/>
      <c r="R842" s="4"/>
      <c r="S842" s="1"/>
      <c r="T842" s="1"/>
      <c r="U842" s="1"/>
      <c r="V842" s="1"/>
      <c r="W842" s="1"/>
      <c r="X842" s="6"/>
      <c r="Y842" s="4"/>
      <c r="Z842" s="4"/>
      <c r="AA842" s="4"/>
      <c r="AB842" s="1"/>
      <c r="AC842" s="1"/>
      <c r="AD842" s="1"/>
      <c r="AE842" s="1"/>
      <c r="AF842" s="1"/>
      <c r="AG842" s="4"/>
      <c r="AH842" s="1"/>
      <c r="AI842" s="4"/>
      <c r="AJ842" s="6"/>
      <c r="AK842" s="7"/>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1:61" ht="16.5" customHeight="1">
      <c r="A843" s="1"/>
      <c r="B843" s="139"/>
      <c r="C843" s="1"/>
      <c r="D843" s="1"/>
      <c r="E843" s="1"/>
      <c r="F843" s="1"/>
      <c r="G843" s="1"/>
      <c r="H843" s="4"/>
      <c r="I843" s="4"/>
      <c r="J843" s="4"/>
      <c r="K843" s="4"/>
      <c r="L843" s="4"/>
      <c r="M843" s="4"/>
      <c r="N843" s="1"/>
      <c r="O843" s="1"/>
      <c r="P843" s="4"/>
      <c r="Q843" s="5"/>
      <c r="R843" s="4"/>
      <c r="S843" s="1"/>
      <c r="T843" s="1"/>
      <c r="U843" s="1"/>
      <c r="V843" s="1"/>
      <c r="W843" s="1"/>
      <c r="X843" s="6"/>
      <c r="Y843" s="4"/>
      <c r="Z843" s="4"/>
      <c r="AA843" s="4"/>
      <c r="AB843" s="1"/>
      <c r="AC843" s="1"/>
      <c r="AD843" s="1"/>
      <c r="AE843" s="1"/>
      <c r="AF843" s="1"/>
      <c r="AG843" s="4"/>
      <c r="AH843" s="1"/>
      <c r="AI843" s="4"/>
      <c r="AJ843" s="6"/>
      <c r="AK843" s="7"/>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1:61" ht="16.5" customHeight="1">
      <c r="A844" s="1"/>
      <c r="B844" s="139"/>
      <c r="C844" s="1"/>
      <c r="D844" s="1"/>
      <c r="E844" s="1"/>
      <c r="F844" s="1"/>
      <c r="G844" s="1"/>
      <c r="H844" s="4"/>
      <c r="I844" s="4"/>
      <c r="J844" s="4"/>
      <c r="K844" s="4"/>
      <c r="L844" s="4"/>
      <c r="M844" s="4"/>
      <c r="N844" s="1"/>
      <c r="O844" s="1"/>
      <c r="P844" s="4"/>
      <c r="Q844" s="5"/>
      <c r="R844" s="4"/>
      <c r="S844" s="1"/>
      <c r="T844" s="1"/>
      <c r="U844" s="1"/>
      <c r="V844" s="1"/>
      <c r="W844" s="1"/>
      <c r="X844" s="6"/>
      <c r="Y844" s="4"/>
      <c r="Z844" s="4"/>
      <c r="AA844" s="4"/>
      <c r="AB844" s="1"/>
      <c r="AC844" s="1"/>
      <c r="AD844" s="1"/>
      <c r="AE844" s="1"/>
      <c r="AF844" s="1"/>
      <c r="AG844" s="4"/>
      <c r="AH844" s="1"/>
      <c r="AI844" s="4"/>
      <c r="AJ844" s="6"/>
      <c r="AK844" s="7"/>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1:61" ht="16.5" customHeight="1">
      <c r="A845" s="1"/>
      <c r="B845" s="139"/>
      <c r="C845" s="1"/>
      <c r="D845" s="1"/>
      <c r="E845" s="1"/>
      <c r="F845" s="1"/>
      <c r="G845" s="1"/>
      <c r="H845" s="4"/>
      <c r="I845" s="4"/>
      <c r="J845" s="4"/>
      <c r="K845" s="4"/>
      <c r="L845" s="4"/>
      <c r="M845" s="4"/>
      <c r="N845" s="1"/>
      <c r="O845" s="1"/>
      <c r="P845" s="4"/>
      <c r="Q845" s="5"/>
      <c r="R845" s="4"/>
      <c r="S845" s="1"/>
      <c r="T845" s="1"/>
      <c r="U845" s="1"/>
      <c r="V845" s="1"/>
      <c r="W845" s="1"/>
      <c r="X845" s="6"/>
      <c r="Y845" s="4"/>
      <c r="Z845" s="4"/>
      <c r="AA845" s="4"/>
      <c r="AB845" s="1"/>
      <c r="AC845" s="1"/>
      <c r="AD845" s="1"/>
      <c r="AE845" s="1"/>
      <c r="AF845" s="1"/>
      <c r="AG845" s="4"/>
      <c r="AH845" s="1"/>
      <c r="AI845" s="4"/>
      <c r="AJ845" s="6"/>
      <c r="AK845" s="7"/>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1:61" ht="16.5" customHeight="1">
      <c r="A846" s="1"/>
      <c r="B846" s="139"/>
      <c r="C846" s="1"/>
      <c r="D846" s="1"/>
      <c r="E846" s="1"/>
      <c r="F846" s="1"/>
      <c r="G846" s="1"/>
      <c r="H846" s="4"/>
      <c r="I846" s="4"/>
      <c r="J846" s="4"/>
      <c r="K846" s="4"/>
      <c r="L846" s="4"/>
      <c r="M846" s="4"/>
      <c r="N846" s="1"/>
      <c r="O846" s="1"/>
      <c r="P846" s="4"/>
      <c r="Q846" s="5"/>
      <c r="R846" s="4"/>
      <c r="S846" s="1"/>
      <c r="T846" s="1"/>
      <c r="U846" s="1"/>
      <c r="V846" s="1"/>
      <c r="W846" s="1"/>
      <c r="X846" s="6"/>
      <c r="Y846" s="4"/>
      <c r="Z846" s="4"/>
      <c r="AA846" s="4"/>
      <c r="AB846" s="1"/>
      <c r="AC846" s="1"/>
      <c r="AD846" s="1"/>
      <c r="AE846" s="1"/>
      <c r="AF846" s="1"/>
      <c r="AG846" s="4"/>
      <c r="AH846" s="1"/>
      <c r="AI846" s="4"/>
      <c r="AJ846" s="6"/>
      <c r="AK846" s="7"/>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1:61" ht="16.5" customHeight="1">
      <c r="A847" s="1"/>
      <c r="B847" s="139"/>
      <c r="C847" s="1"/>
      <c r="D847" s="1"/>
      <c r="E847" s="1"/>
      <c r="F847" s="1"/>
      <c r="G847" s="1"/>
      <c r="H847" s="4"/>
      <c r="I847" s="4"/>
      <c r="J847" s="4"/>
      <c r="K847" s="4"/>
      <c r="L847" s="4"/>
      <c r="M847" s="4"/>
      <c r="N847" s="1"/>
      <c r="O847" s="1"/>
      <c r="P847" s="4"/>
      <c r="Q847" s="5"/>
      <c r="R847" s="4"/>
      <c r="S847" s="1"/>
      <c r="T847" s="1"/>
      <c r="U847" s="1"/>
      <c r="V847" s="1"/>
      <c r="W847" s="1"/>
      <c r="X847" s="6"/>
      <c r="Y847" s="4"/>
      <c r="Z847" s="4"/>
      <c r="AA847" s="4"/>
      <c r="AB847" s="1"/>
      <c r="AC847" s="1"/>
      <c r="AD847" s="1"/>
      <c r="AE847" s="1"/>
      <c r="AF847" s="1"/>
      <c r="AG847" s="4"/>
      <c r="AH847" s="1"/>
      <c r="AI847" s="4"/>
      <c r="AJ847" s="6"/>
      <c r="AK847" s="7"/>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1:61" ht="16.5" customHeight="1">
      <c r="A848" s="1"/>
      <c r="B848" s="139"/>
      <c r="C848" s="1"/>
      <c r="D848" s="1"/>
      <c r="E848" s="1"/>
      <c r="F848" s="1"/>
      <c r="G848" s="1"/>
      <c r="H848" s="4"/>
      <c r="I848" s="4"/>
      <c r="J848" s="4"/>
      <c r="K848" s="4"/>
      <c r="L848" s="4"/>
      <c r="M848" s="4"/>
      <c r="N848" s="1"/>
      <c r="O848" s="1"/>
      <c r="P848" s="4"/>
      <c r="Q848" s="5"/>
      <c r="R848" s="4"/>
      <c r="S848" s="1"/>
      <c r="T848" s="1"/>
      <c r="U848" s="1"/>
      <c r="V848" s="1"/>
      <c r="W848" s="1"/>
      <c r="X848" s="6"/>
      <c r="Y848" s="4"/>
      <c r="Z848" s="4"/>
      <c r="AA848" s="4"/>
      <c r="AB848" s="1"/>
      <c r="AC848" s="1"/>
      <c r="AD848" s="1"/>
      <c r="AE848" s="1"/>
      <c r="AF848" s="1"/>
      <c r="AG848" s="4"/>
      <c r="AH848" s="1"/>
      <c r="AI848" s="4"/>
      <c r="AJ848" s="6"/>
      <c r="AK848" s="7"/>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1:61" ht="16.5" customHeight="1">
      <c r="A849" s="1"/>
      <c r="B849" s="139"/>
      <c r="C849" s="1"/>
      <c r="D849" s="1"/>
      <c r="E849" s="1"/>
      <c r="F849" s="1"/>
      <c r="G849" s="1"/>
      <c r="H849" s="4"/>
      <c r="I849" s="4"/>
      <c r="J849" s="4"/>
      <c r="K849" s="4"/>
      <c r="L849" s="4"/>
      <c r="M849" s="4"/>
      <c r="N849" s="1"/>
      <c r="O849" s="1"/>
      <c r="P849" s="4"/>
      <c r="Q849" s="5"/>
      <c r="R849" s="4"/>
      <c r="S849" s="1"/>
      <c r="T849" s="1"/>
      <c r="U849" s="1"/>
      <c r="V849" s="1"/>
      <c r="W849" s="1"/>
      <c r="X849" s="6"/>
      <c r="Y849" s="4"/>
      <c r="Z849" s="4"/>
      <c r="AA849" s="4"/>
      <c r="AB849" s="1"/>
      <c r="AC849" s="1"/>
      <c r="AD849" s="1"/>
      <c r="AE849" s="1"/>
      <c r="AF849" s="1"/>
      <c r="AG849" s="4"/>
      <c r="AH849" s="1"/>
      <c r="AI849" s="4"/>
      <c r="AJ849" s="6"/>
      <c r="AK849" s="7"/>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1:61" ht="16.5" customHeight="1">
      <c r="A850" s="1"/>
      <c r="B850" s="139"/>
      <c r="C850" s="1"/>
      <c r="D850" s="1"/>
      <c r="E850" s="1"/>
      <c r="F850" s="1"/>
      <c r="G850" s="1"/>
      <c r="H850" s="4"/>
      <c r="I850" s="4"/>
      <c r="J850" s="4"/>
      <c r="K850" s="4"/>
      <c r="L850" s="4"/>
      <c r="M850" s="4"/>
      <c r="N850" s="1"/>
      <c r="O850" s="1"/>
      <c r="P850" s="4"/>
      <c r="Q850" s="5"/>
      <c r="R850" s="4"/>
      <c r="S850" s="1"/>
      <c r="T850" s="1"/>
      <c r="U850" s="1"/>
      <c r="V850" s="1"/>
      <c r="W850" s="1"/>
      <c r="X850" s="6"/>
      <c r="Y850" s="4"/>
      <c r="Z850" s="4"/>
      <c r="AA850" s="4"/>
      <c r="AB850" s="1"/>
      <c r="AC850" s="1"/>
      <c r="AD850" s="1"/>
      <c r="AE850" s="1"/>
      <c r="AF850" s="1"/>
      <c r="AG850" s="4"/>
      <c r="AH850" s="1"/>
      <c r="AI850" s="4"/>
      <c r="AJ850" s="6"/>
      <c r="AK850" s="7"/>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1:61" ht="16.5" customHeight="1">
      <c r="A851" s="1"/>
      <c r="B851" s="139"/>
      <c r="C851" s="1"/>
      <c r="D851" s="1"/>
      <c r="E851" s="1"/>
      <c r="F851" s="1"/>
      <c r="G851" s="1"/>
      <c r="H851" s="4"/>
      <c r="I851" s="4"/>
      <c r="J851" s="4"/>
      <c r="K851" s="4"/>
      <c r="L851" s="4"/>
      <c r="M851" s="4"/>
      <c r="N851" s="1"/>
      <c r="O851" s="1"/>
      <c r="P851" s="4"/>
      <c r="Q851" s="5"/>
      <c r="R851" s="4"/>
      <c r="S851" s="1"/>
      <c r="T851" s="1"/>
      <c r="U851" s="1"/>
      <c r="V851" s="1"/>
      <c r="W851" s="1"/>
      <c r="X851" s="6"/>
      <c r="Y851" s="4"/>
      <c r="Z851" s="4"/>
      <c r="AA851" s="4"/>
      <c r="AB851" s="1"/>
      <c r="AC851" s="1"/>
      <c r="AD851" s="1"/>
      <c r="AE851" s="1"/>
      <c r="AF851" s="1"/>
      <c r="AG851" s="4"/>
      <c r="AH851" s="1"/>
      <c r="AI851" s="4"/>
      <c r="AJ851" s="6"/>
      <c r="AK851" s="7"/>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1:61" ht="16.5" customHeight="1">
      <c r="A852" s="1"/>
      <c r="B852" s="139"/>
      <c r="C852" s="1"/>
      <c r="D852" s="1"/>
      <c r="E852" s="1"/>
      <c r="F852" s="1"/>
      <c r="G852" s="1"/>
      <c r="H852" s="4"/>
      <c r="I852" s="4"/>
      <c r="J852" s="4"/>
      <c r="K852" s="4"/>
      <c r="L852" s="4"/>
      <c r="M852" s="4"/>
      <c r="N852" s="1"/>
      <c r="O852" s="1"/>
      <c r="P852" s="4"/>
      <c r="Q852" s="5"/>
      <c r="R852" s="4"/>
      <c r="S852" s="1"/>
      <c r="T852" s="1"/>
      <c r="U852" s="1"/>
      <c r="V852" s="1"/>
      <c r="W852" s="1"/>
      <c r="X852" s="6"/>
      <c r="Y852" s="4"/>
      <c r="Z852" s="4"/>
      <c r="AA852" s="4"/>
      <c r="AB852" s="1"/>
      <c r="AC852" s="1"/>
      <c r="AD852" s="1"/>
      <c r="AE852" s="1"/>
      <c r="AF852" s="1"/>
      <c r="AG852" s="4"/>
      <c r="AH852" s="1"/>
      <c r="AI852" s="4"/>
      <c r="AJ852" s="6"/>
      <c r="AK852" s="7"/>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1:61" ht="16.5" customHeight="1">
      <c r="A853" s="1"/>
      <c r="B853" s="139"/>
      <c r="C853" s="1"/>
      <c r="D853" s="1"/>
      <c r="E853" s="1"/>
      <c r="F853" s="1"/>
      <c r="G853" s="1"/>
      <c r="H853" s="4"/>
      <c r="I853" s="4"/>
      <c r="J853" s="4"/>
      <c r="K853" s="4"/>
      <c r="L853" s="4"/>
      <c r="M853" s="4"/>
      <c r="N853" s="1"/>
      <c r="O853" s="1"/>
      <c r="P853" s="4"/>
      <c r="Q853" s="5"/>
      <c r="R853" s="4"/>
      <c r="S853" s="1"/>
      <c r="T853" s="1"/>
      <c r="U853" s="1"/>
      <c r="V853" s="1"/>
      <c r="W853" s="1"/>
      <c r="X853" s="6"/>
      <c r="Y853" s="4"/>
      <c r="Z853" s="4"/>
      <c r="AA853" s="4"/>
      <c r="AB853" s="1"/>
      <c r="AC853" s="1"/>
      <c r="AD853" s="1"/>
      <c r="AE853" s="1"/>
      <c r="AF853" s="1"/>
      <c r="AG853" s="4"/>
      <c r="AH853" s="1"/>
      <c r="AI853" s="4"/>
      <c r="AJ853" s="6"/>
      <c r="AK853" s="7"/>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1:61" ht="16.5" customHeight="1">
      <c r="A854" s="1"/>
      <c r="B854" s="139"/>
      <c r="C854" s="1"/>
      <c r="D854" s="1"/>
      <c r="E854" s="1"/>
      <c r="F854" s="1"/>
      <c r="G854" s="1"/>
      <c r="H854" s="4"/>
      <c r="I854" s="4"/>
      <c r="J854" s="4"/>
      <c r="K854" s="4"/>
      <c r="L854" s="4"/>
      <c r="M854" s="4"/>
      <c r="N854" s="1"/>
      <c r="O854" s="1"/>
      <c r="P854" s="4"/>
      <c r="Q854" s="5"/>
      <c r="R854" s="4"/>
      <c r="S854" s="1"/>
      <c r="T854" s="1"/>
      <c r="U854" s="1"/>
      <c r="V854" s="1"/>
      <c r="W854" s="1"/>
      <c r="X854" s="6"/>
      <c r="Y854" s="4"/>
      <c r="Z854" s="4"/>
      <c r="AA854" s="4"/>
      <c r="AB854" s="1"/>
      <c r="AC854" s="1"/>
      <c r="AD854" s="1"/>
      <c r="AE854" s="1"/>
      <c r="AF854" s="1"/>
      <c r="AG854" s="4"/>
      <c r="AH854" s="1"/>
      <c r="AI854" s="4"/>
      <c r="AJ854" s="6"/>
      <c r="AK854" s="7"/>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1:61" ht="16.5" customHeight="1">
      <c r="A855" s="1"/>
      <c r="B855" s="139"/>
      <c r="C855" s="1"/>
      <c r="D855" s="1"/>
      <c r="E855" s="1"/>
      <c r="F855" s="1"/>
      <c r="G855" s="1"/>
      <c r="H855" s="4"/>
      <c r="I855" s="4"/>
      <c r="J855" s="4"/>
      <c r="K855" s="4"/>
      <c r="L855" s="4"/>
      <c r="M855" s="4"/>
      <c r="N855" s="1"/>
      <c r="O855" s="1"/>
      <c r="P855" s="4"/>
      <c r="Q855" s="5"/>
      <c r="R855" s="4"/>
      <c r="S855" s="1"/>
      <c r="T855" s="1"/>
      <c r="U855" s="1"/>
      <c r="V855" s="1"/>
      <c r="W855" s="1"/>
      <c r="X855" s="6"/>
      <c r="Y855" s="4"/>
      <c r="Z855" s="4"/>
      <c r="AA855" s="4"/>
      <c r="AB855" s="1"/>
      <c r="AC855" s="1"/>
      <c r="AD855" s="1"/>
      <c r="AE855" s="1"/>
      <c r="AF855" s="1"/>
      <c r="AG855" s="4"/>
      <c r="AH855" s="1"/>
      <c r="AI855" s="4"/>
      <c r="AJ855" s="6"/>
      <c r="AK855" s="7"/>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1:61" ht="16.5" customHeight="1">
      <c r="A856" s="1"/>
      <c r="B856" s="139"/>
      <c r="C856" s="1"/>
      <c r="D856" s="1"/>
      <c r="E856" s="1"/>
      <c r="F856" s="1"/>
      <c r="G856" s="1"/>
      <c r="H856" s="4"/>
      <c r="I856" s="4"/>
      <c r="J856" s="4"/>
      <c r="K856" s="4"/>
      <c r="L856" s="4"/>
      <c r="M856" s="4"/>
      <c r="N856" s="1"/>
      <c r="O856" s="1"/>
      <c r="P856" s="4"/>
      <c r="Q856" s="5"/>
      <c r="R856" s="4"/>
      <c r="S856" s="1"/>
      <c r="T856" s="1"/>
      <c r="U856" s="1"/>
      <c r="V856" s="1"/>
      <c r="W856" s="1"/>
      <c r="X856" s="6"/>
      <c r="Y856" s="4"/>
      <c r="Z856" s="4"/>
      <c r="AA856" s="4"/>
      <c r="AB856" s="1"/>
      <c r="AC856" s="1"/>
      <c r="AD856" s="1"/>
      <c r="AE856" s="1"/>
      <c r="AF856" s="1"/>
      <c r="AG856" s="4"/>
      <c r="AH856" s="1"/>
      <c r="AI856" s="4"/>
      <c r="AJ856" s="6"/>
      <c r="AK856" s="7"/>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1:61" ht="16.5" customHeight="1">
      <c r="A857" s="1"/>
      <c r="B857" s="139"/>
      <c r="C857" s="1"/>
      <c r="D857" s="1"/>
      <c r="E857" s="1"/>
      <c r="F857" s="1"/>
      <c r="G857" s="1"/>
      <c r="H857" s="4"/>
      <c r="I857" s="4"/>
      <c r="J857" s="4"/>
      <c r="K857" s="4"/>
      <c r="L857" s="4"/>
      <c r="M857" s="4"/>
      <c r="N857" s="1"/>
      <c r="O857" s="1"/>
      <c r="P857" s="4"/>
      <c r="Q857" s="5"/>
      <c r="R857" s="4"/>
      <c r="S857" s="1"/>
      <c r="T857" s="1"/>
      <c r="U857" s="1"/>
      <c r="V857" s="1"/>
      <c r="W857" s="1"/>
      <c r="X857" s="6"/>
      <c r="Y857" s="4"/>
      <c r="Z857" s="4"/>
      <c r="AA857" s="4"/>
      <c r="AB857" s="1"/>
      <c r="AC857" s="1"/>
      <c r="AD857" s="1"/>
      <c r="AE857" s="1"/>
      <c r="AF857" s="1"/>
      <c r="AG857" s="4"/>
      <c r="AH857" s="1"/>
      <c r="AI857" s="4"/>
      <c r="AJ857" s="6"/>
      <c r="AK857" s="7"/>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1:61" ht="16.5" customHeight="1">
      <c r="A858" s="1"/>
      <c r="B858" s="139"/>
      <c r="C858" s="1"/>
      <c r="D858" s="1"/>
      <c r="E858" s="1"/>
      <c r="F858" s="1"/>
      <c r="G858" s="1"/>
      <c r="H858" s="4"/>
      <c r="I858" s="4"/>
      <c r="J858" s="4"/>
      <c r="K858" s="4"/>
      <c r="L858" s="4"/>
      <c r="M858" s="4"/>
      <c r="N858" s="1"/>
      <c r="O858" s="1"/>
      <c r="P858" s="4"/>
      <c r="Q858" s="5"/>
      <c r="R858" s="4"/>
      <c r="S858" s="1"/>
      <c r="T858" s="1"/>
      <c r="U858" s="1"/>
      <c r="V858" s="1"/>
      <c r="W858" s="1"/>
      <c r="X858" s="6"/>
      <c r="Y858" s="4"/>
      <c r="Z858" s="4"/>
      <c r="AA858" s="4"/>
      <c r="AB858" s="1"/>
      <c r="AC858" s="1"/>
      <c r="AD858" s="1"/>
      <c r="AE858" s="1"/>
      <c r="AF858" s="1"/>
      <c r="AG858" s="4"/>
      <c r="AH858" s="1"/>
      <c r="AI858" s="4"/>
      <c r="AJ858" s="6"/>
      <c r="AK858" s="7"/>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1:61" ht="16.5" customHeight="1">
      <c r="A859" s="1"/>
      <c r="B859" s="139"/>
      <c r="C859" s="1"/>
      <c r="D859" s="1"/>
      <c r="E859" s="1"/>
      <c r="F859" s="1"/>
      <c r="G859" s="1"/>
      <c r="H859" s="4"/>
      <c r="I859" s="4"/>
      <c r="J859" s="4"/>
      <c r="K859" s="4"/>
      <c r="L859" s="4"/>
      <c r="M859" s="4"/>
      <c r="N859" s="1"/>
      <c r="O859" s="1"/>
      <c r="P859" s="4"/>
      <c r="Q859" s="5"/>
      <c r="R859" s="4"/>
      <c r="S859" s="1"/>
      <c r="T859" s="1"/>
      <c r="U859" s="1"/>
      <c r="V859" s="1"/>
      <c r="W859" s="1"/>
      <c r="X859" s="6"/>
      <c r="Y859" s="4"/>
      <c r="Z859" s="4"/>
      <c r="AA859" s="4"/>
      <c r="AB859" s="1"/>
      <c r="AC859" s="1"/>
      <c r="AD859" s="1"/>
      <c r="AE859" s="1"/>
      <c r="AF859" s="1"/>
      <c r="AG859" s="4"/>
      <c r="AH859" s="1"/>
      <c r="AI859" s="4"/>
      <c r="AJ859" s="6"/>
      <c r="AK859" s="7"/>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1:61" ht="16.5" customHeight="1">
      <c r="A860" s="1"/>
      <c r="B860" s="139"/>
      <c r="C860" s="1"/>
      <c r="D860" s="1"/>
      <c r="E860" s="1"/>
      <c r="F860" s="1"/>
      <c r="G860" s="1"/>
      <c r="H860" s="4"/>
      <c r="I860" s="4"/>
      <c r="J860" s="4"/>
      <c r="K860" s="4"/>
      <c r="L860" s="4"/>
      <c r="M860" s="4"/>
      <c r="N860" s="1"/>
      <c r="O860" s="1"/>
      <c r="P860" s="4"/>
      <c r="Q860" s="5"/>
      <c r="R860" s="4"/>
      <c r="S860" s="1"/>
      <c r="T860" s="1"/>
      <c r="U860" s="1"/>
      <c r="V860" s="1"/>
      <c r="W860" s="1"/>
      <c r="X860" s="6"/>
      <c r="Y860" s="4"/>
      <c r="Z860" s="4"/>
      <c r="AA860" s="4"/>
      <c r="AB860" s="1"/>
      <c r="AC860" s="1"/>
      <c r="AD860" s="1"/>
      <c r="AE860" s="1"/>
      <c r="AF860" s="1"/>
      <c r="AG860" s="4"/>
      <c r="AH860" s="1"/>
      <c r="AI860" s="4"/>
      <c r="AJ860" s="6"/>
      <c r="AK860" s="7"/>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1:61" ht="16.5" customHeight="1">
      <c r="A861" s="1"/>
      <c r="B861" s="139"/>
      <c r="C861" s="1"/>
      <c r="D861" s="1"/>
      <c r="E861" s="1"/>
      <c r="F861" s="1"/>
      <c r="G861" s="1"/>
      <c r="H861" s="4"/>
      <c r="I861" s="4"/>
      <c r="J861" s="4"/>
      <c r="K861" s="4"/>
      <c r="L861" s="4"/>
      <c r="M861" s="4"/>
      <c r="N861" s="1"/>
      <c r="O861" s="1"/>
      <c r="P861" s="4"/>
      <c r="Q861" s="5"/>
      <c r="R861" s="4"/>
      <c r="S861" s="1"/>
      <c r="T861" s="1"/>
      <c r="U861" s="1"/>
      <c r="V861" s="1"/>
      <c r="W861" s="1"/>
      <c r="X861" s="6"/>
      <c r="Y861" s="4"/>
      <c r="Z861" s="4"/>
      <c r="AA861" s="4"/>
      <c r="AB861" s="1"/>
      <c r="AC861" s="1"/>
      <c r="AD861" s="1"/>
      <c r="AE861" s="1"/>
      <c r="AF861" s="1"/>
      <c r="AG861" s="4"/>
      <c r="AH861" s="1"/>
      <c r="AI861" s="4"/>
      <c r="AJ861" s="6"/>
      <c r="AK861" s="7"/>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1:61" ht="16.5" customHeight="1">
      <c r="A862" s="1"/>
      <c r="B862" s="139"/>
      <c r="C862" s="1"/>
      <c r="D862" s="1"/>
      <c r="E862" s="1"/>
      <c r="F862" s="1"/>
      <c r="G862" s="1"/>
      <c r="H862" s="4"/>
      <c r="I862" s="4"/>
      <c r="J862" s="4"/>
      <c r="K862" s="4"/>
      <c r="L862" s="4"/>
      <c r="M862" s="4"/>
      <c r="N862" s="1"/>
      <c r="O862" s="1"/>
      <c r="P862" s="4"/>
      <c r="Q862" s="5"/>
      <c r="R862" s="4"/>
      <c r="S862" s="1"/>
      <c r="T862" s="1"/>
      <c r="U862" s="1"/>
      <c r="V862" s="1"/>
      <c r="W862" s="1"/>
      <c r="X862" s="6"/>
      <c r="Y862" s="4"/>
      <c r="Z862" s="4"/>
      <c r="AA862" s="4"/>
      <c r="AB862" s="1"/>
      <c r="AC862" s="1"/>
      <c r="AD862" s="1"/>
      <c r="AE862" s="1"/>
      <c r="AF862" s="1"/>
      <c r="AG862" s="4"/>
      <c r="AH862" s="1"/>
      <c r="AI862" s="4"/>
      <c r="AJ862" s="6"/>
      <c r="AK862" s="7"/>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1:61" ht="16.5" customHeight="1">
      <c r="A863" s="1"/>
      <c r="B863" s="139"/>
      <c r="C863" s="1"/>
      <c r="D863" s="1"/>
      <c r="E863" s="1"/>
      <c r="F863" s="1"/>
      <c r="G863" s="1"/>
      <c r="H863" s="4"/>
      <c r="I863" s="4"/>
      <c r="J863" s="4"/>
      <c r="K863" s="4"/>
      <c r="L863" s="4"/>
      <c r="M863" s="4"/>
      <c r="N863" s="1"/>
      <c r="O863" s="1"/>
      <c r="P863" s="4"/>
      <c r="Q863" s="5"/>
      <c r="R863" s="4"/>
      <c r="S863" s="1"/>
      <c r="T863" s="1"/>
      <c r="U863" s="1"/>
      <c r="V863" s="1"/>
      <c r="W863" s="1"/>
      <c r="X863" s="6"/>
      <c r="Y863" s="4"/>
      <c r="Z863" s="4"/>
      <c r="AA863" s="4"/>
      <c r="AB863" s="1"/>
      <c r="AC863" s="1"/>
      <c r="AD863" s="1"/>
      <c r="AE863" s="1"/>
      <c r="AF863" s="1"/>
      <c r="AG863" s="4"/>
      <c r="AH863" s="1"/>
      <c r="AI863" s="4"/>
      <c r="AJ863" s="6"/>
      <c r="AK863" s="7"/>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1:61" ht="16.5" customHeight="1">
      <c r="A864" s="1"/>
      <c r="B864" s="139"/>
      <c r="C864" s="1"/>
      <c r="D864" s="1"/>
      <c r="E864" s="1"/>
      <c r="F864" s="1"/>
      <c r="G864" s="1"/>
      <c r="H864" s="4"/>
      <c r="I864" s="4"/>
      <c r="J864" s="4"/>
      <c r="K864" s="4"/>
      <c r="L864" s="4"/>
      <c r="M864" s="4"/>
      <c r="N864" s="1"/>
      <c r="O864" s="1"/>
      <c r="P864" s="4"/>
      <c r="Q864" s="5"/>
      <c r="R864" s="4"/>
      <c r="S864" s="1"/>
      <c r="T864" s="1"/>
      <c r="U864" s="1"/>
      <c r="V864" s="1"/>
      <c r="W864" s="1"/>
      <c r="X864" s="6"/>
      <c r="Y864" s="4"/>
      <c r="Z864" s="4"/>
      <c r="AA864" s="4"/>
      <c r="AB864" s="1"/>
      <c r="AC864" s="1"/>
      <c r="AD864" s="1"/>
      <c r="AE864" s="1"/>
      <c r="AF864" s="1"/>
      <c r="AG864" s="4"/>
      <c r="AH864" s="1"/>
      <c r="AI864" s="4"/>
      <c r="AJ864" s="6"/>
      <c r="AK864" s="7"/>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1:61" ht="16.5" customHeight="1">
      <c r="A865" s="1"/>
      <c r="B865" s="139"/>
      <c r="C865" s="1"/>
      <c r="D865" s="1"/>
      <c r="E865" s="1"/>
      <c r="F865" s="1"/>
      <c r="G865" s="1"/>
      <c r="H865" s="4"/>
      <c r="I865" s="4"/>
      <c r="J865" s="4"/>
      <c r="K865" s="4"/>
      <c r="L865" s="4"/>
      <c r="M865" s="4"/>
      <c r="N865" s="1"/>
      <c r="O865" s="1"/>
      <c r="P865" s="4"/>
      <c r="Q865" s="5"/>
      <c r="R865" s="4"/>
      <c r="S865" s="1"/>
      <c r="T865" s="1"/>
      <c r="U865" s="1"/>
      <c r="V865" s="1"/>
      <c r="W865" s="1"/>
      <c r="X865" s="6"/>
      <c r="Y865" s="4"/>
      <c r="Z865" s="4"/>
      <c r="AA865" s="4"/>
      <c r="AB865" s="1"/>
      <c r="AC865" s="1"/>
      <c r="AD865" s="1"/>
      <c r="AE865" s="1"/>
      <c r="AF865" s="1"/>
      <c r="AG865" s="4"/>
      <c r="AH865" s="1"/>
      <c r="AI865" s="4"/>
      <c r="AJ865" s="6"/>
      <c r="AK865" s="7"/>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1:61" ht="16.5" customHeight="1">
      <c r="A866" s="1"/>
      <c r="B866" s="139"/>
      <c r="C866" s="1"/>
      <c r="D866" s="1"/>
      <c r="E866" s="1"/>
      <c r="F866" s="1"/>
      <c r="G866" s="1"/>
      <c r="H866" s="4"/>
      <c r="I866" s="4"/>
      <c r="J866" s="4"/>
      <c r="K866" s="4"/>
      <c r="L866" s="4"/>
      <c r="M866" s="4"/>
      <c r="N866" s="1"/>
      <c r="O866" s="1"/>
      <c r="P866" s="4"/>
      <c r="Q866" s="5"/>
      <c r="R866" s="4"/>
      <c r="S866" s="1"/>
      <c r="T866" s="1"/>
      <c r="U866" s="1"/>
      <c r="V866" s="1"/>
      <c r="W866" s="1"/>
      <c r="X866" s="6"/>
      <c r="Y866" s="4"/>
      <c r="Z866" s="4"/>
      <c r="AA866" s="4"/>
      <c r="AB866" s="1"/>
      <c r="AC866" s="1"/>
      <c r="AD866" s="1"/>
      <c r="AE866" s="1"/>
      <c r="AF866" s="1"/>
      <c r="AG866" s="4"/>
      <c r="AH866" s="1"/>
      <c r="AI866" s="4"/>
      <c r="AJ866" s="6"/>
      <c r="AK866" s="7"/>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1:61" ht="16.5" customHeight="1">
      <c r="A867" s="1"/>
      <c r="B867" s="139"/>
      <c r="C867" s="1"/>
      <c r="D867" s="1"/>
      <c r="E867" s="1"/>
      <c r="F867" s="1"/>
      <c r="G867" s="1"/>
      <c r="H867" s="4"/>
      <c r="I867" s="4"/>
      <c r="J867" s="4"/>
      <c r="K867" s="4"/>
      <c r="L867" s="4"/>
      <c r="M867" s="4"/>
      <c r="N867" s="1"/>
      <c r="O867" s="1"/>
      <c r="P867" s="4"/>
      <c r="Q867" s="5"/>
      <c r="R867" s="4"/>
      <c r="S867" s="1"/>
      <c r="T867" s="1"/>
      <c r="U867" s="1"/>
      <c r="V867" s="1"/>
      <c r="W867" s="1"/>
      <c r="X867" s="6"/>
      <c r="Y867" s="4"/>
      <c r="Z867" s="4"/>
      <c r="AA867" s="4"/>
      <c r="AB867" s="1"/>
      <c r="AC867" s="1"/>
      <c r="AD867" s="1"/>
      <c r="AE867" s="1"/>
      <c r="AF867" s="1"/>
      <c r="AG867" s="4"/>
      <c r="AH867" s="1"/>
      <c r="AI867" s="4"/>
      <c r="AJ867" s="6"/>
      <c r="AK867" s="7"/>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1:61" ht="16.5" customHeight="1">
      <c r="A868" s="1"/>
      <c r="B868" s="139"/>
      <c r="C868" s="1"/>
      <c r="D868" s="1"/>
      <c r="E868" s="1"/>
      <c r="F868" s="1"/>
      <c r="G868" s="1"/>
      <c r="H868" s="4"/>
      <c r="I868" s="4"/>
      <c r="J868" s="4"/>
      <c r="K868" s="4"/>
      <c r="L868" s="4"/>
      <c r="M868" s="4"/>
      <c r="N868" s="1"/>
      <c r="O868" s="1"/>
      <c r="P868" s="4"/>
      <c r="Q868" s="5"/>
      <c r="R868" s="4"/>
      <c r="S868" s="1"/>
      <c r="T868" s="1"/>
      <c r="U868" s="1"/>
      <c r="V868" s="1"/>
      <c r="W868" s="1"/>
      <c r="X868" s="6"/>
      <c r="Y868" s="4"/>
      <c r="Z868" s="4"/>
      <c r="AA868" s="4"/>
      <c r="AB868" s="1"/>
      <c r="AC868" s="1"/>
      <c r="AD868" s="1"/>
      <c r="AE868" s="1"/>
      <c r="AF868" s="1"/>
      <c r="AG868" s="4"/>
      <c r="AH868" s="1"/>
      <c r="AI868" s="4"/>
      <c r="AJ868" s="6"/>
      <c r="AK868" s="7"/>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1:61" ht="16.5" customHeight="1">
      <c r="A869" s="1"/>
      <c r="B869" s="139"/>
      <c r="C869" s="1"/>
      <c r="D869" s="1"/>
      <c r="E869" s="1"/>
      <c r="F869" s="1"/>
      <c r="G869" s="1"/>
      <c r="H869" s="4"/>
      <c r="I869" s="4"/>
      <c r="J869" s="4"/>
      <c r="K869" s="4"/>
      <c r="L869" s="4"/>
      <c r="M869" s="4"/>
      <c r="N869" s="1"/>
      <c r="O869" s="1"/>
      <c r="P869" s="4"/>
      <c r="Q869" s="5"/>
      <c r="R869" s="4"/>
      <c r="S869" s="1"/>
      <c r="T869" s="1"/>
      <c r="U869" s="1"/>
      <c r="V869" s="1"/>
      <c r="W869" s="1"/>
      <c r="X869" s="6"/>
      <c r="Y869" s="4"/>
      <c r="Z869" s="4"/>
      <c r="AA869" s="4"/>
      <c r="AB869" s="1"/>
      <c r="AC869" s="1"/>
      <c r="AD869" s="1"/>
      <c r="AE869" s="1"/>
      <c r="AF869" s="1"/>
      <c r="AG869" s="4"/>
      <c r="AH869" s="1"/>
      <c r="AI869" s="4"/>
      <c r="AJ869" s="6"/>
      <c r="AK869" s="7"/>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1:61" ht="16.5" customHeight="1">
      <c r="A870" s="1"/>
      <c r="B870" s="139"/>
      <c r="C870" s="1"/>
      <c r="D870" s="1"/>
      <c r="E870" s="1"/>
      <c r="F870" s="1"/>
      <c r="G870" s="1"/>
      <c r="H870" s="4"/>
      <c r="I870" s="4"/>
      <c r="J870" s="4"/>
      <c r="K870" s="4"/>
      <c r="L870" s="4"/>
      <c r="M870" s="4"/>
      <c r="N870" s="1"/>
      <c r="O870" s="1"/>
      <c r="P870" s="4"/>
      <c r="Q870" s="5"/>
      <c r="R870" s="4"/>
      <c r="S870" s="1"/>
      <c r="T870" s="1"/>
      <c r="U870" s="1"/>
      <c r="V870" s="1"/>
      <c r="W870" s="1"/>
      <c r="X870" s="6"/>
      <c r="Y870" s="4"/>
      <c r="Z870" s="4"/>
      <c r="AA870" s="4"/>
      <c r="AB870" s="1"/>
      <c r="AC870" s="1"/>
      <c r="AD870" s="1"/>
      <c r="AE870" s="1"/>
      <c r="AF870" s="1"/>
      <c r="AG870" s="4"/>
      <c r="AH870" s="1"/>
      <c r="AI870" s="4"/>
      <c r="AJ870" s="6"/>
      <c r="AK870" s="7"/>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1:61" ht="16.5" customHeight="1">
      <c r="A871" s="1"/>
      <c r="B871" s="139"/>
      <c r="C871" s="1"/>
      <c r="D871" s="1"/>
      <c r="E871" s="1"/>
      <c r="F871" s="1"/>
      <c r="G871" s="1"/>
      <c r="H871" s="4"/>
      <c r="I871" s="4"/>
      <c r="J871" s="4"/>
      <c r="K871" s="4"/>
      <c r="L871" s="4"/>
      <c r="M871" s="4"/>
      <c r="N871" s="1"/>
      <c r="O871" s="1"/>
      <c r="P871" s="4"/>
      <c r="Q871" s="5"/>
      <c r="R871" s="4"/>
      <c r="S871" s="1"/>
      <c r="T871" s="1"/>
      <c r="U871" s="1"/>
      <c r="V871" s="1"/>
      <c r="W871" s="1"/>
      <c r="X871" s="6"/>
      <c r="Y871" s="4"/>
      <c r="Z871" s="4"/>
      <c r="AA871" s="4"/>
      <c r="AB871" s="1"/>
      <c r="AC871" s="1"/>
      <c r="AD871" s="1"/>
      <c r="AE871" s="1"/>
      <c r="AF871" s="1"/>
      <c r="AG871" s="4"/>
      <c r="AH871" s="1"/>
      <c r="AI871" s="4"/>
      <c r="AJ871" s="6"/>
      <c r="AK871" s="7"/>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1:61" ht="16.5" customHeight="1">
      <c r="A872" s="1"/>
      <c r="B872" s="139"/>
      <c r="C872" s="1"/>
      <c r="D872" s="1"/>
      <c r="E872" s="1"/>
      <c r="F872" s="1"/>
      <c r="G872" s="1"/>
      <c r="H872" s="4"/>
      <c r="I872" s="4"/>
      <c r="J872" s="4"/>
      <c r="K872" s="4"/>
      <c r="L872" s="4"/>
      <c r="M872" s="4"/>
      <c r="N872" s="1"/>
      <c r="O872" s="1"/>
      <c r="P872" s="4"/>
      <c r="Q872" s="5"/>
      <c r="R872" s="4"/>
      <c r="S872" s="1"/>
      <c r="T872" s="1"/>
      <c r="U872" s="1"/>
      <c r="V872" s="1"/>
      <c r="W872" s="1"/>
      <c r="X872" s="6"/>
      <c r="Y872" s="4"/>
      <c r="Z872" s="4"/>
      <c r="AA872" s="4"/>
      <c r="AB872" s="1"/>
      <c r="AC872" s="1"/>
      <c r="AD872" s="1"/>
      <c r="AE872" s="1"/>
      <c r="AF872" s="1"/>
      <c r="AG872" s="4"/>
      <c r="AH872" s="1"/>
      <c r="AI872" s="4"/>
      <c r="AJ872" s="6"/>
      <c r="AK872" s="7"/>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1:61" ht="16.5" customHeight="1">
      <c r="A873" s="1"/>
      <c r="B873" s="139"/>
      <c r="C873" s="1"/>
      <c r="D873" s="1"/>
      <c r="E873" s="1"/>
      <c r="F873" s="1"/>
      <c r="G873" s="1"/>
      <c r="H873" s="4"/>
      <c r="I873" s="4"/>
      <c r="J873" s="4"/>
      <c r="K873" s="4"/>
      <c r="L873" s="4"/>
      <c r="M873" s="4"/>
      <c r="N873" s="1"/>
      <c r="O873" s="1"/>
      <c r="P873" s="4"/>
      <c r="Q873" s="5"/>
      <c r="R873" s="4"/>
      <c r="S873" s="1"/>
      <c r="T873" s="1"/>
      <c r="U873" s="1"/>
      <c r="V873" s="1"/>
      <c r="W873" s="1"/>
      <c r="X873" s="6"/>
      <c r="Y873" s="4"/>
      <c r="Z873" s="4"/>
      <c r="AA873" s="4"/>
      <c r="AB873" s="1"/>
      <c r="AC873" s="1"/>
      <c r="AD873" s="1"/>
      <c r="AE873" s="1"/>
      <c r="AF873" s="1"/>
      <c r="AG873" s="4"/>
      <c r="AH873" s="1"/>
      <c r="AI873" s="4"/>
      <c r="AJ873" s="6"/>
      <c r="AK873" s="7"/>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1:61" ht="16.5" customHeight="1">
      <c r="A874" s="1"/>
      <c r="B874" s="139"/>
      <c r="C874" s="1"/>
      <c r="D874" s="1"/>
      <c r="E874" s="1"/>
      <c r="F874" s="1"/>
      <c r="G874" s="1"/>
      <c r="H874" s="4"/>
      <c r="I874" s="4"/>
      <c r="J874" s="4"/>
      <c r="K874" s="4"/>
      <c r="L874" s="4"/>
      <c r="M874" s="4"/>
      <c r="N874" s="1"/>
      <c r="O874" s="1"/>
      <c r="P874" s="4"/>
      <c r="Q874" s="5"/>
      <c r="R874" s="4"/>
      <c r="S874" s="1"/>
      <c r="T874" s="1"/>
      <c r="U874" s="1"/>
      <c r="V874" s="1"/>
      <c r="W874" s="1"/>
      <c r="X874" s="6"/>
      <c r="Y874" s="4"/>
      <c r="Z874" s="4"/>
      <c r="AA874" s="4"/>
      <c r="AB874" s="1"/>
      <c r="AC874" s="1"/>
      <c r="AD874" s="1"/>
      <c r="AE874" s="1"/>
      <c r="AF874" s="1"/>
      <c r="AG874" s="4"/>
      <c r="AH874" s="1"/>
      <c r="AI874" s="4"/>
      <c r="AJ874" s="6"/>
      <c r="AK874" s="7"/>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1:61" ht="16.5" customHeight="1">
      <c r="A875" s="1"/>
      <c r="B875" s="139"/>
      <c r="C875" s="1"/>
      <c r="D875" s="1"/>
      <c r="E875" s="1"/>
      <c r="F875" s="1"/>
      <c r="G875" s="1"/>
      <c r="H875" s="4"/>
      <c r="I875" s="4"/>
      <c r="J875" s="4"/>
      <c r="K875" s="4"/>
      <c r="L875" s="4"/>
      <c r="M875" s="4"/>
      <c r="N875" s="1"/>
      <c r="O875" s="1"/>
      <c r="P875" s="4"/>
      <c r="Q875" s="5"/>
      <c r="R875" s="4"/>
      <c r="S875" s="1"/>
      <c r="T875" s="1"/>
      <c r="U875" s="1"/>
      <c r="V875" s="1"/>
      <c r="W875" s="1"/>
      <c r="X875" s="6"/>
      <c r="Y875" s="4"/>
      <c r="Z875" s="4"/>
      <c r="AA875" s="4"/>
      <c r="AB875" s="1"/>
      <c r="AC875" s="1"/>
      <c r="AD875" s="1"/>
      <c r="AE875" s="1"/>
      <c r="AF875" s="1"/>
      <c r="AG875" s="4"/>
      <c r="AH875" s="1"/>
      <c r="AI875" s="4"/>
      <c r="AJ875" s="6"/>
      <c r="AK875" s="7"/>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1:61" ht="16.5" customHeight="1">
      <c r="A876" s="1"/>
      <c r="B876" s="139"/>
      <c r="C876" s="1"/>
      <c r="D876" s="1"/>
      <c r="E876" s="1"/>
      <c r="F876" s="1"/>
      <c r="G876" s="1"/>
      <c r="H876" s="4"/>
      <c r="I876" s="4"/>
      <c r="J876" s="4"/>
      <c r="K876" s="4"/>
      <c r="L876" s="4"/>
      <c r="M876" s="4"/>
      <c r="N876" s="1"/>
      <c r="O876" s="1"/>
      <c r="P876" s="4"/>
      <c r="Q876" s="5"/>
      <c r="R876" s="4"/>
      <c r="S876" s="1"/>
      <c r="T876" s="1"/>
      <c r="U876" s="1"/>
      <c r="V876" s="1"/>
      <c r="W876" s="1"/>
      <c r="X876" s="6"/>
      <c r="Y876" s="4"/>
      <c r="Z876" s="4"/>
      <c r="AA876" s="4"/>
      <c r="AB876" s="1"/>
      <c r="AC876" s="1"/>
      <c r="AD876" s="1"/>
      <c r="AE876" s="1"/>
      <c r="AF876" s="1"/>
      <c r="AG876" s="4"/>
      <c r="AH876" s="1"/>
      <c r="AI876" s="4"/>
      <c r="AJ876" s="6"/>
      <c r="AK876" s="7"/>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1:61" ht="16.5" customHeight="1">
      <c r="A877" s="1"/>
      <c r="B877" s="139"/>
      <c r="C877" s="1"/>
      <c r="D877" s="1"/>
      <c r="E877" s="1"/>
      <c r="F877" s="1"/>
      <c r="G877" s="1"/>
      <c r="H877" s="4"/>
      <c r="I877" s="4"/>
      <c r="J877" s="4"/>
      <c r="K877" s="4"/>
      <c r="L877" s="4"/>
      <c r="M877" s="4"/>
      <c r="N877" s="1"/>
      <c r="O877" s="1"/>
      <c r="P877" s="4"/>
      <c r="Q877" s="5"/>
      <c r="R877" s="4"/>
      <c r="S877" s="1"/>
      <c r="T877" s="1"/>
      <c r="U877" s="1"/>
      <c r="V877" s="1"/>
      <c r="W877" s="1"/>
      <c r="X877" s="6"/>
      <c r="Y877" s="4"/>
      <c r="Z877" s="4"/>
      <c r="AA877" s="4"/>
      <c r="AB877" s="1"/>
      <c r="AC877" s="1"/>
      <c r="AD877" s="1"/>
      <c r="AE877" s="1"/>
      <c r="AF877" s="1"/>
      <c r="AG877" s="4"/>
      <c r="AH877" s="1"/>
      <c r="AI877" s="4"/>
      <c r="AJ877" s="6"/>
      <c r="AK877" s="7"/>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1:61" ht="16.5" customHeight="1">
      <c r="A878" s="1"/>
      <c r="B878" s="139"/>
      <c r="C878" s="1"/>
      <c r="D878" s="1"/>
      <c r="E878" s="1"/>
      <c r="F878" s="1"/>
      <c r="G878" s="1"/>
      <c r="H878" s="4"/>
      <c r="I878" s="4"/>
      <c r="J878" s="4"/>
      <c r="K878" s="4"/>
      <c r="L878" s="4"/>
      <c r="M878" s="4"/>
      <c r="N878" s="1"/>
      <c r="O878" s="1"/>
      <c r="P878" s="4"/>
      <c r="Q878" s="5"/>
      <c r="R878" s="4"/>
      <c r="S878" s="1"/>
      <c r="T878" s="1"/>
      <c r="U878" s="1"/>
      <c r="V878" s="1"/>
      <c r="W878" s="1"/>
      <c r="X878" s="6"/>
      <c r="Y878" s="4"/>
      <c r="Z878" s="4"/>
      <c r="AA878" s="4"/>
      <c r="AB878" s="1"/>
      <c r="AC878" s="1"/>
      <c r="AD878" s="1"/>
      <c r="AE878" s="1"/>
      <c r="AF878" s="1"/>
      <c r="AG878" s="4"/>
      <c r="AH878" s="1"/>
      <c r="AI878" s="4"/>
      <c r="AJ878" s="6"/>
      <c r="AK878" s="7"/>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1:61" ht="16.5" customHeight="1">
      <c r="A879" s="1"/>
      <c r="B879" s="139"/>
      <c r="C879" s="1"/>
      <c r="D879" s="1"/>
      <c r="E879" s="1"/>
      <c r="F879" s="1"/>
      <c r="G879" s="1"/>
      <c r="H879" s="4"/>
      <c r="I879" s="4"/>
      <c r="J879" s="4"/>
      <c r="K879" s="4"/>
      <c r="L879" s="4"/>
      <c r="M879" s="4"/>
      <c r="N879" s="1"/>
      <c r="O879" s="1"/>
      <c r="P879" s="4"/>
      <c r="Q879" s="5"/>
      <c r="R879" s="4"/>
      <c r="S879" s="1"/>
      <c r="T879" s="1"/>
      <c r="U879" s="1"/>
      <c r="V879" s="1"/>
      <c r="W879" s="1"/>
      <c r="X879" s="6"/>
      <c r="Y879" s="4"/>
      <c r="Z879" s="4"/>
      <c r="AA879" s="4"/>
      <c r="AB879" s="1"/>
      <c r="AC879" s="1"/>
      <c r="AD879" s="1"/>
      <c r="AE879" s="1"/>
      <c r="AF879" s="1"/>
      <c r="AG879" s="4"/>
      <c r="AH879" s="1"/>
      <c r="AI879" s="4"/>
      <c r="AJ879" s="6"/>
      <c r="AK879" s="7"/>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1:61" ht="16.5" customHeight="1">
      <c r="A880" s="1"/>
      <c r="B880" s="139"/>
      <c r="C880" s="1"/>
      <c r="D880" s="1"/>
      <c r="E880" s="1"/>
      <c r="F880" s="1"/>
      <c r="G880" s="1"/>
      <c r="H880" s="4"/>
      <c r="I880" s="4"/>
      <c r="J880" s="4"/>
      <c r="K880" s="4"/>
      <c r="L880" s="4"/>
      <c r="M880" s="4"/>
      <c r="N880" s="1"/>
      <c r="O880" s="1"/>
      <c r="P880" s="4"/>
      <c r="Q880" s="5"/>
      <c r="R880" s="4"/>
      <c r="S880" s="1"/>
      <c r="T880" s="1"/>
      <c r="U880" s="1"/>
      <c r="V880" s="1"/>
      <c r="W880" s="1"/>
      <c r="X880" s="6"/>
      <c r="Y880" s="4"/>
      <c r="Z880" s="4"/>
      <c r="AA880" s="4"/>
      <c r="AB880" s="1"/>
      <c r="AC880" s="1"/>
      <c r="AD880" s="1"/>
      <c r="AE880" s="1"/>
      <c r="AF880" s="1"/>
      <c r="AG880" s="4"/>
      <c r="AH880" s="1"/>
      <c r="AI880" s="4"/>
      <c r="AJ880" s="6"/>
      <c r="AK880" s="7"/>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1:61" ht="16.5" customHeight="1">
      <c r="A881" s="1"/>
      <c r="B881" s="139"/>
      <c r="C881" s="1"/>
      <c r="D881" s="1"/>
      <c r="E881" s="1"/>
      <c r="F881" s="1"/>
      <c r="G881" s="1"/>
      <c r="H881" s="4"/>
      <c r="I881" s="4"/>
      <c r="J881" s="4"/>
      <c r="K881" s="4"/>
      <c r="L881" s="4"/>
      <c r="M881" s="4"/>
      <c r="N881" s="1"/>
      <c r="O881" s="1"/>
      <c r="P881" s="4"/>
      <c r="Q881" s="5"/>
      <c r="R881" s="4"/>
      <c r="S881" s="1"/>
      <c r="T881" s="1"/>
      <c r="U881" s="1"/>
      <c r="V881" s="1"/>
      <c r="W881" s="1"/>
      <c r="X881" s="6"/>
      <c r="Y881" s="4"/>
      <c r="Z881" s="4"/>
      <c r="AA881" s="4"/>
      <c r="AB881" s="1"/>
      <c r="AC881" s="1"/>
      <c r="AD881" s="1"/>
      <c r="AE881" s="1"/>
      <c r="AF881" s="1"/>
      <c r="AG881" s="4"/>
      <c r="AH881" s="1"/>
      <c r="AI881" s="4"/>
      <c r="AJ881" s="6"/>
      <c r="AK881" s="7"/>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1:61" ht="16.5" customHeight="1">
      <c r="A882" s="1"/>
      <c r="B882" s="139"/>
      <c r="C882" s="1"/>
      <c r="D882" s="1"/>
      <c r="E882" s="1"/>
      <c r="F882" s="1"/>
      <c r="G882" s="1"/>
      <c r="H882" s="4"/>
      <c r="I882" s="4"/>
      <c r="J882" s="4"/>
      <c r="K882" s="4"/>
      <c r="L882" s="4"/>
      <c r="M882" s="4"/>
      <c r="N882" s="1"/>
      <c r="O882" s="1"/>
      <c r="P882" s="4"/>
      <c r="Q882" s="5"/>
      <c r="R882" s="4"/>
      <c r="S882" s="1"/>
      <c r="T882" s="1"/>
      <c r="U882" s="1"/>
      <c r="V882" s="1"/>
      <c r="W882" s="1"/>
      <c r="X882" s="6"/>
      <c r="Y882" s="4"/>
      <c r="Z882" s="4"/>
      <c r="AA882" s="4"/>
      <c r="AB882" s="1"/>
      <c r="AC882" s="1"/>
      <c r="AD882" s="1"/>
      <c r="AE882" s="1"/>
      <c r="AF882" s="1"/>
      <c r="AG882" s="4"/>
      <c r="AH882" s="1"/>
      <c r="AI882" s="4"/>
      <c r="AJ882" s="6"/>
      <c r="AK882" s="7"/>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1:61" ht="16.5" customHeight="1">
      <c r="A883" s="1"/>
      <c r="B883" s="139"/>
      <c r="C883" s="1"/>
      <c r="D883" s="1"/>
      <c r="E883" s="1"/>
      <c r="F883" s="1"/>
      <c r="G883" s="1"/>
      <c r="H883" s="4"/>
      <c r="I883" s="4"/>
      <c r="J883" s="4"/>
      <c r="K883" s="4"/>
      <c r="L883" s="4"/>
      <c r="M883" s="4"/>
      <c r="N883" s="1"/>
      <c r="O883" s="1"/>
      <c r="P883" s="4"/>
      <c r="Q883" s="5"/>
      <c r="R883" s="4"/>
      <c r="S883" s="1"/>
      <c r="T883" s="1"/>
      <c r="U883" s="1"/>
      <c r="V883" s="1"/>
      <c r="W883" s="1"/>
      <c r="X883" s="6"/>
      <c r="Y883" s="4"/>
      <c r="Z883" s="4"/>
      <c r="AA883" s="4"/>
      <c r="AB883" s="1"/>
      <c r="AC883" s="1"/>
      <c r="AD883" s="1"/>
      <c r="AE883" s="1"/>
      <c r="AF883" s="1"/>
      <c r="AG883" s="4"/>
      <c r="AH883" s="1"/>
      <c r="AI883" s="4"/>
      <c r="AJ883" s="6"/>
      <c r="AK883" s="7"/>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1:61" ht="16.5" customHeight="1">
      <c r="A884" s="1"/>
      <c r="B884" s="139"/>
      <c r="C884" s="1"/>
      <c r="D884" s="1"/>
      <c r="E884" s="1"/>
      <c r="F884" s="1"/>
      <c r="G884" s="1"/>
      <c r="H884" s="4"/>
      <c r="I884" s="4"/>
      <c r="J884" s="4"/>
      <c r="K884" s="4"/>
      <c r="L884" s="4"/>
      <c r="M884" s="4"/>
      <c r="N884" s="1"/>
      <c r="O884" s="1"/>
      <c r="P884" s="4"/>
      <c r="Q884" s="5"/>
      <c r="R884" s="4"/>
      <c r="S884" s="1"/>
      <c r="T884" s="1"/>
      <c r="U884" s="1"/>
      <c r="V884" s="1"/>
      <c r="W884" s="1"/>
      <c r="X884" s="6"/>
      <c r="Y884" s="4"/>
      <c r="Z884" s="4"/>
      <c r="AA884" s="4"/>
      <c r="AB884" s="1"/>
      <c r="AC884" s="1"/>
      <c r="AD884" s="1"/>
      <c r="AE884" s="1"/>
      <c r="AF884" s="1"/>
      <c r="AG884" s="4"/>
      <c r="AH884" s="1"/>
      <c r="AI884" s="4"/>
      <c r="AJ884" s="6"/>
      <c r="AK884" s="7"/>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1:61" ht="16.5" customHeight="1">
      <c r="A885" s="1"/>
      <c r="B885" s="139"/>
      <c r="C885" s="1"/>
      <c r="D885" s="1"/>
      <c r="E885" s="1"/>
      <c r="F885" s="1"/>
      <c r="G885" s="1"/>
      <c r="H885" s="4"/>
      <c r="I885" s="4"/>
      <c r="J885" s="4"/>
      <c r="K885" s="4"/>
      <c r="L885" s="4"/>
      <c r="M885" s="4"/>
      <c r="N885" s="1"/>
      <c r="O885" s="1"/>
      <c r="P885" s="4"/>
      <c r="Q885" s="5"/>
      <c r="R885" s="4"/>
      <c r="S885" s="1"/>
      <c r="T885" s="1"/>
      <c r="U885" s="1"/>
      <c r="V885" s="1"/>
      <c r="W885" s="1"/>
      <c r="X885" s="6"/>
      <c r="Y885" s="4"/>
      <c r="Z885" s="4"/>
      <c r="AA885" s="4"/>
      <c r="AB885" s="1"/>
      <c r="AC885" s="1"/>
      <c r="AD885" s="1"/>
      <c r="AE885" s="1"/>
      <c r="AF885" s="1"/>
      <c r="AG885" s="4"/>
      <c r="AH885" s="1"/>
      <c r="AI885" s="4"/>
      <c r="AJ885" s="6"/>
      <c r="AK885" s="7"/>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1:61" ht="16.5" customHeight="1">
      <c r="A886" s="1"/>
      <c r="B886" s="139"/>
      <c r="C886" s="1"/>
      <c r="D886" s="1"/>
      <c r="E886" s="1"/>
      <c r="F886" s="1"/>
      <c r="G886" s="1"/>
      <c r="H886" s="4"/>
      <c r="I886" s="4"/>
      <c r="J886" s="4"/>
      <c r="K886" s="4"/>
      <c r="L886" s="4"/>
      <c r="M886" s="4"/>
      <c r="N886" s="1"/>
      <c r="O886" s="1"/>
      <c r="P886" s="4"/>
      <c r="Q886" s="5"/>
      <c r="R886" s="4"/>
      <c r="S886" s="1"/>
      <c r="T886" s="1"/>
      <c r="U886" s="1"/>
      <c r="V886" s="1"/>
      <c r="W886" s="1"/>
      <c r="X886" s="6"/>
      <c r="Y886" s="4"/>
      <c r="Z886" s="4"/>
      <c r="AA886" s="4"/>
      <c r="AB886" s="1"/>
      <c r="AC886" s="1"/>
      <c r="AD886" s="1"/>
      <c r="AE886" s="1"/>
      <c r="AF886" s="1"/>
      <c r="AG886" s="4"/>
      <c r="AH886" s="1"/>
      <c r="AI886" s="4"/>
      <c r="AJ886" s="6"/>
      <c r="AK886" s="7"/>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1:61" ht="16.5" customHeight="1">
      <c r="A887" s="1"/>
      <c r="B887" s="139"/>
      <c r="C887" s="1"/>
      <c r="D887" s="1"/>
      <c r="E887" s="1"/>
      <c r="F887" s="1"/>
      <c r="G887" s="1"/>
      <c r="H887" s="4"/>
      <c r="I887" s="4"/>
      <c r="J887" s="4"/>
      <c r="K887" s="4"/>
      <c r="L887" s="4"/>
      <c r="M887" s="4"/>
      <c r="N887" s="1"/>
      <c r="O887" s="1"/>
      <c r="P887" s="4"/>
      <c r="Q887" s="5"/>
      <c r="R887" s="4"/>
      <c r="S887" s="1"/>
      <c r="T887" s="1"/>
      <c r="U887" s="1"/>
      <c r="V887" s="1"/>
      <c r="W887" s="1"/>
      <c r="X887" s="6"/>
      <c r="Y887" s="4"/>
      <c r="Z887" s="4"/>
      <c r="AA887" s="4"/>
      <c r="AB887" s="1"/>
      <c r="AC887" s="1"/>
      <c r="AD887" s="1"/>
      <c r="AE887" s="1"/>
      <c r="AF887" s="1"/>
      <c r="AG887" s="4"/>
      <c r="AH887" s="1"/>
      <c r="AI887" s="4"/>
      <c r="AJ887" s="6"/>
      <c r="AK887" s="7"/>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1:61" ht="16.5" customHeight="1">
      <c r="A888" s="1"/>
      <c r="B888" s="139"/>
      <c r="C888" s="1"/>
      <c r="D888" s="1"/>
      <c r="E888" s="1"/>
      <c r="F888" s="1"/>
      <c r="G888" s="1"/>
      <c r="H888" s="4"/>
      <c r="I888" s="4"/>
      <c r="J888" s="4"/>
      <c r="K888" s="4"/>
      <c r="L888" s="4"/>
      <c r="M888" s="4"/>
      <c r="N888" s="1"/>
      <c r="O888" s="1"/>
      <c r="P888" s="4"/>
      <c r="Q888" s="5"/>
      <c r="R888" s="4"/>
      <c r="S888" s="1"/>
      <c r="T888" s="1"/>
      <c r="U888" s="1"/>
      <c r="V888" s="1"/>
      <c r="W888" s="1"/>
      <c r="X888" s="6"/>
      <c r="Y888" s="4"/>
      <c r="Z888" s="4"/>
      <c r="AA888" s="4"/>
      <c r="AB888" s="1"/>
      <c r="AC888" s="1"/>
      <c r="AD888" s="1"/>
      <c r="AE888" s="1"/>
      <c r="AF888" s="1"/>
      <c r="AG888" s="4"/>
      <c r="AH888" s="1"/>
      <c r="AI888" s="4"/>
      <c r="AJ888" s="6"/>
      <c r="AK888" s="7"/>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1:61" ht="16.5" customHeight="1">
      <c r="A889" s="1"/>
      <c r="B889" s="139"/>
      <c r="C889" s="1"/>
      <c r="D889" s="1"/>
      <c r="E889" s="1"/>
      <c r="F889" s="1"/>
      <c r="G889" s="1"/>
      <c r="H889" s="4"/>
      <c r="I889" s="4"/>
      <c r="J889" s="4"/>
      <c r="K889" s="4"/>
      <c r="L889" s="4"/>
      <c r="M889" s="4"/>
      <c r="N889" s="1"/>
      <c r="O889" s="1"/>
      <c r="P889" s="4"/>
      <c r="Q889" s="5"/>
      <c r="R889" s="4"/>
      <c r="S889" s="1"/>
      <c r="T889" s="1"/>
      <c r="U889" s="1"/>
      <c r="V889" s="1"/>
      <c r="W889" s="1"/>
      <c r="X889" s="6"/>
      <c r="Y889" s="4"/>
      <c r="Z889" s="4"/>
      <c r="AA889" s="4"/>
      <c r="AB889" s="1"/>
      <c r="AC889" s="1"/>
      <c r="AD889" s="1"/>
      <c r="AE889" s="1"/>
      <c r="AF889" s="1"/>
      <c r="AG889" s="4"/>
      <c r="AH889" s="1"/>
      <c r="AI889" s="4"/>
      <c r="AJ889" s="6"/>
      <c r="AK889" s="7"/>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1:61" ht="16.5" customHeight="1">
      <c r="A890" s="1"/>
      <c r="B890" s="139"/>
      <c r="C890" s="1"/>
      <c r="D890" s="1"/>
      <c r="E890" s="1"/>
      <c r="F890" s="1"/>
      <c r="G890" s="1"/>
      <c r="H890" s="4"/>
      <c r="I890" s="4"/>
      <c r="J890" s="4"/>
      <c r="K890" s="4"/>
      <c r="L890" s="4"/>
      <c r="M890" s="4"/>
      <c r="N890" s="1"/>
      <c r="O890" s="1"/>
      <c r="P890" s="4"/>
      <c r="Q890" s="5"/>
      <c r="R890" s="4"/>
      <c r="S890" s="1"/>
      <c r="T890" s="1"/>
      <c r="U890" s="1"/>
      <c r="V890" s="1"/>
      <c r="W890" s="1"/>
      <c r="X890" s="6"/>
      <c r="Y890" s="4"/>
      <c r="Z890" s="4"/>
      <c r="AA890" s="4"/>
      <c r="AB890" s="1"/>
      <c r="AC890" s="1"/>
      <c r="AD890" s="1"/>
      <c r="AE890" s="1"/>
      <c r="AF890" s="1"/>
      <c r="AG890" s="4"/>
      <c r="AH890" s="1"/>
      <c r="AI890" s="4"/>
      <c r="AJ890" s="6"/>
      <c r="AK890" s="7"/>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1:61" ht="16.5" customHeight="1">
      <c r="A891" s="1"/>
      <c r="B891" s="139"/>
      <c r="C891" s="1"/>
      <c r="D891" s="1"/>
      <c r="E891" s="1"/>
      <c r="F891" s="1"/>
      <c r="G891" s="1"/>
      <c r="H891" s="4"/>
      <c r="I891" s="4"/>
      <c r="J891" s="4"/>
      <c r="K891" s="4"/>
      <c r="L891" s="4"/>
      <c r="M891" s="4"/>
      <c r="N891" s="1"/>
      <c r="O891" s="1"/>
      <c r="P891" s="4"/>
      <c r="Q891" s="5"/>
      <c r="R891" s="4"/>
      <c r="S891" s="1"/>
      <c r="T891" s="1"/>
      <c r="U891" s="1"/>
      <c r="V891" s="1"/>
      <c r="W891" s="1"/>
      <c r="X891" s="6"/>
      <c r="Y891" s="4"/>
      <c r="Z891" s="4"/>
      <c r="AA891" s="4"/>
      <c r="AB891" s="1"/>
      <c r="AC891" s="1"/>
      <c r="AD891" s="1"/>
      <c r="AE891" s="1"/>
      <c r="AF891" s="1"/>
      <c r="AG891" s="4"/>
      <c r="AH891" s="1"/>
      <c r="AI891" s="4"/>
      <c r="AJ891" s="6"/>
      <c r="AK891" s="7"/>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1:61" ht="16.5" customHeight="1">
      <c r="A892" s="1"/>
      <c r="B892" s="139"/>
      <c r="C892" s="1"/>
      <c r="D892" s="1"/>
      <c r="E892" s="1"/>
      <c r="F892" s="1"/>
      <c r="G892" s="1"/>
      <c r="H892" s="4"/>
      <c r="I892" s="4"/>
      <c r="J892" s="4"/>
      <c r="K892" s="4"/>
      <c r="L892" s="4"/>
      <c r="M892" s="4"/>
      <c r="N892" s="1"/>
      <c r="O892" s="1"/>
      <c r="P892" s="4"/>
      <c r="Q892" s="5"/>
      <c r="R892" s="4"/>
      <c r="S892" s="1"/>
      <c r="T892" s="1"/>
      <c r="U892" s="1"/>
      <c r="V892" s="1"/>
      <c r="W892" s="1"/>
      <c r="X892" s="6"/>
      <c r="Y892" s="4"/>
      <c r="Z892" s="4"/>
      <c r="AA892" s="4"/>
      <c r="AB892" s="1"/>
      <c r="AC892" s="1"/>
      <c r="AD892" s="1"/>
      <c r="AE892" s="1"/>
      <c r="AF892" s="1"/>
      <c r="AG892" s="4"/>
      <c r="AH892" s="1"/>
      <c r="AI892" s="4"/>
      <c r="AJ892" s="6"/>
      <c r="AK892" s="7"/>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1:61" ht="16.5" customHeight="1">
      <c r="A893" s="1"/>
      <c r="B893" s="139"/>
      <c r="C893" s="1"/>
      <c r="D893" s="1"/>
      <c r="E893" s="1"/>
      <c r="F893" s="1"/>
      <c r="G893" s="1"/>
      <c r="H893" s="4"/>
      <c r="I893" s="4"/>
      <c r="J893" s="4"/>
      <c r="K893" s="4"/>
      <c r="L893" s="4"/>
      <c r="M893" s="4"/>
      <c r="N893" s="1"/>
      <c r="O893" s="1"/>
      <c r="P893" s="4"/>
      <c r="Q893" s="5"/>
      <c r="R893" s="4"/>
      <c r="S893" s="1"/>
      <c r="T893" s="1"/>
      <c r="U893" s="1"/>
      <c r="V893" s="1"/>
      <c r="W893" s="1"/>
      <c r="X893" s="6"/>
      <c r="Y893" s="4"/>
      <c r="Z893" s="4"/>
      <c r="AA893" s="4"/>
      <c r="AB893" s="1"/>
      <c r="AC893" s="1"/>
      <c r="AD893" s="1"/>
      <c r="AE893" s="1"/>
      <c r="AF893" s="1"/>
      <c r="AG893" s="4"/>
      <c r="AH893" s="1"/>
      <c r="AI893" s="4"/>
      <c r="AJ893" s="6"/>
      <c r="AK893" s="7"/>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1:61" ht="16.5" customHeight="1">
      <c r="A894" s="1"/>
      <c r="B894" s="139"/>
      <c r="C894" s="1"/>
      <c r="D894" s="1"/>
      <c r="E894" s="1"/>
      <c r="F894" s="1"/>
      <c r="G894" s="1"/>
      <c r="H894" s="4"/>
      <c r="I894" s="4"/>
      <c r="J894" s="4"/>
      <c r="K894" s="4"/>
      <c r="L894" s="4"/>
      <c r="M894" s="4"/>
      <c r="N894" s="1"/>
      <c r="O894" s="1"/>
      <c r="P894" s="4"/>
      <c r="Q894" s="5"/>
      <c r="R894" s="4"/>
      <c r="S894" s="1"/>
      <c r="T894" s="1"/>
      <c r="U894" s="1"/>
      <c r="V894" s="1"/>
      <c r="W894" s="1"/>
      <c r="X894" s="6"/>
      <c r="Y894" s="4"/>
      <c r="Z894" s="4"/>
      <c r="AA894" s="4"/>
      <c r="AB894" s="1"/>
      <c r="AC894" s="1"/>
      <c r="AD894" s="1"/>
      <c r="AE894" s="1"/>
      <c r="AF894" s="1"/>
      <c r="AG894" s="4"/>
      <c r="AH894" s="1"/>
      <c r="AI894" s="4"/>
      <c r="AJ894" s="6"/>
      <c r="AK894" s="7"/>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1:61" ht="16.5" customHeight="1">
      <c r="A895" s="1"/>
      <c r="B895" s="139"/>
      <c r="C895" s="1"/>
      <c r="D895" s="1"/>
      <c r="E895" s="1"/>
      <c r="F895" s="1"/>
      <c r="G895" s="1"/>
      <c r="H895" s="4"/>
      <c r="I895" s="4"/>
      <c r="J895" s="4"/>
      <c r="K895" s="4"/>
      <c r="L895" s="4"/>
      <c r="M895" s="4"/>
      <c r="N895" s="1"/>
      <c r="O895" s="1"/>
      <c r="P895" s="4"/>
      <c r="Q895" s="5"/>
      <c r="R895" s="4"/>
      <c r="S895" s="1"/>
      <c r="T895" s="1"/>
      <c r="U895" s="1"/>
      <c r="V895" s="1"/>
      <c r="W895" s="1"/>
      <c r="X895" s="6"/>
      <c r="Y895" s="4"/>
      <c r="Z895" s="4"/>
      <c r="AA895" s="4"/>
      <c r="AB895" s="1"/>
      <c r="AC895" s="1"/>
      <c r="AD895" s="1"/>
      <c r="AE895" s="1"/>
      <c r="AF895" s="1"/>
      <c r="AG895" s="4"/>
      <c r="AH895" s="1"/>
      <c r="AI895" s="4"/>
      <c r="AJ895" s="6"/>
      <c r="AK895" s="7"/>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1:61" ht="16.5" customHeight="1">
      <c r="A896" s="1"/>
      <c r="B896" s="139"/>
      <c r="C896" s="1"/>
      <c r="D896" s="1"/>
      <c r="E896" s="1"/>
      <c r="F896" s="1"/>
      <c r="G896" s="1"/>
      <c r="H896" s="4"/>
      <c r="I896" s="4"/>
      <c r="J896" s="4"/>
      <c r="K896" s="4"/>
      <c r="L896" s="4"/>
      <c r="M896" s="4"/>
      <c r="N896" s="1"/>
      <c r="O896" s="1"/>
      <c r="P896" s="4"/>
      <c r="Q896" s="5"/>
      <c r="R896" s="4"/>
      <c r="S896" s="1"/>
      <c r="T896" s="1"/>
      <c r="U896" s="1"/>
      <c r="V896" s="1"/>
      <c r="W896" s="1"/>
      <c r="X896" s="6"/>
      <c r="Y896" s="4"/>
      <c r="Z896" s="4"/>
      <c r="AA896" s="4"/>
      <c r="AB896" s="1"/>
      <c r="AC896" s="1"/>
      <c r="AD896" s="1"/>
      <c r="AE896" s="1"/>
      <c r="AF896" s="1"/>
      <c r="AG896" s="4"/>
      <c r="AH896" s="1"/>
      <c r="AI896" s="4"/>
      <c r="AJ896" s="6"/>
      <c r="AK896" s="7"/>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1:61" ht="16.5" customHeight="1">
      <c r="A897" s="1"/>
      <c r="B897" s="139"/>
      <c r="C897" s="1"/>
      <c r="D897" s="1"/>
      <c r="E897" s="1"/>
      <c r="F897" s="1"/>
      <c r="G897" s="1"/>
      <c r="H897" s="4"/>
      <c r="I897" s="4"/>
      <c r="J897" s="4"/>
      <c r="K897" s="4"/>
      <c r="L897" s="4"/>
      <c r="M897" s="4"/>
      <c r="N897" s="1"/>
      <c r="O897" s="1"/>
      <c r="P897" s="4"/>
      <c r="Q897" s="5"/>
      <c r="R897" s="4"/>
      <c r="S897" s="1"/>
      <c r="T897" s="1"/>
      <c r="U897" s="1"/>
      <c r="V897" s="1"/>
      <c r="W897" s="1"/>
      <c r="X897" s="6"/>
      <c r="Y897" s="4"/>
      <c r="Z897" s="4"/>
      <c r="AA897" s="4"/>
      <c r="AB897" s="1"/>
      <c r="AC897" s="1"/>
      <c r="AD897" s="1"/>
      <c r="AE897" s="1"/>
      <c r="AF897" s="1"/>
      <c r="AG897" s="4"/>
      <c r="AH897" s="1"/>
      <c r="AI897" s="4"/>
      <c r="AJ897" s="6"/>
      <c r="AK897" s="7"/>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1:61" ht="16.5" customHeight="1">
      <c r="A898" s="1"/>
      <c r="B898" s="139"/>
      <c r="C898" s="1"/>
      <c r="D898" s="1"/>
      <c r="E898" s="1"/>
      <c r="F898" s="1"/>
      <c r="G898" s="1"/>
      <c r="H898" s="4"/>
      <c r="I898" s="4"/>
      <c r="J898" s="4"/>
      <c r="K898" s="4"/>
      <c r="L898" s="4"/>
      <c r="M898" s="4"/>
      <c r="N898" s="1"/>
      <c r="O898" s="1"/>
      <c r="P898" s="4"/>
      <c r="Q898" s="5"/>
      <c r="R898" s="4"/>
      <c r="S898" s="1"/>
      <c r="T898" s="1"/>
      <c r="U898" s="1"/>
      <c r="V898" s="1"/>
      <c r="W898" s="1"/>
      <c r="X898" s="6"/>
      <c r="Y898" s="4"/>
      <c r="Z898" s="4"/>
      <c r="AA898" s="4"/>
      <c r="AB898" s="1"/>
      <c r="AC898" s="1"/>
      <c r="AD898" s="1"/>
      <c r="AE898" s="1"/>
      <c r="AF898" s="1"/>
      <c r="AG898" s="4"/>
      <c r="AH898" s="1"/>
      <c r="AI898" s="4"/>
      <c r="AJ898" s="6"/>
      <c r="AK898" s="7"/>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1:61" ht="16.5" customHeight="1">
      <c r="A899" s="1"/>
      <c r="B899" s="139"/>
      <c r="C899" s="1"/>
      <c r="D899" s="1"/>
      <c r="E899" s="1"/>
      <c r="F899" s="1"/>
      <c r="G899" s="1"/>
      <c r="H899" s="4"/>
      <c r="I899" s="4"/>
      <c r="J899" s="4"/>
      <c r="K899" s="4"/>
      <c r="L899" s="4"/>
      <c r="M899" s="4"/>
      <c r="N899" s="1"/>
      <c r="O899" s="1"/>
      <c r="P899" s="4"/>
      <c r="Q899" s="5"/>
      <c r="R899" s="4"/>
      <c r="S899" s="1"/>
      <c r="T899" s="1"/>
      <c r="U899" s="1"/>
      <c r="V899" s="1"/>
      <c r="W899" s="1"/>
      <c r="X899" s="6"/>
      <c r="Y899" s="4"/>
      <c r="Z899" s="4"/>
      <c r="AA899" s="4"/>
      <c r="AB899" s="1"/>
      <c r="AC899" s="1"/>
      <c r="AD899" s="1"/>
      <c r="AE899" s="1"/>
      <c r="AF899" s="1"/>
      <c r="AG899" s="4"/>
      <c r="AH899" s="1"/>
      <c r="AI899" s="4"/>
      <c r="AJ899" s="6"/>
      <c r="AK899" s="7"/>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1:61" ht="16.5" customHeight="1">
      <c r="A900" s="1"/>
      <c r="B900" s="139"/>
      <c r="C900" s="1"/>
      <c r="D900" s="1"/>
      <c r="E900" s="1"/>
      <c r="F900" s="1"/>
      <c r="G900" s="1"/>
      <c r="H900" s="4"/>
      <c r="I900" s="4"/>
      <c r="J900" s="4"/>
      <c r="K900" s="4"/>
      <c r="L900" s="4"/>
      <c r="M900" s="4"/>
      <c r="N900" s="1"/>
      <c r="O900" s="1"/>
      <c r="P900" s="4"/>
      <c r="Q900" s="5"/>
      <c r="R900" s="4"/>
      <c r="S900" s="1"/>
      <c r="T900" s="1"/>
      <c r="U900" s="1"/>
      <c r="V900" s="1"/>
      <c r="W900" s="1"/>
      <c r="X900" s="6"/>
      <c r="Y900" s="4"/>
      <c r="Z900" s="4"/>
      <c r="AA900" s="4"/>
      <c r="AB900" s="1"/>
      <c r="AC900" s="1"/>
      <c r="AD900" s="1"/>
      <c r="AE900" s="1"/>
      <c r="AF900" s="1"/>
      <c r="AG900" s="4"/>
      <c r="AH900" s="1"/>
      <c r="AI900" s="4"/>
      <c r="AJ900" s="6"/>
      <c r="AK900" s="7"/>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1:61" ht="16.5" customHeight="1">
      <c r="A901" s="1"/>
      <c r="B901" s="139"/>
      <c r="C901" s="1"/>
      <c r="D901" s="1"/>
      <c r="E901" s="1"/>
      <c r="F901" s="1"/>
      <c r="G901" s="1"/>
      <c r="H901" s="4"/>
      <c r="I901" s="4"/>
      <c r="J901" s="4"/>
      <c r="K901" s="4"/>
      <c r="L901" s="4"/>
      <c r="M901" s="4"/>
      <c r="N901" s="1"/>
      <c r="O901" s="1"/>
      <c r="P901" s="4"/>
      <c r="Q901" s="5"/>
      <c r="R901" s="4"/>
      <c r="S901" s="1"/>
      <c r="T901" s="1"/>
      <c r="U901" s="1"/>
      <c r="V901" s="1"/>
      <c r="W901" s="1"/>
      <c r="X901" s="6"/>
      <c r="Y901" s="4"/>
      <c r="Z901" s="4"/>
      <c r="AA901" s="4"/>
      <c r="AB901" s="1"/>
      <c r="AC901" s="1"/>
      <c r="AD901" s="1"/>
      <c r="AE901" s="1"/>
      <c r="AF901" s="1"/>
      <c r="AG901" s="4"/>
      <c r="AH901" s="1"/>
      <c r="AI901" s="4"/>
      <c r="AJ901" s="6"/>
      <c r="AK901" s="7"/>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1:61" ht="16.5" customHeight="1">
      <c r="A902" s="1"/>
      <c r="B902" s="139"/>
      <c r="C902" s="1"/>
      <c r="D902" s="1"/>
      <c r="E902" s="1"/>
      <c r="F902" s="1"/>
      <c r="G902" s="1"/>
      <c r="H902" s="4"/>
      <c r="I902" s="4"/>
      <c r="J902" s="4"/>
      <c r="K902" s="4"/>
      <c r="L902" s="4"/>
      <c r="M902" s="4"/>
      <c r="N902" s="1"/>
      <c r="O902" s="1"/>
      <c r="P902" s="4"/>
      <c r="Q902" s="5"/>
      <c r="R902" s="4"/>
      <c r="S902" s="1"/>
      <c r="T902" s="1"/>
      <c r="U902" s="1"/>
      <c r="V902" s="1"/>
      <c r="W902" s="1"/>
      <c r="X902" s="6"/>
      <c r="Y902" s="4"/>
      <c r="Z902" s="4"/>
      <c r="AA902" s="4"/>
      <c r="AB902" s="1"/>
      <c r="AC902" s="1"/>
      <c r="AD902" s="1"/>
      <c r="AE902" s="1"/>
      <c r="AF902" s="1"/>
      <c r="AG902" s="4"/>
      <c r="AH902" s="1"/>
      <c r="AI902" s="4"/>
      <c r="AJ902" s="6"/>
      <c r="AK902" s="7"/>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1:61" ht="16.5" customHeight="1">
      <c r="A903" s="1"/>
      <c r="B903" s="139"/>
      <c r="C903" s="1"/>
      <c r="D903" s="1"/>
      <c r="E903" s="1"/>
      <c r="F903" s="1"/>
      <c r="G903" s="1"/>
      <c r="H903" s="4"/>
      <c r="I903" s="4"/>
      <c r="J903" s="4"/>
      <c r="K903" s="4"/>
      <c r="L903" s="4"/>
      <c r="M903" s="4"/>
      <c r="N903" s="1"/>
      <c r="O903" s="1"/>
      <c r="P903" s="4"/>
      <c r="Q903" s="5"/>
      <c r="R903" s="4"/>
      <c r="S903" s="1"/>
      <c r="T903" s="1"/>
      <c r="U903" s="1"/>
      <c r="V903" s="1"/>
      <c r="W903" s="1"/>
      <c r="X903" s="6"/>
      <c r="Y903" s="4"/>
      <c r="Z903" s="4"/>
      <c r="AA903" s="4"/>
      <c r="AB903" s="1"/>
      <c r="AC903" s="1"/>
      <c r="AD903" s="1"/>
      <c r="AE903" s="1"/>
      <c r="AF903" s="1"/>
      <c r="AG903" s="4"/>
      <c r="AH903" s="1"/>
      <c r="AI903" s="4"/>
      <c r="AJ903" s="6"/>
      <c r="AK903" s="7"/>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1:61" ht="16.5" customHeight="1">
      <c r="A904" s="1"/>
      <c r="B904" s="139"/>
      <c r="C904" s="1"/>
      <c r="D904" s="1"/>
      <c r="E904" s="1"/>
      <c r="F904" s="1"/>
      <c r="G904" s="1"/>
      <c r="H904" s="4"/>
      <c r="I904" s="4"/>
      <c r="J904" s="4"/>
      <c r="K904" s="4"/>
      <c r="L904" s="4"/>
      <c r="M904" s="4"/>
      <c r="N904" s="1"/>
      <c r="O904" s="1"/>
      <c r="P904" s="4"/>
      <c r="Q904" s="5"/>
      <c r="R904" s="4"/>
      <c r="S904" s="1"/>
      <c r="T904" s="1"/>
      <c r="U904" s="1"/>
      <c r="V904" s="1"/>
      <c r="W904" s="1"/>
      <c r="X904" s="6"/>
      <c r="Y904" s="4"/>
      <c r="Z904" s="4"/>
      <c r="AA904" s="4"/>
      <c r="AB904" s="1"/>
      <c r="AC904" s="1"/>
      <c r="AD904" s="1"/>
      <c r="AE904" s="1"/>
      <c r="AF904" s="1"/>
      <c r="AG904" s="4"/>
      <c r="AH904" s="1"/>
      <c r="AI904" s="4"/>
      <c r="AJ904" s="6"/>
      <c r="AK904" s="7"/>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1:61" ht="16.5" customHeight="1">
      <c r="A905" s="1"/>
      <c r="B905" s="139"/>
      <c r="C905" s="1"/>
      <c r="D905" s="1"/>
      <c r="E905" s="1"/>
      <c r="F905" s="1"/>
      <c r="G905" s="1"/>
      <c r="H905" s="4"/>
      <c r="I905" s="4"/>
      <c r="J905" s="4"/>
      <c r="K905" s="4"/>
      <c r="L905" s="4"/>
      <c r="M905" s="4"/>
      <c r="N905" s="1"/>
      <c r="O905" s="1"/>
      <c r="P905" s="4"/>
      <c r="Q905" s="5"/>
      <c r="R905" s="4"/>
      <c r="S905" s="1"/>
      <c r="T905" s="1"/>
      <c r="U905" s="1"/>
      <c r="V905" s="1"/>
      <c r="W905" s="1"/>
      <c r="X905" s="6"/>
      <c r="Y905" s="4"/>
      <c r="Z905" s="4"/>
      <c r="AA905" s="4"/>
      <c r="AB905" s="1"/>
      <c r="AC905" s="1"/>
      <c r="AD905" s="1"/>
      <c r="AE905" s="1"/>
      <c r="AF905" s="1"/>
      <c r="AG905" s="4"/>
      <c r="AH905" s="1"/>
      <c r="AI905" s="4"/>
      <c r="AJ905" s="6"/>
      <c r="AK905" s="7"/>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1:61" ht="16.5" customHeight="1">
      <c r="A906" s="1"/>
      <c r="B906" s="139"/>
      <c r="C906" s="1"/>
      <c r="D906" s="1"/>
      <c r="E906" s="1"/>
      <c r="F906" s="1"/>
      <c r="G906" s="1"/>
      <c r="H906" s="4"/>
      <c r="I906" s="4"/>
      <c r="J906" s="4"/>
      <c r="K906" s="4"/>
      <c r="L906" s="4"/>
      <c r="M906" s="4"/>
      <c r="N906" s="1"/>
      <c r="O906" s="1"/>
      <c r="P906" s="4"/>
      <c r="Q906" s="5"/>
      <c r="R906" s="4"/>
      <c r="S906" s="1"/>
      <c r="T906" s="1"/>
      <c r="U906" s="1"/>
      <c r="V906" s="1"/>
      <c r="W906" s="1"/>
      <c r="X906" s="6"/>
      <c r="Y906" s="4"/>
      <c r="Z906" s="4"/>
      <c r="AA906" s="4"/>
      <c r="AB906" s="1"/>
      <c r="AC906" s="1"/>
      <c r="AD906" s="1"/>
      <c r="AE906" s="1"/>
      <c r="AF906" s="1"/>
      <c r="AG906" s="4"/>
      <c r="AH906" s="1"/>
      <c r="AI906" s="4"/>
      <c r="AJ906" s="6"/>
      <c r="AK906" s="7"/>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1:61" ht="16.5" customHeight="1">
      <c r="A907" s="1"/>
      <c r="B907" s="139"/>
      <c r="C907" s="1"/>
      <c r="D907" s="1"/>
      <c r="E907" s="1"/>
      <c r="F907" s="1"/>
      <c r="G907" s="1"/>
      <c r="H907" s="4"/>
      <c r="I907" s="4"/>
      <c r="J907" s="4"/>
      <c r="K907" s="4"/>
      <c r="L907" s="4"/>
      <c r="M907" s="4"/>
      <c r="N907" s="1"/>
      <c r="O907" s="1"/>
      <c r="P907" s="4"/>
      <c r="Q907" s="5"/>
      <c r="R907" s="4"/>
      <c r="S907" s="1"/>
      <c r="T907" s="1"/>
      <c r="U907" s="1"/>
      <c r="V907" s="1"/>
      <c r="W907" s="1"/>
      <c r="X907" s="6"/>
      <c r="Y907" s="4"/>
      <c r="Z907" s="4"/>
      <c r="AA907" s="4"/>
      <c r="AB907" s="1"/>
      <c r="AC907" s="1"/>
      <c r="AD907" s="1"/>
      <c r="AE907" s="1"/>
      <c r="AF907" s="1"/>
      <c r="AG907" s="4"/>
      <c r="AH907" s="1"/>
      <c r="AI907" s="4"/>
      <c r="AJ907" s="6"/>
      <c r="AK907" s="7"/>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1:61" ht="16.5" customHeight="1">
      <c r="A908" s="1"/>
      <c r="B908" s="139"/>
      <c r="C908" s="1"/>
      <c r="D908" s="1"/>
      <c r="E908" s="1"/>
      <c r="F908" s="1"/>
      <c r="G908" s="1"/>
      <c r="H908" s="4"/>
      <c r="I908" s="4"/>
      <c r="J908" s="4"/>
      <c r="K908" s="4"/>
      <c r="L908" s="4"/>
      <c r="M908" s="4"/>
      <c r="N908" s="1"/>
      <c r="O908" s="1"/>
      <c r="P908" s="4"/>
      <c r="Q908" s="5"/>
      <c r="R908" s="4"/>
      <c r="S908" s="1"/>
      <c r="T908" s="1"/>
      <c r="U908" s="1"/>
      <c r="V908" s="1"/>
      <c r="W908" s="1"/>
      <c r="X908" s="6"/>
      <c r="Y908" s="4"/>
      <c r="Z908" s="4"/>
      <c r="AA908" s="4"/>
      <c r="AB908" s="1"/>
      <c r="AC908" s="1"/>
      <c r="AD908" s="1"/>
      <c r="AE908" s="1"/>
      <c r="AF908" s="1"/>
      <c r="AG908" s="4"/>
      <c r="AH908" s="1"/>
      <c r="AI908" s="4"/>
      <c r="AJ908" s="6"/>
      <c r="AK908" s="7"/>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1:61" ht="16.5" customHeight="1">
      <c r="A909" s="1"/>
      <c r="B909" s="139"/>
      <c r="C909" s="1"/>
      <c r="D909" s="1"/>
      <c r="E909" s="1"/>
      <c r="F909" s="1"/>
      <c r="G909" s="1"/>
      <c r="H909" s="4"/>
      <c r="I909" s="4"/>
      <c r="J909" s="4"/>
      <c r="K909" s="4"/>
      <c r="L909" s="4"/>
      <c r="M909" s="4"/>
      <c r="N909" s="1"/>
      <c r="O909" s="1"/>
      <c r="P909" s="4"/>
      <c r="Q909" s="5"/>
      <c r="R909" s="4"/>
      <c r="S909" s="1"/>
      <c r="T909" s="1"/>
      <c r="U909" s="1"/>
      <c r="V909" s="1"/>
      <c r="W909" s="1"/>
      <c r="X909" s="6"/>
      <c r="Y909" s="4"/>
      <c r="Z909" s="4"/>
      <c r="AA909" s="4"/>
      <c r="AB909" s="1"/>
      <c r="AC909" s="1"/>
      <c r="AD909" s="1"/>
      <c r="AE909" s="1"/>
      <c r="AF909" s="1"/>
      <c r="AG909" s="4"/>
      <c r="AH909" s="1"/>
      <c r="AI909" s="4"/>
      <c r="AJ909" s="6"/>
      <c r="AK909" s="7"/>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1:61" ht="16.5" customHeight="1">
      <c r="A910" s="1"/>
      <c r="B910" s="139"/>
      <c r="C910" s="1"/>
      <c r="D910" s="1"/>
      <c r="E910" s="1"/>
      <c r="F910" s="1"/>
      <c r="G910" s="1"/>
      <c r="H910" s="4"/>
      <c r="I910" s="4"/>
      <c r="J910" s="4"/>
      <c r="K910" s="4"/>
      <c r="L910" s="4"/>
      <c r="M910" s="4"/>
      <c r="N910" s="1"/>
      <c r="O910" s="1"/>
      <c r="P910" s="4"/>
      <c r="Q910" s="5"/>
      <c r="R910" s="4"/>
      <c r="S910" s="1"/>
      <c r="T910" s="1"/>
      <c r="U910" s="1"/>
      <c r="V910" s="1"/>
      <c r="W910" s="1"/>
      <c r="X910" s="6"/>
      <c r="Y910" s="4"/>
      <c r="Z910" s="4"/>
      <c r="AA910" s="4"/>
      <c r="AB910" s="1"/>
      <c r="AC910" s="1"/>
      <c r="AD910" s="1"/>
      <c r="AE910" s="1"/>
      <c r="AF910" s="1"/>
      <c r="AG910" s="4"/>
      <c r="AH910" s="1"/>
      <c r="AI910" s="4"/>
      <c r="AJ910" s="6"/>
      <c r="AK910" s="7"/>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1:61" ht="16.5" customHeight="1">
      <c r="A911" s="1"/>
      <c r="B911" s="139"/>
      <c r="C911" s="1"/>
      <c r="D911" s="1"/>
      <c r="E911" s="1"/>
      <c r="F911" s="1"/>
      <c r="G911" s="1"/>
      <c r="H911" s="4"/>
      <c r="I911" s="4"/>
      <c r="J911" s="4"/>
      <c r="K911" s="4"/>
      <c r="L911" s="4"/>
      <c r="M911" s="4"/>
      <c r="N911" s="1"/>
      <c r="O911" s="1"/>
      <c r="P911" s="4"/>
      <c r="Q911" s="5"/>
      <c r="R911" s="4"/>
      <c r="S911" s="1"/>
      <c r="T911" s="1"/>
      <c r="U911" s="1"/>
      <c r="V911" s="1"/>
      <c r="W911" s="1"/>
      <c r="X911" s="6"/>
      <c r="Y911" s="4"/>
      <c r="Z911" s="4"/>
      <c r="AA911" s="4"/>
      <c r="AB911" s="1"/>
      <c r="AC911" s="1"/>
      <c r="AD911" s="1"/>
      <c r="AE911" s="1"/>
      <c r="AF911" s="1"/>
      <c r="AG911" s="4"/>
      <c r="AH911" s="1"/>
      <c r="AI911" s="4"/>
      <c r="AJ911" s="6"/>
      <c r="AK911" s="7"/>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1:61" ht="16.5" customHeight="1">
      <c r="A912" s="1"/>
      <c r="B912" s="139"/>
      <c r="C912" s="1"/>
      <c r="D912" s="1"/>
      <c r="E912" s="1"/>
      <c r="F912" s="1"/>
      <c r="G912" s="1"/>
      <c r="H912" s="4"/>
      <c r="I912" s="4"/>
      <c r="J912" s="4"/>
      <c r="K912" s="4"/>
      <c r="L912" s="4"/>
      <c r="M912" s="4"/>
      <c r="N912" s="1"/>
      <c r="O912" s="1"/>
      <c r="P912" s="4"/>
      <c r="Q912" s="5"/>
      <c r="R912" s="4"/>
      <c r="S912" s="1"/>
      <c r="T912" s="1"/>
      <c r="U912" s="1"/>
      <c r="V912" s="1"/>
      <c r="W912" s="1"/>
      <c r="X912" s="6"/>
      <c r="Y912" s="4"/>
      <c r="Z912" s="4"/>
      <c r="AA912" s="4"/>
      <c r="AB912" s="1"/>
      <c r="AC912" s="1"/>
      <c r="AD912" s="1"/>
      <c r="AE912" s="1"/>
      <c r="AF912" s="1"/>
      <c r="AG912" s="4"/>
      <c r="AH912" s="1"/>
      <c r="AI912" s="4"/>
      <c r="AJ912" s="6"/>
      <c r="AK912" s="7"/>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1:61" ht="16.5" customHeight="1">
      <c r="A913" s="1"/>
      <c r="B913" s="139"/>
      <c r="C913" s="1"/>
      <c r="D913" s="1"/>
      <c r="E913" s="1"/>
      <c r="F913" s="1"/>
      <c r="G913" s="1"/>
      <c r="H913" s="4"/>
      <c r="I913" s="4"/>
      <c r="J913" s="4"/>
      <c r="K913" s="4"/>
      <c r="L913" s="4"/>
      <c r="M913" s="4"/>
      <c r="N913" s="1"/>
      <c r="O913" s="1"/>
      <c r="P913" s="4"/>
      <c r="Q913" s="5"/>
      <c r="R913" s="4"/>
      <c r="S913" s="1"/>
      <c r="T913" s="1"/>
      <c r="U913" s="1"/>
      <c r="V913" s="1"/>
      <c r="W913" s="1"/>
      <c r="X913" s="6"/>
      <c r="Y913" s="4"/>
      <c r="Z913" s="4"/>
      <c r="AA913" s="4"/>
      <c r="AB913" s="1"/>
      <c r="AC913" s="1"/>
      <c r="AD913" s="1"/>
      <c r="AE913" s="1"/>
      <c r="AF913" s="1"/>
      <c r="AG913" s="4"/>
      <c r="AH913" s="1"/>
      <c r="AI913" s="4"/>
      <c r="AJ913" s="6"/>
      <c r="AK913" s="7"/>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1:61" ht="16.5" customHeight="1">
      <c r="A914" s="1"/>
      <c r="B914" s="139"/>
      <c r="C914" s="1"/>
      <c r="D914" s="1"/>
      <c r="E914" s="1"/>
      <c r="F914" s="1"/>
      <c r="G914" s="1"/>
      <c r="H914" s="4"/>
      <c r="I914" s="4"/>
      <c r="J914" s="4"/>
      <c r="K914" s="4"/>
      <c r="L914" s="4"/>
      <c r="M914" s="4"/>
      <c r="N914" s="1"/>
      <c r="O914" s="1"/>
      <c r="P914" s="4"/>
      <c r="Q914" s="5"/>
      <c r="R914" s="4"/>
      <c r="S914" s="1"/>
      <c r="T914" s="1"/>
      <c r="U914" s="1"/>
      <c r="V914" s="1"/>
      <c r="W914" s="1"/>
      <c r="X914" s="6"/>
      <c r="Y914" s="4"/>
      <c r="Z914" s="4"/>
      <c r="AA914" s="4"/>
      <c r="AB914" s="1"/>
      <c r="AC914" s="1"/>
      <c r="AD914" s="1"/>
      <c r="AE914" s="1"/>
      <c r="AF914" s="1"/>
      <c r="AG914" s="4"/>
      <c r="AH914" s="1"/>
      <c r="AI914" s="4"/>
      <c r="AJ914" s="6"/>
      <c r="AK914" s="7"/>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1:61" ht="16.5" customHeight="1">
      <c r="A915" s="1"/>
      <c r="B915" s="139"/>
      <c r="C915" s="1"/>
      <c r="D915" s="1"/>
      <c r="E915" s="1"/>
      <c r="F915" s="1"/>
      <c r="G915" s="1"/>
      <c r="H915" s="4"/>
      <c r="I915" s="4"/>
      <c r="J915" s="4"/>
      <c r="K915" s="4"/>
      <c r="L915" s="4"/>
      <c r="M915" s="4"/>
      <c r="N915" s="1"/>
      <c r="O915" s="1"/>
      <c r="P915" s="4"/>
      <c r="Q915" s="5"/>
      <c r="R915" s="4"/>
      <c r="S915" s="1"/>
      <c r="T915" s="1"/>
      <c r="U915" s="1"/>
      <c r="V915" s="1"/>
      <c r="W915" s="1"/>
      <c r="X915" s="6"/>
      <c r="Y915" s="4"/>
      <c r="Z915" s="4"/>
      <c r="AA915" s="4"/>
      <c r="AB915" s="1"/>
      <c r="AC915" s="1"/>
      <c r="AD915" s="1"/>
      <c r="AE915" s="1"/>
      <c r="AF915" s="1"/>
      <c r="AG915" s="4"/>
      <c r="AH915" s="1"/>
      <c r="AI915" s="4"/>
      <c r="AJ915" s="6"/>
      <c r="AK915" s="7"/>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1:61" ht="16.5" customHeight="1">
      <c r="A916" s="1"/>
      <c r="B916" s="139"/>
      <c r="C916" s="1"/>
      <c r="D916" s="1"/>
      <c r="E916" s="1"/>
      <c r="F916" s="1"/>
      <c r="G916" s="1"/>
      <c r="H916" s="4"/>
      <c r="I916" s="4"/>
      <c r="J916" s="4"/>
      <c r="K916" s="4"/>
      <c r="L916" s="4"/>
      <c r="M916" s="4"/>
      <c r="N916" s="1"/>
      <c r="O916" s="1"/>
      <c r="P916" s="4"/>
      <c r="Q916" s="5"/>
      <c r="R916" s="4"/>
      <c r="S916" s="1"/>
      <c r="T916" s="1"/>
      <c r="U916" s="1"/>
      <c r="V916" s="1"/>
      <c r="W916" s="1"/>
      <c r="X916" s="6"/>
      <c r="Y916" s="4"/>
      <c r="Z916" s="4"/>
      <c r="AA916" s="4"/>
      <c r="AB916" s="1"/>
      <c r="AC916" s="1"/>
      <c r="AD916" s="1"/>
      <c r="AE916" s="1"/>
      <c r="AF916" s="1"/>
      <c r="AG916" s="4"/>
      <c r="AH916" s="1"/>
      <c r="AI916" s="4"/>
      <c r="AJ916" s="6"/>
      <c r="AK916" s="7"/>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1:61" ht="16.5" customHeight="1">
      <c r="A917" s="1"/>
      <c r="B917" s="139"/>
      <c r="C917" s="1"/>
      <c r="D917" s="1"/>
      <c r="E917" s="1"/>
      <c r="F917" s="1"/>
      <c r="G917" s="1"/>
      <c r="H917" s="4"/>
      <c r="I917" s="4"/>
      <c r="J917" s="4"/>
      <c r="K917" s="4"/>
      <c r="L917" s="4"/>
      <c r="M917" s="4"/>
      <c r="N917" s="1"/>
      <c r="O917" s="1"/>
      <c r="P917" s="4"/>
      <c r="Q917" s="5"/>
      <c r="R917" s="4"/>
      <c r="S917" s="1"/>
      <c r="T917" s="1"/>
      <c r="U917" s="1"/>
      <c r="V917" s="1"/>
      <c r="W917" s="1"/>
      <c r="X917" s="6"/>
      <c r="Y917" s="4"/>
      <c r="Z917" s="4"/>
      <c r="AA917" s="4"/>
      <c r="AB917" s="1"/>
      <c r="AC917" s="1"/>
      <c r="AD917" s="1"/>
      <c r="AE917" s="1"/>
      <c r="AF917" s="1"/>
      <c r="AG917" s="4"/>
      <c r="AH917" s="1"/>
      <c r="AI917" s="4"/>
      <c r="AJ917" s="6"/>
      <c r="AK917" s="7"/>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1:61" ht="16.5" customHeight="1">
      <c r="A918" s="1"/>
      <c r="B918" s="139"/>
      <c r="C918" s="1"/>
      <c r="D918" s="1"/>
      <c r="E918" s="1"/>
      <c r="F918" s="1"/>
      <c r="G918" s="1"/>
      <c r="H918" s="4"/>
      <c r="I918" s="4"/>
      <c r="J918" s="4"/>
      <c r="K918" s="4"/>
      <c r="L918" s="4"/>
      <c r="M918" s="4"/>
      <c r="N918" s="1"/>
      <c r="O918" s="1"/>
      <c r="P918" s="4"/>
      <c r="Q918" s="5"/>
      <c r="R918" s="4"/>
      <c r="S918" s="1"/>
      <c r="T918" s="1"/>
      <c r="U918" s="1"/>
      <c r="V918" s="1"/>
      <c r="W918" s="1"/>
      <c r="X918" s="6"/>
      <c r="Y918" s="4"/>
      <c r="Z918" s="4"/>
      <c r="AA918" s="4"/>
      <c r="AB918" s="1"/>
      <c r="AC918" s="1"/>
      <c r="AD918" s="1"/>
      <c r="AE918" s="1"/>
      <c r="AF918" s="1"/>
      <c r="AG918" s="4"/>
      <c r="AH918" s="1"/>
      <c r="AI918" s="4"/>
      <c r="AJ918" s="6"/>
      <c r="AK918" s="7"/>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1:61" ht="16.5" customHeight="1">
      <c r="A919" s="1"/>
      <c r="B919" s="139"/>
      <c r="C919" s="1"/>
      <c r="D919" s="1"/>
      <c r="E919" s="1"/>
      <c r="F919" s="1"/>
      <c r="G919" s="1"/>
      <c r="H919" s="4"/>
      <c r="I919" s="4"/>
      <c r="J919" s="4"/>
      <c r="K919" s="4"/>
      <c r="L919" s="4"/>
      <c r="M919" s="4"/>
      <c r="N919" s="1"/>
      <c r="O919" s="1"/>
      <c r="P919" s="4"/>
      <c r="Q919" s="5"/>
      <c r="R919" s="4"/>
      <c r="S919" s="1"/>
      <c r="T919" s="1"/>
      <c r="U919" s="1"/>
      <c r="V919" s="1"/>
      <c r="W919" s="1"/>
      <c r="X919" s="6"/>
      <c r="Y919" s="4"/>
      <c r="Z919" s="4"/>
      <c r="AA919" s="4"/>
      <c r="AB919" s="1"/>
      <c r="AC919" s="1"/>
      <c r="AD919" s="1"/>
      <c r="AE919" s="1"/>
      <c r="AF919" s="1"/>
      <c r="AG919" s="4"/>
      <c r="AH919" s="1"/>
      <c r="AI919" s="4"/>
      <c r="AJ919" s="6"/>
      <c r="AK919" s="7"/>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1:61" ht="16.5" customHeight="1">
      <c r="A920" s="1"/>
      <c r="B920" s="139"/>
      <c r="C920" s="1"/>
      <c r="D920" s="1"/>
      <c r="E920" s="1"/>
      <c r="F920" s="1"/>
      <c r="G920" s="1"/>
      <c r="H920" s="4"/>
      <c r="I920" s="4"/>
      <c r="J920" s="4"/>
      <c r="K920" s="4"/>
      <c r="L920" s="4"/>
      <c r="M920" s="4"/>
      <c r="N920" s="1"/>
      <c r="O920" s="1"/>
      <c r="P920" s="4"/>
      <c r="Q920" s="5"/>
      <c r="R920" s="4"/>
      <c r="S920" s="1"/>
      <c r="T920" s="1"/>
      <c r="U920" s="1"/>
      <c r="V920" s="1"/>
      <c r="W920" s="1"/>
      <c r="X920" s="6"/>
      <c r="Y920" s="4"/>
      <c r="Z920" s="4"/>
      <c r="AA920" s="4"/>
      <c r="AB920" s="1"/>
      <c r="AC920" s="1"/>
      <c r="AD920" s="1"/>
      <c r="AE920" s="1"/>
      <c r="AF920" s="1"/>
      <c r="AG920" s="4"/>
      <c r="AH920" s="1"/>
      <c r="AI920" s="4"/>
      <c r="AJ920" s="6"/>
      <c r="AK920" s="7"/>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1:61" ht="16.5" customHeight="1">
      <c r="A921" s="1"/>
      <c r="B921" s="139"/>
      <c r="C921" s="1"/>
      <c r="D921" s="1"/>
      <c r="E921" s="1"/>
      <c r="F921" s="1"/>
      <c r="G921" s="1"/>
      <c r="H921" s="4"/>
      <c r="I921" s="4"/>
      <c r="J921" s="4"/>
      <c r="K921" s="4"/>
      <c r="L921" s="4"/>
      <c r="M921" s="4"/>
      <c r="N921" s="1"/>
      <c r="O921" s="1"/>
      <c r="P921" s="4"/>
      <c r="Q921" s="5"/>
      <c r="R921" s="4"/>
      <c r="S921" s="1"/>
      <c r="T921" s="1"/>
      <c r="U921" s="1"/>
      <c r="V921" s="1"/>
      <c r="W921" s="1"/>
      <c r="X921" s="6"/>
      <c r="Y921" s="4"/>
      <c r="Z921" s="4"/>
      <c r="AA921" s="4"/>
      <c r="AB921" s="1"/>
      <c r="AC921" s="1"/>
      <c r="AD921" s="1"/>
      <c r="AE921" s="1"/>
      <c r="AF921" s="1"/>
      <c r="AG921" s="4"/>
      <c r="AH921" s="1"/>
      <c r="AI921" s="4"/>
      <c r="AJ921" s="6"/>
      <c r="AK921" s="7"/>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1:61" ht="16.5" customHeight="1">
      <c r="A922" s="1"/>
      <c r="B922" s="139"/>
      <c r="C922" s="1"/>
      <c r="D922" s="1"/>
      <c r="E922" s="1"/>
      <c r="F922" s="1"/>
      <c r="G922" s="1"/>
      <c r="H922" s="4"/>
      <c r="I922" s="4"/>
      <c r="J922" s="4"/>
      <c r="K922" s="4"/>
      <c r="L922" s="4"/>
      <c r="M922" s="4"/>
      <c r="N922" s="1"/>
      <c r="O922" s="1"/>
      <c r="P922" s="4"/>
      <c r="Q922" s="5"/>
      <c r="R922" s="4"/>
      <c r="S922" s="1"/>
      <c r="T922" s="1"/>
      <c r="U922" s="1"/>
      <c r="V922" s="1"/>
      <c r="W922" s="1"/>
      <c r="X922" s="6"/>
      <c r="Y922" s="4"/>
      <c r="Z922" s="4"/>
      <c r="AA922" s="4"/>
      <c r="AB922" s="1"/>
      <c r="AC922" s="1"/>
      <c r="AD922" s="1"/>
      <c r="AE922" s="1"/>
      <c r="AF922" s="1"/>
      <c r="AG922" s="4"/>
      <c r="AH922" s="1"/>
      <c r="AI922" s="4"/>
      <c r="AJ922" s="6"/>
      <c r="AK922" s="7"/>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1:61" ht="16.5" customHeight="1">
      <c r="A923" s="1"/>
      <c r="B923" s="139"/>
      <c r="C923" s="1"/>
      <c r="D923" s="1"/>
      <c r="E923" s="1"/>
      <c r="F923" s="1"/>
      <c r="G923" s="1"/>
      <c r="H923" s="4"/>
      <c r="I923" s="4"/>
      <c r="J923" s="4"/>
      <c r="K923" s="4"/>
      <c r="L923" s="4"/>
      <c r="M923" s="4"/>
      <c r="N923" s="1"/>
      <c r="O923" s="1"/>
      <c r="P923" s="4"/>
      <c r="Q923" s="5"/>
      <c r="R923" s="4"/>
      <c r="S923" s="1"/>
      <c r="T923" s="1"/>
      <c r="U923" s="1"/>
      <c r="V923" s="1"/>
      <c r="W923" s="1"/>
      <c r="X923" s="6"/>
      <c r="Y923" s="4"/>
      <c r="Z923" s="4"/>
      <c r="AA923" s="4"/>
      <c r="AB923" s="1"/>
      <c r="AC923" s="1"/>
      <c r="AD923" s="1"/>
      <c r="AE923" s="1"/>
      <c r="AF923" s="1"/>
      <c r="AG923" s="4"/>
      <c r="AH923" s="1"/>
      <c r="AI923" s="4"/>
      <c r="AJ923" s="6"/>
      <c r="AK923" s="7"/>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1:61" ht="16.5" customHeight="1">
      <c r="A924" s="1"/>
      <c r="B924" s="139"/>
      <c r="C924" s="1"/>
      <c r="D924" s="1"/>
      <c r="E924" s="1"/>
      <c r="F924" s="1"/>
      <c r="G924" s="1"/>
      <c r="H924" s="4"/>
      <c r="I924" s="4"/>
      <c r="J924" s="4"/>
      <c r="K924" s="4"/>
      <c r="L924" s="4"/>
      <c r="M924" s="4"/>
      <c r="N924" s="1"/>
      <c r="O924" s="1"/>
      <c r="P924" s="4"/>
      <c r="Q924" s="5"/>
      <c r="R924" s="4"/>
      <c r="S924" s="1"/>
      <c r="T924" s="1"/>
      <c r="U924" s="1"/>
      <c r="V924" s="1"/>
      <c r="W924" s="1"/>
      <c r="X924" s="6"/>
      <c r="Y924" s="4"/>
      <c r="Z924" s="4"/>
      <c r="AA924" s="4"/>
      <c r="AB924" s="1"/>
      <c r="AC924" s="1"/>
      <c r="AD924" s="1"/>
      <c r="AE924" s="1"/>
      <c r="AF924" s="1"/>
      <c r="AG924" s="4"/>
      <c r="AH924" s="1"/>
      <c r="AI924" s="4"/>
      <c r="AJ924" s="6"/>
      <c r="AK924" s="7"/>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1:61" ht="16.5" customHeight="1">
      <c r="A925" s="1"/>
      <c r="B925" s="139"/>
      <c r="C925" s="1"/>
      <c r="D925" s="1"/>
      <c r="E925" s="1"/>
      <c r="F925" s="1"/>
      <c r="G925" s="1"/>
      <c r="H925" s="4"/>
      <c r="I925" s="4"/>
      <c r="J925" s="4"/>
      <c r="K925" s="4"/>
      <c r="L925" s="4"/>
      <c r="M925" s="4"/>
      <c r="N925" s="1"/>
      <c r="O925" s="1"/>
      <c r="P925" s="4"/>
      <c r="Q925" s="5"/>
      <c r="R925" s="4"/>
      <c r="S925" s="1"/>
      <c r="T925" s="1"/>
      <c r="U925" s="1"/>
      <c r="V925" s="1"/>
      <c r="W925" s="1"/>
      <c r="X925" s="6"/>
      <c r="Y925" s="4"/>
      <c r="Z925" s="4"/>
      <c r="AA925" s="4"/>
      <c r="AB925" s="1"/>
      <c r="AC925" s="1"/>
      <c r="AD925" s="1"/>
      <c r="AE925" s="1"/>
      <c r="AF925" s="1"/>
      <c r="AG925" s="4"/>
      <c r="AH925" s="1"/>
      <c r="AI925" s="4"/>
      <c r="AJ925" s="6"/>
      <c r="AK925" s="7"/>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1:61" ht="16.5" customHeight="1">
      <c r="A926" s="1"/>
      <c r="B926" s="139"/>
      <c r="C926" s="1"/>
      <c r="D926" s="1"/>
      <c r="E926" s="1"/>
      <c r="F926" s="1"/>
      <c r="G926" s="1"/>
      <c r="H926" s="4"/>
      <c r="I926" s="4"/>
      <c r="J926" s="4"/>
      <c r="K926" s="4"/>
      <c r="L926" s="4"/>
      <c r="M926" s="4"/>
      <c r="N926" s="1"/>
      <c r="O926" s="1"/>
      <c r="P926" s="4"/>
      <c r="Q926" s="5"/>
      <c r="R926" s="4"/>
      <c r="S926" s="1"/>
      <c r="T926" s="1"/>
      <c r="U926" s="1"/>
      <c r="V926" s="1"/>
      <c r="W926" s="1"/>
      <c r="X926" s="6"/>
      <c r="Y926" s="4"/>
      <c r="Z926" s="4"/>
      <c r="AA926" s="4"/>
      <c r="AB926" s="1"/>
      <c r="AC926" s="1"/>
      <c r="AD926" s="1"/>
      <c r="AE926" s="1"/>
      <c r="AF926" s="1"/>
      <c r="AG926" s="4"/>
      <c r="AH926" s="1"/>
      <c r="AI926" s="4"/>
      <c r="AJ926" s="6"/>
      <c r="AK926" s="7"/>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1:61" ht="16.5" customHeight="1">
      <c r="A927" s="1"/>
      <c r="B927" s="139"/>
      <c r="C927" s="1"/>
      <c r="D927" s="1"/>
      <c r="E927" s="1"/>
      <c r="F927" s="1"/>
      <c r="G927" s="1"/>
      <c r="H927" s="4"/>
      <c r="I927" s="4"/>
      <c r="J927" s="4"/>
      <c r="K927" s="4"/>
      <c r="L927" s="4"/>
      <c r="M927" s="4"/>
      <c r="N927" s="1"/>
      <c r="O927" s="1"/>
      <c r="P927" s="4"/>
      <c r="Q927" s="5"/>
      <c r="R927" s="4"/>
      <c r="S927" s="1"/>
      <c r="T927" s="1"/>
      <c r="U927" s="1"/>
      <c r="V927" s="1"/>
      <c r="W927" s="1"/>
      <c r="X927" s="6"/>
      <c r="Y927" s="4"/>
      <c r="Z927" s="4"/>
      <c r="AA927" s="4"/>
      <c r="AB927" s="1"/>
      <c r="AC927" s="1"/>
      <c r="AD927" s="1"/>
      <c r="AE927" s="1"/>
      <c r="AF927" s="1"/>
      <c r="AG927" s="4"/>
      <c r="AH927" s="1"/>
      <c r="AI927" s="4"/>
      <c r="AJ927" s="6"/>
      <c r="AK927" s="7"/>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1:61" ht="16.5" customHeight="1">
      <c r="A928" s="1"/>
      <c r="B928" s="139"/>
      <c r="C928" s="1"/>
      <c r="D928" s="1"/>
      <c r="E928" s="1"/>
      <c r="F928" s="1"/>
      <c r="G928" s="1"/>
      <c r="H928" s="4"/>
      <c r="I928" s="4"/>
      <c r="J928" s="4"/>
      <c r="K928" s="4"/>
      <c r="L928" s="4"/>
      <c r="M928" s="4"/>
      <c r="N928" s="1"/>
      <c r="O928" s="1"/>
      <c r="P928" s="4"/>
      <c r="Q928" s="5"/>
      <c r="R928" s="4"/>
      <c r="S928" s="1"/>
      <c r="T928" s="1"/>
      <c r="U928" s="1"/>
      <c r="V928" s="1"/>
      <c r="W928" s="1"/>
      <c r="X928" s="6"/>
      <c r="Y928" s="4"/>
      <c r="Z928" s="4"/>
      <c r="AA928" s="4"/>
      <c r="AB928" s="1"/>
      <c r="AC928" s="1"/>
      <c r="AD928" s="1"/>
      <c r="AE928" s="1"/>
      <c r="AF928" s="1"/>
      <c r="AG928" s="4"/>
      <c r="AH928" s="1"/>
      <c r="AI928" s="4"/>
      <c r="AJ928" s="6"/>
      <c r="AK928" s="7"/>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1:61" ht="16.5" customHeight="1">
      <c r="A929" s="1"/>
      <c r="B929" s="139"/>
      <c r="C929" s="1"/>
      <c r="D929" s="1"/>
      <c r="E929" s="1"/>
      <c r="F929" s="1"/>
      <c r="G929" s="1"/>
      <c r="H929" s="4"/>
      <c r="I929" s="4"/>
      <c r="J929" s="4"/>
      <c r="K929" s="4"/>
      <c r="L929" s="4"/>
      <c r="M929" s="4"/>
      <c r="N929" s="1"/>
      <c r="O929" s="1"/>
      <c r="P929" s="4"/>
      <c r="Q929" s="5"/>
      <c r="R929" s="4"/>
      <c r="S929" s="1"/>
      <c r="T929" s="1"/>
      <c r="U929" s="1"/>
      <c r="V929" s="1"/>
      <c r="W929" s="1"/>
      <c r="X929" s="6"/>
      <c r="Y929" s="4"/>
      <c r="Z929" s="4"/>
      <c r="AA929" s="4"/>
      <c r="AB929" s="1"/>
      <c r="AC929" s="1"/>
      <c r="AD929" s="1"/>
      <c r="AE929" s="1"/>
      <c r="AF929" s="1"/>
      <c r="AG929" s="4"/>
      <c r="AH929" s="1"/>
      <c r="AI929" s="4"/>
      <c r="AJ929" s="6"/>
      <c r="AK929" s="7"/>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1:61" ht="16.5" customHeight="1">
      <c r="A930" s="1"/>
      <c r="B930" s="139"/>
      <c r="C930" s="1"/>
      <c r="D930" s="1"/>
      <c r="E930" s="1"/>
      <c r="F930" s="1"/>
      <c r="G930" s="1"/>
      <c r="H930" s="4"/>
      <c r="I930" s="4"/>
      <c r="J930" s="4"/>
      <c r="K930" s="4"/>
      <c r="L930" s="4"/>
      <c r="M930" s="4"/>
      <c r="N930" s="1"/>
      <c r="O930" s="1"/>
      <c r="P930" s="4"/>
      <c r="Q930" s="5"/>
      <c r="R930" s="4"/>
      <c r="S930" s="1"/>
      <c r="T930" s="1"/>
      <c r="U930" s="1"/>
      <c r="V930" s="1"/>
      <c r="W930" s="1"/>
      <c r="X930" s="6"/>
      <c r="Y930" s="4"/>
      <c r="Z930" s="4"/>
      <c r="AA930" s="4"/>
      <c r="AB930" s="1"/>
      <c r="AC930" s="1"/>
      <c r="AD930" s="1"/>
      <c r="AE930" s="1"/>
      <c r="AF930" s="1"/>
      <c r="AG930" s="4"/>
      <c r="AH930" s="1"/>
      <c r="AI930" s="4"/>
      <c r="AJ930" s="6"/>
      <c r="AK930" s="7"/>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1:61" ht="16.5" customHeight="1">
      <c r="A931" s="1"/>
      <c r="B931" s="139"/>
      <c r="C931" s="1"/>
      <c r="D931" s="1"/>
      <c r="E931" s="1"/>
      <c r="F931" s="1"/>
      <c r="G931" s="1"/>
      <c r="H931" s="4"/>
      <c r="I931" s="4"/>
      <c r="J931" s="4"/>
      <c r="K931" s="4"/>
      <c r="L931" s="4"/>
      <c r="M931" s="4"/>
      <c r="N931" s="1"/>
      <c r="O931" s="1"/>
      <c r="P931" s="4"/>
      <c r="Q931" s="5"/>
      <c r="R931" s="4"/>
      <c r="S931" s="1"/>
      <c r="T931" s="1"/>
      <c r="U931" s="1"/>
      <c r="V931" s="1"/>
      <c r="W931" s="1"/>
      <c r="X931" s="6"/>
      <c r="Y931" s="4"/>
      <c r="Z931" s="4"/>
      <c r="AA931" s="4"/>
      <c r="AB931" s="1"/>
      <c r="AC931" s="1"/>
      <c r="AD931" s="1"/>
      <c r="AE931" s="1"/>
      <c r="AF931" s="1"/>
      <c r="AG931" s="4"/>
      <c r="AH931" s="1"/>
      <c r="AI931" s="4"/>
      <c r="AJ931" s="6"/>
      <c r="AK931" s="7"/>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1:61" ht="16.5" customHeight="1">
      <c r="A932" s="1"/>
      <c r="B932" s="139"/>
      <c r="C932" s="1"/>
      <c r="D932" s="1"/>
      <c r="E932" s="1"/>
      <c r="F932" s="1"/>
      <c r="G932" s="1"/>
      <c r="H932" s="4"/>
      <c r="I932" s="4"/>
      <c r="J932" s="4"/>
      <c r="K932" s="4"/>
      <c r="L932" s="4"/>
      <c r="M932" s="4"/>
      <c r="N932" s="1"/>
      <c r="O932" s="1"/>
      <c r="P932" s="4"/>
      <c r="Q932" s="5"/>
      <c r="R932" s="4"/>
      <c r="S932" s="1"/>
      <c r="T932" s="1"/>
      <c r="U932" s="1"/>
      <c r="V932" s="1"/>
      <c r="W932" s="1"/>
      <c r="X932" s="6"/>
      <c r="Y932" s="4"/>
      <c r="Z932" s="4"/>
      <c r="AA932" s="4"/>
      <c r="AB932" s="1"/>
      <c r="AC932" s="1"/>
      <c r="AD932" s="1"/>
      <c r="AE932" s="1"/>
      <c r="AF932" s="1"/>
      <c r="AG932" s="4"/>
      <c r="AH932" s="1"/>
      <c r="AI932" s="4"/>
      <c r="AJ932" s="6"/>
      <c r="AK932" s="7"/>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1:61" ht="16.5" customHeight="1">
      <c r="A933" s="1"/>
      <c r="B933" s="139"/>
      <c r="C933" s="1"/>
      <c r="D933" s="1"/>
      <c r="E933" s="1"/>
      <c r="F933" s="1"/>
      <c r="G933" s="1"/>
      <c r="H933" s="4"/>
      <c r="I933" s="4"/>
      <c r="J933" s="4"/>
      <c r="K933" s="4"/>
      <c r="L933" s="4"/>
      <c r="M933" s="4"/>
      <c r="N933" s="1"/>
      <c r="O933" s="1"/>
      <c r="P933" s="4"/>
      <c r="Q933" s="5"/>
      <c r="R933" s="4"/>
      <c r="S933" s="1"/>
      <c r="T933" s="1"/>
      <c r="U933" s="1"/>
      <c r="V933" s="1"/>
      <c r="W933" s="1"/>
      <c r="X933" s="6"/>
      <c r="Y933" s="4"/>
      <c r="Z933" s="4"/>
      <c r="AA933" s="4"/>
      <c r="AB933" s="1"/>
      <c r="AC933" s="1"/>
      <c r="AD933" s="1"/>
      <c r="AE933" s="1"/>
      <c r="AF933" s="1"/>
      <c r="AG933" s="4"/>
      <c r="AH933" s="1"/>
      <c r="AI933" s="4"/>
      <c r="AJ933" s="6"/>
      <c r="AK933" s="7"/>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1:61" ht="16.5" customHeight="1">
      <c r="A934" s="1"/>
      <c r="B934" s="139"/>
      <c r="C934" s="1"/>
      <c r="D934" s="1"/>
      <c r="E934" s="1"/>
      <c r="F934" s="1"/>
      <c r="G934" s="1"/>
      <c r="H934" s="4"/>
      <c r="I934" s="4"/>
      <c r="J934" s="4"/>
      <c r="K934" s="4"/>
      <c r="L934" s="4"/>
      <c r="M934" s="4"/>
      <c r="N934" s="1"/>
      <c r="O934" s="1"/>
      <c r="P934" s="4"/>
      <c r="Q934" s="5"/>
      <c r="R934" s="4"/>
      <c r="S934" s="1"/>
      <c r="T934" s="1"/>
      <c r="U934" s="1"/>
      <c r="V934" s="1"/>
      <c r="W934" s="1"/>
      <c r="X934" s="6"/>
      <c r="Y934" s="4"/>
      <c r="Z934" s="4"/>
      <c r="AA934" s="4"/>
      <c r="AB934" s="1"/>
      <c r="AC934" s="1"/>
      <c r="AD934" s="1"/>
      <c r="AE934" s="1"/>
      <c r="AF934" s="1"/>
      <c r="AG934" s="4"/>
      <c r="AH934" s="1"/>
      <c r="AI934" s="4"/>
      <c r="AJ934" s="6"/>
      <c r="AK934" s="7"/>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1:61" ht="16.5" customHeight="1">
      <c r="A935" s="1"/>
      <c r="B935" s="139"/>
      <c r="C935" s="1"/>
      <c r="D935" s="1"/>
      <c r="E935" s="1"/>
      <c r="F935" s="1"/>
      <c r="G935" s="1"/>
      <c r="H935" s="4"/>
      <c r="I935" s="4"/>
      <c r="J935" s="4"/>
      <c r="K935" s="4"/>
      <c r="L935" s="4"/>
      <c r="M935" s="4"/>
      <c r="N935" s="1"/>
      <c r="O935" s="1"/>
      <c r="P935" s="4"/>
      <c r="Q935" s="5"/>
      <c r="R935" s="4"/>
      <c r="S935" s="1"/>
      <c r="T935" s="1"/>
      <c r="U935" s="1"/>
      <c r="V935" s="1"/>
      <c r="W935" s="1"/>
      <c r="X935" s="6"/>
      <c r="Y935" s="4"/>
      <c r="Z935" s="4"/>
      <c r="AA935" s="4"/>
      <c r="AB935" s="1"/>
      <c r="AC935" s="1"/>
      <c r="AD935" s="1"/>
      <c r="AE935" s="1"/>
      <c r="AF935" s="1"/>
      <c r="AG935" s="4"/>
      <c r="AH935" s="1"/>
      <c r="AI935" s="4"/>
      <c r="AJ935" s="6"/>
      <c r="AK935" s="7"/>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1:61" ht="16.5" customHeight="1">
      <c r="A936" s="1"/>
      <c r="B936" s="139"/>
      <c r="C936" s="1"/>
      <c r="D936" s="1"/>
      <c r="E936" s="1"/>
      <c r="F936" s="1"/>
      <c r="G936" s="1"/>
      <c r="H936" s="4"/>
      <c r="I936" s="4"/>
      <c r="J936" s="4"/>
      <c r="K936" s="4"/>
      <c r="L936" s="4"/>
      <c r="M936" s="4"/>
      <c r="N936" s="1"/>
      <c r="O936" s="1"/>
      <c r="P936" s="4"/>
      <c r="Q936" s="5"/>
      <c r="R936" s="4"/>
      <c r="S936" s="1"/>
      <c r="T936" s="1"/>
      <c r="U936" s="1"/>
      <c r="V936" s="1"/>
      <c r="W936" s="1"/>
      <c r="X936" s="6"/>
      <c r="Y936" s="4"/>
      <c r="Z936" s="4"/>
      <c r="AA936" s="4"/>
      <c r="AB936" s="1"/>
      <c r="AC936" s="1"/>
      <c r="AD936" s="1"/>
      <c r="AE936" s="1"/>
      <c r="AF936" s="1"/>
      <c r="AG936" s="4"/>
      <c r="AH936" s="1"/>
      <c r="AI936" s="4"/>
      <c r="AJ936" s="6"/>
      <c r="AK936" s="7"/>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1:61" ht="16.5" customHeight="1">
      <c r="A937" s="1"/>
      <c r="B937" s="139"/>
      <c r="C937" s="1"/>
      <c r="D937" s="1"/>
      <c r="E937" s="1"/>
      <c r="F937" s="1"/>
      <c r="G937" s="1"/>
      <c r="H937" s="4"/>
      <c r="I937" s="4"/>
      <c r="J937" s="4"/>
      <c r="K937" s="4"/>
      <c r="L937" s="4"/>
      <c r="M937" s="4"/>
      <c r="N937" s="1"/>
      <c r="O937" s="1"/>
      <c r="P937" s="4"/>
      <c r="Q937" s="5"/>
      <c r="R937" s="4"/>
      <c r="S937" s="1"/>
      <c r="T937" s="1"/>
      <c r="U937" s="1"/>
      <c r="V937" s="1"/>
      <c r="W937" s="1"/>
      <c r="X937" s="6"/>
      <c r="Y937" s="4"/>
      <c r="Z937" s="4"/>
      <c r="AA937" s="4"/>
      <c r="AB937" s="1"/>
      <c r="AC937" s="1"/>
      <c r="AD937" s="1"/>
      <c r="AE937" s="1"/>
      <c r="AF937" s="1"/>
      <c r="AG937" s="4"/>
      <c r="AH937" s="1"/>
      <c r="AI937" s="4"/>
      <c r="AJ937" s="6"/>
      <c r="AK937" s="7"/>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1:61" ht="16.5" customHeight="1">
      <c r="A938" s="1"/>
      <c r="B938" s="139"/>
      <c r="C938" s="1"/>
      <c r="D938" s="1"/>
      <c r="E938" s="1"/>
      <c r="F938" s="1"/>
      <c r="G938" s="1"/>
      <c r="H938" s="4"/>
      <c r="I938" s="4"/>
      <c r="J938" s="4"/>
      <c r="K938" s="4"/>
      <c r="L938" s="4"/>
      <c r="M938" s="4"/>
      <c r="N938" s="1"/>
      <c r="O938" s="1"/>
      <c r="P938" s="4"/>
      <c r="Q938" s="5"/>
      <c r="R938" s="4"/>
      <c r="S938" s="1"/>
      <c r="T938" s="1"/>
      <c r="U938" s="1"/>
      <c r="V938" s="1"/>
      <c r="W938" s="1"/>
      <c r="X938" s="6"/>
      <c r="Y938" s="4"/>
      <c r="Z938" s="4"/>
      <c r="AA938" s="4"/>
      <c r="AB938" s="1"/>
      <c r="AC938" s="1"/>
      <c r="AD938" s="1"/>
      <c r="AE938" s="1"/>
      <c r="AF938" s="1"/>
      <c r="AG938" s="4"/>
      <c r="AH938" s="1"/>
      <c r="AI938" s="4"/>
      <c r="AJ938" s="6"/>
      <c r="AK938" s="7"/>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1:61" ht="16.5" customHeight="1">
      <c r="A939" s="1"/>
      <c r="B939" s="139"/>
      <c r="C939" s="1"/>
      <c r="D939" s="1"/>
      <c r="E939" s="1"/>
      <c r="F939" s="1"/>
      <c r="G939" s="1"/>
      <c r="H939" s="4"/>
      <c r="I939" s="4"/>
      <c r="J939" s="4"/>
      <c r="K939" s="4"/>
      <c r="L939" s="4"/>
      <c r="M939" s="4"/>
      <c r="N939" s="1"/>
      <c r="O939" s="1"/>
      <c r="P939" s="4"/>
      <c r="Q939" s="5"/>
      <c r="R939" s="4"/>
      <c r="S939" s="1"/>
      <c r="T939" s="1"/>
      <c r="U939" s="1"/>
      <c r="V939" s="1"/>
      <c r="W939" s="1"/>
      <c r="X939" s="6"/>
      <c r="Y939" s="4"/>
      <c r="Z939" s="4"/>
      <c r="AA939" s="4"/>
      <c r="AB939" s="1"/>
      <c r="AC939" s="1"/>
      <c r="AD939" s="1"/>
      <c r="AE939" s="1"/>
      <c r="AF939" s="1"/>
      <c r="AG939" s="4"/>
      <c r="AH939" s="1"/>
      <c r="AI939" s="4"/>
      <c r="AJ939" s="6"/>
      <c r="AK939" s="7"/>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1:61" ht="16.5" customHeight="1">
      <c r="A940" s="1"/>
      <c r="B940" s="139"/>
      <c r="C940" s="1"/>
      <c r="D940" s="1"/>
      <c r="E940" s="1"/>
      <c r="F940" s="1"/>
      <c r="G940" s="1"/>
      <c r="H940" s="4"/>
      <c r="I940" s="4"/>
      <c r="J940" s="4"/>
      <c r="K940" s="4"/>
      <c r="L940" s="4"/>
      <c r="M940" s="4"/>
      <c r="N940" s="1"/>
      <c r="O940" s="1"/>
      <c r="P940" s="4"/>
      <c r="Q940" s="5"/>
      <c r="R940" s="4"/>
      <c r="S940" s="1"/>
      <c r="T940" s="1"/>
      <c r="U940" s="1"/>
      <c r="V940" s="1"/>
      <c r="W940" s="1"/>
      <c r="X940" s="6"/>
      <c r="Y940" s="4"/>
      <c r="Z940" s="4"/>
      <c r="AA940" s="4"/>
      <c r="AB940" s="1"/>
      <c r="AC940" s="1"/>
      <c r="AD940" s="1"/>
      <c r="AE940" s="1"/>
      <c r="AF940" s="1"/>
      <c r="AG940" s="4"/>
      <c r="AH940" s="1"/>
      <c r="AI940" s="4"/>
      <c r="AJ940" s="6"/>
      <c r="AK940" s="7"/>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1:61" ht="16.5" customHeight="1">
      <c r="A941" s="1"/>
      <c r="B941" s="139"/>
      <c r="C941" s="1"/>
      <c r="D941" s="1"/>
      <c r="E941" s="1"/>
      <c r="F941" s="1"/>
      <c r="G941" s="1"/>
      <c r="H941" s="4"/>
      <c r="I941" s="4"/>
      <c r="J941" s="4"/>
      <c r="K941" s="4"/>
      <c r="L941" s="4"/>
      <c r="M941" s="4"/>
      <c r="N941" s="1"/>
      <c r="O941" s="1"/>
      <c r="P941" s="4"/>
      <c r="Q941" s="5"/>
      <c r="R941" s="4"/>
      <c r="S941" s="1"/>
      <c r="T941" s="1"/>
      <c r="U941" s="1"/>
      <c r="V941" s="1"/>
      <c r="W941" s="1"/>
      <c r="X941" s="6"/>
      <c r="Y941" s="4"/>
      <c r="Z941" s="4"/>
      <c r="AA941" s="4"/>
      <c r="AB941" s="1"/>
      <c r="AC941" s="1"/>
      <c r="AD941" s="1"/>
      <c r="AE941" s="1"/>
      <c r="AF941" s="1"/>
      <c r="AG941" s="4"/>
      <c r="AH941" s="1"/>
      <c r="AI941" s="4"/>
      <c r="AJ941" s="6"/>
      <c r="AK941" s="7"/>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1:61" ht="16.5" customHeight="1">
      <c r="A942" s="1"/>
      <c r="B942" s="139"/>
      <c r="C942" s="1"/>
      <c r="D942" s="1"/>
      <c r="E942" s="1"/>
      <c r="F942" s="1"/>
      <c r="G942" s="1"/>
      <c r="H942" s="4"/>
      <c r="I942" s="4"/>
      <c r="J942" s="4"/>
      <c r="K942" s="4"/>
      <c r="L942" s="4"/>
      <c r="M942" s="4"/>
      <c r="N942" s="1"/>
      <c r="O942" s="1"/>
      <c r="P942" s="4"/>
      <c r="Q942" s="5"/>
      <c r="R942" s="4"/>
      <c r="S942" s="1"/>
      <c r="T942" s="1"/>
      <c r="U942" s="1"/>
      <c r="V942" s="1"/>
      <c r="W942" s="1"/>
      <c r="X942" s="6"/>
      <c r="Y942" s="4"/>
      <c r="Z942" s="4"/>
      <c r="AA942" s="4"/>
      <c r="AB942" s="1"/>
      <c r="AC942" s="1"/>
      <c r="AD942" s="1"/>
      <c r="AE942" s="1"/>
      <c r="AF942" s="1"/>
      <c r="AG942" s="4"/>
      <c r="AH942" s="1"/>
      <c r="AI942" s="4"/>
      <c r="AJ942" s="6"/>
      <c r="AK942" s="7"/>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1:61" ht="16.5" customHeight="1">
      <c r="A943" s="1"/>
      <c r="B943" s="139"/>
      <c r="C943" s="1"/>
      <c r="D943" s="1"/>
      <c r="E943" s="1"/>
      <c r="F943" s="1"/>
      <c r="G943" s="1"/>
      <c r="H943" s="4"/>
      <c r="I943" s="4"/>
      <c r="J943" s="4"/>
      <c r="K943" s="4"/>
      <c r="L943" s="4"/>
      <c r="M943" s="4"/>
      <c r="N943" s="1"/>
      <c r="O943" s="1"/>
      <c r="P943" s="4"/>
      <c r="Q943" s="5"/>
      <c r="R943" s="4"/>
      <c r="S943" s="1"/>
      <c r="T943" s="1"/>
      <c r="U943" s="1"/>
      <c r="V943" s="1"/>
      <c r="W943" s="1"/>
      <c r="X943" s="6"/>
      <c r="Y943" s="4"/>
      <c r="Z943" s="4"/>
      <c r="AA943" s="4"/>
      <c r="AB943" s="1"/>
      <c r="AC943" s="1"/>
      <c r="AD943" s="1"/>
      <c r="AE943" s="1"/>
      <c r="AF943" s="1"/>
      <c r="AG943" s="4"/>
      <c r="AH943" s="1"/>
      <c r="AI943" s="4"/>
      <c r="AJ943" s="6"/>
      <c r="AK943" s="7"/>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1:61" ht="16.5" customHeight="1">
      <c r="A944" s="1"/>
      <c r="B944" s="139"/>
      <c r="C944" s="1"/>
      <c r="D944" s="1"/>
      <c r="E944" s="1"/>
      <c r="F944" s="1"/>
      <c r="G944" s="1"/>
      <c r="H944" s="4"/>
      <c r="I944" s="4"/>
      <c r="J944" s="4"/>
      <c r="K944" s="4"/>
      <c r="L944" s="4"/>
      <c r="M944" s="4"/>
      <c r="N944" s="1"/>
      <c r="O944" s="1"/>
      <c r="P944" s="4"/>
      <c r="Q944" s="5"/>
      <c r="R944" s="4"/>
      <c r="S944" s="1"/>
      <c r="T944" s="1"/>
      <c r="U944" s="1"/>
      <c r="V944" s="1"/>
      <c r="W944" s="1"/>
      <c r="X944" s="6"/>
      <c r="Y944" s="4"/>
      <c r="Z944" s="4"/>
      <c r="AA944" s="4"/>
      <c r="AB944" s="1"/>
      <c r="AC944" s="1"/>
      <c r="AD944" s="1"/>
      <c r="AE944" s="1"/>
      <c r="AF944" s="1"/>
      <c r="AG944" s="4"/>
      <c r="AH944" s="1"/>
      <c r="AI944" s="4"/>
      <c r="AJ944" s="6"/>
      <c r="AK944" s="7"/>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1:61" ht="16.5" customHeight="1">
      <c r="A945" s="1"/>
      <c r="B945" s="139"/>
      <c r="C945" s="1"/>
      <c r="D945" s="1"/>
      <c r="E945" s="1"/>
      <c r="F945" s="1"/>
      <c r="G945" s="1"/>
      <c r="H945" s="4"/>
      <c r="I945" s="4"/>
      <c r="J945" s="4"/>
      <c r="K945" s="4"/>
      <c r="L945" s="4"/>
      <c r="M945" s="4"/>
      <c r="N945" s="1"/>
      <c r="O945" s="1"/>
      <c r="P945" s="4"/>
      <c r="Q945" s="5"/>
      <c r="R945" s="4"/>
      <c r="S945" s="1"/>
      <c r="T945" s="1"/>
      <c r="U945" s="1"/>
      <c r="V945" s="1"/>
      <c r="W945" s="1"/>
      <c r="X945" s="6"/>
      <c r="Y945" s="4"/>
      <c r="Z945" s="4"/>
      <c r="AA945" s="4"/>
      <c r="AB945" s="1"/>
      <c r="AC945" s="1"/>
      <c r="AD945" s="1"/>
      <c r="AE945" s="1"/>
      <c r="AF945" s="1"/>
      <c r="AG945" s="4"/>
      <c r="AH945" s="1"/>
      <c r="AI945" s="4"/>
      <c r="AJ945" s="6"/>
      <c r="AK945" s="7"/>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1:61" ht="16.5" customHeight="1">
      <c r="A946" s="1"/>
      <c r="B946" s="139"/>
      <c r="C946" s="1"/>
      <c r="D946" s="1"/>
      <c r="E946" s="1"/>
      <c r="F946" s="1"/>
      <c r="G946" s="1"/>
      <c r="H946" s="4"/>
      <c r="I946" s="4"/>
      <c r="J946" s="4"/>
      <c r="K946" s="4"/>
      <c r="L946" s="4"/>
      <c r="M946" s="4"/>
      <c r="N946" s="1"/>
      <c r="O946" s="1"/>
      <c r="P946" s="4"/>
      <c r="Q946" s="5"/>
      <c r="R946" s="4"/>
      <c r="S946" s="1"/>
      <c r="T946" s="1"/>
      <c r="U946" s="1"/>
      <c r="V946" s="1"/>
      <c r="W946" s="1"/>
      <c r="X946" s="6"/>
      <c r="Y946" s="4"/>
      <c r="Z946" s="4"/>
      <c r="AA946" s="4"/>
      <c r="AB946" s="1"/>
      <c r="AC946" s="1"/>
      <c r="AD946" s="1"/>
      <c r="AE946" s="1"/>
      <c r="AF946" s="1"/>
      <c r="AG946" s="4"/>
      <c r="AH946" s="1"/>
      <c r="AI946" s="4"/>
      <c r="AJ946" s="6"/>
      <c r="AK946" s="7"/>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r="947" spans="1:61" ht="16.5" customHeight="1">
      <c r="A947" s="1"/>
      <c r="B947" s="139"/>
      <c r="C947" s="1"/>
      <c r="D947" s="1"/>
      <c r="E947" s="1"/>
      <c r="F947" s="1"/>
      <c r="G947" s="1"/>
      <c r="H947" s="4"/>
      <c r="I947" s="4"/>
      <c r="J947" s="4"/>
      <c r="K947" s="4"/>
      <c r="L947" s="4"/>
      <c r="M947" s="4"/>
      <c r="N947" s="1"/>
      <c r="O947" s="1"/>
      <c r="P947" s="4"/>
      <c r="Q947" s="5"/>
      <c r="R947" s="4"/>
      <c r="S947" s="1"/>
      <c r="T947" s="1"/>
      <c r="U947" s="1"/>
      <c r="V947" s="1"/>
      <c r="W947" s="1"/>
      <c r="X947" s="6"/>
      <c r="Y947" s="4"/>
      <c r="Z947" s="4"/>
      <c r="AA947" s="4"/>
      <c r="AB947" s="1"/>
      <c r="AC947" s="1"/>
      <c r="AD947" s="1"/>
      <c r="AE947" s="1"/>
      <c r="AF947" s="1"/>
      <c r="AG947" s="4"/>
      <c r="AH947" s="1"/>
      <c r="AI947" s="4"/>
      <c r="AJ947" s="6"/>
      <c r="AK947" s="7"/>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r="948" spans="1:61" ht="16.5" customHeight="1">
      <c r="A948" s="1"/>
      <c r="B948" s="139"/>
      <c r="C948" s="1"/>
      <c r="D948" s="1"/>
      <c r="E948" s="1"/>
      <c r="F948" s="1"/>
      <c r="G948" s="1"/>
      <c r="H948" s="4"/>
      <c r="I948" s="4"/>
      <c r="J948" s="4"/>
      <c r="K948" s="4"/>
      <c r="L948" s="4"/>
      <c r="M948" s="4"/>
      <c r="N948" s="1"/>
      <c r="O948" s="1"/>
      <c r="P948" s="4"/>
      <c r="Q948" s="5"/>
      <c r="R948" s="4"/>
      <c r="S948" s="1"/>
      <c r="T948" s="1"/>
      <c r="U948" s="1"/>
      <c r="V948" s="1"/>
      <c r="W948" s="1"/>
      <c r="X948" s="6"/>
      <c r="Y948" s="4"/>
      <c r="Z948" s="4"/>
      <c r="AA948" s="4"/>
      <c r="AB948" s="1"/>
      <c r="AC948" s="1"/>
      <c r="AD948" s="1"/>
      <c r="AE948" s="1"/>
      <c r="AF948" s="1"/>
      <c r="AG948" s="4"/>
      <c r="AH948" s="1"/>
      <c r="AI948" s="4"/>
      <c r="AJ948" s="6"/>
      <c r="AK948" s="7"/>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r="949" spans="1:61" ht="16.5" customHeight="1">
      <c r="A949" s="1"/>
      <c r="B949" s="139"/>
      <c r="C949" s="1"/>
      <c r="D949" s="1"/>
      <c r="E949" s="1"/>
      <c r="F949" s="1"/>
      <c r="G949" s="1"/>
      <c r="H949" s="4"/>
      <c r="I949" s="4"/>
      <c r="J949" s="4"/>
      <c r="K949" s="4"/>
      <c r="L949" s="4"/>
      <c r="M949" s="4"/>
      <c r="N949" s="1"/>
      <c r="O949" s="1"/>
      <c r="P949" s="4"/>
      <c r="Q949" s="5"/>
      <c r="R949" s="4"/>
      <c r="S949" s="1"/>
      <c r="T949" s="1"/>
      <c r="U949" s="1"/>
      <c r="V949" s="1"/>
      <c r="W949" s="1"/>
      <c r="X949" s="6"/>
      <c r="Y949" s="4"/>
      <c r="Z949" s="4"/>
      <c r="AA949" s="4"/>
      <c r="AB949" s="1"/>
      <c r="AC949" s="1"/>
      <c r="AD949" s="1"/>
      <c r="AE949" s="1"/>
      <c r="AF949" s="1"/>
      <c r="AG949" s="4"/>
      <c r="AH949" s="1"/>
      <c r="AI949" s="4"/>
      <c r="AJ949" s="6"/>
      <c r="AK949" s="7"/>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row r="950" spans="1:61" ht="16.5" customHeight="1">
      <c r="A950" s="1"/>
      <c r="B950" s="139"/>
      <c r="C950" s="1"/>
      <c r="D950" s="1"/>
      <c r="E950" s="1"/>
      <c r="F950" s="1"/>
      <c r="G950" s="1"/>
      <c r="H950" s="4"/>
      <c r="I950" s="4"/>
      <c r="J950" s="4"/>
      <c r="K950" s="4"/>
      <c r="L950" s="4"/>
      <c r="M950" s="4"/>
      <c r="N950" s="1"/>
      <c r="O950" s="1"/>
      <c r="P950" s="4"/>
      <c r="Q950" s="5"/>
      <c r="R950" s="4"/>
      <c r="S950" s="1"/>
      <c r="T950" s="1"/>
      <c r="U950" s="1"/>
      <c r="V950" s="1"/>
      <c r="W950" s="1"/>
      <c r="X950" s="6"/>
      <c r="Y950" s="4"/>
      <c r="Z950" s="4"/>
      <c r="AA950" s="4"/>
      <c r="AB950" s="1"/>
      <c r="AC950" s="1"/>
      <c r="AD950" s="1"/>
      <c r="AE950" s="1"/>
      <c r="AF950" s="1"/>
      <c r="AG950" s="4"/>
      <c r="AH950" s="1"/>
      <c r="AI950" s="4"/>
      <c r="AJ950" s="6"/>
      <c r="AK950" s="7"/>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row>
    <row r="951" spans="1:61" ht="16.5" customHeight="1">
      <c r="A951" s="1"/>
      <c r="B951" s="139"/>
      <c r="C951" s="1"/>
      <c r="D951" s="1"/>
      <c r="E951" s="1"/>
      <c r="F951" s="1"/>
      <c r="G951" s="1"/>
      <c r="H951" s="4"/>
      <c r="I951" s="4"/>
      <c r="J951" s="4"/>
      <c r="K951" s="4"/>
      <c r="L951" s="4"/>
      <c r="M951" s="4"/>
      <c r="N951" s="1"/>
      <c r="O951" s="1"/>
      <c r="P951" s="4"/>
      <c r="Q951" s="5"/>
      <c r="R951" s="4"/>
      <c r="S951" s="1"/>
      <c r="T951" s="1"/>
      <c r="U951" s="1"/>
      <c r="V951" s="1"/>
      <c r="W951" s="1"/>
      <c r="X951" s="6"/>
      <c r="Y951" s="4"/>
      <c r="Z951" s="4"/>
      <c r="AA951" s="4"/>
      <c r="AB951" s="1"/>
      <c r="AC951" s="1"/>
      <c r="AD951" s="1"/>
      <c r="AE951" s="1"/>
      <c r="AF951" s="1"/>
      <c r="AG951" s="4"/>
      <c r="AH951" s="1"/>
      <c r="AI951" s="4"/>
      <c r="AJ951" s="6"/>
      <c r="AK951" s="7"/>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row>
    <row r="952" spans="1:61" ht="16.5" customHeight="1">
      <c r="A952" s="1"/>
      <c r="B952" s="139"/>
      <c r="C952" s="1"/>
      <c r="D952" s="1"/>
      <c r="E952" s="1"/>
      <c r="F952" s="1"/>
      <c r="G952" s="1"/>
      <c r="H952" s="4"/>
      <c r="I952" s="4"/>
      <c r="J952" s="4"/>
      <c r="K952" s="4"/>
      <c r="L952" s="4"/>
      <c r="M952" s="4"/>
      <c r="N952" s="1"/>
      <c r="O952" s="1"/>
      <c r="P952" s="4"/>
      <c r="Q952" s="5"/>
      <c r="R952" s="4"/>
      <c r="S952" s="1"/>
      <c r="T952" s="1"/>
      <c r="U952" s="1"/>
      <c r="V952" s="1"/>
      <c r="W952" s="1"/>
      <c r="X952" s="6"/>
      <c r="Y952" s="4"/>
      <c r="Z952" s="4"/>
      <c r="AA952" s="4"/>
      <c r="AB952" s="1"/>
      <c r="AC952" s="1"/>
      <c r="AD952" s="1"/>
      <c r="AE952" s="1"/>
      <c r="AF952" s="1"/>
      <c r="AG952" s="4"/>
      <c r="AH952" s="1"/>
      <c r="AI952" s="4"/>
      <c r="AJ952" s="6"/>
      <c r="AK952" s="7"/>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row>
    <row r="953" spans="1:61" ht="16.5" customHeight="1">
      <c r="A953" s="1"/>
      <c r="B953" s="139"/>
      <c r="C953" s="1"/>
      <c r="D953" s="1"/>
      <c r="E953" s="1"/>
      <c r="F953" s="1"/>
      <c r="G953" s="1"/>
      <c r="H953" s="4"/>
      <c r="I953" s="4"/>
      <c r="J953" s="4"/>
      <c r="K953" s="4"/>
      <c r="L953" s="4"/>
      <c r="M953" s="4"/>
      <c r="N953" s="1"/>
      <c r="O953" s="1"/>
      <c r="P953" s="4"/>
      <c r="Q953" s="5"/>
      <c r="R953" s="4"/>
      <c r="S953" s="1"/>
      <c r="T953" s="1"/>
      <c r="U953" s="1"/>
      <c r="V953" s="1"/>
      <c r="W953" s="1"/>
      <c r="X953" s="6"/>
      <c r="Y953" s="4"/>
      <c r="Z953" s="4"/>
      <c r="AA953" s="4"/>
      <c r="AB953" s="1"/>
      <c r="AC953" s="1"/>
      <c r="AD953" s="1"/>
      <c r="AE953" s="1"/>
      <c r="AF953" s="1"/>
      <c r="AG953" s="4"/>
      <c r="AH953" s="1"/>
      <c r="AI953" s="4"/>
      <c r="AJ953" s="6"/>
      <c r="AK953" s="7"/>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row>
    <row r="954" spans="1:61" ht="16.5" customHeight="1">
      <c r="A954" s="1"/>
      <c r="B954" s="139"/>
      <c r="C954" s="1"/>
      <c r="D954" s="1"/>
      <c r="E954" s="1"/>
      <c r="F954" s="1"/>
      <c r="G954" s="1"/>
      <c r="H954" s="4"/>
      <c r="I954" s="4"/>
      <c r="J954" s="4"/>
      <c r="K954" s="4"/>
      <c r="L954" s="4"/>
      <c r="M954" s="4"/>
      <c r="N954" s="1"/>
      <c r="O954" s="1"/>
      <c r="P954" s="4"/>
      <c r="Q954" s="5"/>
      <c r="R954" s="4"/>
      <c r="S954" s="1"/>
      <c r="T954" s="1"/>
      <c r="U954" s="1"/>
      <c r="V954" s="1"/>
      <c r="W954" s="1"/>
      <c r="X954" s="6"/>
      <c r="Y954" s="4"/>
      <c r="Z954" s="4"/>
      <c r="AA954" s="4"/>
      <c r="AB954" s="1"/>
      <c r="AC954" s="1"/>
      <c r="AD954" s="1"/>
      <c r="AE954" s="1"/>
      <c r="AF954" s="1"/>
      <c r="AG954" s="4"/>
      <c r="AH954" s="1"/>
      <c r="AI954" s="4"/>
      <c r="AJ954" s="6"/>
      <c r="AK954" s="7"/>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row>
    <row r="955" spans="1:61" ht="16.5" customHeight="1">
      <c r="A955" s="1"/>
      <c r="B955" s="139"/>
      <c r="C955" s="1"/>
      <c r="D955" s="1"/>
      <c r="E955" s="1"/>
      <c r="F955" s="1"/>
      <c r="G955" s="1"/>
      <c r="H955" s="4"/>
      <c r="I955" s="4"/>
      <c r="J955" s="4"/>
      <c r="K955" s="4"/>
      <c r="L955" s="4"/>
      <c r="M955" s="4"/>
      <c r="N955" s="1"/>
      <c r="O955" s="1"/>
      <c r="P955" s="4"/>
      <c r="Q955" s="5"/>
      <c r="R955" s="4"/>
      <c r="S955" s="1"/>
      <c r="T955" s="1"/>
      <c r="U955" s="1"/>
      <c r="V955" s="1"/>
      <c r="W955" s="1"/>
      <c r="X955" s="6"/>
      <c r="Y955" s="4"/>
      <c r="Z955" s="4"/>
      <c r="AA955" s="4"/>
      <c r="AB955" s="1"/>
      <c r="AC955" s="1"/>
      <c r="AD955" s="1"/>
      <c r="AE955" s="1"/>
      <c r="AF955" s="1"/>
      <c r="AG955" s="4"/>
      <c r="AH955" s="1"/>
      <c r="AI955" s="4"/>
      <c r="AJ955" s="6"/>
      <c r="AK955" s="7"/>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row>
    <row r="956" spans="1:61" ht="16.5" customHeight="1">
      <c r="A956" s="1"/>
      <c r="B956" s="139"/>
      <c r="C956" s="1"/>
      <c r="D956" s="1"/>
      <c r="E956" s="1"/>
      <c r="F956" s="1"/>
      <c r="G956" s="1"/>
      <c r="H956" s="4"/>
      <c r="I956" s="4"/>
      <c r="J956" s="4"/>
      <c r="K956" s="4"/>
      <c r="L956" s="4"/>
      <c r="M956" s="4"/>
      <c r="N956" s="1"/>
      <c r="O956" s="1"/>
      <c r="P956" s="4"/>
      <c r="Q956" s="5"/>
      <c r="R956" s="4"/>
      <c r="S956" s="1"/>
      <c r="T956" s="1"/>
      <c r="U956" s="1"/>
      <c r="V956" s="1"/>
      <c r="W956" s="1"/>
      <c r="X956" s="6"/>
      <c r="Y956" s="4"/>
      <c r="Z956" s="4"/>
      <c r="AA956" s="4"/>
      <c r="AB956" s="1"/>
      <c r="AC956" s="1"/>
      <c r="AD956" s="1"/>
      <c r="AE956" s="1"/>
      <c r="AF956" s="1"/>
      <c r="AG956" s="4"/>
      <c r="AH956" s="1"/>
      <c r="AI956" s="4"/>
      <c r="AJ956" s="6"/>
      <c r="AK956" s="7"/>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row>
    <row r="957" spans="1:61" ht="16.5" customHeight="1">
      <c r="A957" s="1"/>
      <c r="B957" s="139"/>
      <c r="C957" s="1"/>
      <c r="D957" s="1"/>
      <c r="E957" s="1"/>
      <c r="F957" s="1"/>
      <c r="G957" s="1"/>
      <c r="H957" s="4"/>
      <c r="I957" s="4"/>
      <c r="J957" s="4"/>
      <c r="K957" s="4"/>
      <c r="L957" s="4"/>
      <c r="M957" s="4"/>
      <c r="N957" s="1"/>
      <c r="O957" s="1"/>
      <c r="P957" s="4"/>
      <c r="Q957" s="5"/>
      <c r="R957" s="4"/>
      <c r="S957" s="1"/>
      <c r="T957" s="1"/>
      <c r="U957" s="1"/>
      <c r="V957" s="1"/>
      <c r="W957" s="1"/>
      <c r="X957" s="6"/>
      <c r="Y957" s="4"/>
      <c r="Z957" s="4"/>
      <c r="AA957" s="4"/>
      <c r="AB957" s="1"/>
      <c r="AC957" s="1"/>
      <c r="AD957" s="1"/>
      <c r="AE957" s="1"/>
      <c r="AF957" s="1"/>
      <c r="AG957" s="4"/>
      <c r="AH957" s="1"/>
      <c r="AI957" s="4"/>
      <c r="AJ957" s="6"/>
      <c r="AK957" s="7"/>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row>
    <row r="958" spans="1:61" ht="16.5" customHeight="1">
      <c r="A958" s="1"/>
      <c r="B958" s="139"/>
      <c r="C958" s="1"/>
      <c r="D958" s="1"/>
      <c r="E958" s="1"/>
      <c r="F958" s="1"/>
      <c r="G958" s="1"/>
      <c r="H958" s="4"/>
      <c r="I958" s="4"/>
      <c r="J958" s="4"/>
      <c r="K958" s="4"/>
      <c r="L958" s="4"/>
      <c r="M958" s="4"/>
      <c r="N958" s="1"/>
      <c r="O958" s="1"/>
      <c r="P958" s="4"/>
      <c r="Q958" s="5"/>
      <c r="R958" s="4"/>
      <c r="S958" s="1"/>
      <c r="T958" s="1"/>
      <c r="U958" s="1"/>
      <c r="V958" s="1"/>
      <c r="W958" s="1"/>
      <c r="X958" s="6"/>
      <c r="Y958" s="4"/>
      <c r="Z958" s="4"/>
      <c r="AA958" s="4"/>
      <c r="AB958" s="1"/>
      <c r="AC958" s="1"/>
      <c r="AD958" s="1"/>
      <c r="AE958" s="1"/>
      <c r="AF958" s="1"/>
      <c r="AG958" s="4"/>
      <c r="AH958" s="1"/>
      <c r="AI958" s="4"/>
      <c r="AJ958" s="6"/>
      <c r="AK958" s="7"/>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row>
    <row r="959" spans="1:61" ht="16.5" customHeight="1">
      <c r="A959" s="1"/>
      <c r="B959" s="139"/>
      <c r="C959" s="1"/>
      <c r="D959" s="1"/>
      <c r="E959" s="1"/>
      <c r="F959" s="1"/>
      <c r="G959" s="1"/>
      <c r="H959" s="4"/>
      <c r="I959" s="4"/>
      <c r="J959" s="4"/>
      <c r="K959" s="4"/>
      <c r="L959" s="4"/>
      <c r="M959" s="4"/>
      <c r="N959" s="1"/>
      <c r="O959" s="1"/>
      <c r="P959" s="4"/>
      <c r="Q959" s="5"/>
      <c r="R959" s="4"/>
      <c r="S959" s="1"/>
      <c r="T959" s="1"/>
      <c r="U959" s="1"/>
      <c r="V959" s="1"/>
      <c r="W959" s="1"/>
      <c r="X959" s="6"/>
      <c r="Y959" s="4"/>
      <c r="Z959" s="4"/>
      <c r="AA959" s="4"/>
      <c r="AB959" s="1"/>
      <c r="AC959" s="1"/>
      <c r="AD959" s="1"/>
      <c r="AE959" s="1"/>
      <c r="AF959" s="1"/>
      <c r="AG959" s="4"/>
      <c r="AH959" s="1"/>
      <c r="AI959" s="4"/>
      <c r="AJ959" s="6"/>
      <c r="AK959" s="7"/>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row>
    <row r="960" spans="1:61" ht="16.5" customHeight="1">
      <c r="A960" s="1"/>
      <c r="B960" s="139"/>
      <c r="C960" s="1"/>
      <c r="D960" s="1"/>
      <c r="E960" s="1"/>
      <c r="F960" s="1"/>
      <c r="G960" s="1"/>
      <c r="H960" s="4"/>
      <c r="I960" s="4"/>
      <c r="J960" s="4"/>
      <c r="K960" s="4"/>
      <c r="L960" s="4"/>
      <c r="M960" s="4"/>
      <c r="N960" s="1"/>
      <c r="O960" s="1"/>
      <c r="P960" s="4"/>
      <c r="Q960" s="5"/>
      <c r="R960" s="4"/>
      <c r="S960" s="1"/>
      <c r="T960" s="1"/>
      <c r="U960" s="1"/>
      <c r="V960" s="1"/>
      <c r="W960" s="1"/>
      <c r="X960" s="6"/>
      <c r="Y960" s="4"/>
      <c r="Z960" s="4"/>
      <c r="AA960" s="4"/>
      <c r="AB960" s="1"/>
      <c r="AC960" s="1"/>
      <c r="AD960" s="1"/>
      <c r="AE960" s="1"/>
      <c r="AF960" s="1"/>
      <c r="AG960" s="4"/>
      <c r="AH960" s="1"/>
      <c r="AI960" s="4"/>
      <c r="AJ960" s="6"/>
      <c r="AK960" s="7"/>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row>
    <row r="961" spans="1:61" ht="16.5" customHeight="1">
      <c r="A961" s="1"/>
      <c r="B961" s="139"/>
      <c r="C961" s="1"/>
      <c r="D961" s="1"/>
      <c r="E961" s="1"/>
      <c r="F961" s="1"/>
      <c r="G961" s="1"/>
      <c r="H961" s="4"/>
      <c r="I961" s="4"/>
      <c r="J961" s="4"/>
      <c r="K961" s="4"/>
      <c r="L961" s="4"/>
      <c r="M961" s="4"/>
      <c r="N961" s="1"/>
      <c r="O961" s="1"/>
      <c r="P961" s="4"/>
      <c r="Q961" s="5"/>
      <c r="R961" s="4"/>
      <c r="S961" s="1"/>
      <c r="T961" s="1"/>
      <c r="U961" s="1"/>
      <c r="V961" s="1"/>
      <c r="W961" s="1"/>
      <c r="X961" s="6"/>
      <c r="Y961" s="4"/>
      <c r="Z961" s="4"/>
      <c r="AA961" s="4"/>
      <c r="AB961" s="1"/>
      <c r="AC961" s="1"/>
      <c r="AD961" s="1"/>
      <c r="AE961" s="1"/>
      <c r="AF961" s="1"/>
      <c r="AG961" s="4"/>
      <c r="AH961" s="1"/>
      <c r="AI961" s="4"/>
      <c r="AJ961" s="6"/>
      <c r="AK961" s="7"/>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row>
    <row r="962" spans="1:61" ht="16.5" customHeight="1">
      <c r="A962" s="1"/>
      <c r="B962" s="139"/>
      <c r="C962" s="1"/>
      <c r="D962" s="1"/>
      <c r="E962" s="1"/>
      <c r="F962" s="1"/>
      <c r="G962" s="1"/>
      <c r="H962" s="4"/>
      <c r="I962" s="4"/>
      <c r="J962" s="4"/>
      <c r="K962" s="4"/>
      <c r="L962" s="4"/>
      <c r="M962" s="4"/>
      <c r="N962" s="1"/>
      <c r="O962" s="1"/>
      <c r="P962" s="4"/>
      <c r="Q962" s="5"/>
      <c r="R962" s="4"/>
      <c r="S962" s="1"/>
      <c r="T962" s="1"/>
      <c r="U962" s="1"/>
      <c r="V962" s="1"/>
      <c r="W962" s="1"/>
      <c r="X962" s="6"/>
      <c r="Y962" s="4"/>
      <c r="Z962" s="4"/>
      <c r="AA962" s="4"/>
      <c r="AB962" s="1"/>
      <c r="AC962" s="1"/>
      <c r="AD962" s="1"/>
      <c r="AE962" s="1"/>
      <c r="AF962" s="1"/>
      <c r="AG962" s="4"/>
      <c r="AH962" s="1"/>
      <c r="AI962" s="4"/>
      <c r="AJ962" s="6"/>
      <c r="AK962" s="7"/>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row>
    <row r="963" spans="1:61" ht="16.5" customHeight="1">
      <c r="A963" s="1"/>
      <c r="B963" s="139"/>
      <c r="C963" s="1"/>
      <c r="D963" s="1"/>
      <c r="E963" s="1"/>
      <c r="F963" s="1"/>
      <c r="G963" s="1"/>
      <c r="H963" s="4"/>
      <c r="I963" s="4"/>
      <c r="J963" s="4"/>
      <c r="K963" s="4"/>
      <c r="L963" s="4"/>
      <c r="M963" s="4"/>
      <c r="N963" s="1"/>
      <c r="O963" s="1"/>
      <c r="P963" s="4"/>
      <c r="Q963" s="5"/>
      <c r="R963" s="4"/>
      <c r="S963" s="1"/>
      <c r="T963" s="1"/>
      <c r="U963" s="1"/>
      <c r="V963" s="1"/>
      <c r="W963" s="1"/>
      <c r="X963" s="6"/>
      <c r="Y963" s="4"/>
      <c r="Z963" s="4"/>
      <c r="AA963" s="4"/>
      <c r="AB963" s="1"/>
      <c r="AC963" s="1"/>
      <c r="AD963" s="1"/>
      <c r="AE963" s="1"/>
      <c r="AF963" s="1"/>
      <c r="AG963" s="4"/>
      <c r="AH963" s="1"/>
      <c r="AI963" s="4"/>
      <c r="AJ963" s="6"/>
      <c r="AK963" s="7"/>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row>
    <row r="964" spans="1:61" ht="16.5" customHeight="1">
      <c r="A964" s="1"/>
      <c r="B964" s="139"/>
      <c r="C964" s="1"/>
      <c r="D964" s="1"/>
      <c r="E964" s="1"/>
      <c r="F964" s="1"/>
      <c r="G964" s="1"/>
      <c r="H964" s="4"/>
      <c r="I964" s="4"/>
      <c r="J964" s="4"/>
      <c r="K964" s="4"/>
      <c r="L964" s="4"/>
      <c r="M964" s="4"/>
      <c r="N964" s="1"/>
      <c r="O964" s="1"/>
      <c r="P964" s="4"/>
      <c r="Q964" s="5"/>
      <c r="R964" s="4"/>
      <c r="S964" s="1"/>
      <c r="T964" s="1"/>
      <c r="U964" s="1"/>
      <c r="V964" s="1"/>
      <c r="W964" s="1"/>
      <c r="X964" s="6"/>
      <c r="Y964" s="4"/>
      <c r="Z964" s="4"/>
      <c r="AA964" s="4"/>
      <c r="AB964" s="1"/>
      <c r="AC964" s="1"/>
      <c r="AD964" s="1"/>
      <c r="AE964" s="1"/>
      <c r="AF964" s="1"/>
      <c r="AG964" s="4"/>
      <c r="AH964" s="1"/>
      <c r="AI964" s="4"/>
      <c r="AJ964" s="6"/>
      <c r="AK964" s="7"/>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row>
    <row r="965" spans="1:61" ht="16.5" customHeight="1">
      <c r="A965" s="1"/>
      <c r="B965" s="139"/>
      <c r="C965" s="1"/>
      <c r="D965" s="1"/>
      <c r="E965" s="1"/>
      <c r="F965" s="1"/>
      <c r="G965" s="1"/>
      <c r="H965" s="4"/>
      <c r="I965" s="4"/>
      <c r="J965" s="4"/>
      <c r="K965" s="4"/>
      <c r="L965" s="4"/>
      <c r="M965" s="4"/>
      <c r="N965" s="1"/>
      <c r="O965" s="1"/>
      <c r="P965" s="4"/>
      <c r="Q965" s="5"/>
      <c r="R965" s="4"/>
      <c r="S965" s="1"/>
      <c r="T965" s="1"/>
      <c r="U965" s="1"/>
      <c r="V965" s="1"/>
      <c r="W965" s="1"/>
      <c r="X965" s="6"/>
      <c r="Y965" s="4"/>
      <c r="Z965" s="4"/>
      <c r="AA965" s="4"/>
      <c r="AB965" s="1"/>
      <c r="AC965" s="1"/>
      <c r="AD965" s="1"/>
      <c r="AE965" s="1"/>
      <c r="AF965" s="1"/>
      <c r="AG965" s="4"/>
      <c r="AH965" s="1"/>
      <c r="AI965" s="4"/>
      <c r="AJ965" s="6"/>
      <c r="AK965" s="7"/>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row>
    <row r="966" spans="1:61" ht="16.5" customHeight="1">
      <c r="A966" s="1"/>
      <c r="B966" s="139"/>
      <c r="C966" s="1"/>
      <c r="D966" s="1"/>
      <c r="E966" s="1"/>
      <c r="F966" s="1"/>
      <c r="G966" s="1"/>
      <c r="H966" s="4"/>
      <c r="I966" s="4"/>
      <c r="J966" s="4"/>
      <c r="K966" s="4"/>
      <c r="L966" s="4"/>
      <c r="M966" s="4"/>
      <c r="N966" s="1"/>
      <c r="O966" s="1"/>
      <c r="P966" s="4"/>
      <c r="Q966" s="5"/>
      <c r="R966" s="4"/>
      <c r="S966" s="1"/>
      <c r="T966" s="1"/>
      <c r="U966" s="1"/>
      <c r="V966" s="1"/>
      <c r="W966" s="1"/>
      <c r="X966" s="6"/>
      <c r="Y966" s="4"/>
      <c r="Z966" s="4"/>
      <c r="AA966" s="4"/>
      <c r="AB966" s="1"/>
      <c r="AC966" s="1"/>
      <c r="AD966" s="1"/>
      <c r="AE966" s="1"/>
      <c r="AF966" s="1"/>
      <c r="AG966" s="4"/>
      <c r="AH966" s="1"/>
      <c r="AI966" s="4"/>
      <c r="AJ966" s="6"/>
      <c r="AK966" s="7"/>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row>
    <row r="967" spans="1:61" ht="16.5" customHeight="1">
      <c r="A967" s="1"/>
      <c r="B967" s="139"/>
      <c r="C967" s="1"/>
      <c r="D967" s="1"/>
      <c r="E967" s="1"/>
      <c r="F967" s="1"/>
      <c r="G967" s="1"/>
      <c r="H967" s="4"/>
      <c r="I967" s="4"/>
      <c r="J967" s="4"/>
      <c r="K967" s="4"/>
      <c r="L967" s="4"/>
      <c r="M967" s="4"/>
      <c r="N967" s="1"/>
      <c r="O967" s="1"/>
      <c r="P967" s="4"/>
      <c r="Q967" s="5"/>
      <c r="R967" s="4"/>
      <c r="S967" s="1"/>
      <c r="T967" s="1"/>
      <c r="U967" s="1"/>
      <c r="V967" s="1"/>
      <c r="W967" s="1"/>
      <c r="X967" s="6"/>
      <c r="Y967" s="4"/>
      <c r="Z967" s="4"/>
      <c r="AA967" s="4"/>
      <c r="AB967" s="1"/>
      <c r="AC967" s="1"/>
      <c r="AD967" s="1"/>
      <c r="AE967" s="1"/>
      <c r="AF967" s="1"/>
      <c r="AG967" s="4"/>
      <c r="AH967" s="1"/>
      <c r="AI967" s="4"/>
      <c r="AJ967" s="6"/>
      <c r="AK967" s="7"/>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row>
    <row r="968" spans="1:61" ht="16.5" customHeight="1">
      <c r="A968" s="1"/>
      <c r="B968" s="139"/>
      <c r="C968" s="1"/>
      <c r="D968" s="1"/>
      <c r="E968" s="1"/>
      <c r="F968" s="1"/>
      <c r="G968" s="1"/>
      <c r="H968" s="4"/>
      <c r="I968" s="4"/>
      <c r="J968" s="4"/>
      <c r="K968" s="4"/>
      <c r="L968" s="4"/>
      <c r="M968" s="4"/>
      <c r="N968" s="1"/>
      <c r="O968" s="1"/>
      <c r="P968" s="4"/>
      <c r="Q968" s="5"/>
      <c r="R968" s="4"/>
      <c r="S968" s="1"/>
      <c r="T968" s="1"/>
      <c r="U968" s="1"/>
      <c r="V968" s="1"/>
      <c r="W968" s="1"/>
      <c r="X968" s="6"/>
      <c r="Y968" s="4"/>
      <c r="Z968" s="4"/>
      <c r="AA968" s="4"/>
      <c r="AB968" s="1"/>
      <c r="AC968" s="1"/>
      <c r="AD968" s="1"/>
      <c r="AE968" s="1"/>
      <c r="AF968" s="1"/>
      <c r="AG968" s="4"/>
      <c r="AH968" s="1"/>
      <c r="AI968" s="4"/>
      <c r="AJ968" s="6"/>
      <c r="AK968" s="7"/>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row>
    <row r="969" spans="1:61" ht="16.5" customHeight="1">
      <c r="A969" s="1"/>
      <c r="B969" s="139"/>
      <c r="C969" s="1"/>
      <c r="D969" s="1"/>
      <c r="E969" s="1"/>
      <c r="F969" s="1"/>
      <c r="G969" s="1"/>
      <c r="H969" s="4"/>
      <c r="I969" s="4"/>
      <c r="J969" s="4"/>
      <c r="K969" s="4"/>
      <c r="L969" s="4"/>
      <c r="M969" s="4"/>
      <c r="N969" s="1"/>
      <c r="O969" s="1"/>
      <c r="P969" s="4"/>
      <c r="Q969" s="5"/>
      <c r="R969" s="4"/>
      <c r="S969" s="1"/>
      <c r="T969" s="1"/>
      <c r="U969" s="1"/>
      <c r="V969" s="1"/>
      <c r="W969" s="1"/>
      <c r="X969" s="6"/>
      <c r="Y969" s="4"/>
      <c r="Z969" s="4"/>
      <c r="AA969" s="4"/>
      <c r="AB969" s="1"/>
      <c r="AC969" s="1"/>
      <c r="AD969" s="1"/>
      <c r="AE969" s="1"/>
      <c r="AF969" s="1"/>
      <c r="AG969" s="4"/>
      <c r="AH969" s="1"/>
      <c r="AI969" s="4"/>
      <c r="AJ969" s="6"/>
      <c r="AK969" s="7"/>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row>
    <row r="970" spans="1:61" ht="16.5" customHeight="1">
      <c r="A970" s="1"/>
      <c r="B970" s="139"/>
      <c r="C970" s="1"/>
      <c r="D970" s="1"/>
      <c r="E970" s="1"/>
      <c r="F970" s="1"/>
      <c r="G970" s="1"/>
      <c r="H970" s="4"/>
      <c r="I970" s="4"/>
      <c r="J970" s="4"/>
      <c r="K970" s="4"/>
      <c r="L970" s="4"/>
      <c r="M970" s="4"/>
      <c r="N970" s="1"/>
      <c r="O970" s="1"/>
      <c r="P970" s="4"/>
      <c r="Q970" s="5"/>
      <c r="R970" s="4"/>
      <c r="S970" s="1"/>
      <c r="T970" s="1"/>
      <c r="U970" s="1"/>
      <c r="V970" s="1"/>
      <c r="W970" s="1"/>
      <c r="X970" s="6"/>
      <c r="Y970" s="4"/>
      <c r="Z970" s="4"/>
      <c r="AA970" s="4"/>
      <c r="AB970" s="1"/>
      <c r="AC970" s="1"/>
      <c r="AD970" s="1"/>
      <c r="AE970" s="1"/>
      <c r="AF970" s="1"/>
      <c r="AG970" s="4"/>
      <c r="AH970" s="1"/>
      <c r="AI970" s="4"/>
      <c r="AJ970" s="6"/>
      <c r="AK970" s="7"/>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row>
    <row r="971" spans="1:61" ht="16.5" customHeight="1">
      <c r="A971" s="1"/>
      <c r="B971" s="139"/>
      <c r="C971" s="1"/>
      <c r="D971" s="1"/>
      <c r="E971" s="1"/>
      <c r="F971" s="1"/>
      <c r="G971" s="1"/>
      <c r="H971" s="4"/>
      <c r="I971" s="4"/>
      <c r="J971" s="4"/>
      <c r="K971" s="4"/>
      <c r="L971" s="4"/>
      <c r="M971" s="4"/>
      <c r="N971" s="1"/>
      <c r="O971" s="1"/>
      <c r="P971" s="4"/>
      <c r="Q971" s="5"/>
      <c r="R971" s="4"/>
      <c r="S971" s="1"/>
      <c r="T971" s="1"/>
      <c r="U971" s="1"/>
      <c r="V971" s="1"/>
      <c r="W971" s="1"/>
      <c r="X971" s="6"/>
      <c r="Y971" s="4"/>
      <c r="Z971" s="4"/>
      <c r="AA971" s="4"/>
      <c r="AB971" s="1"/>
      <c r="AC971" s="1"/>
      <c r="AD971" s="1"/>
      <c r="AE971" s="1"/>
      <c r="AF971" s="1"/>
      <c r="AG971" s="4"/>
      <c r="AH971" s="1"/>
      <c r="AI971" s="4"/>
      <c r="AJ971" s="6"/>
      <c r="AK971" s="7"/>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row>
    <row r="972" spans="1:61" ht="16.5" customHeight="1">
      <c r="A972" s="1"/>
      <c r="B972" s="139"/>
      <c r="C972" s="1"/>
      <c r="D972" s="1"/>
      <c r="E972" s="1"/>
      <c r="F972" s="1"/>
      <c r="G972" s="1"/>
      <c r="H972" s="4"/>
      <c r="I972" s="4"/>
      <c r="J972" s="4"/>
      <c r="K972" s="4"/>
      <c r="L972" s="4"/>
      <c r="M972" s="4"/>
      <c r="N972" s="1"/>
      <c r="O972" s="1"/>
      <c r="P972" s="4"/>
      <c r="Q972" s="5"/>
      <c r="R972" s="4"/>
      <c r="S972" s="1"/>
      <c r="T972" s="1"/>
      <c r="U972" s="1"/>
      <c r="V972" s="1"/>
      <c r="W972" s="1"/>
      <c r="X972" s="6"/>
      <c r="Y972" s="4"/>
      <c r="Z972" s="4"/>
      <c r="AA972" s="4"/>
      <c r="AB972" s="1"/>
      <c r="AC972" s="1"/>
      <c r="AD972" s="1"/>
      <c r="AE972" s="1"/>
      <c r="AF972" s="1"/>
      <c r="AG972" s="4"/>
      <c r="AH972" s="1"/>
      <c r="AI972" s="4"/>
      <c r="AJ972" s="6"/>
      <c r="AK972" s="7"/>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row>
    <row r="973" spans="1:61" ht="16.5" customHeight="1">
      <c r="A973" s="1"/>
      <c r="B973" s="139"/>
      <c r="C973" s="1"/>
      <c r="D973" s="1"/>
      <c r="E973" s="1"/>
      <c r="F973" s="1"/>
      <c r="G973" s="1"/>
      <c r="H973" s="4"/>
      <c r="I973" s="4"/>
      <c r="J973" s="4"/>
      <c r="K973" s="4"/>
      <c r="L973" s="4"/>
      <c r="M973" s="4"/>
      <c r="N973" s="1"/>
      <c r="O973" s="1"/>
      <c r="P973" s="4"/>
      <c r="Q973" s="5"/>
      <c r="R973" s="4"/>
      <c r="S973" s="1"/>
      <c r="T973" s="1"/>
      <c r="U973" s="1"/>
      <c r="V973" s="1"/>
      <c r="W973" s="1"/>
      <c r="X973" s="6"/>
      <c r="Y973" s="4"/>
      <c r="Z973" s="4"/>
      <c r="AA973" s="4"/>
      <c r="AB973" s="1"/>
      <c r="AC973" s="1"/>
      <c r="AD973" s="1"/>
      <c r="AE973" s="1"/>
      <c r="AF973" s="1"/>
      <c r="AG973" s="4"/>
      <c r="AH973" s="1"/>
      <c r="AI973" s="4"/>
      <c r="AJ973" s="6"/>
      <c r="AK973" s="7"/>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row>
    <row r="974" spans="1:61" ht="16.5" customHeight="1">
      <c r="A974" s="1"/>
      <c r="B974" s="139"/>
      <c r="C974" s="1"/>
      <c r="D974" s="1"/>
      <c r="E974" s="1"/>
      <c r="F974" s="1"/>
      <c r="G974" s="1"/>
      <c r="H974" s="4"/>
      <c r="I974" s="4"/>
      <c r="J974" s="4"/>
      <c r="K974" s="4"/>
      <c r="L974" s="4"/>
      <c r="M974" s="4"/>
      <c r="N974" s="1"/>
      <c r="O974" s="1"/>
      <c r="P974" s="4"/>
      <c r="Q974" s="5"/>
      <c r="R974" s="4"/>
      <c r="S974" s="1"/>
      <c r="T974" s="1"/>
      <c r="U974" s="1"/>
      <c r="V974" s="1"/>
      <c r="W974" s="1"/>
      <c r="X974" s="6"/>
      <c r="Y974" s="4"/>
      <c r="Z974" s="4"/>
      <c r="AA974" s="4"/>
      <c r="AB974" s="1"/>
      <c r="AC974" s="1"/>
      <c r="AD974" s="1"/>
      <c r="AE974" s="1"/>
      <c r="AF974" s="1"/>
      <c r="AG974" s="4"/>
      <c r="AH974" s="1"/>
      <c r="AI974" s="4"/>
      <c r="AJ974" s="6"/>
      <c r="AK974" s="7"/>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row>
    <row r="975" spans="1:61" ht="16.5" customHeight="1">
      <c r="A975" s="1"/>
      <c r="B975" s="139"/>
      <c r="C975" s="1"/>
      <c r="D975" s="1"/>
      <c r="E975" s="1"/>
      <c r="F975" s="1"/>
      <c r="G975" s="1"/>
      <c r="H975" s="4"/>
      <c r="I975" s="4"/>
      <c r="J975" s="4"/>
      <c r="K975" s="4"/>
      <c r="L975" s="4"/>
      <c r="M975" s="4"/>
      <c r="N975" s="1"/>
      <c r="O975" s="1"/>
      <c r="P975" s="4"/>
      <c r="Q975" s="5"/>
      <c r="R975" s="4"/>
      <c r="S975" s="1"/>
      <c r="T975" s="1"/>
      <c r="U975" s="1"/>
      <c r="V975" s="1"/>
      <c r="W975" s="1"/>
      <c r="X975" s="6"/>
      <c r="Y975" s="4"/>
      <c r="Z975" s="4"/>
      <c r="AA975" s="4"/>
      <c r="AB975" s="1"/>
      <c r="AC975" s="1"/>
      <c r="AD975" s="1"/>
      <c r="AE975" s="1"/>
      <c r="AF975" s="1"/>
      <c r="AG975" s="4"/>
      <c r="AH975" s="1"/>
      <c r="AI975" s="4"/>
      <c r="AJ975" s="6"/>
      <c r="AK975" s="7"/>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row>
    <row r="976" spans="1:61" ht="16.5" customHeight="1">
      <c r="A976" s="1"/>
      <c r="B976" s="139"/>
      <c r="C976" s="1"/>
      <c r="D976" s="1"/>
      <c r="E976" s="1"/>
      <c r="F976" s="1"/>
      <c r="G976" s="1"/>
      <c r="H976" s="4"/>
      <c r="I976" s="4"/>
      <c r="J976" s="4"/>
      <c r="K976" s="4"/>
      <c r="L976" s="4"/>
      <c r="M976" s="4"/>
      <c r="N976" s="1"/>
      <c r="O976" s="1"/>
      <c r="P976" s="4"/>
      <c r="Q976" s="5"/>
      <c r="R976" s="4"/>
      <c r="S976" s="1"/>
      <c r="T976" s="1"/>
      <c r="U976" s="1"/>
      <c r="V976" s="1"/>
      <c r="W976" s="1"/>
      <c r="X976" s="6"/>
      <c r="Y976" s="4"/>
      <c r="Z976" s="4"/>
      <c r="AA976" s="4"/>
      <c r="AB976" s="1"/>
      <c r="AC976" s="1"/>
      <c r="AD976" s="1"/>
      <c r="AE976" s="1"/>
      <c r="AF976" s="1"/>
      <c r="AG976" s="4"/>
      <c r="AH976" s="1"/>
      <c r="AI976" s="4"/>
      <c r="AJ976" s="6"/>
      <c r="AK976" s="7"/>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row>
    <row r="977" spans="1:61" ht="16.5" customHeight="1">
      <c r="A977" s="1"/>
      <c r="B977" s="139"/>
      <c r="C977" s="1"/>
      <c r="D977" s="1"/>
      <c r="E977" s="1"/>
      <c r="F977" s="1"/>
      <c r="G977" s="1"/>
      <c r="H977" s="4"/>
      <c r="I977" s="4"/>
      <c r="J977" s="4"/>
      <c r="K977" s="4"/>
      <c r="L977" s="4"/>
      <c r="M977" s="4"/>
      <c r="N977" s="1"/>
      <c r="O977" s="1"/>
      <c r="P977" s="4"/>
      <c r="Q977" s="5"/>
      <c r="R977" s="4"/>
      <c r="S977" s="1"/>
      <c r="T977" s="1"/>
      <c r="U977" s="1"/>
      <c r="V977" s="1"/>
      <c r="W977" s="1"/>
      <c r="X977" s="6"/>
      <c r="Y977" s="4"/>
      <c r="Z977" s="4"/>
      <c r="AA977" s="4"/>
      <c r="AB977" s="1"/>
      <c r="AC977" s="1"/>
      <c r="AD977" s="1"/>
      <c r="AE977" s="1"/>
      <c r="AF977" s="1"/>
      <c r="AG977" s="4"/>
      <c r="AH977" s="1"/>
      <c r="AI977" s="4"/>
      <c r="AJ977" s="6"/>
      <c r="AK977" s="7"/>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row>
    <row r="978" spans="1:61" ht="16.5" customHeight="1">
      <c r="A978" s="1"/>
      <c r="B978" s="139"/>
      <c r="C978" s="1"/>
      <c r="D978" s="1"/>
      <c r="E978" s="1"/>
      <c r="F978" s="1"/>
      <c r="G978" s="1"/>
      <c r="H978" s="4"/>
      <c r="I978" s="4"/>
      <c r="J978" s="4"/>
      <c r="K978" s="4"/>
      <c r="L978" s="4"/>
      <c r="M978" s="4"/>
      <c r="N978" s="1"/>
      <c r="O978" s="1"/>
      <c r="P978" s="4"/>
      <c r="Q978" s="5"/>
      <c r="R978" s="4"/>
      <c r="S978" s="1"/>
      <c r="T978" s="1"/>
      <c r="U978" s="1"/>
      <c r="V978" s="1"/>
      <c r="W978" s="1"/>
      <c r="X978" s="6"/>
      <c r="Y978" s="4"/>
      <c r="Z978" s="4"/>
      <c r="AA978" s="4"/>
      <c r="AB978" s="1"/>
      <c r="AC978" s="1"/>
      <c r="AD978" s="1"/>
      <c r="AE978" s="1"/>
      <c r="AF978" s="1"/>
      <c r="AG978" s="4"/>
      <c r="AH978" s="1"/>
      <c r="AI978" s="4"/>
      <c r="AJ978" s="6"/>
      <c r="AK978" s="7"/>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row>
    <row r="979" spans="1:61" ht="16.5" customHeight="1">
      <c r="A979" s="1"/>
      <c r="B979" s="139"/>
      <c r="C979" s="1"/>
      <c r="D979" s="1"/>
      <c r="E979" s="1"/>
      <c r="F979" s="1"/>
      <c r="G979" s="1"/>
      <c r="H979" s="4"/>
      <c r="I979" s="4"/>
      <c r="J979" s="4"/>
      <c r="K979" s="4"/>
      <c r="L979" s="4"/>
      <c r="M979" s="4"/>
      <c r="N979" s="1"/>
      <c r="O979" s="1"/>
      <c r="P979" s="4"/>
      <c r="Q979" s="5"/>
      <c r="R979" s="4"/>
      <c r="S979" s="1"/>
      <c r="T979" s="1"/>
      <c r="U979" s="1"/>
      <c r="V979" s="1"/>
      <c r="W979" s="1"/>
      <c r="X979" s="6"/>
      <c r="Y979" s="4"/>
      <c r="Z979" s="4"/>
      <c r="AA979" s="4"/>
      <c r="AB979" s="1"/>
      <c r="AC979" s="1"/>
      <c r="AD979" s="1"/>
      <c r="AE979" s="1"/>
      <c r="AF979" s="1"/>
      <c r="AG979" s="4"/>
      <c r="AH979" s="1"/>
      <c r="AI979" s="4"/>
      <c r="AJ979" s="6"/>
      <c r="AK979" s="7"/>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row>
    <row r="980" spans="1:61" ht="16.5" customHeight="1">
      <c r="A980" s="1"/>
      <c r="B980" s="139"/>
      <c r="C980" s="1"/>
      <c r="D980" s="1"/>
      <c r="E980" s="1"/>
      <c r="F980" s="1"/>
      <c r="G980" s="1"/>
      <c r="H980" s="4"/>
      <c r="I980" s="4"/>
      <c r="J980" s="4"/>
      <c r="K980" s="4"/>
      <c r="L980" s="4"/>
      <c r="M980" s="4"/>
      <c r="N980" s="1"/>
      <c r="O980" s="1"/>
      <c r="P980" s="4"/>
      <c r="Q980" s="5"/>
      <c r="R980" s="4"/>
      <c r="S980" s="1"/>
      <c r="T980" s="1"/>
      <c r="U980" s="1"/>
      <c r="V980" s="1"/>
      <c r="W980" s="1"/>
      <c r="X980" s="6"/>
      <c r="Y980" s="4"/>
      <c r="Z980" s="4"/>
      <c r="AA980" s="4"/>
      <c r="AB980" s="1"/>
      <c r="AC980" s="1"/>
      <c r="AD980" s="1"/>
      <c r="AE980" s="1"/>
      <c r="AF980" s="1"/>
      <c r="AG980" s="4"/>
      <c r="AH980" s="1"/>
      <c r="AI980" s="4"/>
      <c r="AJ980" s="6"/>
      <c r="AK980" s="7"/>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row>
    <row r="981" spans="1:61" ht="16.5" customHeight="1">
      <c r="A981" s="1"/>
      <c r="B981" s="139"/>
      <c r="C981" s="1"/>
      <c r="D981" s="1"/>
      <c r="E981" s="1"/>
      <c r="F981" s="1"/>
      <c r="G981" s="1"/>
      <c r="H981" s="4"/>
      <c r="I981" s="4"/>
      <c r="J981" s="4"/>
      <c r="K981" s="4"/>
      <c r="L981" s="4"/>
      <c r="M981" s="4"/>
      <c r="N981" s="1"/>
      <c r="O981" s="1"/>
      <c r="P981" s="4"/>
      <c r="Q981" s="5"/>
      <c r="R981" s="4"/>
      <c r="S981" s="1"/>
      <c r="T981" s="1"/>
      <c r="U981" s="1"/>
      <c r="V981" s="1"/>
      <c r="W981" s="1"/>
      <c r="X981" s="6"/>
      <c r="Y981" s="4"/>
      <c r="Z981" s="4"/>
      <c r="AA981" s="4"/>
      <c r="AB981" s="1"/>
      <c r="AC981" s="1"/>
      <c r="AD981" s="1"/>
      <c r="AE981" s="1"/>
      <c r="AF981" s="1"/>
      <c r="AG981" s="4"/>
      <c r="AH981" s="1"/>
      <c r="AI981" s="4"/>
      <c r="AJ981" s="6"/>
      <c r="AK981" s="7"/>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row>
    <row r="982" spans="1:61" ht="16.5" customHeight="1">
      <c r="A982" s="1"/>
      <c r="B982" s="139"/>
      <c r="C982" s="1"/>
      <c r="D982" s="1"/>
      <c r="E982" s="1"/>
      <c r="F982" s="1"/>
      <c r="G982" s="1"/>
      <c r="H982" s="4"/>
      <c r="I982" s="4"/>
      <c r="J982" s="4"/>
      <c r="K982" s="4"/>
      <c r="L982" s="4"/>
      <c r="M982" s="4"/>
      <c r="N982" s="1"/>
      <c r="O982" s="1"/>
      <c r="P982" s="4"/>
      <c r="Q982" s="5"/>
      <c r="R982" s="4"/>
      <c r="S982" s="1"/>
      <c r="T982" s="1"/>
      <c r="U982" s="1"/>
      <c r="V982" s="1"/>
      <c r="W982" s="1"/>
      <c r="X982" s="6"/>
      <c r="Y982" s="4"/>
      <c r="Z982" s="4"/>
      <c r="AA982" s="4"/>
      <c r="AB982" s="1"/>
      <c r="AC982" s="1"/>
      <c r="AD982" s="1"/>
      <c r="AE982" s="1"/>
      <c r="AF982" s="1"/>
      <c r="AG982" s="4"/>
      <c r="AH982" s="1"/>
      <c r="AI982" s="4"/>
      <c r="AJ982" s="6"/>
      <c r="AK982" s="7"/>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row>
    <row r="983" spans="1:61" ht="16.5" customHeight="1">
      <c r="A983" s="1"/>
      <c r="B983" s="139"/>
      <c r="C983" s="1"/>
      <c r="D983" s="1"/>
      <c r="E983" s="1"/>
      <c r="F983" s="1"/>
      <c r="G983" s="1"/>
      <c r="H983" s="4"/>
      <c r="I983" s="4"/>
      <c r="J983" s="4"/>
      <c r="K983" s="4"/>
      <c r="L983" s="4"/>
      <c r="M983" s="4"/>
      <c r="N983" s="1"/>
      <c r="O983" s="1"/>
      <c r="P983" s="4"/>
      <c r="Q983" s="5"/>
      <c r="R983" s="4"/>
      <c r="S983" s="1"/>
      <c r="T983" s="1"/>
      <c r="U983" s="1"/>
      <c r="V983" s="1"/>
      <c r="W983" s="1"/>
      <c r="X983" s="6"/>
      <c r="Y983" s="4"/>
      <c r="Z983" s="4"/>
      <c r="AA983" s="4"/>
      <c r="AB983" s="1"/>
      <c r="AC983" s="1"/>
      <c r="AD983" s="1"/>
      <c r="AE983" s="1"/>
      <c r="AF983" s="1"/>
      <c r="AG983" s="4"/>
      <c r="AH983" s="1"/>
      <c r="AI983" s="4"/>
      <c r="AJ983" s="6"/>
      <c r="AK983" s="7"/>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row>
    <row r="984" spans="1:61" ht="16.5" customHeight="1">
      <c r="A984" s="1"/>
      <c r="B984" s="139"/>
      <c r="C984" s="1"/>
      <c r="D984" s="1"/>
      <c r="E984" s="1"/>
      <c r="F984" s="1"/>
      <c r="G984" s="1"/>
      <c r="H984" s="4"/>
      <c r="I984" s="4"/>
      <c r="J984" s="4"/>
      <c r="K984" s="4"/>
      <c r="L984" s="4"/>
      <c r="M984" s="4"/>
      <c r="N984" s="1"/>
      <c r="O984" s="1"/>
      <c r="P984" s="4"/>
      <c r="Q984" s="5"/>
      <c r="R984" s="4"/>
      <c r="S984" s="1"/>
      <c r="T984" s="1"/>
      <c r="U984" s="1"/>
      <c r="V984" s="1"/>
      <c r="W984" s="1"/>
      <c r="X984" s="6"/>
      <c r="Y984" s="4"/>
      <c r="Z984" s="4"/>
      <c r="AA984" s="4"/>
      <c r="AB984" s="1"/>
      <c r="AC984" s="1"/>
      <c r="AD984" s="1"/>
      <c r="AE984" s="1"/>
      <c r="AF984" s="1"/>
      <c r="AG984" s="4"/>
      <c r="AH984" s="1"/>
      <c r="AI984" s="4"/>
      <c r="AJ984" s="6"/>
      <c r="AK984" s="7"/>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row>
    <row r="985" spans="1:61" ht="16.5" customHeight="1">
      <c r="A985" s="1"/>
      <c r="B985" s="139"/>
      <c r="C985" s="1"/>
      <c r="D985" s="1"/>
      <c r="E985" s="1"/>
      <c r="F985" s="1"/>
      <c r="G985" s="1"/>
      <c r="H985" s="4"/>
      <c r="I985" s="4"/>
      <c r="J985" s="4"/>
      <c r="K985" s="4"/>
      <c r="L985" s="4"/>
      <c r="M985" s="4"/>
      <c r="N985" s="1"/>
      <c r="O985" s="1"/>
      <c r="P985" s="4"/>
      <c r="Q985" s="5"/>
      <c r="R985" s="4"/>
      <c r="S985" s="1"/>
      <c r="T985" s="1"/>
      <c r="U985" s="1"/>
      <c r="V985" s="1"/>
      <c r="W985" s="1"/>
      <c r="X985" s="6"/>
      <c r="Y985" s="4"/>
      <c r="Z985" s="4"/>
      <c r="AA985" s="4"/>
      <c r="AB985" s="1"/>
      <c r="AC985" s="1"/>
      <c r="AD985" s="1"/>
      <c r="AE985" s="1"/>
      <c r="AF985" s="1"/>
      <c r="AG985" s="4"/>
      <c r="AH985" s="1"/>
      <c r="AI985" s="4"/>
      <c r="AJ985" s="6"/>
      <c r="AK985" s="7"/>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row>
    <row r="986" spans="1:61" ht="16.5" customHeight="1">
      <c r="A986" s="1"/>
      <c r="B986" s="139"/>
      <c r="C986" s="1"/>
      <c r="D986" s="1"/>
      <c r="E986" s="1"/>
      <c r="F986" s="1"/>
      <c r="G986" s="1"/>
      <c r="H986" s="4"/>
      <c r="I986" s="4"/>
      <c r="J986" s="4"/>
      <c r="K986" s="4"/>
      <c r="L986" s="4"/>
      <c r="M986" s="4"/>
      <c r="N986" s="1"/>
      <c r="O986" s="1"/>
      <c r="P986" s="4"/>
      <c r="Q986" s="5"/>
      <c r="R986" s="4"/>
      <c r="S986" s="1"/>
      <c r="T986" s="1"/>
      <c r="U986" s="1"/>
      <c r="V986" s="1"/>
      <c r="W986" s="1"/>
      <c r="X986" s="6"/>
      <c r="Y986" s="4"/>
      <c r="Z986" s="4"/>
      <c r="AA986" s="4"/>
      <c r="AB986" s="1"/>
      <c r="AC986" s="1"/>
      <c r="AD986" s="1"/>
      <c r="AE986" s="1"/>
      <c r="AF986" s="1"/>
      <c r="AG986" s="4"/>
      <c r="AH986" s="1"/>
      <c r="AI986" s="4"/>
      <c r="AJ986" s="6"/>
      <c r="AK986" s="7"/>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row>
    <row r="987" spans="1:61" ht="16.5" customHeight="1">
      <c r="A987" s="1"/>
      <c r="B987" s="139"/>
      <c r="C987" s="1"/>
      <c r="D987" s="1"/>
      <c r="E987" s="1"/>
      <c r="F987" s="1"/>
      <c r="G987" s="1"/>
      <c r="H987" s="4"/>
      <c r="I987" s="4"/>
      <c r="J987" s="4"/>
      <c r="K987" s="4"/>
      <c r="L987" s="4"/>
      <c r="M987" s="4"/>
      <c r="N987" s="1"/>
      <c r="O987" s="1"/>
      <c r="P987" s="4"/>
      <c r="Q987" s="5"/>
      <c r="R987" s="4"/>
      <c r="S987" s="1"/>
      <c r="T987" s="1"/>
      <c r="U987" s="1"/>
      <c r="V987" s="1"/>
      <c r="W987" s="1"/>
      <c r="X987" s="6"/>
      <c r="Y987" s="4"/>
      <c r="Z987" s="4"/>
      <c r="AA987" s="4"/>
      <c r="AB987" s="1"/>
      <c r="AC987" s="1"/>
      <c r="AD987" s="1"/>
      <c r="AE987" s="1"/>
      <c r="AF987" s="1"/>
      <c r="AG987" s="4"/>
      <c r="AH987" s="1"/>
      <c r="AI987" s="4"/>
      <c r="AJ987" s="6"/>
      <c r="AK987" s="7"/>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row>
    <row r="988" spans="1:61" ht="16.5" customHeight="1">
      <c r="A988" s="1"/>
      <c r="B988" s="139"/>
      <c r="C988" s="1"/>
      <c r="D988" s="1"/>
      <c r="E988" s="1"/>
      <c r="F988" s="1"/>
      <c r="G988" s="1"/>
      <c r="H988" s="4"/>
      <c r="I988" s="4"/>
      <c r="J988" s="4"/>
      <c r="K988" s="4"/>
      <c r="L988" s="4"/>
      <c r="M988" s="4"/>
      <c r="N988" s="1"/>
      <c r="O988" s="1"/>
      <c r="P988" s="4"/>
      <c r="Q988" s="5"/>
      <c r="R988" s="4"/>
      <c r="S988" s="1"/>
      <c r="T988" s="1"/>
      <c r="U988" s="1"/>
      <c r="V988" s="1"/>
      <c r="W988" s="1"/>
      <c r="X988" s="6"/>
      <c r="Y988" s="4"/>
      <c r="Z988" s="4"/>
      <c r="AA988" s="4"/>
      <c r="AB988" s="1"/>
      <c r="AC988" s="1"/>
      <c r="AD988" s="1"/>
      <c r="AE988" s="1"/>
      <c r="AF988" s="1"/>
      <c r="AG988" s="4"/>
      <c r="AH988" s="1"/>
      <c r="AI988" s="4"/>
      <c r="AJ988" s="6"/>
      <c r="AK988" s="7"/>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row>
    <row r="989" spans="1:61" ht="16.5" customHeight="1">
      <c r="A989" s="1"/>
      <c r="B989" s="139"/>
      <c r="C989" s="1"/>
      <c r="D989" s="1"/>
      <c r="E989" s="1"/>
      <c r="F989" s="1"/>
      <c r="G989" s="1"/>
      <c r="H989" s="4"/>
      <c r="I989" s="4"/>
      <c r="J989" s="4"/>
      <c r="K989" s="4"/>
      <c r="L989" s="4"/>
      <c r="M989" s="4"/>
      <c r="N989" s="1"/>
      <c r="O989" s="1"/>
      <c r="P989" s="4"/>
      <c r="Q989" s="5"/>
      <c r="R989" s="4"/>
      <c r="S989" s="1"/>
      <c r="T989" s="1"/>
      <c r="U989" s="1"/>
      <c r="V989" s="1"/>
      <c r="W989" s="1"/>
      <c r="X989" s="6"/>
      <c r="Y989" s="4"/>
      <c r="Z989" s="4"/>
      <c r="AA989" s="4"/>
      <c r="AB989" s="1"/>
      <c r="AC989" s="1"/>
      <c r="AD989" s="1"/>
      <c r="AE989" s="1"/>
      <c r="AF989" s="1"/>
      <c r="AG989" s="4"/>
      <c r="AH989" s="1"/>
      <c r="AI989" s="4"/>
      <c r="AJ989" s="6"/>
      <c r="AK989" s="7"/>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row>
    <row r="990" spans="1:61" ht="16.5" customHeight="1">
      <c r="A990" s="1"/>
      <c r="B990" s="139"/>
      <c r="C990" s="1"/>
      <c r="D990" s="1"/>
      <c r="E990" s="1"/>
      <c r="F990" s="1"/>
      <c r="G990" s="1"/>
      <c r="H990" s="4"/>
      <c r="I990" s="4"/>
      <c r="J990" s="4"/>
      <c r="K990" s="4"/>
      <c r="L990" s="4"/>
      <c r="M990" s="4"/>
      <c r="N990" s="1"/>
      <c r="O990" s="1"/>
      <c r="P990" s="4"/>
      <c r="Q990" s="5"/>
      <c r="R990" s="4"/>
      <c r="S990" s="1"/>
      <c r="T990" s="1"/>
      <c r="U990" s="1"/>
      <c r="V990" s="1"/>
      <c r="W990" s="1"/>
      <c r="X990" s="6"/>
      <c r="Y990" s="4"/>
      <c r="Z990" s="4"/>
      <c r="AA990" s="4"/>
      <c r="AB990" s="1"/>
      <c r="AC990" s="1"/>
      <c r="AD990" s="1"/>
      <c r="AE990" s="1"/>
      <c r="AF990" s="1"/>
      <c r="AG990" s="4"/>
      <c r="AH990" s="1"/>
      <c r="AI990" s="4"/>
      <c r="AJ990" s="6"/>
      <c r="AK990" s="7"/>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row>
    <row r="991" spans="1:61" ht="16.5" customHeight="1">
      <c r="A991" s="1"/>
      <c r="B991" s="139"/>
      <c r="C991" s="1"/>
      <c r="D991" s="1"/>
      <c r="E991" s="1"/>
      <c r="F991" s="1"/>
      <c r="G991" s="1"/>
      <c r="H991" s="4"/>
      <c r="I991" s="4"/>
      <c r="J991" s="4"/>
      <c r="K991" s="4"/>
      <c r="L991" s="4"/>
      <c r="M991" s="4"/>
      <c r="N991" s="1"/>
      <c r="O991" s="1"/>
      <c r="P991" s="4"/>
      <c r="Q991" s="5"/>
      <c r="R991" s="4"/>
      <c r="S991" s="1"/>
      <c r="T991" s="1"/>
      <c r="U991" s="1"/>
      <c r="V991" s="1"/>
      <c r="W991" s="1"/>
      <c r="X991" s="6"/>
      <c r="Y991" s="4"/>
      <c r="Z991" s="4"/>
      <c r="AA991" s="4"/>
      <c r="AB991" s="1"/>
      <c r="AC991" s="1"/>
      <c r="AD991" s="1"/>
      <c r="AE991" s="1"/>
      <c r="AF991" s="1"/>
      <c r="AG991" s="4"/>
      <c r="AH991" s="1"/>
      <c r="AI991" s="4"/>
      <c r="AJ991" s="6"/>
      <c r="AK991" s="7"/>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row>
    <row r="992" spans="1:61" ht="16.5" customHeight="1">
      <c r="A992" s="1"/>
      <c r="B992" s="139"/>
      <c r="C992" s="1"/>
      <c r="D992" s="1"/>
      <c r="E992" s="1"/>
      <c r="F992" s="1"/>
      <c r="G992" s="1"/>
      <c r="H992" s="4"/>
      <c r="I992" s="4"/>
      <c r="J992" s="4"/>
      <c r="K992" s="4"/>
      <c r="L992" s="4"/>
      <c r="M992" s="4"/>
      <c r="N992" s="1"/>
      <c r="O992" s="1"/>
      <c r="P992" s="4"/>
      <c r="Q992" s="5"/>
      <c r="R992" s="4"/>
      <c r="S992" s="1"/>
      <c r="T992" s="1"/>
      <c r="U992" s="1"/>
      <c r="V992" s="1"/>
      <c r="W992" s="1"/>
      <c r="X992" s="6"/>
      <c r="Y992" s="4"/>
      <c r="Z992" s="4"/>
      <c r="AA992" s="4"/>
      <c r="AB992" s="1"/>
      <c r="AC992" s="1"/>
      <c r="AD992" s="1"/>
      <c r="AE992" s="1"/>
      <c r="AF992" s="1"/>
      <c r="AG992" s="4"/>
      <c r="AH992" s="1"/>
      <c r="AI992" s="4"/>
      <c r="AJ992" s="6"/>
      <c r="AK992" s="7"/>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row>
    <row r="993" spans="1:61" ht="16.5" customHeight="1">
      <c r="A993" s="1"/>
      <c r="B993" s="139"/>
      <c r="C993" s="1"/>
      <c r="D993" s="1"/>
      <c r="E993" s="1"/>
      <c r="F993" s="1"/>
      <c r="G993" s="1"/>
      <c r="H993" s="4"/>
      <c r="I993" s="4"/>
      <c r="J993" s="4"/>
      <c r="K993" s="4"/>
      <c r="L993" s="4"/>
      <c r="M993" s="4"/>
      <c r="N993" s="1"/>
      <c r="O993" s="1"/>
      <c r="P993" s="4"/>
      <c r="Q993" s="5"/>
      <c r="R993" s="4"/>
      <c r="S993" s="1"/>
      <c r="T993" s="1"/>
      <c r="U993" s="1"/>
      <c r="V993" s="1"/>
      <c r="W993" s="1"/>
      <c r="X993" s="6"/>
      <c r="Y993" s="4"/>
      <c r="Z993" s="4"/>
      <c r="AA993" s="4"/>
      <c r="AB993" s="1"/>
      <c r="AC993" s="1"/>
      <c r="AD993" s="1"/>
      <c r="AE993" s="1"/>
      <c r="AF993" s="1"/>
      <c r="AG993" s="4"/>
      <c r="AH993" s="1"/>
      <c r="AI993" s="4"/>
      <c r="AJ993" s="6"/>
      <c r="AK993" s="7"/>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row>
    <row r="994" spans="1:61" ht="16.5" customHeight="1">
      <c r="A994" s="1"/>
      <c r="B994" s="139"/>
      <c r="C994" s="1"/>
      <c r="D994" s="1"/>
      <c r="E994" s="1"/>
      <c r="F994" s="1"/>
      <c r="G994" s="1"/>
      <c r="H994" s="4"/>
      <c r="I994" s="4"/>
      <c r="J994" s="4"/>
      <c r="K994" s="4"/>
      <c r="L994" s="4"/>
      <c r="M994" s="4"/>
      <c r="N994" s="1"/>
      <c r="O994" s="1"/>
      <c r="P994" s="4"/>
      <c r="Q994" s="5"/>
      <c r="R994" s="4"/>
      <c r="S994" s="1"/>
      <c r="T994" s="1"/>
      <c r="U994" s="1"/>
      <c r="V994" s="1"/>
      <c r="W994" s="1"/>
      <c r="X994" s="6"/>
      <c r="Y994" s="4"/>
      <c r="Z994" s="4"/>
      <c r="AA994" s="4"/>
      <c r="AB994" s="1"/>
      <c r="AC994" s="1"/>
      <c r="AD994" s="1"/>
      <c r="AE994" s="1"/>
      <c r="AF994" s="1"/>
      <c r="AG994" s="4"/>
      <c r="AH994" s="1"/>
      <c r="AI994" s="4"/>
      <c r="AJ994" s="6"/>
      <c r="AK994" s="7"/>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row>
    <row r="995" spans="1:61" ht="16.5" customHeight="1">
      <c r="A995" s="1"/>
      <c r="B995" s="139"/>
      <c r="C995" s="1"/>
      <c r="D995" s="1"/>
      <c r="E995" s="1"/>
      <c r="F995" s="1"/>
      <c r="G995" s="1"/>
      <c r="H995" s="4"/>
      <c r="I995" s="4"/>
      <c r="J995" s="4"/>
      <c r="K995" s="4"/>
      <c r="L995" s="4"/>
      <c r="M995" s="4"/>
      <c r="N995" s="1"/>
      <c r="O995" s="1"/>
      <c r="P995" s="4"/>
      <c r="Q995" s="5"/>
      <c r="R995" s="4"/>
      <c r="S995" s="1"/>
      <c r="T995" s="1"/>
      <c r="U995" s="1"/>
      <c r="V995" s="1"/>
      <c r="W995" s="1"/>
      <c r="X995" s="6"/>
      <c r="Y995" s="4"/>
      <c r="Z995" s="4"/>
      <c r="AA995" s="4"/>
      <c r="AB995" s="1"/>
      <c r="AC995" s="1"/>
      <c r="AD995" s="1"/>
      <c r="AE995" s="1"/>
      <c r="AF995" s="1"/>
      <c r="AG995" s="4"/>
      <c r="AH995" s="1"/>
      <c r="AI995" s="4"/>
      <c r="AJ995" s="6"/>
      <c r="AK995" s="7"/>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row>
    <row r="996" spans="1:61" ht="16.5" customHeight="1">
      <c r="A996" s="1"/>
      <c r="B996" s="139"/>
      <c r="C996" s="1"/>
      <c r="D996" s="1"/>
      <c r="E996" s="1"/>
      <c r="F996" s="1"/>
      <c r="G996" s="1"/>
      <c r="H996" s="4"/>
      <c r="I996" s="4"/>
      <c r="J996" s="4"/>
      <c r="K996" s="4"/>
      <c r="L996" s="4"/>
      <c r="M996" s="4"/>
      <c r="N996" s="1"/>
      <c r="O996" s="1"/>
      <c r="P996" s="4"/>
      <c r="Q996" s="5"/>
      <c r="R996" s="4"/>
      <c r="S996" s="1"/>
      <c r="T996" s="1"/>
      <c r="U996" s="1"/>
      <c r="V996" s="1"/>
      <c r="W996" s="1"/>
      <c r="X996" s="6"/>
      <c r="Y996" s="4"/>
      <c r="Z996" s="4"/>
      <c r="AA996" s="4"/>
      <c r="AB996" s="1"/>
      <c r="AC996" s="1"/>
      <c r="AD996" s="1"/>
      <c r="AE996" s="1"/>
      <c r="AF996" s="1"/>
      <c r="AG996" s="4"/>
      <c r="AH996" s="1"/>
      <c r="AI996" s="4"/>
      <c r="AJ996" s="6"/>
      <c r="AK996" s="7"/>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row>
    <row r="997" spans="1:61" ht="16.5" customHeight="1">
      <c r="A997" s="1"/>
      <c r="B997" s="139"/>
      <c r="C997" s="1"/>
      <c r="D997" s="1"/>
      <c r="E997" s="1"/>
      <c r="F997" s="1"/>
      <c r="G997" s="1"/>
      <c r="H997" s="4"/>
      <c r="I997" s="4"/>
      <c r="J997" s="4"/>
      <c r="K997" s="4"/>
      <c r="L997" s="4"/>
      <c r="M997" s="4"/>
      <c r="N997" s="1"/>
      <c r="O997" s="1"/>
      <c r="P997" s="4"/>
      <c r="Q997" s="5"/>
      <c r="R997" s="4"/>
      <c r="S997" s="1"/>
      <c r="T997" s="1"/>
      <c r="U997" s="1"/>
      <c r="V997" s="1"/>
      <c r="W997" s="1"/>
      <c r="X997" s="6"/>
      <c r="Y997" s="4"/>
      <c r="Z997" s="4"/>
      <c r="AA997" s="4"/>
      <c r="AB997" s="1"/>
      <c r="AC997" s="1"/>
      <c r="AD997" s="1"/>
      <c r="AE997" s="1"/>
      <c r="AF997" s="1"/>
      <c r="AG997" s="4"/>
      <c r="AH997" s="1"/>
      <c r="AI997" s="4"/>
      <c r="AJ997" s="6"/>
      <c r="AK997" s="7"/>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row>
    <row r="998" spans="1:61" ht="16.5" customHeight="1">
      <c r="A998" s="1"/>
      <c r="B998" s="139"/>
      <c r="C998" s="1"/>
      <c r="D998" s="1"/>
      <c r="E998" s="1"/>
      <c r="F998" s="1"/>
      <c r="G998" s="1"/>
      <c r="H998" s="4"/>
      <c r="I998" s="4"/>
      <c r="J998" s="4"/>
      <c r="K998" s="4"/>
      <c r="L998" s="4"/>
      <c r="M998" s="4"/>
      <c r="N998" s="1"/>
      <c r="O998" s="1"/>
      <c r="P998" s="4"/>
      <c r="Q998" s="5"/>
      <c r="R998" s="4"/>
      <c r="S998" s="1"/>
      <c r="T998" s="1"/>
      <c r="U998" s="1"/>
      <c r="V998" s="1"/>
      <c r="W998" s="1"/>
      <c r="X998" s="6"/>
      <c r="Y998" s="4"/>
      <c r="Z998" s="4"/>
      <c r="AA998" s="4"/>
      <c r="AB998" s="1"/>
      <c r="AC998" s="1"/>
      <c r="AD998" s="1"/>
      <c r="AE998" s="1"/>
      <c r="AF998" s="1"/>
      <c r="AG998" s="4"/>
      <c r="AH998" s="1"/>
      <c r="AI998" s="4"/>
      <c r="AJ998" s="6"/>
      <c r="AK998" s="7"/>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row>
    <row r="999" spans="1:61" ht="16.5" customHeight="1">
      <c r="A999" s="1"/>
      <c r="B999" s="139"/>
      <c r="C999" s="1"/>
      <c r="D999" s="1"/>
      <c r="E999" s="1"/>
      <c r="F999" s="1"/>
      <c r="G999" s="1"/>
      <c r="H999" s="4"/>
      <c r="I999" s="4"/>
      <c r="J999" s="4"/>
      <c r="K999" s="4"/>
      <c r="L999" s="4"/>
      <c r="M999" s="4"/>
      <c r="N999" s="1"/>
      <c r="O999" s="1"/>
      <c r="P999" s="4"/>
      <c r="Q999" s="5"/>
      <c r="R999" s="4"/>
      <c r="S999" s="1"/>
      <c r="T999" s="1"/>
      <c r="U999" s="1"/>
      <c r="V999" s="1"/>
      <c r="W999" s="1"/>
      <c r="X999" s="6"/>
      <c r="Y999" s="4"/>
      <c r="Z999" s="4"/>
      <c r="AA999" s="4"/>
      <c r="AB999" s="1"/>
      <c r="AC999" s="1"/>
      <c r="AD999" s="1"/>
      <c r="AE999" s="1"/>
      <c r="AF999" s="1"/>
      <c r="AG999" s="4"/>
      <c r="AH999" s="1"/>
      <c r="AI999" s="4"/>
      <c r="AJ999" s="6"/>
      <c r="AK999" s="7"/>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row>
    <row r="1000" spans="1:61" ht="16.5" customHeight="1">
      <c r="A1000" s="1"/>
      <c r="B1000" s="139"/>
      <c r="C1000" s="1"/>
      <c r="D1000" s="1"/>
      <c r="E1000" s="1"/>
      <c r="F1000" s="1"/>
      <c r="G1000" s="1"/>
      <c r="H1000" s="4"/>
      <c r="I1000" s="4"/>
      <c r="J1000" s="4"/>
      <c r="K1000" s="4"/>
      <c r="L1000" s="4"/>
      <c r="M1000" s="4"/>
      <c r="N1000" s="1"/>
      <c r="O1000" s="1"/>
      <c r="P1000" s="4"/>
      <c r="Q1000" s="5"/>
      <c r="R1000" s="4"/>
      <c r="S1000" s="1"/>
      <c r="T1000" s="1"/>
      <c r="U1000" s="1"/>
      <c r="V1000" s="1"/>
      <c r="W1000" s="1"/>
      <c r="X1000" s="6"/>
      <c r="Y1000" s="4"/>
      <c r="Z1000" s="4"/>
      <c r="AA1000" s="4"/>
      <c r="AB1000" s="1"/>
      <c r="AC1000" s="1"/>
      <c r="AD1000" s="1"/>
      <c r="AE1000" s="1"/>
      <c r="AF1000" s="1"/>
      <c r="AG1000" s="4"/>
      <c r="AH1000" s="1"/>
      <c r="AI1000" s="4"/>
      <c r="AJ1000" s="6"/>
      <c r="AK1000" s="7"/>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row>
    <row r="1001" spans="1:61" ht="16.5" customHeight="1">
      <c r="A1001" s="1"/>
      <c r="B1001" s="139"/>
      <c r="C1001" s="1"/>
      <c r="D1001" s="1"/>
      <c r="E1001" s="1"/>
      <c r="F1001" s="1"/>
      <c r="G1001" s="1"/>
      <c r="H1001" s="4"/>
      <c r="I1001" s="4"/>
      <c r="J1001" s="4"/>
      <c r="K1001" s="4"/>
      <c r="L1001" s="4"/>
      <c r="M1001" s="4"/>
      <c r="N1001" s="1"/>
      <c r="O1001" s="1"/>
      <c r="P1001" s="4"/>
      <c r="Q1001" s="5"/>
      <c r="R1001" s="4"/>
      <c r="S1001" s="1"/>
      <c r="T1001" s="1"/>
      <c r="U1001" s="1"/>
      <c r="V1001" s="1"/>
      <c r="W1001" s="1"/>
      <c r="X1001" s="6"/>
      <c r="Y1001" s="4"/>
      <c r="Z1001" s="4"/>
      <c r="AA1001" s="4"/>
      <c r="AB1001" s="1"/>
      <c r="AC1001" s="1"/>
      <c r="AD1001" s="1"/>
      <c r="AE1001" s="1"/>
      <c r="AF1001" s="1"/>
      <c r="AG1001" s="4"/>
      <c r="AH1001" s="1"/>
      <c r="AI1001" s="4"/>
      <c r="AJ1001" s="6"/>
      <c r="AK1001" s="7"/>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row>
    <row r="1002" spans="1:61" ht="16.5" customHeight="1">
      <c r="A1002" s="1"/>
      <c r="B1002" s="139"/>
      <c r="C1002" s="1"/>
      <c r="D1002" s="1"/>
      <c r="E1002" s="1"/>
      <c r="F1002" s="1"/>
      <c r="G1002" s="1"/>
      <c r="H1002" s="4"/>
      <c r="I1002" s="4"/>
      <c r="J1002" s="4"/>
      <c r="K1002" s="4"/>
      <c r="L1002" s="4"/>
      <c r="M1002" s="4"/>
      <c r="N1002" s="1"/>
      <c r="O1002" s="1"/>
      <c r="P1002" s="4"/>
      <c r="Q1002" s="5"/>
      <c r="R1002" s="4"/>
      <c r="S1002" s="1"/>
      <c r="T1002" s="1"/>
      <c r="U1002" s="1"/>
      <c r="V1002" s="1"/>
      <c r="W1002" s="1"/>
      <c r="X1002" s="6"/>
      <c r="Y1002" s="4"/>
      <c r="Z1002" s="4"/>
      <c r="AA1002" s="4"/>
      <c r="AB1002" s="1"/>
      <c r="AC1002" s="1"/>
      <c r="AD1002" s="1"/>
      <c r="AE1002" s="1"/>
      <c r="AF1002" s="1"/>
      <c r="AG1002" s="4"/>
      <c r="AH1002" s="1"/>
      <c r="AI1002" s="4"/>
      <c r="AJ1002" s="6"/>
      <c r="AK1002" s="7"/>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row>
    <row r="1003" spans="1:61" ht="16.5" customHeight="1">
      <c r="A1003" s="1"/>
      <c r="B1003" s="139"/>
      <c r="C1003" s="1"/>
      <c r="D1003" s="1"/>
      <c r="E1003" s="1"/>
      <c r="F1003" s="1"/>
      <c r="G1003" s="1"/>
      <c r="H1003" s="4"/>
      <c r="I1003" s="4"/>
      <c r="J1003" s="4"/>
      <c r="K1003" s="4"/>
      <c r="L1003" s="4"/>
      <c r="M1003" s="4"/>
      <c r="N1003" s="1"/>
      <c r="O1003" s="1"/>
      <c r="P1003" s="4"/>
      <c r="Q1003" s="5"/>
      <c r="R1003" s="4"/>
      <c r="S1003" s="1"/>
      <c r="T1003" s="1"/>
      <c r="U1003" s="1"/>
      <c r="V1003" s="1"/>
      <c r="W1003" s="1"/>
      <c r="X1003" s="6"/>
      <c r="Y1003" s="4"/>
      <c r="Z1003" s="4"/>
      <c r="AA1003" s="4"/>
      <c r="AB1003" s="1"/>
      <c r="AC1003" s="1"/>
      <c r="AD1003" s="1"/>
      <c r="AE1003" s="1"/>
      <c r="AF1003" s="1"/>
      <c r="AG1003" s="4"/>
      <c r="AH1003" s="1"/>
      <c r="AI1003" s="4"/>
      <c r="AJ1003" s="6"/>
      <c r="AK1003" s="7"/>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row>
    <row r="1004" spans="1:61" ht="16.5" customHeight="1">
      <c r="A1004" s="1"/>
      <c r="B1004" s="139"/>
      <c r="C1004" s="1"/>
      <c r="D1004" s="1"/>
      <c r="E1004" s="1"/>
      <c r="F1004" s="1"/>
      <c r="G1004" s="1"/>
      <c r="H1004" s="4"/>
      <c r="I1004" s="4"/>
      <c r="J1004" s="4"/>
      <c r="K1004" s="4"/>
      <c r="L1004" s="4"/>
      <c r="M1004" s="4"/>
      <c r="N1004" s="1"/>
      <c r="O1004" s="1"/>
      <c r="P1004" s="4"/>
      <c r="Q1004" s="5"/>
      <c r="R1004" s="4"/>
      <c r="S1004" s="1"/>
      <c r="T1004" s="1"/>
      <c r="U1004" s="1"/>
      <c r="V1004" s="1"/>
      <c r="W1004" s="1"/>
      <c r="X1004" s="6"/>
      <c r="Y1004" s="4"/>
      <c r="Z1004" s="4"/>
      <c r="AA1004" s="4"/>
      <c r="AB1004" s="1"/>
      <c r="AC1004" s="1"/>
      <c r="AD1004" s="1"/>
      <c r="AE1004" s="1"/>
      <c r="AF1004" s="1"/>
      <c r="AG1004" s="4"/>
      <c r="AH1004" s="1"/>
      <c r="AI1004" s="4"/>
      <c r="AJ1004" s="6"/>
      <c r="AK1004" s="7"/>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row>
    <row r="1005" spans="1:61" ht="16.5" customHeight="1">
      <c r="A1005" s="1"/>
      <c r="B1005" s="139"/>
      <c r="C1005" s="1"/>
      <c r="D1005" s="1"/>
      <c r="E1005" s="1"/>
      <c r="F1005" s="1"/>
      <c r="G1005" s="1"/>
      <c r="H1005" s="4"/>
      <c r="I1005" s="4"/>
      <c r="J1005" s="4"/>
      <c r="K1005" s="4"/>
      <c r="L1005" s="4"/>
      <c r="M1005" s="4"/>
      <c r="N1005" s="1"/>
      <c r="O1005" s="1"/>
      <c r="P1005" s="4"/>
      <c r="Q1005" s="5"/>
      <c r="R1005" s="4"/>
      <c r="S1005" s="1"/>
      <c r="T1005" s="1"/>
      <c r="U1005" s="1"/>
      <c r="V1005" s="1"/>
      <c r="W1005" s="1"/>
      <c r="X1005" s="6"/>
      <c r="Y1005" s="4"/>
      <c r="Z1005" s="4"/>
      <c r="AA1005" s="4"/>
      <c r="AB1005" s="1"/>
      <c r="AC1005" s="1"/>
      <c r="AD1005" s="1"/>
      <c r="AE1005" s="1"/>
      <c r="AF1005" s="1"/>
      <c r="AG1005" s="4"/>
      <c r="AH1005" s="1"/>
      <c r="AI1005" s="4"/>
      <c r="AJ1005" s="6"/>
      <c r="AK1005" s="7"/>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row>
    <row r="1006" spans="1:61" ht="16.5" customHeight="1">
      <c r="A1006" s="1"/>
      <c r="B1006" s="139"/>
      <c r="C1006" s="1"/>
      <c r="D1006" s="1"/>
      <c r="E1006" s="1"/>
      <c r="F1006" s="1"/>
      <c r="G1006" s="1"/>
      <c r="H1006" s="4"/>
      <c r="I1006" s="4"/>
      <c r="J1006" s="4"/>
      <c r="K1006" s="4"/>
      <c r="L1006" s="4"/>
      <c r="M1006" s="4"/>
      <c r="N1006" s="1"/>
      <c r="O1006" s="1"/>
      <c r="P1006" s="4"/>
      <c r="Q1006" s="5"/>
      <c r="R1006" s="4"/>
      <c r="S1006" s="1"/>
      <c r="T1006" s="1"/>
      <c r="U1006" s="1"/>
      <c r="V1006" s="1"/>
      <c r="W1006" s="1"/>
      <c r="X1006" s="6"/>
      <c r="Y1006" s="4"/>
      <c r="Z1006" s="4"/>
      <c r="AA1006" s="4"/>
      <c r="AB1006" s="1"/>
      <c r="AC1006" s="1"/>
      <c r="AD1006" s="1"/>
      <c r="AE1006" s="1"/>
      <c r="AF1006" s="1"/>
      <c r="AG1006" s="4"/>
      <c r="AH1006" s="1"/>
      <c r="AI1006" s="4"/>
      <c r="AJ1006" s="6"/>
      <c r="AK1006" s="7"/>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row>
    <row r="1007" spans="1:61" ht="16.5" customHeight="1">
      <c r="A1007" s="1"/>
      <c r="B1007" s="139"/>
      <c r="C1007" s="1"/>
      <c r="D1007" s="1"/>
      <c r="E1007" s="1"/>
      <c r="F1007" s="1"/>
      <c r="G1007" s="1"/>
      <c r="H1007" s="4"/>
      <c r="I1007" s="4"/>
      <c r="J1007" s="4"/>
      <c r="K1007" s="4"/>
      <c r="L1007" s="4"/>
      <c r="M1007" s="4"/>
      <c r="N1007" s="1"/>
      <c r="O1007" s="1"/>
      <c r="P1007" s="4"/>
      <c r="Q1007" s="5"/>
      <c r="R1007" s="4"/>
      <c r="S1007" s="1"/>
      <c r="T1007" s="1"/>
      <c r="U1007" s="1"/>
      <c r="V1007" s="1"/>
      <c r="W1007" s="1"/>
      <c r="X1007" s="6"/>
      <c r="Y1007" s="4"/>
      <c r="Z1007" s="4"/>
      <c r="AA1007" s="4"/>
      <c r="AB1007" s="1"/>
      <c r="AC1007" s="1"/>
      <c r="AD1007" s="1"/>
      <c r="AE1007" s="1"/>
      <c r="AF1007" s="1"/>
      <c r="AG1007" s="4"/>
      <c r="AH1007" s="1"/>
      <c r="AI1007" s="4"/>
      <c r="AJ1007" s="6"/>
      <c r="AK1007" s="7"/>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row>
    <row r="1008" spans="1:61" ht="16.5" customHeight="1">
      <c r="A1008" s="1"/>
      <c r="B1008" s="139"/>
      <c r="C1008" s="1"/>
      <c r="D1008" s="1"/>
      <c r="E1008" s="1"/>
      <c r="F1008" s="1"/>
      <c r="G1008" s="1"/>
      <c r="H1008" s="4"/>
      <c r="I1008" s="4"/>
      <c r="J1008" s="4"/>
      <c r="K1008" s="4"/>
      <c r="L1008" s="4"/>
      <c r="M1008" s="4"/>
      <c r="N1008" s="1"/>
      <c r="O1008" s="1"/>
      <c r="P1008" s="4"/>
      <c r="Q1008" s="5"/>
      <c r="R1008" s="4"/>
      <c r="S1008" s="1"/>
      <c r="T1008" s="1"/>
      <c r="U1008" s="1"/>
      <c r="V1008" s="1"/>
      <c r="W1008" s="1"/>
      <c r="X1008" s="6"/>
      <c r="Y1008" s="4"/>
      <c r="Z1008" s="4"/>
      <c r="AA1008" s="4"/>
      <c r="AB1008" s="1"/>
      <c r="AC1008" s="1"/>
      <c r="AD1008" s="1"/>
      <c r="AE1008" s="1"/>
      <c r="AF1008" s="1"/>
      <c r="AG1008" s="4"/>
      <c r="AH1008" s="1"/>
      <c r="AI1008" s="4"/>
      <c r="AJ1008" s="6"/>
      <c r="AK1008" s="7"/>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row>
    <row r="1009" spans="1:61" ht="16.5" customHeight="1">
      <c r="A1009" s="1"/>
      <c r="B1009" s="139"/>
      <c r="C1009" s="1"/>
      <c r="D1009" s="1"/>
      <c r="E1009" s="1"/>
      <c r="F1009" s="1"/>
      <c r="G1009" s="1"/>
      <c r="H1009" s="4"/>
      <c r="I1009" s="4"/>
      <c r="J1009" s="4"/>
      <c r="K1009" s="4"/>
      <c r="L1009" s="4"/>
      <c r="M1009" s="4"/>
      <c r="N1009" s="1"/>
      <c r="O1009" s="1"/>
      <c r="P1009" s="4"/>
      <c r="Q1009" s="5"/>
      <c r="R1009" s="4"/>
      <c r="S1009" s="1"/>
      <c r="T1009" s="1"/>
      <c r="U1009" s="1"/>
      <c r="V1009" s="1"/>
      <c r="W1009" s="1"/>
      <c r="X1009" s="6"/>
      <c r="Y1009" s="4"/>
      <c r="Z1009" s="4"/>
      <c r="AA1009" s="4"/>
      <c r="AB1009" s="1"/>
      <c r="AC1009" s="1"/>
      <c r="AD1009" s="1"/>
      <c r="AE1009" s="1"/>
      <c r="AF1009" s="1"/>
      <c r="AG1009" s="4"/>
      <c r="AH1009" s="1"/>
      <c r="AI1009" s="4"/>
      <c r="AJ1009" s="6"/>
      <c r="AK1009" s="7"/>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row>
    <row r="1010" spans="1:61" ht="16.5" customHeight="1">
      <c r="A1010" s="1"/>
      <c r="B1010" s="139"/>
      <c r="C1010" s="1"/>
      <c r="D1010" s="1"/>
      <c r="E1010" s="1"/>
      <c r="F1010" s="1"/>
      <c r="G1010" s="1"/>
      <c r="H1010" s="4"/>
      <c r="I1010" s="4"/>
      <c r="J1010" s="4"/>
      <c r="K1010" s="4"/>
      <c r="L1010" s="4"/>
      <c r="M1010" s="4"/>
      <c r="N1010" s="1"/>
      <c r="O1010" s="1"/>
      <c r="P1010" s="4"/>
      <c r="Q1010" s="5"/>
      <c r="R1010" s="4"/>
      <c r="S1010" s="1"/>
      <c r="T1010" s="1"/>
      <c r="U1010" s="1"/>
      <c r="V1010" s="1"/>
      <c r="W1010" s="1"/>
      <c r="X1010" s="6"/>
      <c r="Y1010" s="4"/>
      <c r="Z1010" s="4"/>
      <c r="AA1010" s="4"/>
      <c r="AB1010" s="1"/>
      <c r="AC1010" s="1"/>
      <c r="AD1010" s="1"/>
      <c r="AE1010" s="1"/>
      <c r="AF1010" s="1"/>
      <c r="AG1010" s="4"/>
      <c r="AH1010" s="1"/>
      <c r="AI1010" s="4"/>
      <c r="AJ1010" s="6"/>
      <c r="AK1010" s="7"/>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row>
    <row r="1011" spans="1:61" ht="16.5" customHeight="1">
      <c r="A1011" s="1"/>
      <c r="B1011" s="139"/>
      <c r="C1011" s="1"/>
      <c r="D1011" s="1"/>
      <c r="E1011" s="1"/>
      <c r="F1011" s="1"/>
      <c r="G1011" s="1"/>
      <c r="H1011" s="4"/>
      <c r="I1011" s="4"/>
      <c r="J1011" s="4"/>
      <c r="K1011" s="4"/>
      <c r="L1011" s="4"/>
      <c r="M1011" s="4"/>
      <c r="N1011" s="1"/>
      <c r="O1011" s="1"/>
      <c r="P1011" s="4"/>
      <c r="Q1011" s="5"/>
      <c r="R1011" s="4"/>
      <c r="S1011" s="1"/>
      <c r="T1011" s="1"/>
      <c r="U1011" s="1"/>
      <c r="V1011" s="1"/>
      <c r="W1011" s="1"/>
      <c r="X1011" s="6"/>
      <c r="Y1011" s="4"/>
      <c r="Z1011" s="4"/>
      <c r="AA1011" s="4"/>
      <c r="AB1011" s="1"/>
      <c r="AC1011" s="1"/>
      <c r="AD1011" s="1"/>
      <c r="AE1011" s="1"/>
      <c r="AF1011" s="1"/>
      <c r="AG1011" s="4"/>
      <c r="AH1011" s="1"/>
      <c r="AI1011" s="4"/>
      <c r="AJ1011" s="6"/>
      <c r="AK1011" s="7"/>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row>
    <row r="1012" spans="1:61" ht="16.5" customHeight="1">
      <c r="A1012" s="1"/>
      <c r="B1012" s="139"/>
      <c r="C1012" s="1"/>
      <c r="D1012" s="1"/>
      <c r="E1012" s="1"/>
      <c r="F1012" s="1"/>
      <c r="G1012" s="1"/>
      <c r="H1012" s="4"/>
      <c r="I1012" s="4"/>
      <c r="J1012" s="4"/>
      <c r="K1012" s="4"/>
      <c r="L1012" s="4"/>
      <c r="M1012" s="4"/>
      <c r="N1012" s="1"/>
      <c r="O1012" s="1"/>
      <c r="P1012" s="4"/>
      <c r="Q1012" s="5"/>
      <c r="R1012" s="4"/>
      <c r="S1012" s="1"/>
      <c r="T1012" s="1"/>
      <c r="U1012" s="1"/>
      <c r="V1012" s="1"/>
      <c r="W1012" s="1"/>
      <c r="X1012" s="6"/>
      <c r="Y1012" s="4"/>
      <c r="Z1012" s="4"/>
      <c r="AA1012" s="4"/>
      <c r="AB1012" s="1"/>
      <c r="AC1012" s="1"/>
      <c r="AD1012" s="1"/>
      <c r="AE1012" s="1"/>
      <c r="AF1012" s="1"/>
      <c r="AG1012" s="4"/>
      <c r="AH1012" s="1"/>
      <c r="AI1012" s="4"/>
      <c r="AJ1012" s="6"/>
      <c r="AK1012" s="7"/>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row>
    <row r="1013" spans="1:61" ht="16.5" customHeight="1">
      <c r="A1013" s="1"/>
      <c r="B1013" s="139"/>
      <c r="C1013" s="1"/>
      <c r="D1013" s="1"/>
      <c r="E1013" s="1"/>
      <c r="F1013" s="1"/>
      <c r="G1013" s="1"/>
      <c r="H1013" s="4"/>
      <c r="I1013" s="4"/>
      <c r="J1013" s="4"/>
      <c r="K1013" s="4"/>
      <c r="L1013" s="4"/>
      <c r="M1013" s="4"/>
      <c r="N1013" s="1"/>
      <c r="O1013" s="1"/>
      <c r="P1013" s="4"/>
      <c r="Q1013" s="5"/>
      <c r="R1013" s="4"/>
      <c r="S1013" s="1"/>
      <c r="T1013" s="1"/>
      <c r="U1013" s="1"/>
      <c r="V1013" s="1"/>
      <c r="W1013" s="1"/>
      <c r="X1013" s="6"/>
      <c r="Y1013" s="4"/>
      <c r="Z1013" s="4"/>
      <c r="AA1013" s="4"/>
      <c r="AB1013" s="1"/>
      <c r="AC1013" s="1"/>
      <c r="AD1013" s="1"/>
      <c r="AE1013" s="1"/>
      <c r="AF1013" s="1"/>
      <c r="AG1013" s="4"/>
      <c r="AH1013" s="1"/>
      <c r="AI1013" s="4"/>
      <c r="AJ1013" s="6"/>
      <c r="AK1013" s="7"/>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row>
    <row r="1014" spans="1:61" ht="16.5" customHeight="1">
      <c r="A1014" s="1"/>
      <c r="B1014" s="139"/>
      <c r="C1014" s="1"/>
      <c r="D1014" s="1"/>
      <c r="E1014" s="1"/>
      <c r="F1014" s="1"/>
      <c r="G1014" s="1"/>
      <c r="H1014" s="4"/>
      <c r="I1014" s="4"/>
      <c r="J1014" s="4"/>
      <c r="K1014" s="4"/>
      <c r="L1014" s="4"/>
      <c r="M1014" s="4"/>
      <c r="N1014" s="1"/>
      <c r="O1014" s="1"/>
      <c r="P1014" s="4"/>
      <c r="Q1014" s="5"/>
      <c r="R1014" s="4"/>
      <c r="S1014" s="1"/>
      <c r="T1014" s="1"/>
      <c r="U1014" s="1"/>
      <c r="V1014" s="1"/>
      <c r="W1014" s="1"/>
      <c r="X1014" s="6"/>
      <c r="Y1014" s="4"/>
      <c r="Z1014" s="4"/>
      <c r="AA1014" s="4"/>
      <c r="AB1014" s="1"/>
      <c r="AC1014" s="1"/>
      <c r="AD1014" s="1"/>
      <c r="AE1014" s="1"/>
      <c r="AF1014" s="1"/>
      <c r="AG1014" s="4"/>
      <c r="AH1014" s="1"/>
      <c r="AI1014" s="4"/>
      <c r="AJ1014" s="6"/>
      <c r="AK1014" s="7"/>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row>
    <row r="1015" spans="1:61" ht="16.5" customHeight="1">
      <c r="A1015" s="1"/>
      <c r="B1015" s="139"/>
      <c r="C1015" s="1"/>
      <c r="D1015" s="1"/>
      <c r="E1015" s="1"/>
      <c r="F1015" s="1"/>
      <c r="G1015" s="1"/>
      <c r="H1015" s="4"/>
      <c r="I1015" s="4"/>
      <c r="J1015" s="4"/>
      <c r="K1015" s="4"/>
      <c r="L1015" s="4"/>
      <c r="M1015" s="4"/>
      <c r="N1015" s="1"/>
      <c r="O1015" s="1"/>
      <c r="P1015" s="4"/>
      <c r="Q1015" s="5"/>
      <c r="R1015" s="4"/>
      <c r="S1015" s="1"/>
      <c r="T1015" s="1"/>
      <c r="U1015" s="1"/>
      <c r="V1015" s="1"/>
      <c r="W1015" s="1"/>
      <c r="X1015" s="6"/>
      <c r="Y1015" s="4"/>
      <c r="Z1015" s="4"/>
      <c r="AA1015" s="4"/>
      <c r="AB1015" s="1"/>
      <c r="AC1015" s="1"/>
      <c r="AD1015" s="1"/>
      <c r="AE1015" s="1"/>
      <c r="AF1015" s="1"/>
      <c r="AG1015" s="4"/>
      <c r="AH1015" s="1"/>
      <c r="AI1015" s="4"/>
      <c r="AJ1015" s="6"/>
      <c r="AK1015" s="7"/>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row>
    <row r="1016" spans="1:61" ht="16.5" customHeight="1">
      <c r="A1016" s="1"/>
      <c r="B1016" s="139"/>
      <c r="C1016" s="1"/>
      <c r="D1016" s="1"/>
      <c r="E1016" s="1"/>
      <c r="F1016" s="1"/>
      <c r="G1016" s="1"/>
      <c r="H1016" s="4"/>
      <c r="I1016" s="4"/>
      <c r="J1016" s="4"/>
      <c r="K1016" s="4"/>
      <c r="L1016" s="4"/>
      <c r="M1016" s="4"/>
      <c r="N1016" s="1"/>
      <c r="O1016" s="1"/>
      <c r="P1016" s="4"/>
      <c r="Q1016" s="5"/>
      <c r="R1016" s="4"/>
      <c r="S1016" s="1"/>
      <c r="T1016" s="1"/>
      <c r="U1016" s="1"/>
      <c r="V1016" s="1"/>
      <c r="W1016" s="1"/>
      <c r="X1016" s="6"/>
      <c r="Y1016" s="4"/>
      <c r="Z1016" s="4"/>
      <c r="AA1016" s="4"/>
      <c r="AB1016" s="1"/>
      <c r="AC1016" s="1"/>
      <c r="AD1016" s="1"/>
      <c r="AE1016" s="1"/>
      <c r="AF1016" s="1"/>
      <c r="AG1016" s="4"/>
      <c r="AH1016" s="1"/>
      <c r="AI1016" s="4"/>
      <c r="AJ1016" s="6"/>
      <c r="AK1016" s="7"/>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row>
    <row r="1017" spans="1:61" ht="16.5" customHeight="1">
      <c r="A1017" s="1"/>
      <c r="B1017" s="139"/>
      <c r="C1017" s="1"/>
      <c r="D1017" s="1"/>
      <c r="E1017" s="1"/>
      <c r="F1017" s="1"/>
      <c r="G1017" s="1"/>
      <c r="H1017" s="4"/>
      <c r="I1017" s="4"/>
      <c r="J1017" s="4"/>
      <c r="K1017" s="4"/>
      <c r="L1017" s="4"/>
      <c r="M1017" s="4"/>
      <c r="N1017" s="1"/>
      <c r="O1017" s="1"/>
      <c r="P1017" s="4"/>
      <c r="Q1017" s="5"/>
      <c r="R1017" s="4"/>
      <c r="S1017" s="1"/>
      <c r="T1017" s="1"/>
      <c r="U1017" s="1"/>
      <c r="V1017" s="1"/>
      <c r="W1017" s="1"/>
      <c r="X1017" s="6"/>
      <c r="Y1017" s="4"/>
      <c r="Z1017" s="4"/>
      <c r="AA1017" s="4"/>
      <c r="AB1017" s="1"/>
      <c r="AC1017" s="1"/>
      <c r="AD1017" s="1"/>
      <c r="AE1017" s="1"/>
      <c r="AF1017" s="1"/>
      <c r="AG1017" s="4"/>
      <c r="AH1017" s="1"/>
      <c r="AI1017" s="4"/>
      <c r="AJ1017" s="6"/>
      <c r="AK1017" s="7"/>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row>
    <row r="1018" spans="1:61" ht="16.5" customHeight="1">
      <c r="A1018" s="1"/>
      <c r="B1018" s="139"/>
      <c r="C1018" s="1"/>
      <c r="D1018" s="1"/>
      <c r="E1018" s="1"/>
      <c r="F1018" s="1"/>
      <c r="G1018" s="1"/>
      <c r="H1018" s="4"/>
      <c r="I1018" s="4"/>
      <c r="J1018" s="4"/>
      <c r="K1018" s="4"/>
      <c r="L1018" s="4"/>
      <c r="M1018" s="4"/>
      <c r="N1018" s="1"/>
      <c r="O1018" s="1"/>
      <c r="P1018" s="4"/>
      <c r="Q1018" s="5"/>
      <c r="R1018" s="4"/>
      <c r="S1018" s="1"/>
      <c r="T1018" s="1"/>
      <c r="U1018" s="1"/>
      <c r="V1018" s="1"/>
      <c r="W1018" s="1"/>
      <c r="X1018" s="6"/>
      <c r="Y1018" s="4"/>
      <c r="Z1018" s="4"/>
      <c r="AA1018" s="4"/>
      <c r="AB1018" s="1"/>
      <c r="AC1018" s="1"/>
      <c r="AD1018" s="1"/>
      <c r="AE1018" s="1"/>
      <c r="AF1018" s="1"/>
      <c r="AG1018" s="4"/>
      <c r="AH1018" s="1"/>
      <c r="AI1018" s="4"/>
      <c r="AJ1018" s="6"/>
      <c r="AK1018" s="7"/>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row>
    <row r="1019" spans="1:61" ht="16.5" customHeight="1">
      <c r="A1019" s="1"/>
      <c r="B1019" s="139"/>
      <c r="C1019" s="1"/>
      <c r="D1019" s="1"/>
      <c r="E1019" s="1"/>
      <c r="F1019" s="1"/>
      <c r="G1019" s="1"/>
      <c r="H1019" s="4"/>
      <c r="I1019" s="4"/>
      <c r="J1019" s="4"/>
      <c r="K1019" s="4"/>
      <c r="L1019" s="4"/>
      <c r="M1019" s="4"/>
      <c r="N1019" s="1"/>
      <c r="O1019" s="1"/>
      <c r="P1019" s="4"/>
      <c r="Q1019" s="5"/>
      <c r="R1019" s="4"/>
      <c r="S1019" s="1"/>
      <c r="T1019" s="1"/>
      <c r="U1019" s="1"/>
      <c r="V1019" s="1"/>
      <c r="W1019" s="1"/>
      <c r="X1019" s="6"/>
      <c r="Y1019" s="4"/>
      <c r="Z1019" s="4"/>
      <c r="AA1019" s="4"/>
      <c r="AB1019" s="1"/>
      <c r="AC1019" s="1"/>
      <c r="AD1019" s="1"/>
      <c r="AE1019" s="1"/>
      <c r="AF1019" s="1"/>
      <c r="AG1019" s="4"/>
      <c r="AH1019" s="1"/>
      <c r="AI1019" s="4"/>
      <c r="AJ1019" s="6"/>
      <c r="AK1019" s="7"/>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row>
    <row r="1020" spans="1:61" ht="16.5" customHeight="1">
      <c r="A1020" s="1"/>
      <c r="B1020" s="139"/>
      <c r="C1020" s="1"/>
      <c r="D1020" s="1"/>
      <c r="E1020" s="1"/>
      <c r="F1020" s="1"/>
      <c r="G1020" s="1"/>
      <c r="H1020" s="4"/>
      <c r="I1020" s="4"/>
      <c r="J1020" s="4"/>
      <c r="K1020" s="4"/>
      <c r="L1020" s="4"/>
      <c r="M1020" s="4"/>
      <c r="N1020" s="1"/>
      <c r="O1020" s="1"/>
      <c r="P1020" s="4"/>
      <c r="Q1020" s="5"/>
      <c r="R1020" s="4"/>
      <c r="S1020" s="1"/>
      <c r="T1020" s="1"/>
      <c r="U1020" s="1"/>
      <c r="V1020" s="1"/>
      <c r="W1020" s="1"/>
      <c r="X1020" s="6"/>
      <c r="Y1020" s="4"/>
      <c r="Z1020" s="4"/>
      <c r="AA1020" s="4"/>
      <c r="AB1020" s="1"/>
      <c r="AC1020" s="1"/>
      <c r="AD1020" s="1"/>
      <c r="AE1020" s="1"/>
      <c r="AF1020" s="1"/>
      <c r="AG1020" s="4"/>
      <c r="AH1020" s="1"/>
      <c r="AI1020" s="4"/>
      <c r="AJ1020" s="6"/>
      <c r="AK1020" s="7"/>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row>
    <row r="1021" spans="1:61" ht="16.5" customHeight="1">
      <c r="A1021" s="1"/>
      <c r="B1021" s="139"/>
      <c r="C1021" s="1"/>
      <c r="D1021" s="1"/>
      <c r="E1021" s="1"/>
      <c r="F1021" s="1"/>
      <c r="G1021" s="1"/>
      <c r="H1021" s="4"/>
      <c r="I1021" s="4"/>
      <c r="J1021" s="4"/>
      <c r="K1021" s="4"/>
      <c r="L1021" s="4"/>
      <c r="M1021" s="4"/>
      <c r="N1021" s="1"/>
      <c r="O1021" s="1"/>
      <c r="P1021" s="4"/>
      <c r="Q1021" s="5"/>
      <c r="R1021" s="4"/>
      <c r="S1021" s="1"/>
      <c r="T1021" s="1"/>
      <c r="U1021" s="1"/>
      <c r="V1021" s="1"/>
      <c r="W1021" s="1"/>
      <c r="X1021" s="6"/>
      <c r="Y1021" s="4"/>
      <c r="Z1021" s="4"/>
      <c r="AA1021" s="4"/>
      <c r="AB1021" s="1"/>
      <c r="AC1021" s="1"/>
      <c r="AD1021" s="1"/>
      <c r="AE1021" s="1"/>
      <c r="AF1021" s="1"/>
      <c r="AG1021" s="4"/>
      <c r="AH1021" s="1"/>
      <c r="AI1021" s="4"/>
      <c r="AJ1021" s="6"/>
      <c r="AK1021" s="7"/>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row>
    <row r="1022" spans="1:61" ht="16.5" customHeight="1">
      <c r="A1022" s="1"/>
      <c r="B1022" s="139"/>
      <c r="C1022" s="1"/>
      <c r="D1022" s="1"/>
      <c r="E1022" s="1"/>
      <c r="F1022" s="1"/>
      <c r="G1022" s="1"/>
      <c r="H1022" s="4"/>
      <c r="I1022" s="4"/>
      <c r="J1022" s="4"/>
      <c r="K1022" s="4"/>
      <c r="L1022" s="4"/>
      <c r="M1022" s="4"/>
      <c r="N1022" s="1"/>
      <c r="O1022" s="1"/>
      <c r="P1022" s="4"/>
      <c r="Q1022" s="5"/>
      <c r="R1022" s="4"/>
      <c r="S1022" s="1"/>
      <c r="T1022" s="1"/>
      <c r="U1022" s="1"/>
      <c r="V1022" s="1"/>
      <c r="W1022" s="1"/>
      <c r="X1022" s="6"/>
      <c r="Y1022" s="4"/>
      <c r="Z1022" s="4"/>
      <c r="AA1022" s="4"/>
      <c r="AB1022" s="1"/>
      <c r="AC1022" s="1"/>
      <c r="AD1022" s="1"/>
      <c r="AE1022" s="1"/>
      <c r="AF1022" s="1"/>
      <c r="AG1022" s="4"/>
      <c r="AH1022" s="1"/>
      <c r="AI1022" s="4"/>
      <c r="AJ1022" s="6"/>
      <c r="AK1022" s="7"/>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row>
    <row r="1023" spans="1:61" ht="16.5" customHeight="1">
      <c r="A1023" s="1"/>
      <c r="B1023" s="139"/>
      <c r="C1023" s="1"/>
      <c r="D1023" s="1"/>
      <c r="E1023" s="1"/>
      <c r="F1023" s="1"/>
      <c r="G1023" s="1"/>
      <c r="H1023" s="4"/>
      <c r="I1023" s="4"/>
      <c r="J1023" s="4"/>
      <c r="K1023" s="4"/>
      <c r="L1023" s="4"/>
      <c r="M1023" s="4"/>
      <c r="N1023" s="1"/>
      <c r="O1023" s="1"/>
      <c r="P1023" s="4"/>
      <c r="Q1023" s="5"/>
      <c r="R1023" s="4"/>
      <c r="S1023" s="1"/>
      <c r="T1023" s="1"/>
      <c r="U1023" s="1"/>
      <c r="V1023" s="1"/>
      <c r="W1023" s="1"/>
      <c r="X1023" s="6"/>
      <c r="Y1023" s="4"/>
      <c r="Z1023" s="4"/>
      <c r="AA1023" s="4"/>
      <c r="AB1023" s="1"/>
      <c r="AC1023" s="1"/>
      <c r="AD1023" s="1"/>
      <c r="AE1023" s="1"/>
      <c r="AF1023" s="1"/>
      <c r="AG1023" s="4"/>
      <c r="AH1023" s="1"/>
      <c r="AI1023" s="4"/>
      <c r="AJ1023" s="6"/>
      <c r="AK1023" s="7"/>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row>
    <row r="1024" spans="1:61" ht="16.5" customHeight="1">
      <c r="A1024" s="1"/>
      <c r="B1024" s="139"/>
      <c r="C1024" s="1"/>
      <c r="D1024" s="1"/>
      <c r="E1024" s="1"/>
      <c r="F1024" s="1"/>
      <c r="G1024" s="1"/>
      <c r="H1024" s="4"/>
      <c r="I1024" s="4"/>
      <c r="J1024" s="4"/>
      <c r="K1024" s="4"/>
      <c r="L1024" s="4"/>
      <c r="M1024" s="4"/>
      <c r="N1024" s="1"/>
      <c r="O1024" s="1"/>
      <c r="P1024" s="4"/>
      <c r="Q1024" s="5"/>
      <c r="R1024" s="4"/>
      <c r="S1024" s="1"/>
      <c r="T1024" s="1"/>
      <c r="U1024" s="1"/>
      <c r="V1024" s="1"/>
      <c r="W1024" s="1"/>
      <c r="X1024" s="6"/>
      <c r="Y1024" s="4"/>
      <c r="Z1024" s="4"/>
      <c r="AA1024" s="4"/>
      <c r="AB1024" s="1"/>
      <c r="AC1024" s="1"/>
      <c r="AD1024" s="1"/>
      <c r="AE1024" s="1"/>
      <c r="AF1024" s="1"/>
      <c r="AG1024" s="4"/>
      <c r="AH1024" s="1"/>
      <c r="AI1024" s="4"/>
      <c r="AJ1024" s="6"/>
      <c r="AK1024" s="7"/>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row>
    <row r="1025" spans="1:61" ht="16.5" customHeight="1">
      <c r="A1025" s="1"/>
      <c r="B1025" s="139"/>
      <c r="C1025" s="1"/>
      <c r="D1025" s="1"/>
      <c r="E1025" s="1"/>
      <c r="F1025" s="1"/>
      <c r="G1025" s="1"/>
      <c r="H1025" s="4"/>
      <c r="I1025" s="4"/>
      <c r="J1025" s="4"/>
      <c r="K1025" s="4"/>
      <c r="L1025" s="4"/>
      <c r="M1025" s="4"/>
      <c r="N1025" s="1"/>
      <c r="O1025" s="1"/>
      <c r="P1025" s="4"/>
      <c r="Q1025" s="5"/>
      <c r="R1025" s="4"/>
      <c r="S1025" s="1"/>
      <c r="T1025" s="1"/>
      <c r="U1025" s="1"/>
      <c r="V1025" s="1"/>
      <c r="W1025" s="1"/>
      <c r="X1025" s="6"/>
      <c r="Y1025" s="4"/>
      <c r="Z1025" s="4"/>
      <c r="AA1025" s="4"/>
      <c r="AB1025" s="1"/>
      <c r="AC1025" s="1"/>
      <c r="AD1025" s="1"/>
      <c r="AE1025" s="1"/>
      <c r="AF1025" s="1"/>
      <c r="AG1025" s="4"/>
      <c r="AH1025" s="1"/>
      <c r="AI1025" s="4"/>
      <c r="AJ1025" s="6"/>
      <c r="AK1025" s="7"/>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row>
    <row r="1026" spans="1:61" ht="16.5" customHeight="1">
      <c r="A1026" s="1"/>
      <c r="B1026" s="139"/>
      <c r="C1026" s="1"/>
      <c r="D1026" s="1"/>
      <c r="E1026" s="1"/>
      <c r="F1026" s="1"/>
      <c r="G1026" s="1"/>
      <c r="H1026" s="4"/>
      <c r="I1026" s="4"/>
      <c r="J1026" s="4"/>
      <c r="K1026" s="4"/>
      <c r="L1026" s="4"/>
      <c r="M1026" s="4"/>
      <c r="N1026" s="1"/>
      <c r="O1026" s="1"/>
      <c r="P1026" s="4"/>
      <c r="Q1026" s="5"/>
      <c r="R1026" s="4"/>
      <c r="S1026" s="1"/>
      <c r="T1026" s="1"/>
      <c r="U1026" s="1"/>
      <c r="V1026" s="1"/>
      <c r="W1026" s="1"/>
      <c r="X1026" s="6"/>
      <c r="Y1026" s="4"/>
      <c r="Z1026" s="4"/>
      <c r="AA1026" s="4"/>
      <c r="AB1026" s="1"/>
      <c r="AC1026" s="1"/>
      <c r="AD1026" s="1"/>
      <c r="AE1026" s="1"/>
      <c r="AF1026" s="1"/>
      <c r="AG1026" s="4"/>
      <c r="AH1026" s="1"/>
      <c r="AI1026" s="4"/>
      <c r="AJ1026" s="6"/>
      <c r="AK1026" s="7"/>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row>
    <row r="1027" spans="1:61" ht="16.5" customHeight="1">
      <c r="A1027" s="1"/>
      <c r="B1027" s="139"/>
      <c r="C1027" s="1"/>
      <c r="D1027" s="1"/>
      <c r="E1027" s="1"/>
      <c r="F1027" s="1"/>
      <c r="G1027" s="1"/>
      <c r="H1027" s="4"/>
      <c r="I1027" s="4"/>
      <c r="J1027" s="4"/>
      <c r="K1027" s="4"/>
      <c r="L1027" s="4"/>
      <c r="M1027" s="4"/>
      <c r="N1027" s="1"/>
      <c r="O1027" s="1"/>
      <c r="P1027" s="4"/>
      <c r="Q1027" s="5"/>
      <c r="R1027" s="4"/>
      <c r="S1027" s="1"/>
      <c r="T1027" s="1"/>
      <c r="U1027" s="1"/>
      <c r="V1027" s="1"/>
      <c r="W1027" s="1"/>
      <c r="X1027" s="6"/>
      <c r="Y1027" s="4"/>
      <c r="Z1027" s="4"/>
      <c r="AA1027" s="4"/>
      <c r="AB1027" s="1"/>
      <c r="AC1027" s="1"/>
      <c r="AD1027" s="1"/>
      <c r="AE1027" s="1"/>
      <c r="AF1027" s="1"/>
      <c r="AG1027" s="4"/>
      <c r="AH1027" s="1"/>
      <c r="AI1027" s="4"/>
      <c r="AJ1027" s="6"/>
      <c r="AK1027" s="7"/>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row>
    <row r="1028" spans="1:61" ht="16.5" customHeight="1">
      <c r="A1028" s="1"/>
      <c r="B1028" s="139"/>
      <c r="C1028" s="1"/>
      <c r="D1028" s="1"/>
      <c r="E1028" s="1"/>
      <c r="F1028" s="1"/>
      <c r="G1028" s="1"/>
      <c r="H1028" s="4"/>
      <c r="I1028" s="4"/>
      <c r="J1028" s="4"/>
      <c r="K1028" s="4"/>
      <c r="L1028" s="4"/>
      <c r="M1028" s="4"/>
      <c r="N1028" s="1"/>
      <c r="O1028" s="1"/>
      <c r="P1028" s="4"/>
      <c r="Q1028" s="5"/>
      <c r="R1028" s="4"/>
      <c r="S1028" s="1"/>
      <c r="T1028" s="1"/>
      <c r="U1028" s="1"/>
      <c r="V1028" s="1"/>
      <c r="W1028" s="1"/>
      <c r="X1028" s="6"/>
      <c r="Y1028" s="4"/>
      <c r="Z1028" s="4"/>
      <c r="AA1028" s="4"/>
      <c r="AB1028" s="1"/>
      <c r="AC1028" s="1"/>
      <c r="AD1028" s="1"/>
      <c r="AE1028" s="1"/>
      <c r="AF1028" s="1"/>
      <c r="AG1028" s="4"/>
      <c r="AH1028" s="1"/>
      <c r="AI1028" s="4"/>
      <c r="AJ1028" s="6"/>
      <c r="AK1028" s="7"/>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row>
    <row r="1029" spans="1:61" ht="16.5" customHeight="1">
      <c r="A1029" s="1"/>
      <c r="B1029" s="139"/>
      <c r="C1029" s="1"/>
      <c r="D1029" s="1"/>
      <c r="E1029" s="1"/>
      <c r="F1029" s="1"/>
      <c r="G1029" s="1"/>
      <c r="H1029" s="4"/>
      <c r="I1029" s="4"/>
      <c r="J1029" s="4"/>
      <c r="K1029" s="4"/>
      <c r="L1029" s="4"/>
      <c r="M1029" s="4"/>
      <c r="N1029" s="1"/>
      <c r="O1029" s="1"/>
      <c r="P1029" s="4"/>
      <c r="Q1029" s="5"/>
      <c r="R1029" s="4"/>
      <c r="S1029" s="1"/>
      <c r="T1029" s="1"/>
      <c r="U1029" s="1"/>
      <c r="V1029" s="1"/>
      <c r="W1029" s="1"/>
      <c r="X1029" s="6"/>
      <c r="Y1029" s="4"/>
      <c r="Z1029" s="4"/>
      <c r="AA1029" s="4"/>
      <c r="AB1029" s="1"/>
      <c r="AC1029" s="1"/>
      <c r="AD1029" s="1"/>
      <c r="AE1029" s="1"/>
      <c r="AF1029" s="1"/>
      <c r="AG1029" s="4"/>
      <c r="AH1029" s="1"/>
      <c r="AI1029" s="4"/>
      <c r="AJ1029" s="6"/>
      <c r="AK1029" s="7"/>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row>
    <row r="1030" spans="1:61" ht="16.5" customHeight="1">
      <c r="A1030" s="1"/>
      <c r="B1030" s="139"/>
      <c r="C1030" s="1"/>
      <c r="D1030" s="1"/>
      <c r="E1030" s="1"/>
      <c r="F1030" s="1"/>
      <c r="G1030" s="1"/>
      <c r="H1030" s="4"/>
      <c r="I1030" s="4"/>
      <c r="J1030" s="4"/>
      <c r="K1030" s="4"/>
      <c r="L1030" s="4"/>
      <c r="M1030" s="4"/>
      <c r="N1030" s="1"/>
      <c r="O1030" s="1"/>
      <c r="P1030" s="4"/>
      <c r="Q1030" s="5"/>
      <c r="R1030" s="4"/>
      <c r="S1030" s="1"/>
      <c r="T1030" s="1"/>
      <c r="U1030" s="1"/>
      <c r="V1030" s="1"/>
      <c r="W1030" s="1"/>
      <c r="X1030" s="6"/>
      <c r="Y1030" s="4"/>
      <c r="Z1030" s="4"/>
      <c r="AA1030" s="4"/>
      <c r="AB1030" s="1"/>
      <c r="AC1030" s="1"/>
      <c r="AD1030" s="1"/>
      <c r="AE1030" s="1"/>
      <c r="AF1030" s="1"/>
      <c r="AG1030" s="4"/>
      <c r="AH1030" s="1"/>
      <c r="AI1030" s="4"/>
      <c r="AJ1030" s="6"/>
      <c r="AK1030" s="7"/>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row>
    <row r="1031" spans="1:61" ht="16.5" customHeight="1">
      <c r="A1031" s="1"/>
      <c r="B1031" s="139"/>
      <c r="C1031" s="1"/>
      <c r="D1031" s="1"/>
      <c r="E1031" s="1"/>
      <c r="F1031" s="1"/>
      <c r="G1031" s="1"/>
      <c r="H1031" s="4"/>
      <c r="I1031" s="4"/>
      <c r="J1031" s="4"/>
      <c r="K1031" s="4"/>
      <c r="L1031" s="4"/>
      <c r="M1031" s="4"/>
      <c r="N1031" s="1"/>
      <c r="O1031" s="1"/>
      <c r="P1031" s="4"/>
      <c r="Q1031" s="5"/>
      <c r="R1031" s="4"/>
      <c r="S1031" s="1"/>
      <c r="T1031" s="1"/>
      <c r="U1031" s="1"/>
      <c r="V1031" s="1"/>
      <c r="W1031" s="1"/>
      <c r="X1031" s="6"/>
      <c r="Y1031" s="4"/>
      <c r="Z1031" s="4"/>
      <c r="AA1031" s="4"/>
      <c r="AB1031" s="1"/>
      <c r="AC1031" s="1"/>
      <c r="AD1031" s="1"/>
      <c r="AE1031" s="1"/>
      <c r="AF1031" s="1"/>
      <c r="AG1031" s="4"/>
      <c r="AH1031" s="1"/>
      <c r="AI1031" s="4"/>
      <c r="AJ1031" s="6"/>
      <c r="AK1031" s="7"/>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row>
    <row r="1032" spans="1:61" ht="16.5" customHeight="1">
      <c r="A1032" s="1"/>
      <c r="B1032" s="139"/>
      <c r="C1032" s="1"/>
      <c r="D1032" s="1"/>
      <c r="E1032" s="1"/>
      <c r="F1032" s="1"/>
      <c r="G1032" s="1"/>
      <c r="H1032" s="4"/>
      <c r="I1032" s="4"/>
      <c r="J1032" s="4"/>
      <c r="K1032" s="4"/>
      <c r="L1032" s="4"/>
      <c r="M1032" s="4"/>
      <c r="N1032" s="1"/>
      <c r="O1032" s="1"/>
      <c r="P1032" s="4"/>
      <c r="Q1032" s="5"/>
      <c r="R1032" s="4"/>
      <c r="S1032" s="1"/>
      <c r="T1032" s="1"/>
      <c r="U1032" s="1"/>
      <c r="V1032" s="1"/>
      <c r="W1032" s="1"/>
      <c r="X1032" s="6"/>
      <c r="Y1032" s="4"/>
      <c r="Z1032" s="4"/>
      <c r="AA1032" s="4"/>
      <c r="AB1032" s="1"/>
      <c r="AC1032" s="1"/>
      <c r="AD1032" s="1"/>
      <c r="AE1032" s="1"/>
      <c r="AF1032" s="1"/>
      <c r="AG1032" s="4"/>
      <c r="AH1032" s="1"/>
      <c r="AI1032" s="4"/>
      <c r="AJ1032" s="6"/>
      <c r="AK1032" s="7"/>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row>
    <row r="1033" spans="1:61" ht="16.5" customHeight="1">
      <c r="A1033" s="1"/>
      <c r="B1033" s="139"/>
      <c r="C1033" s="1"/>
      <c r="D1033" s="1"/>
      <c r="E1033" s="1"/>
      <c r="F1033" s="1"/>
      <c r="G1033" s="1"/>
      <c r="H1033" s="4"/>
      <c r="I1033" s="4"/>
      <c r="J1033" s="4"/>
      <c r="K1033" s="4"/>
      <c r="L1033" s="4"/>
      <c r="M1033" s="4"/>
      <c r="N1033" s="1"/>
      <c r="O1033" s="1"/>
      <c r="P1033" s="4"/>
      <c r="Q1033" s="5"/>
      <c r="R1033" s="4"/>
      <c r="S1033" s="1"/>
      <c r="T1033" s="1"/>
      <c r="U1033" s="1"/>
      <c r="V1033" s="1"/>
      <c r="W1033" s="1"/>
      <c r="X1033" s="6"/>
      <c r="Y1033" s="4"/>
      <c r="Z1033" s="4"/>
      <c r="AA1033" s="4"/>
      <c r="AB1033" s="1"/>
      <c r="AC1033" s="1"/>
      <c r="AD1033" s="1"/>
      <c r="AE1033" s="1"/>
      <c r="AF1033" s="1"/>
      <c r="AG1033" s="4"/>
      <c r="AH1033" s="1"/>
      <c r="AI1033" s="4"/>
      <c r="AJ1033" s="6"/>
      <c r="AK1033" s="7"/>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row>
    <row r="1034" spans="1:61" ht="16.5" customHeight="1">
      <c r="A1034" s="1"/>
      <c r="B1034" s="139"/>
      <c r="C1034" s="1"/>
      <c r="D1034" s="1"/>
      <c r="E1034" s="1"/>
      <c r="F1034" s="1"/>
      <c r="G1034" s="1"/>
      <c r="H1034" s="4"/>
      <c r="I1034" s="4"/>
      <c r="J1034" s="4"/>
      <c r="K1034" s="4"/>
      <c r="L1034" s="4"/>
      <c r="M1034" s="4"/>
      <c r="N1034" s="1"/>
      <c r="O1034" s="1"/>
      <c r="P1034" s="4"/>
      <c r="Q1034" s="5"/>
      <c r="R1034" s="4"/>
      <c r="S1034" s="1"/>
      <c r="T1034" s="1"/>
      <c r="U1034" s="1"/>
      <c r="V1034" s="1"/>
      <c r="W1034" s="1"/>
      <c r="X1034" s="6"/>
      <c r="Y1034" s="4"/>
      <c r="Z1034" s="4"/>
      <c r="AA1034" s="4"/>
      <c r="AB1034" s="1"/>
      <c r="AC1034" s="1"/>
      <c r="AD1034" s="1"/>
      <c r="AE1034" s="1"/>
      <c r="AF1034" s="1"/>
      <c r="AG1034" s="4"/>
      <c r="AH1034" s="1"/>
      <c r="AI1034" s="4"/>
      <c r="AJ1034" s="6"/>
      <c r="AK1034" s="7"/>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row>
    <row r="1035" spans="1:61" ht="16.5" customHeight="1">
      <c r="A1035" s="1"/>
      <c r="B1035" s="139"/>
      <c r="C1035" s="1"/>
      <c r="D1035" s="1"/>
      <c r="E1035" s="1"/>
      <c r="F1035" s="1"/>
      <c r="G1035" s="1"/>
      <c r="H1035" s="4"/>
      <c r="I1035" s="4"/>
      <c r="J1035" s="4"/>
      <c r="K1035" s="4"/>
      <c r="L1035" s="4"/>
      <c r="M1035" s="4"/>
      <c r="N1035" s="1"/>
      <c r="O1035" s="1"/>
      <c r="P1035" s="4"/>
      <c r="Q1035" s="5"/>
      <c r="R1035" s="4"/>
      <c r="S1035" s="1"/>
      <c r="T1035" s="1"/>
      <c r="U1035" s="1"/>
      <c r="V1035" s="1"/>
      <c r="W1035" s="1"/>
      <c r="X1035" s="6"/>
      <c r="Y1035" s="4"/>
      <c r="Z1035" s="4"/>
      <c r="AA1035" s="4"/>
      <c r="AB1035" s="1"/>
      <c r="AC1035" s="1"/>
      <c r="AD1035" s="1"/>
      <c r="AE1035" s="1"/>
      <c r="AF1035" s="1"/>
      <c r="AG1035" s="4"/>
      <c r="AH1035" s="1"/>
      <c r="AI1035" s="4"/>
      <c r="AJ1035" s="6"/>
      <c r="AK1035" s="7"/>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row>
    <row r="1036" spans="1:61" ht="16.5" customHeight="1">
      <c r="A1036" s="1"/>
      <c r="B1036" s="139"/>
      <c r="C1036" s="1"/>
      <c r="D1036" s="1"/>
      <c r="E1036" s="1"/>
      <c r="F1036" s="1"/>
      <c r="G1036" s="1"/>
      <c r="H1036" s="4"/>
      <c r="I1036" s="4"/>
      <c r="J1036" s="4"/>
      <c r="K1036" s="4"/>
      <c r="L1036" s="4"/>
      <c r="M1036" s="4"/>
      <c r="N1036" s="1"/>
      <c r="O1036" s="1"/>
      <c r="P1036" s="4"/>
      <c r="Q1036" s="5"/>
      <c r="R1036" s="4"/>
      <c r="S1036" s="1"/>
      <c r="T1036" s="1"/>
      <c r="U1036" s="1"/>
      <c r="V1036" s="1"/>
      <c r="W1036" s="1"/>
      <c r="X1036" s="6"/>
      <c r="Y1036" s="4"/>
      <c r="Z1036" s="4"/>
      <c r="AA1036" s="4"/>
      <c r="AB1036" s="1"/>
      <c r="AC1036" s="1"/>
      <c r="AD1036" s="1"/>
      <c r="AE1036" s="1"/>
      <c r="AF1036" s="1"/>
      <c r="AG1036" s="4"/>
      <c r="AH1036" s="1"/>
      <c r="AI1036" s="4"/>
      <c r="AJ1036" s="6"/>
      <c r="AK1036" s="7"/>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row>
    <row r="1037" spans="1:61" ht="16.5" customHeight="1">
      <c r="A1037" s="1"/>
      <c r="B1037" s="139"/>
      <c r="C1037" s="1"/>
      <c r="D1037" s="1"/>
      <c r="E1037" s="1"/>
      <c r="F1037" s="1"/>
      <c r="G1037" s="1"/>
      <c r="H1037" s="4"/>
      <c r="I1037" s="4"/>
      <c r="J1037" s="4"/>
      <c r="K1037" s="4"/>
      <c r="L1037" s="4"/>
      <c r="M1037" s="4"/>
      <c r="N1037" s="1"/>
      <c r="O1037" s="1"/>
      <c r="P1037" s="4"/>
      <c r="Q1037" s="5"/>
      <c r="R1037" s="4"/>
      <c r="S1037" s="1"/>
      <c r="T1037" s="1"/>
      <c r="U1037" s="1"/>
      <c r="V1037" s="1"/>
      <c r="W1037" s="1"/>
      <c r="X1037" s="6"/>
      <c r="Y1037" s="4"/>
      <c r="Z1037" s="4"/>
      <c r="AA1037" s="4"/>
      <c r="AB1037" s="1"/>
      <c r="AC1037" s="1"/>
      <c r="AD1037" s="1"/>
      <c r="AE1037" s="1"/>
      <c r="AF1037" s="1"/>
      <c r="AG1037" s="4"/>
      <c r="AH1037" s="1"/>
      <c r="AI1037" s="4"/>
      <c r="AJ1037" s="6"/>
      <c r="AK1037" s="7"/>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row>
    <row r="1038" spans="1:61" ht="16.5" customHeight="1">
      <c r="A1038" s="1"/>
      <c r="B1038" s="139"/>
      <c r="C1038" s="1"/>
      <c r="D1038" s="1"/>
      <c r="E1038" s="1"/>
      <c r="F1038" s="1"/>
      <c r="G1038" s="1"/>
      <c r="H1038" s="4"/>
      <c r="I1038" s="4"/>
      <c r="J1038" s="4"/>
      <c r="K1038" s="4"/>
      <c r="L1038" s="4"/>
      <c r="M1038" s="4"/>
      <c r="N1038" s="1"/>
      <c r="O1038" s="1"/>
      <c r="P1038" s="4"/>
      <c r="Q1038" s="5"/>
      <c r="R1038" s="4"/>
      <c r="S1038" s="1"/>
      <c r="T1038" s="1"/>
      <c r="U1038" s="1"/>
      <c r="V1038" s="1"/>
      <c r="W1038" s="1"/>
      <c r="X1038" s="6"/>
      <c r="Y1038" s="4"/>
      <c r="Z1038" s="4"/>
      <c r="AA1038" s="4"/>
      <c r="AB1038" s="1"/>
      <c r="AC1038" s="1"/>
      <c r="AD1038" s="1"/>
      <c r="AE1038" s="1"/>
      <c r="AF1038" s="1"/>
      <c r="AG1038" s="4"/>
      <c r="AH1038" s="1"/>
      <c r="AI1038" s="4"/>
      <c r="AJ1038" s="6"/>
      <c r="AK1038" s="7"/>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row>
    <row r="1039" spans="1:61" ht="16.5" customHeight="1">
      <c r="A1039" s="1"/>
      <c r="B1039" s="139"/>
      <c r="C1039" s="1"/>
      <c r="D1039" s="1"/>
      <c r="E1039" s="1"/>
      <c r="F1039" s="1"/>
      <c r="G1039" s="1"/>
      <c r="H1039" s="4"/>
      <c r="I1039" s="4"/>
      <c r="J1039" s="4"/>
      <c r="K1039" s="4"/>
      <c r="L1039" s="4"/>
      <c r="M1039" s="4"/>
      <c r="N1039" s="1"/>
      <c r="O1039" s="1"/>
      <c r="P1039" s="4"/>
      <c r="Q1039" s="5"/>
      <c r="R1039" s="4"/>
      <c r="S1039" s="1"/>
      <c r="T1039" s="1"/>
      <c r="U1039" s="1"/>
      <c r="V1039" s="1"/>
      <c r="W1039" s="1"/>
      <c r="X1039" s="6"/>
      <c r="Y1039" s="4"/>
      <c r="Z1039" s="4"/>
      <c r="AA1039" s="4"/>
      <c r="AB1039" s="1"/>
      <c r="AC1039" s="1"/>
      <c r="AD1039" s="1"/>
      <c r="AE1039" s="1"/>
      <c r="AF1039" s="1"/>
      <c r="AG1039" s="4"/>
      <c r="AH1039" s="1"/>
      <c r="AI1039" s="4"/>
      <c r="AJ1039" s="6"/>
      <c r="AK1039" s="7"/>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row>
    <row r="1040" spans="1:61" ht="16.5" customHeight="1">
      <c r="A1040" s="1"/>
      <c r="B1040" s="139"/>
      <c r="C1040" s="1"/>
      <c r="D1040" s="1"/>
      <c r="E1040" s="1"/>
      <c r="F1040" s="1"/>
      <c r="G1040" s="1"/>
      <c r="H1040" s="4"/>
      <c r="I1040" s="4"/>
      <c r="J1040" s="4"/>
      <c r="K1040" s="4"/>
      <c r="L1040" s="4"/>
      <c r="M1040" s="4"/>
      <c r="N1040" s="1"/>
      <c r="O1040" s="1"/>
      <c r="P1040" s="4"/>
      <c r="Q1040" s="5"/>
      <c r="R1040" s="4"/>
      <c r="S1040" s="1"/>
      <c r="T1040" s="1"/>
      <c r="U1040" s="1"/>
      <c r="V1040" s="1"/>
      <c r="W1040" s="1"/>
      <c r="X1040" s="6"/>
      <c r="Y1040" s="4"/>
      <c r="Z1040" s="4"/>
      <c r="AA1040" s="4"/>
      <c r="AB1040" s="1"/>
      <c r="AC1040" s="1"/>
      <c r="AD1040" s="1"/>
      <c r="AE1040" s="1"/>
      <c r="AF1040" s="1"/>
      <c r="AG1040" s="4"/>
      <c r="AH1040" s="1"/>
      <c r="AI1040" s="4"/>
      <c r="AJ1040" s="6"/>
      <c r="AK1040" s="7"/>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row>
    <row r="1041" spans="1:61" ht="16.5" customHeight="1">
      <c r="A1041" s="1"/>
      <c r="B1041" s="139"/>
      <c r="C1041" s="1"/>
      <c r="D1041" s="1"/>
      <c r="E1041" s="1"/>
      <c r="F1041" s="1"/>
      <c r="G1041" s="1"/>
      <c r="H1041" s="4"/>
      <c r="I1041" s="4"/>
      <c r="J1041" s="4"/>
      <c r="K1041" s="4"/>
      <c r="L1041" s="4"/>
      <c r="M1041" s="4"/>
      <c r="N1041" s="1"/>
      <c r="O1041" s="1"/>
      <c r="P1041" s="4"/>
      <c r="Q1041" s="5"/>
      <c r="R1041" s="4"/>
      <c r="S1041" s="1"/>
      <c r="T1041" s="1"/>
      <c r="U1041" s="1"/>
      <c r="V1041" s="1"/>
      <c r="W1041" s="1"/>
      <c r="X1041" s="6"/>
      <c r="Y1041" s="4"/>
      <c r="Z1041" s="4"/>
      <c r="AA1041" s="4"/>
      <c r="AB1041" s="1"/>
      <c r="AC1041" s="1"/>
      <c r="AD1041" s="1"/>
      <c r="AE1041" s="1"/>
      <c r="AF1041" s="1"/>
      <c r="AG1041" s="4"/>
      <c r="AH1041" s="1"/>
      <c r="AI1041" s="4"/>
      <c r="AJ1041" s="6"/>
      <c r="AK1041" s="7"/>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row>
    <row r="1042" spans="1:61" ht="16.5" customHeight="1">
      <c r="A1042" s="1"/>
      <c r="B1042" s="139"/>
      <c r="C1042" s="1"/>
      <c r="D1042" s="1"/>
      <c r="E1042" s="1"/>
      <c r="F1042" s="1"/>
      <c r="G1042" s="1"/>
      <c r="H1042" s="4"/>
      <c r="I1042" s="4"/>
      <c r="J1042" s="4"/>
      <c r="K1042" s="4"/>
      <c r="L1042" s="4"/>
      <c r="M1042" s="4"/>
      <c r="N1042" s="1"/>
      <c r="O1042" s="1"/>
      <c r="P1042" s="4"/>
      <c r="Q1042" s="5"/>
      <c r="R1042" s="4"/>
      <c r="S1042" s="1"/>
      <c r="T1042" s="1"/>
      <c r="U1042" s="1"/>
      <c r="V1042" s="1"/>
      <c r="W1042" s="1"/>
      <c r="X1042" s="6"/>
      <c r="Y1042" s="4"/>
      <c r="Z1042" s="4"/>
      <c r="AA1042" s="4"/>
      <c r="AB1042" s="1"/>
      <c r="AC1042" s="1"/>
      <c r="AD1042" s="1"/>
      <c r="AE1042" s="1"/>
      <c r="AF1042" s="1"/>
      <c r="AG1042" s="4"/>
      <c r="AH1042" s="1"/>
      <c r="AI1042" s="4"/>
      <c r="AJ1042" s="6"/>
      <c r="AK1042" s="7"/>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row>
    <row r="1043" spans="1:61" ht="16.5" customHeight="1">
      <c r="A1043" s="1"/>
      <c r="B1043" s="139"/>
      <c r="C1043" s="1"/>
      <c r="D1043" s="1"/>
      <c r="E1043" s="1"/>
      <c r="F1043" s="1"/>
      <c r="G1043" s="1"/>
      <c r="H1043" s="4"/>
      <c r="I1043" s="4"/>
      <c r="J1043" s="4"/>
      <c r="K1043" s="4"/>
      <c r="L1043" s="4"/>
      <c r="M1043" s="4"/>
      <c r="N1043" s="1"/>
      <c r="O1043" s="1"/>
      <c r="P1043" s="4"/>
      <c r="Q1043" s="5"/>
      <c r="R1043" s="4"/>
      <c r="S1043" s="1"/>
      <c r="T1043" s="1"/>
      <c r="U1043" s="1"/>
      <c r="V1043" s="1"/>
      <c r="W1043" s="1"/>
      <c r="X1043" s="6"/>
      <c r="Y1043" s="4"/>
      <c r="Z1043" s="4"/>
      <c r="AA1043" s="4"/>
      <c r="AB1043" s="1"/>
      <c r="AC1043" s="1"/>
      <c r="AD1043" s="1"/>
      <c r="AE1043" s="1"/>
      <c r="AF1043" s="1"/>
      <c r="AG1043" s="4"/>
      <c r="AH1043" s="1"/>
      <c r="AI1043" s="4"/>
      <c r="AJ1043" s="6"/>
      <c r="AK1043" s="7"/>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row>
    <row r="1044" spans="1:61" ht="16.5" customHeight="1">
      <c r="A1044" s="1"/>
      <c r="B1044" s="139"/>
      <c r="C1044" s="1"/>
      <c r="D1044" s="1"/>
      <c r="E1044" s="1"/>
      <c r="F1044" s="1"/>
      <c r="G1044" s="1"/>
      <c r="H1044" s="4"/>
      <c r="I1044" s="4"/>
      <c r="J1044" s="4"/>
      <c r="K1044" s="4"/>
      <c r="L1044" s="4"/>
      <c r="M1044" s="4"/>
      <c r="N1044" s="1"/>
      <c r="O1044" s="1"/>
      <c r="P1044" s="4"/>
      <c r="Q1044" s="5"/>
      <c r="R1044" s="4"/>
      <c r="S1044" s="1"/>
      <c r="T1044" s="1"/>
      <c r="U1044" s="1"/>
      <c r="V1044" s="1"/>
      <c r="W1044" s="1"/>
      <c r="X1044" s="6"/>
      <c r="Y1044" s="4"/>
      <c r="Z1044" s="4"/>
      <c r="AA1044" s="4"/>
      <c r="AB1044" s="1"/>
      <c r="AC1044" s="1"/>
      <c r="AD1044" s="1"/>
      <c r="AE1044" s="1"/>
      <c r="AF1044" s="1"/>
      <c r="AG1044" s="4"/>
      <c r="AH1044" s="1"/>
      <c r="AI1044" s="4"/>
      <c r="AJ1044" s="6"/>
      <c r="AK1044" s="7"/>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row>
    <row r="1045" spans="1:61" ht="16.5" customHeight="1">
      <c r="A1045" s="1"/>
      <c r="B1045" s="139"/>
      <c r="C1045" s="1"/>
      <c r="D1045" s="1"/>
      <c r="E1045" s="1"/>
      <c r="F1045" s="1"/>
      <c r="G1045" s="1"/>
      <c r="H1045" s="4"/>
      <c r="I1045" s="4"/>
      <c r="J1045" s="4"/>
      <c r="K1045" s="4"/>
      <c r="L1045" s="4"/>
      <c r="M1045" s="4"/>
      <c r="N1045" s="1"/>
      <c r="O1045" s="1"/>
      <c r="P1045" s="4"/>
      <c r="Q1045" s="5"/>
      <c r="R1045" s="4"/>
      <c r="S1045" s="1"/>
      <c r="T1045" s="1"/>
      <c r="U1045" s="1"/>
      <c r="V1045" s="1"/>
      <c r="W1045" s="1"/>
      <c r="X1045" s="6"/>
      <c r="Y1045" s="4"/>
      <c r="Z1045" s="4"/>
      <c r="AA1045" s="4"/>
      <c r="AB1045" s="1"/>
      <c r="AC1045" s="1"/>
      <c r="AD1045" s="1"/>
      <c r="AE1045" s="1"/>
      <c r="AF1045" s="1"/>
      <c r="AG1045" s="4"/>
      <c r="AH1045" s="1"/>
      <c r="AI1045" s="4"/>
      <c r="AJ1045" s="6"/>
      <c r="AK1045" s="7"/>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row>
    <row r="1046" spans="1:61" ht="16.5" customHeight="1">
      <c r="A1046" s="1"/>
      <c r="B1046" s="139"/>
      <c r="C1046" s="1"/>
      <c r="D1046" s="1"/>
      <c r="E1046" s="1"/>
      <c r="F1046" s="1"/>
      <c r="G1046" s="1"/>
      <c r="H1046" s="4"/>
      <c r="I1046" s="4"/>
      <c r="J1046" s="4"/>
      <c r="K1046" s="4"/>
      <c r="L1046" s="4"/>
      <c r="M1046" s="4"/>
      <c r="N1046" s="1"/>
      <c r="O1046" s="1"/>
      <c r="P1046" s="4"/>
      <c r="Q1046" s="5"/>
      <c r="R1046" s="4"/>
      <c r="S1046" s="1"/>
      <c r="T1046" s="1"/>
      <c r="U1046" s="1"/>
      <c r="V1046" s="1"/>
      <c r="W1046" s="1"/>
      <c r="X1046" s="6"/>
      <c r="Y1046" s="4"/>
      <c r="Z1046" s="4"/>
      <c r="AA1046" s="4"/>
      <c r="AB1046" s="1"/>
      <c r="AC1046" s="1"/>
      <c r="AD1046" s="1"/>
      <c r="AE1046" s="1"/>
      <c r="AF1046" s="1"/>
      <c r="AG1046" s="4"/>
      <c r="AH1046" s="1"/>
      <c r="AI1046" s="4"/>
      <c r="AJ1046" s="6"/>
      <c r="AK1046" s="7"/>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row>
    <row r="1047" spans="1:61" ht="16.5" customHeight="1">
      <c r="A1047" s="1"/>
      <c r="B1047" s="139"/>
      <c r="C1047" s="1"/>
      <c r="D1047" s="1"/>
      <c r="E1047" s="1"/>
      <c r="F1047" s="1"/>
      <c r="G1047" s="1"/>
      <c r="H1047" s="4"/>
      <c r="I1047" s="4"/>
      <c r="J1047" s="4"/>
      <c r="K1047" s="4"/>
      <c r="L1047" s="4"/>
      <c r="M1047" s="4"/>
      <c r="N1047" s="1"/>
      <c r="O1047" s="1"/>
      <c r="P1047" s="4"/>
      <c r="Q1047" s="5"/>
      <c r="R1047" s="4"/>
      <c r="S1047" s="1"/>
      <c r="T1047" s="1"/>
      <c r="U1047" s="1"/>
      <c r="V1047" s="1"/>
      <c r="W1047" s="1"/>
      <c r="X1047" s="6"/>
      <c r="Y1047" s="4"/>
      <c r="Z1047" s="4"/>
      <c r="AA1047" s="4"/>
      <c r="AB1047" s="1"/>
      <c r="AC1047" s="1"/>
      <c r="AD1047" s="1"/>
      <c r="AE1047" s="1"/>
      <c r="AF1047" s="1"/>
      <c r="AG1047" s="4"/>
      <c r="AH1047" s="1"/>
      <c r="AI1047" s="4"/>
      <c r="AJ1047" s="6"/>
      <c r="AK1047" s="7"/>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row>
    <row r="1048" spans="1:61" ht="16.5" customHeight="1">
      <c r="A1048" s="1"/>
      <c r="B1048" s="139"/>
      <c r="C1048" s="1"/>
      <c r="D1048" s="1"/>
      <c r="E1048" s="1"/>
      <c r="F1048" s="1"/>
      <c r="G1048" s="1"/>
      <c r="H1048" s="4"/>
      <c r="I1048" s="4"/>
      <c r="J1048" s="4"/>
      <c r="K1048" s="4"/>
      <c r="L1048" s="4"/>
      <c r="M1048" s="4"/>
      <c r="N1048" s="1"/>
      <c r="O1048" s="1"/>
      <c r="P1048" s="4"/>
      <c r="Q1048" s="5"/>
      <c r="R1048" s="4"/>
      <c r="S1048" s="1"/>
      <c r="T1048" s="1"/>
      <c r="U1048" s="1"/>
      <c r="V1048" s="1"/>
      <c r="W1048" s="1"/>
      <c r="X1048" s="6"/>
      <c r="Y1048" s="4"/>
      <c r="Z1048" s="4"/>
      <c r="AA1048" s="4"/>
      <c r="AB1048" s="1"/>
      <c r="AC1048" s="1"/>
      <c r="AD1048" s="1"/>
      <c r="AE1048" s="1"/>
      <c r="AF1048" s="1"/>
      <c r="AG1048" s="4"/>
      <c r="AH1048" s="1"/>
      <c r="AI1048" s="4"/>
      <c r="AJ1048" s="6"/>
      <c r="AK1048" s="7"/>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row>
    <row r="1049" spans="1:61" ht="16.5" customHeight="1">
      <c r="A1049" s="1"/>
      <c r="B1049" s="139"/>
      <c r="C1049" s="1"/>
      <c r="D1049" s="1"/>
      <c r="E1049" s="1"/>
      <c r="F1049" s="1"/>
      <c r="G1049" s="1"/>
      <c r="H1049" s="4"/>
      <c r="I1049" s="4"/>
      <c r="J1049" s="4"/>
      <c r="K1049" s="4"/>
      <c r="L1049" s="4"/>
      <c r="M1049" s="4"/>
      <c r="N1049" s="1"/>
      <c r="O1049" s="1"/>
      <c r="P1049" s="4"/>
      <c r="Q1049" s="5"/>
      <c r="R1049" s="4"/>
      <c r="S1049" s="1"/>
      <c r="T1049" s="1"/>
      <c r="U1049" s="1"/>
      <c r="V1049" s="1"/>
      <c r="W1049" s="1"/>
      <c r="X1049" s="6"/>
      <c r="Y1049" s="4"/>
      <c r="Z1049" s="4"/>
      <c r="AA1049" s="4"/>
      <c r="AB1049" s="1"/>
      <c r="AC1049" s="1"/>
      <c r="AD1049" s="1"/>
      <c r="AE1049" s="1"/>
      <c r="AF1049" s="1"/>
      <c r="AG1049" s="4"/>
      <c r="AH1049" s="1"/>
      <c r="AI1049" s="4"/>
      <c r="AJ1049" s="6"/>
      <c r="AK1049" s="7"/>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row>
    <row r="1050" spans="1:61" ht="16.5" customHeight="1">
      <c r="A1050" s="1"/>
      <c r="B1050" s="139"/>
      <c r="C1050" s="1"/>
      <c r="D1050" s="1"/>
      <c r="E1050" s="1"/>
      <c r="F1050" s="1"/>
      <c r="G1050" s="1"/>
      <c r="H1050" s="4"/>
      <c r="I1050" s="4"/>
      <c r="J1050" s="4"/>
      <c r="K1050" s="4"/>
      <c r="L1050" s="4"/>
      <c r="M1050" s="4"/>
      <c r="N1050" s="1"/>
      <c r="O1050" s="1"/>
      <c r="P1050" s="4"/>
      <c r="Q1050" s="5"/>
      <c r="R1050" s="4"/>
      <c r="S1050" s="1"/>
      <c r="T1050" s="1"/>
      <c r="U1050" s="1"/>
      <c r="V1050" s="1"/>
      <c r="W1050" s="1"/>
      <c r="X1050" s="6"/>
      <c r="Y1050" s="4"/>
      <c r="Z1050" s="4"/>
      <c r="AA1050" s="4"/>
      <c r="AB1050" s="1"/>
      <c r="AC1050" s="1"/>
      <c r="AD1050" s="1"/>
      <c r="AE1050" s="1"/>
      <c r="AF1050" s="1"/>
      <c r="AG1050" s="4"/>
      <c r="AH1050" s="1"/>
      <c r="AI1050" s="4"/>
      <c r="AJ1050" s="6"/>
      <c r="AK1050" s="7"/>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row>
    <row r="1051" spans="1:61" ht="16.5" customHeight="1">
      <c r="A1051" s="1"/>
      <c r="B1051" s="139"/>
      <c r="C1051" s="1"/>
      <c r="D1051" s="1"/>
      <c r="E1051" s="1"/>
      <c r="F1051" s="1"/>
      <c r="G1051" s="1"/>
      <c r="H1051" s="4"/>
      <c r="I1051" s="4"/>
      <c r="J1051" s="4"/>
      <c r="K1051" s="4"/>
      <c r="L1051" s="4"/>
      <c r="M1051" s="4"/>
      <c r="N1051" s="1"/>
      <c r="O1051" s="1"/>
      <c r="P1051" s="4"/>
      <c r="Q1051" s="5"/>
      <c r="R1051" s="4"/>
      <c r="S1051" s="1"/>
      <c r="T1051" s="1"/>
      <c r="U1051" s="1"/>
      <c r="V1051" s="1"/>
      <c r="W1051" s="1"/>
      <c r="X1051" s="6"/>
      <c r="Y1051" s="4"/>
      <c r="Z1051" s="4"/>
      <c r="AA1051" s="4"/>
      <c r="AB1051" s="1"/>
      <c r="AC1051" s="1"/>
      <c r="AD1051" s="1"/>
      <c r="AE1051" s="1"/>
      <c r="AF1051" s="1"/>
      <c r="AG1051" s="4"/>
      <c r="AH1051" s="1"/>
      <c r="AI1051" s="4"/>
      <c r="AJ1051" s="6"/>
      <c r="AK1051" s="7"/>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row>
    <row r="1052" spans="1:61" ht="16.5" customHeight="1">
      <c r="A1052" s="1"/>
      <c r="B1052" s="139"/>
      <c r="C1052" s="1"/>
      <c r="D1052" s="1"/>
      <c r="E1052" s="1"/>
      <c r="F1052" s="1"/>
      <c r="G1052" s="1"/>
      <c r="H1052" s="4"/>
      <c r="I1052" s="4"/>
      <c r="J1052" s="4"/>
      <c r="K1052" s="4"/>
      <c r="L1052" s="4"/>
      <c r="M1052" s="4"/>
      <c r="N1052" s="1"/>
      <c r="O1052" s="1"/>
      <c r="P1052" s="4"/>
      <c r="Q1052" s="5"/>
      <c r="R1052" s="4"/>
      <c r="S1052" s="1"/>
      <c r="T1052" s="1"/>
      <c r="U1052" s="1"/>
      <c r="V1052" s="1"/>
      <c r="W1052" s="1"/>
      <c r="X1052" s="6"/>
      <c r="Y1052" s="4"/>
      <c r="Z1052" s="4"/>
      <c r="AA1052" s="4"/>
      <c r="AB1052" s="1"/>
      <c r="AC1052" s="1"/>
      <c r="AD1052" s="1"/>
      <c r="AE1052" s="1"/>
      <c r="AF1052" s="1"/>
      <c r="AG1052" s="4"/>
      <c r="AH1052" s="1"/>
      <c r="AI1052" s="4"/>
      <c r="AJ1052" s="6"/>
      <c r="AK1052" s="7"/>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row>
    <row r="1053" spans="1:61" ht="16.5" customHeight="1">
      <c r="A1053" s="1"/>
      <c r="B1053" s="139"/>
      <c r="C1053" s="1"/>
      <c r="D1053" s="1"/>
      <c r="E1053" s="1"/>
      <c r="F1053" s="1"/>
      <c r="G1053" s="1"/>
      <c r="H1053" s="4"/>
      <c r="I1053" s="4"/>
      <c r="J1053" s="4"/>
      <c r="K1053" s="4"/>
      <c r="L1053" s="4"/>
      <c r="M1053" s="4"/>
      <c r="N1053" s="1"/>
      <c r="O1053" s="1"/>
      <c r="P1053" s="4"/>
      <c r="Q1053" s="5"/>
      <c r="R1053" s="4"/>
      <c r="S1053" s="1"/>
      <c r="T1053" s="1"/>
      <c r="U1053" s="1"/>
      <c r="V1053" s="1"/>
      <c r="W1053" s="1"/>
      <c r="X1053" s="6"/>
      <c r="Y1053" s="4"/>
      <c r="Z1053" s="4"/>
      <c r="AA1053" s="4"/>
      <c r="AB1053" s="1"/>
      <c r="AC1053" s="1"/>
      <c r="AD1053" s="1"/>
      <c r="AE1053" s="1"/>
      <c r="AF1053" s="1"/>
      <c r="AG1053" s="4"/>
      <c r="AH1053" s="1"/>
      <c r="AI1053" s="4"/>
      <c r="AJ1053" s="6"/>
      <c r="AK1053" s="7"/>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row>
    <row r="1054" spans="1:61" ht="16.5" customHeight="1">
      <c r="A1054" s="1"/>
      <c r="B1054" s="139"/>
      <c r="C1054" s="1"/>
      <c r="D1054" s="1"/>
      <c r="E1054" s="1"/>
      <c r="F1054" s="1"/>
      <c r="G1054" s="1"/>
      <c r="H1054" s="4"/>
      <c r="I1054" s="4"/>
      <c r="J1054" s="4"/>
      <c r="K1054" s="4"/>
      <c r="L1054" s="4"/>
      <c r="M1054" s="4"/>
      <c r="N1054" s="1"/>
      <c r="O1054" s="1"/>
      <c r="P1054" s="4"/>
      <c r="Q1054" s="5"/>
      <c r="R1054" s="4"/>
      <c r="S1054" s="1"/>
      <c r="T1054" s="1"/>
      <c r="U1054" s="1"/>
      <c r="V1054" s="1"/>
      <c r="W1054" s="1"/>
      <c r="X1054" s="6"/>
      <c r="Y1054" s="4"/>
      <c r="Z1054" s="4"/>
      <c r="AA1054" s="4"/>
      <c r="AB1054" s="1"/>
      <c r="AC1054" s="1"/>
      <c r="AD1054" s="1"/>
      <c r="AE1054" s="1"/>
      <c r="AF1054" s="1"/>
      <c r="AG1054" s="4"/>
      <c r="AH1054" s="1"/>
      <c r="AI1054" s="4"/>
      <c r="AJ1054" s="6"/>
      <c r="AK1054" s="7"/>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row>
    <row r="1055" spans="1:61" ht="16.5" customHeight="1">
      <c r="A1055" s="1"/>
      <c r="B1055" s="139"/>
      <c r="C1055" s="1"/>
      <c r="D1055" s="1"/>
      <c r="E1055" s="1"/>
      <c r="F1055" s="1"/>
      <c r="G1055" s="1"/>
      <c r="H1055" s="4"/>
      <c r="I1055" s="4"/>
      <c r="J1055" s="4"/>
      <c r="K1055" s="4"/>
      <c r="L1055" s="4"/>
      <c r="M1055" s="4"/>
      <c r="N1055" s="1"/>
      <c r="O1055" s="1"/>
      <c r="P1055" s="4"/>
      <c r="Q1055" s="5"/>
      <c r="R1055" s="4"/>
      <c r="S1055" s="1"/>
      <c r="T1055" s="1"/>
      <c r="U1055" s="1"/>
      <c r="V1055" s="1"/>
      <c r="W1055" s="1"/>
      <c r="X1055" s="6"/>
      <c r="Y1055" s="4"/>
      <c r="Z1055" s="4"/>
      <c r="AA1055" s="4"/>
      <c r="AB1055" s="1"/>
      <c r="AC1055" s="1"/>
      <c r="AD1055" s="1"/>
      <c r="AE1055" s="1"/>
      <c r="AF1055" s="1"/>
      <c r="AG1055" s="4"/>
      <c r="AH1055" s="1"/>
      <c r="AI1055" s="4"/>
      <c r="AJ1055" s="6"/>
      <c r="AK1055" s="7"/>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row>
    <row r="1056" spans="1:61" ht="16.5" customHeight="1">
      <c r="A1056" s="1"/>
      <c r="B1056" s="139"/>
      <c r="C1056" s="1"/>
      <c r="D1056" s="1"/>
      <c r="E1056" s="1"/>
      <c r="F1056" s="1"/>
      <c r="G1056" s="1"/>
      <c r="H1056" s="4"/>
      <c r="I1056" s="4"/>
      <c r="J1056" s="4"/>
      <c r="K1056" s="4"/>
      <c r="L1056" s="4"/>
      <c r="M1056" s="4"/>
      <c r="N1056" s="1"/>
      <c r="O1056" s="1"/>
      <c r="P1056" s="4"/>
      <c r="Q1056" s="5"/>
      <c r="R1056" s="4"/>
      <c r="S1056" s="1"/>
      <c r="T1056" s="1"/>
      <c r="U1056" s="1"/>
      <c r="V1056" s="1"/>
      <c r="W1056" s="1"/>
      <c r="X1056" s="6"/>
      <c r="Y1056" s="4"/>
      <c r="Z1056" s="4"/>
      <c r="AA1056" s="4"/>
      <c r="AB1056" s="1"/>
      <c r="AC1056" s="1"/>
      <c r="AD1056" s="1"/>
      <c r="AE1056" s="1"/>
      <c r="AF1056" s="1"/>
      <c r="AG1056" s="4"/>
      <c r="AH1056" s="1"/>
      <c r="AI1056" s="4"/>
      <c r="AJ1056" s="6"/>
      <c r="AK1056" s="7"/>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row>
    <row r="1057" spans="1:61" ht="16.5" customHeight="1">
      <c r="A1057" s="1"/>
      <c r="B1057" s="139"/>
      <c r="C1057" s="1"/>
      <c r="D1057" s="1"/>
      <c r="E1057" s="1"/>
      <c r="F1057" s="1"/>
      <c r="G1057" s="1"/>
      <c r="H1057" s="4"/>
      <c r="I1057" s="4"/>
      <c r="J1057" s="4"/>
      <c r="K1057" s="4"/>
      <c r="L1057" s="4"/>
      <c r="M1057" s="4"/>
      <c r="N1057" s="1"/>
      <c r="O1057" s="1"/>
      <c r="P1057" s="4"/>
      <c r="Q1057" s="5"/>
      <c r="R1057" s="4"/>
      <c r="S1057" s="1"/>
      <c r="T1057" s="1"/>
      <c r="U1057" s="1"/>
      <c r="V1057" s="1"/>
      <c r="W1057" s="1"/>
      <c r="X1057" s="6"/>
      <c r="Y1057" s="4"/>
      <c r="Z1057" s="4"/>
      <c r="AA1057" s="4"/>
      <c r="AB1057" s="1"/>
      <c r="AC1057" s="1"/>
      <c r="AD1057" s="1"/>
      <c r="AE1057" s="1"/>
      <c r="AF1057" s="1"/>
      <c r="AG1057" s="4"/>
      <c r="AH1057" s="1"/>
      <c r="AI1057" s="4"/>
      <c r="AJ1057" s="6"/>
      <c r="AK1057" s="7"/>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row>
    <row r="1058" spans="1:61" ht="16.5" customHeight="1">
      <c r="A1058" s="1"/>
      <c r="B1058" s="139"/>
      <c r="C1058" s="1"/>
      <c r="D1058" s="1"/>
      <c r="E1058" s="1"/>
      <c r="F1058" s="1"/>
      <c r="G1058" s="1"/>
      <c r="H1058" s="4"/>
      <c r="I1058" s="4"/>
      <c r="J1058" s="4"/>
      <c r="K1058" s="4"/>
      <c r="L1058" s="4"/>
      <c r="M1058" s="4"/>
      <c r="N1058" s="1"/>
      <c r="O1058" s="1"/>
      <c r="P1058" s="4"/>
      <c r="Q1058" s="5"/>
      <c r="R1058" s="4"/>
      <c r="S1058" s="1"/>
      <c r="T1058" s="1"/>
      <c r="U1058" s="1"/>
      <c r="V1058" s="1"/>
      <c r="W1058" s="1"/>
      <c r="X1058" s="6"/>
      <c r="Y1058" s="4"/>
      <c r="Z1058" s="4"/>
      <c r="AA1058" s="4"/>
      <c r="AB1058" s="1"/>
      <c r="AC1058" s="1"/>
      <c r="AD1058" s="1"/>
      <c r="AE1058" s="1"/>
      <c r="AF1058" s="1"/>
      <c r="AG1058" s="4"/>
      <c r="AH1058" s="1"/>
      <c r="AI1058" s="4"/>
      <c r="AJ1058" s="6"/>
      <c r="AK1058" s="7"/>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row>
    <row r="1059" spans="1:61" ht="16.5" customHeight="1">
      <c r="A1059" s="1"/>
      <c r="B1059" s="139"/>
      <c r="C1059" s="1"/>
      <c r="D1059" s="1"/>
      <c r="E1059" s="1"/>
      <c r="F1059" s="1"/>
      <c r="G1059" s="1"/>
      <c r="H1059" s="4"/>
      <c r="I1059" s="4"/>
      <c r="J1059" s="4"/>
      <c r="K1059" s="4"/>
      <c r="L1059" s="4"/>
      <c r="M1059" s="4"/>
      <c r="N1059" s="1"/>
      <c r="O1059" s="1"/>
      <c r="P1059" s="4"/>
      <c r="Q1059" s="5"/>
      <c r="R1059" s="4"/>
      <c r="S1059" s="1"/>
      <c r="T1059" s="1"/>
      <c r="U1059" s="1"/>
      <c r="V1059" s="1"/>
      <c r="W1059" s="1"/>
      <c r="X1059" s="6"/>
      <c r="Y1059" s="4"/>
      <c r="Z1059" s="4"/>
      <c r="AA1059" s="4"/>
      <c r="AB1059" s="1"/>
      <c r="AC1059" s="1"/>
      <c r="AD1059" s="1"/>
      <c r="AE1059" s="1"/>
      <c r="AF1059" s="1"/>
      <c r="AG1059" s="4"/>
      <c r="AH1059" s="1"/>
      <c r="AI1059" s="4"/>
      <c r="AJ1059" s="6"/>
      <c r="AK1059" s="7"/>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row>
    <row r="1060" spans="1:61" ht="16.5" customHeight="1">
      <c r="A1060" s="1"/>
      <c r="B1060" s="139"/>
      <c r="C1060" s="1"/>
      <c r="D1060" s="1"/>
      <c r="E1060" s="1"/>
      <c r="F1060" s="1"/>
      <c r="G1060" s="1"/>
      <c r="H1060" s="4"/>
      <c r="I1060" s="4"/>
      <c r="J1060" s="4"/>
      <c r="K1060" s="4"/>
      <c r="L1060" s="4"/>
      <c r="M1060" s="4"/>
      <c r="N1060" s="1"/>
      <c r="O1060" s="1"/>
      <c r="P1060" s="4"/>
      <c r="Q1060" s="5"/>
      <c r="R1060" s="4"/>
      <c r="S1060" s="1"/>
      <c r="T1060" s="1"/>
      <c r="U1060" s="1"/>
      <c r="V1060" s="1"/>
      <c r="W1060" s="1"/>
      <c r="X1060" s="6"/>
      <c r="Y1060" s="4"/>
      <c r="Z1060" s="4"/>
      <c r="AA1060" s="4"/>
      <c r="AB1060" s="1"/>
      <c r="AC1060" s="1"/>
      <c r="AD1060" s="1"/>
      <c r="AE1060" s="1"/>
      <c r="AF1060" s="1"/>
      <c r="AG1060" s="4"/>
      <c r="AH1060" s="1"/>
      <c r="AI1060" s="4"/>
      <c r="AJ1060" s="6"/>
      <c r="AK1060" s="7"/>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row>
    <row r="1061" spans="1:61" ht="16.5" customHeight="1">
      <c r="A1061" s="1"/>
      <c r="B1061" s="139"/>
      <c r="C1061" s="1"/>
      <c r="D1061" s="1"/>
      <c r="E1061" s="1"/>
      <c r="F1061" s="1"/>
      <c r="G1061" s="1"/>
      <c r="H1061" s="4"/>
      <c r="I1061" s="4"/>
      <c r="J1061" s="4"/>
      <c r="K1061" s="4"/>
      <c r="L1061" s="4"/>
      <c r="M1061" s="4"/>
      <c r="N1061" s="1"/>
      <c r="O1061" s="1"/>
      <c r="P1061" s="4"/>
      <c r="Q1061" s="5"/>
      <c r="R1061" s="4"/>
      <c r="S1061" s="1"/>
      <c r="T1061" s="1"/>
      <c r="U1061" s="1"/>
      <c r="V1061" s="1"/>
      <c r="W1061" s="1"/>
      <c r="X1061" s="6"/>
      <c r="Y1061" s="4"/>
      <c r="Z1061" s="4"/>
      <c r="AA1061" s="4"/>
      <c r="AB1061" s="1"/>
      <c r="AC1061" s="1"/>
      <c r="AD1061" s="1"/>
      <c r="AE1061" s="1"/>
      <c r="AF1061" s="1"/>
      <c r="AG1061" s="4"/>
      <c r="AH1061" s="1"/>
      <c r="AI1061" s="4"/>
      <c r="AJ1061" s="6"/>
      <c r="AK1061" s="7"/>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row>
    <row r="1062" spans="1:61" ht="16.5" customHeight="1">
      <c r="A1062" s="1"/>
      <c r="B1062" s="139"/>
      <c r="C1062" s="1"/>
      <c r="D1062" s="1"/>
      <c r="E1062" s="1"/>
      <c r="F1062" s="1"/>
      <c r="G1062" s="1"/>
      <c r="H1062" s="4"/>
      <c r="I1062" s="4"/>
      <c r="J1062" s="4"/>
      <c r="K1062" s="4"/>
      <c r="L1062" s="4"/>
      <c r="M1062" s="4"/>
      <c r="N1062" s="1"/>
      <c r="O1062" s="1"/>
      <c r="P1062" s="4"/>
      <c r="Q1062" s="5"/>
      <c r="R1062" s="4"/>
      <c r="S1062" s="1"/>
      <c r="T1062" s="1"/>
      <c r="U1062" s="1"/>
      <c r="V1062" s="1"/>
      <c r="W1062" s="1"/>
      <c r="X1062" s="6"/>
      <c r="Y1062" s="4"/>
      <c r="Z1062" s="4"/>
      <c r="AA1062" s="4"/>
      <c r="AB1062" s="1"/>
      <c r="AC1062" s="1"/>
      <c r="AD1062" s="1"/>
      <c r="AE1062" s="1"/>
      <c r="AF1062" s="1"/>
      <c r="AG1062" s="4"/>
      <c r="AH1062" s="1"/>
      <c r="AI1062" s="4"/>
      <c r="AJ1062" s="6"/>
      <c r="AK1062" s="7"/>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row>
    <row r="1063" spans="1:61" ht="16.5" customHeight="1">
      <c r="A1063" s="1"/>
      <c r="B1063" s="139"/>
      <c r="C1063" s="1"/>
      <c r="D1063" s="1"/>
      <c r="E1063" s="1"/>
      <c r="F1063" s="1"/>
      <c r="G1063" s="1"/>
      <c r="H1063" s="4"/>
      <c r="I1063" s="4"/>
      <c r="J1063" s="4"/>
      <c r="K1063" s="4"/>
      <c r="L1063" s="4"/>
      <c r="M1063" s="4"/>
      <c r="N1063" s="1"/>
      <c r="O1063" s="1"/>
      <c r="P1063" s="4"/>
      <c r="Q1063" s="5"/>
      <c r="R1063" s="4"/>
      <c r="S1063" s="1"/>
      <c r="T1063" s="1"/>
      <c r="U1063" s="1"/>
      <c r="V1063" s="1"/>
      <c r="W1063" s="1"/>
      <c r="X1063" s="6"/>
      <c r="Y1063" s="4"/>
      <c r="Z1063" s="4"/>
      <c r="AA1063" s="4"/>
      <c r="AB1063" s="1"/>
      <c r="AC1063" s="1"/>
      <c r="AD1063" s="1"/>
      <c r="AE1063" s="1"/>
      <c r="AF1063" s="1"/>
      <c r="AG1063" s="4"/>
      <c r="AH1063" s="1"/>
      <c r="AI1063" s="4"/>
      <c r="AJ1063" s="6"/>
      <c r="AK1063" s="7"/>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row>
    <row r="1064" spans="1:61" ht="16.5" customHeight="1">
      <c r="A1064" s="1"/>
      <c r="B1064" s="139"/>
      <c r="C1064" s="1"/>
      <c r="D1064" s="1"/>
      <c r="E1064" s="1"/>
      <c r="F1064" s="1"/>
      <c r="G1064" s="1"/>
      <c r="H1064" s="4"/>
      <c r="I1064" s="4"/>
      <c r="J1064" s="4"/>
      <c r="K1064" s="4"/>
      <c r="L1064" s="4"/>
      <c r="M1064" s="4"/>
      <c r="N1064" s="1"/>
      <c r="O1064" s="1"/>
      <c r="P1064" s="4"/>
      <c r="Q1064" s="5"/>
      <c r="R1064" s="4"/>
      <c r="S1064" s="1"/>
      <c r="T1064" s="1"/>
      <c r="U1064" s="1"/>
      <c r="V1064" s="1"/>
      <c r="W1064" s="1"/>
      <c r="X1064" s="6"/>
      <c r="Y1064" s="4"/>
      <c r="Z1064" s="4"/>
      <c r="AA1064" s="4"/>
      <c r="AB1064" s="1"/>
      <c r="AC1064" s="1"/>
      <c r="AD1064" s="1"/>
      <c r="AE1064" s="1"/>
      <c r="AF1064" s="1"/>
      <c r="AG1064" s="4"/>
      <c r="AH1064" s="1"/>
      <c r="AI1064" s="4"/>
      <c r="AJ1064" s="6"/>
      <c r="AK1064" s="7"/>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row>
    <row r="1065" spans="1:61" ht="16.5" customHeight="1">
      <c r="A1065" s="1"/>
      <c r="B1065" s="139"/>
      <c r="C1065" s="1"/>
      <c r="D1065" s="1"/>
      <c r="E1065" s="1"/>
      <c r="F1065" s="1"/>
      <c r="G1065" s="1"/>
      <c r="H1065" s="4"/>
      <c r="I1065" s="4"/>
      <c r="J1065" s="4"/>
      <c r="K1065" s="4"/>
      <c r="L1065" s="4"/>
      <c r="M1065" s="4"/>
      <c r="N1065" s="1"/>
      <c r="O1065" s="1"/>
      <c r="P1065" s="4"/>
      <c r="Q1065" s="5"/>
      <c r="R1065" s="4"/>
      <c r="S1065" s="1"/>
      <c r="T1065" s="1"/>
      <c r="U1065" s="1"/>
      <c r="V1065" s="1"/>
      <c r="W1065" s="1"/>
      <c r="X1065" s="6"/>
      <c r="Y1065" s="4"/>
      <c r="Z1065" s="4"/>
      <c r="AA1065" s="4"/>
      <c r="AB1065" s="1"/>
      <c r="AC1065" s="1"/>
      <c r="AD1065" s="1"/>
      <c r="AE1065" s="1"/>
      <c r="AF1065" s="1"/>
      <c r="AG1065" s="4"/>
      <c r="AH1065" s="1"/>
      <c r="AI1065" s="4"/>
      <c r="AJ1065" s="6"/>
      <c r="AK1065" s="7"/>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row>
    <row r="1066" spans="1:61" ht="16.5" customHeight="1">
      <c r="A1066" s="1"/>
      <c r="B1066" s="139"/>
      <c r="C1066" s="1"/>
      <c r="D1066" s="1"/>
      <c r="E1066" s="1"/>
      <c r="F1066" s="1"/>
      <c r="G1066" s="1"/>
      <c r="H1066" s="4"/>
      <c r="I1066" s="4"/>
      <c r="J1066" s="4"/>
      <c r="K1066" s="4"/>
      <c r="L1066" s="4"/>
      <c r="M1066" s="4"/>
      <c r="N1066" s="1"/>
      <c r="O1066" s="1"/>
      <c r="P1066" s="4"/>
      <c r="Q1066" s="5"/>
      <c r="R1066" s="4"/>
      <c r="S1066" s="1"/>
      <c r="T1066" s="1"/>
      <c r="U1066" s="1"/>
      <c r="V1066" s="1"/>
      <c r="W1066" s="1"/>
      <c r="X1066" s="6"/>
      <c r="Y1066" s="4"/>
      <c r="Z1066" s="4"/>
      <c r="AA1066" s="4"/>
      <c r="AB1066" s="1"/>
      <c r="AC1066" s="1"/>
      <c r="AD1066" s="1"/>
      <c r="AE1066" s="1"/>
      <c r="AF1066" s="1"/>
      <c r="AG1066" s="4"/>
      <c r="AH1066" s="1"/>
      <c r="AI1066" s="4"/>
      <c r="AJ1066" s="6"/>
      <c r="AK1066" s="7"/>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row>
    <row r="1067" spans="1:61" ht="16.5" customHeight="1">
      <c r="A1067" s="1"/>
      <c r="B1067" s="139"/>
      <c r="C1067" s="1"/>
      <c r="D1067" s="1"/>
      <c r="E1067" s="1"/>
      <c r="F1067" s="1"/>
      <c r="G1067" s="1"/>
      <c r="H1067" s="4"/>
      <c r="I1067" s="4"/>
      <c r="J1067" s="4"/>
      <c r="K1067" s="4"/>
      <c r="L1067" s="4"/>
      <c r="M1067" s="4"/>
      <c r="N1067" s="1"/>
      <c r="O1067" s="1"/>
      <c r="P1067" s="4"/>
      <c r="Q1067" s="5"/>
      <c r="R1067" s="4"/>
      <c r="S1067" s="1"/>
      <c r="T1067" s="1"/>
      <c r="U1067" s="1"/>
      <c r="V1067" s="1"/>
      <c r="W1067" s="1"/>
      <c r="X1067" s="6"/>
      <c r="Y1067" s="4"/>
      <c r="Z1067" s="4"/>
      <c r="AA1067" s="4"/>
      <c r="AB1067" s="1"/>
      <c r="AC1067" s="1"/>
      <c r="AD1067" s="1"/>
      <c r="AE1067" s="1"/>
      <c r="AF1067" s="1"/>
      <c r="AG1067" s="4"/>
      <c r="AH1067" s="1"/>
      <c r="AI1067" s="4"/>
      <c r="AJ1067" s="6"/>
      <c r="AK1067" s="7"/>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row>
    <row r="1068" spans="1:61" ht="16.5" customHeight="1">
      <c r="A1068" s="1"/>
      <c r="B1068" s="139"/>
      <c r="C1068" s="1"/>
      <c r="D1068" s="1"/>
      <c r="E1068" s="1"/>
      <c r="F1068" s="1"/>
      <c r="G1068" s="1"/>
      <c r="H1068" s="4"/>
      <c r="I1068" s="4"/>
      <c r="J1068" s="4"/>
      <c r="K1068" s="4"/>
      <c r="L1068" s="4"/>
      <c r="M1068" s="4"/>
      <c r="N1068" s="1"/>
      <c r="O1068" s="1"/>
      <c r="P1068" s="4"/>
      <c r="Q1068" s="5"/>
      <c r="R1068" s="4"/>
      <c r="S1068" s="1"/>
      <c r="T1068" s="1"/>
      <c r="U1068" s="1"/>
      <c r="V1068" s="1"/>
      <c r="W1068" s="1"/>
      <c r="X1068" s="6"/>
      <c r="Y1068" s="4"/>
      <c r="Z1068" s="4"/>
      <c r="AA1068" s="4"/>
      <c r="AB1068" s="1"/>
      <c r="AC1068" s="1"/>
      <c r="AD1068" s="1"/>
      <c r="AE1068" s="1"/>
      <c r="AF1068" s="1"/>
      <c r="AG1068" s="4"/>
      <c r="AH1068" s="1"/>
      <c r="AI1068" s="4"/>
      <c r="AJ1068" s="6"/>
      <c r="AK1068" s="7"/>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row>
    <row r="1069" spans="1:61" ht="16.5" customHeight="1">
      <c r="A1069" s="1"/>
      <c r="B1069" s="139"/>
      <c r="C1069" s="1"/>
      <c r="D1069" s="1"/>
      <c r="E1069" s="1"/>
      <c r="F1069" s="1"/>
      <c r="G1069" s="1"/>
      <c r="H1069" s="4"/>
      <c r="I1069" s="4"/>
      <c r="J1069" s="4"/>
      <c r="K1069" s="4"/>
      <c r="L1069" s="4"/>
      <c r="M1069" s="4"/>
      <c r="N1069" s="1"/>
      <c r="O1069" s="1"/>
      <c r="P1069" s="4"/>
      <c r="Q1069" s="5"/>
      <c r="R1069" s="4"/>
      <c r="S1069" s="1"/>
      <c r="T1069" s="1"/>
      <c r="U1069" s="1"/>
      <c r="V1069" s="1"/>
      <c r="W1069" s="1"/>
      <c r="X1069" s="6"/>
      <c r="Y1069" s="4"/>
      <c r="Z1069" s="4"/>
      <c r="AA1069" s="4"/>
      <c r="AB1069" s="1"/>
      <c r="AC1069" s="1"/>
      <c r="AD1069" s="1"/>
      <c r="AE1069" s="1"/>
      <c r="AF1069" s="1"/>
      <c r="AG1069" s="4"/>
      <c r="AH1069" s="1"/>
      <c r="AI1069" s="4"/>
      <c r="AJ1069" s="6"/>
      <c r="AK1069" s="7"/>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row>
    <row r="1070" spans="1:61" ht="16.5" customHeight="1">
      <c r="A1070" s="1"/>
      <c r="B1070" s="139"/>
      <c r="C1070" s="1"/>
      <c r="D1070" s="1"/>
      <c r="E1070" s="1"/>
      <c r="F1070" s="1"/>
      <c r="G1070" s="1"/>
      <c r="H1070" s="4"/>
      <c r="I1070" s="4"/>
      <c r="J1070" s="4"/>
      <c r="K1070" s="4"/>
      <c r="L1070" s="4"/>
      <c r="M1070" s="4"/>
      <c r="N1070" s="1"/>
      <c r="O1070" s="1"/>
      <c r="P1070" s="4"/>
      <c r="Q1070" s="5"/>
      <c r="R1070" s="4"/>
      <c r="S1070" s="1"/>
      <c r="T1070" s="1"/>
      <c r="U1070" s="1"/>
      <c r="V1070" s="1"/>
      <c r="W1070" s="1"/>
      <c r="X1070" s="6"/>
      <c r="Y1070" s="4"/>
      <c r="Z1070" s="4"/>
      <c r="AA1070" s="4"/>
      <c r="AB1070" s="1"/>
      <c r="AC1070" s="1"/>
      <c r="AD1070" s="1"/>
      <c r="AE1070" s="1"/>
      <c r="AF1070" s="1"/>
      <c r="AG1070" s="4"/>
      <c r="AH1070" s="1"/>
      <c r="AI1070" s="4"/>
      <c r="AJ1070" s="6"/>
      <c r="AK1070" s="7"/>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row>
    <row r="1071" spans="1:61" ht="16.5" customHeight="1">
      <c r="A1071" s="1"/>
      <c r="B1071" s="139"/>
      <c r="C1071" s="1"/>
      <c r="D1071" s="1"/>
      <c r="E1071" s="1"/>
      <c r="F1071" s="1"/>
      <c r="G1071" s="1"/>
      <c r="H1071" s="4"/>
      <c r="I1071" s="4"/>
      <c r="J1071" s="4"/>
      <c r="K1071" s="4"/>
      <c r="L1071" s="4"/>
      <c r="M1071" s="4"/>
      <c r="N1071" s="1"/>
      <c r="O1071" s="1"/>
      <c r="P1071" s="4"/>
      <c r="Q1071" s="5"/>
      <c r="R1071" s="4"/>
      <c r="S1071" s="1"/>
      <c r="T1071" s="1"/>
      <c r="U1071" s="1"/>
      <c r="V1071" s="1"/>
      <c r="W1071" s="1"/>
      <c r="X1071" s="6"/>
      <c r="Y1071" s="4"/>
      <c r="Z1071" s="4"/>
      <c r="AA1071" s="4"/>
      <c r="AB1071" s="1"/>
      <c r="AC1071" s="1"/>
      <c r="AD1071" s="1"/>
      <c r="AE1071" s="1"/>
      <c r="AF1071" s="1"/>
      <c r="AG1071" s="4"/>
      <c r="AH1071" s="1"/>
      <c r="AI1071" s="4"/>
      <c r="AJ1071" s="6"/>
      <c r="AK1071" s="7"/>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row>
    <row r="1072" spans="1:61" ht="16.5" customHeight="1">
      <c r="A1072" s="1"/>
      <c r="B1072" s="139"/>
      <c r="C1072" s="1"/>
      <c r="D1072" s="1"/>
      <c r="E1072" s="1"/>
      <c r="F1072" s="1"/>
      <c r="G1072" s="1"/>
      <c r="H1072" s="4"/>
      <c r="I1072" s="4"/>
      <c r="J1072" s="4"/>
      <c r="K1072" s="4"/>
      <c r="L1072" s="4"/>
      <c r="M1072" s="4"/>
      <c r="N1072" s="1"/>
      <c r="O1072" s="1"/>
      <c r="P1072" s="4"/>
      <c r="Q1072" s="5"/>
      <c r="R1072" s="4"/>
      <c r="S1072" s="1"/>
      <c r="T1072" s="1"/>
      <c r="U1072" s="1"/>
      <c r="V1072" s="1"/>
      <c r="W1072" s="1"/>
      <c r="X1072" s="6"/>
      <c r="Y1072" s="4"/>
      <c r="Z1072" s="4"/>
      <c r="AA1072" s="4"/>
      <c r="AB1072" s="1"/>
      <c r="AC1072" s="1"/>
      <c r="AD1072" s="1"/>
      <c r="AE1072" s="1"/>
      <c r="AF1072" s="1"/>
      <c r="AG1072" s="4"/>
      <c r="AH1072" s="1"/>
      <c r="AI1072" s="4"/>
      <c r="AJ1072" s="6"/>
      <c r="AK1072" s="7"/>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row>
    <row r="1073" spans="1:61" ht="16.5" customHeight="1">
      <c r="A1073" s="1"/>
      <c r="B1073" s="139"/>
      <c r="C1073" s="1"/>
      <c r="D1073" s="1"/>
      <c r="E1073" s="1"/>
      <c r="F1073" s="1"/>
      <c r="G1073" s="1"/>
      <c r="H1073" s="4"/>
      <c r="I1073" s="4"/>
      <c r="J1073" s="4"/>
      <c r="K1073" s="4"/>
      <c r="L1073" s="4"/>
      <c r="M1073" s="4"/>
      <c r="N1073" s="1"/>
      <c r="O1073" s="1"/>
      <c r="P1073" s="4"/>
      <c r="Q1073" s="5"/>
      <c r="R1073" s="4"/>
      <c r="S1073" s="1"/>
      <c r="T1073" s="1"/>
      <c r="U1073" s="1"/>
      <c r="V1073" s="1"/>
      <c r="W1073" s="1"/>
      <c r="X1073" s="6"/>
      <c r="Y1073" s="4"/>
      <c r="Z1073" s="4"/>
      <c r="AA1073" s="4"/>
      <c r="AB1073" s="1"/>
      <c r="AC1073" s="1"/>
      <c r="AD1073" s="1"/>
      <c r="AE1073" s="1"/>
      <c r="AF1073" s="1"/>
      <c r="AG1073" s="4"/>
      <c r="AH1073" s="1"/>
      <c r="AI1073" s="4"/>
      <c r="AJ1073" s="6"/>
      <c r="AK1073" s="7"/>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row>
    <row r="1074" spans="1:61" ht="16.5" customHeight="1">
      <c r="A1074" s="1"/>
      <c r="B1074" s="139"/>
      <c r="C1074" s="1"/>
      <c r="D1074" s="1"/>
      <c r="E1074" s="1"/>
      <c r="F1074" s="1"/>
      <c r="G1074" s="1"/>
      <c r="H1074" s="4"/>
      <c r="I1074" s="4"/>
      <c r="J1074" s="4"/>
      <c r="K1074" s="4"/>
      <c r="L1074" s="4"/>
      <c r="M1074" s="4"/>
      <c r="N1074" s="1"/>
      <c r="O1074" s="1"/>
      <c r="P1074" s="4"/>
      <c r="Q1074" s="5"/>
      <c r="R1074" s="4"/>
      <c r="S1074" s="1"/>
      <c r="T1074" s="1"/>
      <c r="U1074" s="1"/>
      <c r="V1074" s="1"/>
      <c r="W1074" s="1"/>
      <c r="X1074" s="6"/>
      <c r="Y1074" s="4"/>
      <c r="Z1074" s="4"/>
      <c r="AA1074" s="4"/>
      <c r="AB1074" s="1"/>
      <c r="AC1074" s="1"/>
      <c r="AD1074" s="1"/>
      <c r="AE1074" s="1"/>
      <c r="AF1074" s="1"/>
      <c r="AG1074" s="4"/>
      <c r="AH1074" s="1"/>
      <c r="AI1074" s="4"/>
      <c r="AJ1074" s="6"/>
      <c r="AK1074" s="7"/>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row>
    <row r="1075" spans="1:61" ht="16.5" customHeight="1">
      <c r="A1075" s="1"/>
      <c r="B1075" s="139"/>
      <c r="C1075" s="1"/>
      <c r="D1075" s="1"/>
      <c r="E1075" s="1"/>
      <c r="F1075" s="1"/>
      <c r="G1075" s="1"/>
      <c r="H1075" s="4"/>
      <c r="I1075" s="4"/>
      <c r="J1075" s="4"/>
      <c r="K1075" s="4"/>
      <c r="L1075" s="4"/>
      <c r="M1075" s="4"/>
      <c r="N1075" s="1"/>
      <c r="O1075" s="1"/>
      <c r="P1075" s="4"/>
      <c r="Q1075" s="5"/>
      <c r="R1075" s="4"/>
      <c r="S1075" s="1"/>
      <c r="T1075" s="1"/>
      <c r="U1075" s="1"/>
      <c r="V1075" s="1"/>
      <c r="W1075" s="1"/>
      <c r="X1075" s="6"/>
      <c r="Y1075" s="4"/>
      <c r="Z1075" s="4"/>
      <c r="AA1075" s="4"/>
      <c r="AB1075" s="1"/>
      <c r="AC1075" s="1"/>
      <c r="AD1075" s="1"/>
      <c r="AE1075" s="1"/>
      <c r="AF1075" s="1"/>
      <c r="AG1075" s="4"/>
      <c r="AH1075" s="1"/>
      <c r="AI1075" s="4"/>
      <c r="AJ1075" s="6"/>
      <c r="AK1075" s="7"/>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row>
    <row r="1076" spans="1:61" ht="16.5" customHeight="1">
      <c r="A1076" s="1"/>
      <c r="B1076" s="139"/>
      <c r="C1076" s="1"/>
      <c r="D1076" s="1"/>
      <c r="E1076" s="1"/>
      <c r="F1076" s="1"/>
      <c r="G1076" s="1"/>
      <c r="H1076" s="4"/>
      <c r="I1076" s="4"/>
      <c r="J1076" s="4"/>
      <c r="K1076" s="4"/>
      <c r="L1076" s="4"/>
      <c r="M1076" s="4"/>
      <c r="N1076" s="1"/>
      <c r="O1076" s="1"/>
      <c r="P1076" s="4"/>
      <c r="Q1076" s="5"/>
      <c r="R1076" s="4"/>
      <c r="S1076" s="1"/>
      <c r="T1076" s="1"/>
      <c r="U1076" s="1"/>
      <c r="V1076" s="1"/>
      <c r="W1076" s="1"/>
      <c r="X1076" s="6"/>
      <c r="Y1076" s="4"/>
      <c r="Z1076" s="4"/>
      <c r="AA1076" s="4"/>
      <c r="AB1076" s="1"/>
      <c r="AC1076" s="1"/>
      <c r="AD1076" s="1"/>
      <c r="AE1076" s="1"/>
      <c r="AF1076" s="1"/>
      <c r="AG1076" s="4"/>
      <c r="AH1076" s="1"/>
      <c r="AI1076" s="4"/>
      <c r="AJ1076" s="6"/>
      <c r="AK1076" s="7"/>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row>
    <row r="1077" spans="1:61" ht="16.5" customHeight="1">
      <c r="A1077" s="1"/>
      <c r="B1077" s="139"/>
      <c r="C1077" s="1"/>
      <c r="D1077" s="1"/>
      <c r="E1077" s="1"/>
      <c r="F1077" s="1"/>
      <c r="G1077" s="1"/>
      <c r="H1077" s="4"/>
      <c r="I1077" s="4"/>
      <c r="J1077" s="4"/>
      <c r="K1077" s="4"/>
      <c r="L1077" s="4"/>
      <c r="M1077" s="4"/>
      <c r="N1077" s="1"/>
      <c r="O1077" s="1"/>
      <c r="P1077" s="4"/>
      <c r="Q1077" s="5"/>
      <c r="R1077" s="4"/>
      <c r="S1077" s="1"/>
      <c r="T1077" s="1"/>
      <c r="U1077" s="1"/>
      <c r="V1077" s="1"/>
      <c r="W1077" s="1"/>
      <c r="X1077" s="6"/>
      <c r="Y1077" s="4"/>
      <c r="Z1077" s="4"/>
      <c r="AA1077" s="4"/>
      <c r="AB1077" s="1"/>
      <c r="AC1077" s="1"/>
      <c r="AD1077" s="1"/>
      <c r="AE1077" s="1"/>
      <c r="AF1077" s="1"/>
      <c r="AG1077" s="4"/>
      <c r="AH1077" s="1"/>
      <c r="AI1077" s="4"/>
      <c r="AJ1077" s="6"/>
      <c r="AK1077" s="7"/>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row>
    <row r="1078" spans="1:61" ht="16.5" customHeight="1">
      <c r="A1078" s="1"/>
      <c r="B1078" s="139"/>
      <c r="C1078" s="1"/>
      <c r="D1078" s="1"/>
      <c r="E1078" s="1"/>
      <c r="F1078" s="1"/>
      <c r="G1078" s="1"/>
      <c r="H1078" s="4"/>
      <c r="I1078" s="4"/>
      <c r="J1078" s="4"/>
      <c r="K1078" s="4"/>
      <c r="L1078" s="4"/>
      <c r="M1078" s="4"/>
      <c r="N1078" s="1"/>
      <c r="O1078" s="1"/>
      <c r="P1078" s="4"/>
      <c r="Q1078" s="5"/>
      <c r="R1078" s="4"/>
      <c r="S1078" s="1"/>
      <c r="T1078" s="1"/>
      <c r="U1078" s="1"/>
      <c r="V1078" s="1"/>
      <c r="W1078" s="1"/>
      <c r="X1078" s="6"/>
      <c r="Y1078" s="4"/>
      <c r="Z1078" s="4"/>
      <c r="AA1078" s="4"/>
      <c r="AB1078" s="1"/>
      <c r="AC1078" s="1"/>
      <c r="AD1078" s="1"/>
      <c r="AE1078" s="1"/>
      <c r="AF1078" s="1"/>
      <c r="AG1078" s="4"/>
      <c r="AH1078" s="1"/>
      <c r="AI1078" s="4"/>
      <c r="AJ1078" s="6"/>
      <c r="AK1078" s="7"/>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row>
    <row r="1079" spans="1:61" ht="16.5" customHeight="1">
      <c r="A1079" s="1"/>
      <c r="B1079" s="139"/>
      <c r="C1079" s="1"/>
      <c r="D1079" s="1"/>
      <c r="E1079" s="1"/>
      <c r="F1079" s="1"/>
      <c r="G1079" s="1"/>
      <c r="H1079" s="4"/>
      <c r="I1079" s="4"/>
      <c r="J1079" s="4"/>
      <c r="K1079" s="4"/>
      <c r="L1079" s="4"/>
      <c r="M1079" s="4"/>
      <c r="N1079" s="1"/>
      <c r="O1079" s="1"/>
      <c r="P1079" s="4"/>
      <c r="Q1079" s="5"/>
      <c r="R1079" s="4"/>
      <c r="S1079" s="1"/>
      <c r="T1079" s="1"/>
      <c r="U1079" s="1"/>
      <c r="V1079" s="1"/>
      <c r="W1079" s="1"/>
      <c r="X1079" s="6"/>
      <c r="Y1079" s="4"/>
      <c r="Z1079" s="4"/>
      <c r="AA1079" s="4"/>
      <c r="AB1079" s="1"/>
      <c r="AC1079" s="1"/>
      <c r="AD1079" s="1"/>
      <c r="AE1079" s="1"/>
      <c r="AF1079" s="1"/>
      <c r="AG1079" s="4"/>
      <c r="AH1079" s="1"/>
      <c r="AI1079" s="4"/>
      <c r="AJ1079" s="6"/>
      <c r="AK1079" s="7"/>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row>
    <row r="1080" spans="1:61" ht="16.5" customHeight="1">
      <c r="A1080" s="1"/>
      <c r="B1080" s="139"/>
      <c r="C1080" s="1"/>
      <c r="D1080" s="1"/>
      <c r="E1080" s="1"/>
      <c r="F1080" s="1"/>
      <c r="G1080" s="1"/>
      <c r="H1080" s="4"/>
      <c r="I1080" s="4"/>
      <c r="J1080" s="4"/>
      <c r="K1080" s="4"/>
      <c r="L1080" s="4"/>
      <c r="M1080" s="4"/>
      <c r="N1080" s="1"/>
      <c r="O1080" s="1"/>
      <c r="P1080" s="4"/>
      <c r="Q1080" s="5"/>
      <c r="R1080" s="4"/>
      <c r="S1080" s="1"/>
      <c r="T1080" s="1"/>
      <c r="U1080" s="1"/>
      <c r="V1080" s="1"/>
      <c r="W1080" s="1"/>
      <c r="X1080" s="6"/>
      <c r="Y1080" s="4"/>
      <c r="Z1080" s="4"/>
      <c r="AA1080" s="4"/>
      <c r="AB1080" s="1"/>
      <c r="AC1080" s="1"/>
      <c r="AD1080" s="1"/>
      <c r="AE1080" s="1"/>
      <c r="AF1080" s="1"/>
      <c r="AG1080" s="4"/>
      <c r="AH1080" s="1"/>
      <c r="AI1080" s="4"/>
      <c r="AJ1080" s="6"/>
      <c r="AK1080" s="7"/>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row>
    <row r="1081" spans="1:61" ht="16.5" customHeight="1">
      <c r="A1081" s="1"/>
      <c r="B1081" s="139"/>
      <c r="C1081" s="1"/>
      <c r="D1081" s="1"/>
      <c r="E1081" s="1"/>
      <c r="F1081" s="1"/>
      <c r="G1081" s="1"/>
      <c r="H1081" s="4"/>
      <c r="I1081" s="4"/>
      <c r="J1081" s="4"/>
      <c r="K1081" s="4"/>
      <c r="L1081" s="4"/>
      <c r="M1081" s="4"/>
      <c r="N1081" s="1"/>
      <c r="O1081" s="1"/>
      <c r="P1081" s="4"/>
      <c r="Q1081" s="5"/>
      <c r="R1081" s="4"/>
      <c r="S1081" s="1"/>
      <c r="T1081" s="1"/>
      <c r="U1081" s="1"/>
      <c r="V1081" s="1"/>
      <c r="W1081" s="1"/>
      <c r="X1081" s="6"/>
      <c r="Y1081" s="4"/>
      <c r="Z1081" s="4"/>
      <c r="AA1081" s="4"/>
      <c r="AB1081" s="1"/>
      <c r="AC1081" s="1"/>
      <c r="AD1081" s="1"/>
      <c r="AE1081" s="1"/>
      <c r="AF1081" s="1"/>
      <c r="AG1081" s="4"/>
      <c r="AH1081" s="1"/>
      <c r="AI1081" s="4"/>
      <c r="AJ1081" s="6"/>
      <c r="AK1081" s="7"/>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row>
    <row r="1082" spans="1:61" ht="16.5" customHeight="1">
      <c r="A1082" s="1"/>
      <c r="B1082" s="139"/>
      <c r="C1082" s="1"/>
      <c r="D1082" s="1"/>
      <c r="E1082" s="1"/>
      <c r="F1082" s="1"/>
      <c r="G1082" s="1"/>
      <c r="H1082" s="4"/>
      <c r="I1082" s="4"/>
      <c r="J1082" s="4"/>
      <c r="K1082" s="4"/>
      <c r="L1082" s="4"/>
      <c r="M1082" s="4"/>
      <c r="N1082" s="1"/>
      <c r="O1082" s="1"/>
      <c r="P1082" s="4"/>
      <c r="Q1082" s="5"/>
      <c r="R1082" s="4"/>
      <c r="S1082" s="1"/>
      <c r="T1082" s="1"/>
      <c r="U1082" s="1"/>
      <c r="V1082" s="1"/>
      <c r="W1082" s="1"/>
      <c r="X1082" s="6"/>
      <c r="Y1082" s="4"/>
      <c r="Z1082" s="4"/>
      <c r="AA1082" s="4"/>
      <c r="AB1082" s="1"/>
      <c r="AC1082" s="1"/>
      <c r="AD1082" s="1"/>
      <c r="AE1082" s="1"/>
      <c r="AF1082" s="1"/>
      <c r="AG1082" s="4"/>
      <c r="AH1082" s="1"/>
      <c r="AI1082" s="4"/>
      <c r="AJ1082" s="6"/>
      <c r="AK1082" s="7"/>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row>
    <row r="1083" spans="1:61" ht="16.5" customHeight="1">
      <c r="A1083" s="1"/>
      <c r="B1083" s="139"/>
      <c r="C1083" s="1"/>
      <c r="D1083" s="1"/>
      <c r="E1083" s="1"/>
      <c r="F1083" s="1"/>
      <c r="G1083" s="1"/>
      <c r="H1083" s="4"/>
      <c r="I1083" s="4"/>
      <c r="J1083" s="4"/>
      <c r="K1083" s="4"/>
      <c r="L1083" s="4"/>
      <c r="M1083" s="4"/>
      <c r="N1083" s="1"/>
      <c r="O1083" s="1"/>
      <c r="P1083" s="4"/>
      <c r="Q1083" s="5"/>
      <c r="R1083" s="4"/>
      <c r="S1083" s="1"/>
      <c r="T1083" s="1"/>
      <c r="U1083" s="1"/>
      <c r="V1083" s="1"/>
      <c r="W1083" s="1"/>
      <c r="X1083" s="6"/>
      <c r="Y1083" s="4"/>
      <c r="Z1083" s="4"/>
      <c r="AA1083" s="4"/>
      <c r="AB1083" s="1"/>
      <c r="AC1083" s="1"/>
      <c r="AD1083" s="1"/>
      <c r="AE1083" s="1"/>
      <c r="AF1083" s="1"/>
      <c r="AG1083" s="4"/>
      <c r="AH1083" s="1"/>
      <c r="AI1083" s="4"/>
      <c r="AJ1083" s="6"/>
      <c r="AK1083" s="7"/>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row>
    <row r="1084" spans="1:61" ht="16.5" customHeight="1">
      <c r="A1084" s="1"/>
      <c r="B1084" s="139"/>
      <c r="C1084" s="1"/>
      <c r="D1084" s="1"/>
      <c r="E1084" s="1"/>
      <c r="F1084" s="1"/>
      <c r="G1084" s="1"/>
      <c r="H1084" s="4"/>
      <c r="I1084" s="4"/>
      <c r="J1084" s="4"/>
      <c r="K1084" s="4"/>
      <c r="L1084" s="4"/>
      <c r="M1084" s="4"/>
      <c r="N1084" s="1"/>
      <c r="O1084" s="1"/>
      <c r="P1084" s="4"/>
      <c r="Q1084" s="5"/>
      <c r="R1084" s="4"/>
      <c r="S1084" s="1"/>
      <c r="T1084" s="1"/>
      <c r="U1084" s="1"/>
      <c r="V1084" s="1"/>
      <c r="W1084" s="1"/>
      <c r="X1084" s="6"/>
      <c r="Y1084" s="4"/>
      <c r="Z1084" s="4"/>
      <c r="AA1084" s="4"/>
      <c r="AB1084" s="1"/>
      <c r="AC1084" s="1"/>
      <c r="AD1084" s="1"/>
      <c r="AE1084" s="1"/>
      <c r="AF1084" s="1"/>
      <c r="AG1084" s="4"/>
      <c r="AH1084" s="1"/>
      <c r="AI1084" s="4"/>
      <c r="AJ1084" s="6"/>
      <c r="AK1084" s="7"/>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row>
    <row r="1085" spans="1:61" ht="16.5" customHeight="1">
      <c r="A1085" s="1"/>
      <c r="B1085" s="139"/>
      <c r="C1085" s="1"/>
      <c r="D1085" s="1"/>
      <c r="E1085" s="1"/>
      <c r="F1085" s="1"/>
      <c r="G1085" s="1"/>
      <c r="H1085" s="4"/>
      <c r="I1085" s="4"/>
      <c r="J1085" s="4"/>
      <c r="K1085" s="4"/>
      <c r="L1085" s="4"/>
      <c r="M1085" s="4"/>
      <c r="N1085" s="1"/>
      <c r="O1085" s="1"/>
      <c r="P1085" s="4"/>
      <c r="Q1085" s="5"/>
      <c r="R1085" s="4"/>
      <c r="S1085" s="1"/>
      <c r="T1085" s="1"/>
      <c r="U1085" s="1"/>
      <c r="V1085" s="1"/>
      <c r="W1085" s="1"/>
      <c r="X1085" s="6"/>
      <c r="Y1085" s="4"/>
      <c r="Z1085" s="4"/>
      <c r="AA1085" s="4"/>
      <c r="AB1085" s="1"/>
      <c r="AC1085" s="1"/>
      <c r="AD1085" s="1"/>
      <c r="AE1085" s="1"/>
      <c r="AF1085" s="1"/>
      <c r="AG1085" s="4"/>
      <c r="AH1085" s="1"/>
      <c r="AI1085" s="4"/>
      <c r="AJ1085" s="6"/>
      <c r="AK1085" s="7"/>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row>
    <row r="1086" spans="1:61" ht="16.5" customHeight="1">
      <c r="A1086" s="1"/>
      <c r="B1086" s="139"/>
      <c r="C1086" s="1"/>
      <c r="D1086" s="1"/>
      <c r="E1086" s="1"/>
      <c r="F1086" s="1"/>
      <c r="G1086" s="1"/>
      <c r="H1086" s="4"/>
      <c r="I1086" s="4"/>
      <c r="J1086" s="4"/>
      <c r="K1086" s="4"/>
      <c r="L1086" s="4"/>
      <c r="M1086" s="4"/>
      <c r="N1086" s="1"/>
      <c r="O1086" s="1"/>
      <c r="P1086" s="4"/>
      <c r="Q1086" s="5"/>
      <c r="R1086" s="4"/>
      <c r="S1086" s="1"/>
      <c r="T1086" s="1"/>
      <c r="U1086" s="1"/>
      <c r="V1086" s="1"/>
      <c r="W1086" s="1"/>
      <c r="X1086" s="6"/>
      <c r="Y1086" s="4"/>
      <c r="Z1086" s="4"/>
      <c r="AA1086" s="4"/>
      <c r="AB1086" s="1"/>
      <c r="AC1086" s="1"/>
      <c r="AD1086" s="1"/>
      <c r="AE1086" s="1"/>
      <c r="AF1086" s="1"/>
      <c r="AG1086" s="4"/>
      <c r="AH1086" s="1"/>
      <c r="AI1086" s="4"/>
      <c r="AJ1086" s="6"/>
      <c r="AK1086" s="7"/>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row>
    <row r="1087" spans="1:61" ht="16.5" customHeight="1">
      <c r="A1087" s="1"/>
      <c r="B1087" s="139"/>
      <c r="C1087" s="1"/>
      <c r="D1087" s="1"/>
      <c r="E1087" s="1"/>
      <c r="F1087" s="1"/>
      <c r="G1087" s="1"/>
      <c r="H1087" s="4"/>
      <c r="I1087" s="4"/>
      <c r="J1087" s="4"/>
      <c r="K1087" s="4"/>
      <c r="L1087" s="4"/>
      <c r="M1087" s="4"/>
      <c r="N1087" s="1"/>
      <c r="O1087" s="1"/>
      <c r="P1087" s="4"/>
      <c r="Q1087" s="5"/>
      <c r="R1087" s="4"/>
      <c r="S1087" s="1"/>
      <c r="T1087" s="1"/>
      <c r="U1087" s="1"/>
      <c r="V1087" s="1"/>
      <c r="W1087" s="1"/>
      <c r="X1087" s="6"/>
      <c r="Y1087" s="4"/>
      <c r="Z1087" s="4"/>
      <c r="AA1087" s="4"/>
      <c r="AB1087" s="1"/>
      <c r="AC1087" s="1"/>
      <c r="AD1087" s="1"/>
      <c r="AE1087" s="1"/>
      <c r="AF1087" s="1"/>
      <c r="AG1087" s="4"/>
      <c r="AH1087" s="1"/>
      <c r="AI1087" s="4"/>
      <c r="AJ1087" s="6"/>
      <c r="AK1087" s="7"/>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row>
    <row r="1088" spans="1:61" ht="16.5" customHeight="1">
      <c r="A1088" s="1"/>
      <c r="B1088" s="139"/>
      <c r="C1088" s="1"/>
      <c r="D1088" s="1"/>
      <c r="E1088" s="1"/>
      <c r="F1088" s="1"/>
      <c r="G1088" s="1"/>
      <c r="H1088" s="4"/>
      <c r="I1088" s="4"/>
      <c r="J1088" s="4"/>
      <c r="K1088" s="4"/>
      <c r="L1088" s="4"/>
      <c r="M1088" s="4"/>
      <c r="N1088" s="1"/>
      <c r="O1088" s="1"/>
      <c r="P1088" s="4"/>
      <c r="Q1088" s="5"/>
      <c r="R1088" s="4"/>
      <c r="S1088" s="1"/>
      <c r="T1088" s="1"/>
      <c r="U1088" s="1"/>
      <c r="V1088" s="1"/>
      <c r="W1088" s="1"/>
      <c r="X1088" s="6"/>
      <c r="Y1088" s="4"/>
      <c r="Z1088" s="4"/>
      <c r="AA1088" s="4"/>
      <c r="AB1088" s="1"/>
      <c r="AC1088" s="1"/>
      <c r="AD1088" s="1"/>
      <c r="AE1088" s="1"/>
      <c r="AF1088" s="1"/>
      <c r="AG1088" s="4"/>
      <c r="AH1088" s="1"/>
      <c r="AI1088" s="4"/>
      <c r="AJ1088" s="6"/>
      <c r="AK1088" s="7"/>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row>
    <row r="1089" spans="1:61" ht="16.5" customHeight="1">
      <c r="A1089" s="1"/>
      <c r="B1089" s="139"/>
      <c r="C1089" s="1"/>
      <c r="D1089" s="1"/>
      <c r="E1089" s="1"/>
      <c r="F1089" s="1"/>
      <c r="G1089" s="1"/>
      <c r="H1089" s="4"/>
      <c r="I1089" s="4"/>
      <c r="J1089" s="4"/>
      <c r="K1089" s="4"/>
      <c r="L1089" s="4"/>
      <c r="M1089" s="4"/>
      <c r="N1089" s="1"/>
      <c r="O1089" s="1"/>
      <c r="P1089" s="4"/>
      <c r="Q1089" s="5"/>
      <c r="R1089" s="4"/>
      <c r="S1089" s="1"/>
      <c r="T1089" s="1"/>
      <c r="U1089" s="1"/>
      <c r="V1089" s="1"/>
      <c r="W1089" s="1"/>
      <c r="X1089" s="6"/>
      <c r="Y1089" s="4"/>
      <c r="Z1089" s="4"/>
      <c r="AA1089" s="4"/>
      <c r="AB1089" s="1"/>
      <c r="AC1089" s="1"/>
      <c r="AD1089" s="1"/>
      <c r="AE1089" s="1"/>
      <c r="AF1089" s="1"/>
      <c r="AG1089" s="4"/>
      <c r="AH1089" s="1"/>
      <c r="AI1089" s="4"/>
      <c r="AJ1089" s="6"/>
      <c r="AK1089" s="7"/>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row>
    <row r="1090" spans="1:61" ht="16.5" customHeight="1">
      <c r="A1090" s="1"/>
      <c r="B1090" s="139"/>
      <c r="C1090" s="1"/>
      <c r="D1090" s="1"/>
      <c r="E1090" s="1"/>
      <c r="F1090" s="1"/>
      <c r="G1090" s="1"/>
      <c r="H1090" s="4"/>
      <c r="I1090" s="4"/>
      <c r="J1090" s="4"/>
      <c r="K1090" s="4"/>
      <c r="L1090" s="4"/>
      <c r="M1090" s="4"/>
      <c r="N1090" s="1"/>
      <c r="O1090" s="1"/>
      <c r="P1090" s="4"/>
      <c r="Q1090" s="5"/>
      <c r="R1090" s="4"/>
      <c r="S1090" s="1"/>
      <c r="T1090" s="1"/>
      <c r="U1090" s="1"/>
      <c r="V1090" s="1"/>
      <c r="W1090" s="1"/>
      <c r="X1090" s="6"/>
      <c r="Y1090" s="4"/>
      <c r="Z1090" s="4"/>
      <c r="AA1090" s="4"/>
      <c r="AB1090" s="1"/>
      <c r="AC1090" s="1"/>
      <c r="AD1090" s="1"/>
      <c r="AE1090" s="1"/>
      <c r="AF1090" s="1"/>
      <c r="AG1090" s="4"/>
      <c r="AH1090" s="1"/>
      <c r="AI1090" s="4"/>
      <c r="AJ1090" s="6"/>
      <c r="AK1090" s="7"/>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row>
    <row r="1091" spans="1:61" ht="16.5" customHeight="1">
      <c r="A1091" s="1"/>
      <c r="B1091" s="139"/>
      <c r="C1091" s="1"/>
      <c r="D1091" s="1"/>
      <c r="E1091" s="1"/>
      <c r="F1091" s="1"/>
      <c r="G1091" s="1"/>
      <c r="H1091" s="4"/>
      <c r="I1091" s="4"/>
      <c r="J1091" s="4"/>
      <c r="K1091" s="4"/>
      <c r="L1091" s="4"/>
      <c r="M1091" s="4"/>
      <c r="N1091" s="1"/>
      <c r="O1091" s="1"/>
      <c r="P1091" s="4"/>
      <c r="Q1091" s="5"/>
      <c r="R1091" s="4"/>
      <c r="S1091" s="1"/>
      <c r="T1091" s="1"/>
      <c r="U1091" s="1"/>
      <c r="V1091" s="1"/>
      <c r="W1091" s="1"/>
      <c r="X1091" s="6"/>
      <c r="Y1091" s="4"/>
      <c r="Z1091" s="4"/>
      <c r="AA1091" s="4"/>
      <c r="AB1091" s="1"/>
      <c r="AC1091" s="1"/>
      <c r="AD1091" s="1"/>
      <c r="AE1091" s="1"/>
      <c r="AF1091" s="1"/>
      <c r="AG1091" s="4"/>
      <c r="AH1091" s="1"/>
      <c r="AI1091" s="4"/>
      <c r="AJ1091" s="6"/>
      <c r="AK1091" s="7"/>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row>
    <row r="1092" spans="1:61" ht="16.5" customHeight="1">
      <c r="A1092" s="1"/>
      <c r="B1092" s="139"/>
      <c r="C1092" s="1"/>
      <c r="D1092" s="1"/>
      <c r="E1092" s="1"/>
      <c r="F1092" s="1"/>
      <c r="G1092" s="1"/>
      <c r="H1092" s="4"/>
      <c r="I1092" s="4"/>
      <c r="J1092" s="4"/>
      <c r="K1092" s="4"/>
      <c r="L1092" s="4"/>
      <c r="M1092" s="4"/>
      <c r="N1092" s="1"/>
      <c r="O1092" s="1"/>
      <c r="P1092" s="4"/>
      <c r="Q1092" s="5"/>
      <c r="R1092" s="4"/>
      <c r="S1092" s="1"/>
      <c r="T1092" s="1"/>
      <c r="U1092" s="1"/>
      <c r="V1092" s="1"/>
      <c r="W1092" s="1"/>
      <c r="X1092" s="6"/>
      <c r="Y1092" s="4"/>
      <c r="Z1092" s="4"/>
      <c r="AA1092" s="4"/>
      <c r="AB1092" s="1"/>
      <c r="AC1092" s="1"/>
      <c r="AD1092" s="1"/>
      <c r="AE1092" s="1"/>
      <c r="AF1092" s="1"/>
      <c r="AG1092" s="4"/>
      <c r="AH1092" s="1"/>
      <c r="AI1092" s="4"/>
      <c r="AJ1092" s="6"/>
      <c r="AK1092" s="7"/>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row>
    <row r="1093" spans="1:61" ht="16.5" customHeight="1">
      <c r="A1093" s="1"/>
      <c r="B1093" s="139"/>
      <c r="C1093" s="1"/>
      <c r="D1093" s="1"/>
      <c r="E1093" s="1"/>
      <c r="F1093" s="1"/>
      <c r="G1093" s="1"/>
      <c r="H1093" s="4"/>
      <c r="I1093" s="4"/>
      <c r="J1093" s="4"/>
      <c r="K1093" s="4"/>
      <c r="L1093" s="4"/>
      <c r="M1093" s="4"/>
      <c r="N1093" s="1"/>
      <c r="O1093" s="1"/>
      <c r="P1093" s="4"/>
      <c r="Q1093" s="5"/>
      <c r="R1093" s="4"/>
      <c r="S1093" s="1"/>
      <c r="T1093" s="1"/>
      <c r="U1093" s="1"/>
      <c r="V1093" s="1"/>
      <c r="W1093" s="1"/>
      <c r="X1093" s="6"/>
      <c r="Y1093" s="4"/>
      <c r="Z1093" s="4"/>
      <c r="AA1093" s="4"/>
      <c r="AB1093" s="1"/>
      <c r="AC1093" s="1"/>
      <c r="AD1093" s="1"/>
      <c r="AE1093" s="1"/>
      <c r="AF1093" s="1"/>
      <c r="AG1093" s="4"/>
      <c r="AH1093" s="1"/>
      <c r="AI1093" s="4"/>
      <c r="AJ1093" s="6"/>
      <c r="AK1093" s="7"/>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row>
    <row r="1094" spans="1:61" ht="16.5" customHeight="1">
      <c r="A1094" s="1"/>
      <c r="B1094" s="139"/>
      <c r="C1094" s="1"/>
      <c r="D1094" s="1"/>
      <c r="E1094" s="1"/>
      <c r="F1094" s="1"/>
      <c r="G1094" s="1"/>
      <c r="H1094" s="4"/>
      <c r="I1094" s="4"/>
      <c r="J1094" s="4"/>
      <c r="K1094" s="4"/>
      <c r="L1094" s="4"/>
      <c r="M1094" s="4"/>
      <c r="N1094" s="1"/>
      <c r="O1094" s="1"/>
      <c r="P1094" s="4"/>
      <c r="Q1094" s="5"/>
      <c r="R1094" s="4"/>
      <c r="S1094" s="1"/>
      <c r="T1094" s="1"/>
      <c r="U1094" s="1"/>
      <c r="V1094" s="1"/>
      <c r="W1094" s="1"/>
      <c r="X1094" s="6"/>
      <c r="Y1094" s="4"/>
      <c r="Z1094" s="4"/>
      <c r="AA1094" s="4"/>
      <c r="AB1094" s="1"/>
      <c r="AC1094" s="1"/>
      <c r="AD1094" s="1"/>
      <c r="AE1094" s="1"/>
      <c r="AF1094" s="1"/>
      <c r="AG1094" s="4"/>
      <c r="AH1094" s="1"/>
      <c r="AI1094" s="4"/>
      <c r="AJ1094" s="6"/>
      <c r="AK1094" s="7"/>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row>
    <row r="1095" spans="1:61" ht="16.5" customHeight="1">
      <c r="A1095" s="1"/>
      <c r="B1095" s="139"/>
      <c r="C1095" s="1"/>
      <c r="D1095" s="1"/>
      <c r="E1095" s="1"/>
      <c r="F1095" s="1"/>
      <c r="G1095" s="1"/>
      <c r="H1095" s="4"/>
      <c r="I1095" s="4"/>
      <c r="J1095" s="4"/>
      <c r="K1095" s="4"/>
      <c r="L1095" s="4"/>
      <c r="M1095" s="4"/>
      <c r="N1095" s="1"/>
      <c r="O1095" s="1"/>
      <c r="P1095" s="4"/>
      <c r="Q1095" s="5"/>
      <c r="R1095" s="4"/>
      <c r="S1095" s="1"/>
      <c r="T1095" s="1"/>
      <c r="U1095" s="1"/>
      <c r="V1095" s="1"/>
      <c r="W1095" s="1"/>
      <c r="X1095" s="6"/>
      <c r="Y1095" s="4"/>
      <c r="Z1095" s="4"/>
      <c r="AA1095" s="4"/>
      <c r="AB1095" s="1"/>
      <c r="AC1095" s="1"/>
      <c r="AD1095" s="1"/>
      <c r="AE1095" s="1"/>
      <c r="AF1095" s="1"/>
      <c r="AG1095" s="4"/>
      <c r="AH1095" s="1"/>
      <c r="AI1095" s="4"/>
      <c r="AJ1095" s="6"/>
      <c r="AK1095" s="7"/>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row>
    <row r="1096" spans="1:61" ht="16.5" customHeight="1">
      <c r="A1096" s="1"/>
      <c r="B1096" s="139"/>
      <c r="C1096" s="1"/>
      <c r="D1096" s="1"/>
      <c r="E1096" s="1"/>
      <c r="F1096" s="1"/>
      <c r="G1096" s="1"/>
      <c r="H1096" s="4"/>
      <c r="I1096" s="4"/>
      <c r="J1096" s="4"/>
      <c r="K1096" s="4"/>
      <c r="L1096" s="4"/>
      <c r="M1096" s="4"/>
      <c r="N1096" s="1"/>
      <c r="O1096" s="1"/>
      <c r="P1096" s="4"/>
      <c r="Q1096" s="5"/>
      <c r="R1096" s="4"/>
      <c r="S1096" s="1"/>
      <c r="T1096" s="1"/>
      <c r="U1096" s="1"/>
      <c r="V1096" s="1"/>
      <c r="W1096" s="1"/>
      <c r="X1096" s="6"/>
      <c r="Y1096" s="4"/>
      <c r="Z1096" s="4"/>
      <c r="AA1096" s="4"/>
      <c r="AB1096" s="1"/>
      <c r="AC1096" s="1"/>
      <c r="AD1096" s="1"/>
      <c r="AE1096" s="1"/>
      <c r="AF1096" s="1"/>
      <c r="AG1096" s="4"/>
      <c r="AH1096" s="1"/>
      <c r="AI1096" s="4"/>
      <c r="AJ1096" s="6"/>
      <c r="AK1096" s="7"/>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row>
    <row r="1097" spans="1:61" ht="16.5" customHeight="1">
      <c r="A1097" s="1"/>
      <c r="B1097" s="139"/>
      <c r="C1097" s="1"/>
      <c r="D1097" s="1"/>
      <c r="E1097" s="1"/>
      <c r="F1097" s="1"/>
      <c r="G1097" s="1"/>
      <c r="H1097" s="4"/>
      <c r="I1097" s="4"/>
      <c r="J1097" s="4"/>
      <c r="K1097" s="4"/>
      <c r="L1097" s="4"/>
      <c r="M1097" s="4"/>
      <c r="N1097" s="1"/>
      <c r="O1097" s="1"/>
      <c r="P1097" s="4"/>
      <c r="Q1097" s="5"/>
      <c r="R1097" s="4"/>
      <c r="S1097" s="1"/>
      <c r="T1097" s="1"/>
      <c r="U1097" s="1"/>
      <c r="V1097" s="1"/>
      <c r="W1097" s="1"/>
      <c r="X1097" s="6"/>
      <c r="Y1097" s="4"/>
      <c r="Z1097" s="4"/>
      <c r="AA1097" s="4"/>
      <c r="AB1097" s="1"/>
      <c r="AC1097" s="1"/>
      <c r="AD1097" s="1"/>
      <c r="AE1097" s="1"/>
      <c r="AF1097" s="1"/>
      <c r="AG1097" s="4"/>
      <c r="AH1097" s="1"/>
      <c r="AI1097" s="4"/>
      <c r="AJ1097" s="6"/>
      <c r="AK1097" s="7"/>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row>
    <row r="1098" spans="1:61" ht="16.5" customHeight="1">
      <c r="A1098" s="1"/>
      <c r="B1098" s="139"/>
      <c r="C1098" s="1"/>
      <c r="D1098" s="1"/>
      <c r="E1098" s="1"/>
      <c r="F1098" s="1"/>
      <c r="G1098" s="1"/>
      <c r="H1098" s="4"/>
      <c r="I1098" s="4"/>
      <c r="J1098" s="4"/>
      <c r="K1098" s="4"/>
      <c r="L1098" s="4"/>
      <c r="M1098" s="4"/>
      <c r="N1098" s="1"/>
      <c r="O1098" s="1"/>
      <c r="P1098" s="4"/>
      <c r="Q1098" s="5"/>
      <c r="R1098" s="4"/>
      <c r="S1098" s="1"/>
      <c r="T1098" s="1"/>
      <c r="U1098" s="1"/>
      <c r="V1098" s="1"/>
      <c r="W1098" s="1"/>
      <c r="X1098" s="6"/>
      <c r="Y1098" s="4"/>
      <c r="Z1098" s="4"/>
      <c r="AA1098" s="4"/>
      <c r="AB1098" s="1"/>
      <c r="AC1098" s="1"/>
      <c r="AD1098" s="1"/>
      <c r="AE1098" s="1"/>
      <c r="AF1098" s="1"/>
      <c r="AG1098" s="4"/>
      <c r="AH1098" s="1"/>
      <c r="AI1098" s="4"/>
      <c r="AJ1098" s="6"/>
      <c r="AK1098" s="7"/>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row>
    <row r="1099" spans="1:61" ht="16.5" customHeight="1">
      <c r="A1099" s="1"/>
      <c r="B1099" s="139"/>
      <c r="C1099" s="1"/>
      <c r="D1099" s="1"/>
      <c r="E1099" s="1"/>
      <c r="F1099" s="1"/>
      <c r="G1099" s="1"/>
      <c r="H1099" s="4"/>
      <c r="I1099" s="4"/>
      <c r="J1099" s="4"/>
      <c r="K1099" s="4"/>
      <c r="L1099" s="4"/>
      <c r="M1099" s="4"/>
      <c r="N1099" s="1"/>
      <c r="O1099" s="1"/>
      <c r="P1099" s="4"/>
      <c r="Q1099" s="5"/>
      <c r="R1099" s="4"/>
      <c r="S1099" s="1"/>
      <c r="T1099" s="1"/>
      <c r="U1099" s="1"/>
      <c r="V1099" s="1"/>
      <c r="W1099" s="1"/>
      <c r="X1099" s="6"/>
      <c r="Y1099" s="4"/>
      <c r="Z1099" s="4"/>
      <c r="AA1099" s="4"/>
      <c r="AB1099" s="1"/>
      <c r="AC1099" s="1"/>
      <c r="AD1099" s="1"/>
      <c r="AE1099" s="1"/>
      <c r="AF1099" s="1"/>
      <c r="AG1099" s="4"/>
      <c r="AH1099" s="1"/>
      <c r="AI1099" s="4"/>
      <c r="AJ1099" s="6"/>
      <c r="AK1099" s="7"/>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row>
    <row r="1100" spans="1:61" ht="16.5" customHeight="1">
      <c r="A1100" s="1"/>
      <c r="B1100" s="139"/>
      <c r="C1100" s="1"/>
      <c r="D1100" s="1"/>
      <c r="E1100" s="1"/>
      <c r="F1100" s="1"/>
      <c r="G1100" s="1"/>
      <c r="H1100" s="4"/>
      <c r="I1100" s="4"/>
      <c r="J1100" s="4"/>
      <c r="K1100" s="4"/>
      <c r="L1100" s="4"/>
      <c r="M1100" s="4"/>
      <c r="N1100" s="1"/>
      <c r="O1100" s="1"/>
      <c r="P1100" s="4"/>
      <c r="Q1100" s="5"/>
      <c r="R1100" s="4"/>
      <c r="S1100" s="1"/>
      <c r="T1100" s="1"/>
      <c r="U1100" s="1"/>
      <c r="V1100" s="1"/>
      <c r="W1100" s="1"/>
      <c r="X1100" s="6"/>
      <c r="Y1100" s="4"/>
      <c r="Z1100" s="4"/>
      <c r="AA1100" s="4"/>
      <c r="AB1100" s="1"/>
      <c r="AC1100" s="1"/>
      <c r="AD1100" s="1"/>
      <c r="AE1100" s="1"/>
      <c r="AF1100" s="1"/>
      <c r="AG1100" s="4"/>
      <c r="AH1100" s="1"/>
      <c r="AI1100" s="4"/>
      <c r="AJ1100" s="6"/>
      <c r="AK1100" s="7"/>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row>
    <row r="1101" spans="1:61" ht="16.5" customHeight="1">
      <c r="A1101" s="1"/>
      <c r="B1101" s="139"/>
      <c r="C1101" s="1"/>
      <c r="D1101" s="1"/>
      <c r="E1101" s="1"/>
      <c r="F1101" s="1"/>
      <c r="G1101" s="1"/>
      <c r="H1101" s="4"/>
      <c r="I1101" s="4"/>
      <c r="J1101" s="4"/>
      <c r="K1101" s="4"/>
      <c r="L1101" s="4"/>
      <c r="M1101" s="4"/>
      <c r="N1101" s="1"/>
      <c r="O1101" s="1"/>
      <c r="P1101" s="4"/>
      <c r="Q1101" s="5"/>
      <c r="R1101" s="4"/>
      <c r="S1101" s="1"/>
      <c r="T1101" s="1"/>
      <c r="U1101" s="1"/>
      <c r="V1101" s="1"/>
      <c r="W1101" s="1"/>
      <c r="X1101" s="6"/>
      <c r="Y1101" s="4"/>
      <c r="Z1101" s="4"/>
      <c r="AA1101" s="4"/>
      <c r="AB1101" s="1"/>
      <c r="AC1101" s="1"/>
      <c r="AD1101" s="1"/>
      <c r="AE1101" s="1"/>
      <c r="AF1101" s="1"/>
      <c r="AG1101" s="4"/>
      <c r="AH1101" s="1"/>
      <c r="AI1101" s="4"/>
      <c r="AJ1101" s="6"/>
      <c r="AK1101" s="7"/>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row>
    <row r="1102" spans="1:61" ht="16.5" customHeight="1">
      <c r="A1102" s="1"/>
      <c r="B1102" s="139"/>
      <c r="C1102" s="1"/>
      <c r="D1102" s="1"/>
      <c r="E1102" s="1"/>
      <c r="F1102" s="1"/>
      <c r="G1102" s="1"/>
      <c r="H1102" s="4"/>
      <c r="I1102" s="4"/>
      <c r="J1102" s="4"/>
      <c r="K1102" s="4"/>
      <c r="L1102" s="4"/>
      <c r="M1102" s="4"/>
      <c r="N1102" s="1"/>
      <c r="O1102" s="1"/>
      <c r="P1102" s="4"/>
      <c r="Q1102" s="5"/>
      <c r="R1102" s="4"/>
      <c r="S1102" s="1"/>
      <c r="T1102" s="1"/>
      <c r="U1102" s="1"/>
      <c r="V1102" s="1"/>
      <c r="W1102" s="1"/>
      <c r="X1102" s="6"/>
      <c r="Y1102" s="4"/>
      <c r="Z1102" s="4"/>
      <c r="AA1102" s="4"/>
      <c r="AB1102" s="1"/>
      <c r="AC1102" s="1"/>
      <c r="AD1102" s="1"/>
      <c r="AE1102" s="1"/>
      <c r="AF1102" s="1"/>
      <c r="AG1102" s="4"/>
      <c r="AH1102" s="1"/>
      <c r="AI1102" s="4"/>
      <c r="AJ1102" s="6"/>
      <c r="AK1102" s="7"/>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row>
    <row r="1103" spans="1:61" ht="16.5" customHeight="1">
      <c r="A1103" s="1"/>
      <c r="B1103" s="139"/>
      <c r="C1103" s="1"/>
      <c r="D1103" s="1"/>
      <c r="E1103" s="1"/>
      <c r="F1103" s="1"/>
      <c r="G1103" s="1"/>
      <c r="H1103" s="4"/>
      <c r="I1103" s="4"/>
      <c r="J1103" s="4"/>
      <c r="K1103" s="4"/>
      <c r="L1103" s="4"/>
      <c r="M1103" s="4"/>
      <c r="N1103" s="1"/>
      <c r="O1103" s="1"/>
      <c r="P1103" s="4"/>
      <c r="Q1103" s="5"/>
      <c r="R1103" s="4"/>
      <c r="S1103" s="1"/>
      <c r="T1103" s="1"/>
      <c r="U1103" s="1"/>
      <c r="V1103" s="1"/>
      <c r="W1103" s="1"/>
      <c r="X1103" s="6"/>
      <c r="Y1103" s="4"/>
      <c r="Z1103" s="4"/>
      <c r="AA1103" s="4"/>
      <c r="AB1103" s="1"/>
      <c r="AC1103" s="1"/>
      <c r="AD1103" s="1"/>
      <c r="AE1103" s="1"/>
      <c r="AF1103" s="1"/>
      <c r="AG1103" s="4"/>
      <c r="AH1103" s="1"/>
      <c r="AI1103" s="4"/>
      <c r="AJ1103" s="6"/>
      <c r="AK1103" s="7"/>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row>
    <row r="1104" spans="1:61" ht="16.5" customHeight="1">
      <c r="A1104" s="1"/>
      <c r="B1104" s="139"/>
      <c r="C1104" s="1"/>
      <c r="D1104" s="1"/>
      <c r="E1104" s="1"/>
      <c r="F1104" s="1"/>
      <c r="G1104" s="1"/>
      <c r="H1104" s="4"/>
      <c r="I1104" s="4"/>
      <c r="J1104" s="4"/>
      <c r="K1104" s="4"/>
      <c r="L1104" s="4"/>
      <c r="M1104" s="4"/>
      <c r="N1104" s="1"/>
      <c r="O1104" s="1"/>
      <c r="P1104" s="4"/>
      <c r="Q1104" s="5"/>
      <c r="R1104" s="4"/>
      <c r="S1104" s="1"/>
      <c r="T1104" s="1"/>
      <c r="U1104" s="1"/>
      <c r="V1104" s="1"/>
      <c r="W1104" s="1"/>
      <c r="X1104" s="6"/>
      <c r="Y1104" s="4"/>
      <c r="Z1104" s="4"/>
      <c r="AA1104" s="4"/>
      <c r="AB1104" s="1"/>
      <c r="AC1104" s="1"/>
      <c r="AD1104" s="1"/>
      <c r="AE1104" s="1"/>
      <c r="AF1104" s="1"/>
      <c r="AG1104" s="4"/>
      <c r="AH1104" s="1"/>
      <c r="AI1104" s="4"/>
      <c r="AJ1104" s="6"/>
      <c r="AK1104" s="7"/>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row>
    <row r="1105" spans="1:61" ht="16.5" customHeight="1">
      <c r="A1105" s="1"/>
      <c r="B1105" s="139"/>
      <c r="C1105" s="1"/>
      <c r="D1105" s="1"/>
      <c r="E1105" s="1"/>
      <c r="F1105" s="1"/>
      <c r="G1105" s="1"/>
      <c r="H1105" s="4"/>
      <c r="I1105" s="4"/>
      <c r="J1105" s="4"/>
      <c r="K1105" s="4"/>
      <c r="L1105" s="4"/>
      <c r="M1105" s="4"/>
      <c r="N1105" s="1"/>
      <c r="O1105" s="1"/>
      <c r="P1105" s="4"/>
      <c r="Q1105" s="5"/>
      <c r="R1105" s="4"/>
      <c r="S1105" s="1"/>
      <c r="T1105" s="1"/>
      <c r="U1105" s="1"/>
      <c r="V1105" s="1"/>
      <c r="W1105" s="1"/>
      <c r="X1105" s="6"/>
      <c r="Y1105" s="4"/>
      <c r="Z1105" s="4"/>
      <c r="AA1105" s="4"/>
      <c r="AB1105" s="1"/>
      <c r="AC1105" s="1"/>
      <c r="AD1105" s="1"/>
      <c r="AE1105" s="1"/>
      <c r="AF1105" s="1"/>
      <c r="AG1105" s="4"/>
      <c r="AH1105" s="1"/>
      <c r="AI1105" s="4"/>
      <c r="AJ1105" s="6"/>
      <c r="AK1105" s="7"/>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row>
    <row r="1106" spans="1:61" ht="16.5" customHeight="1">
      <c r="A1106" s="1"/>
      <c r="B1106" s="139"/>
      <c r="C1106" s="1"/>
      <c r="D1106" s="1"/>
      <c r="E1106" s="1"/>
      <c r="F1106" s="1"/>
      <c r="G1106" s="1"/>
      <c r="H1106" s="4"/>
      <c r="I1106" s="4"/>
      <c r="J1106" s="4"/>
      <c r="K1106" s="4"/>
      <c r="L1106" s="4"/>
      <c r="M1106" s="4"/>
      <c r="N1106" s="1"/>
      <c r="O1106" s="1"/>
      <c r="P1106" s="4"/>
      <c r="Q1106" s="5"/>
      <c r="R1106" s="4"/>
      <c r="S1106" s="1"/>
      <c r="T1106" s="1"/>
      <c r="U1106" s="1"/>
      <c r="V1106" s="1"/>
      <c r="W1106" s="1"/>
      <c r="X1106" s="6"/>
      <c r="Y1106" s="4"/>
      <c r="Z1106" s="4"/>
      <c r="AA1106" s="4"/>
      <c r="AB1106" s="1"/>
      <c r="AC1106" s="1"/>
      <c r="AD1106" s="1"/>
      <c r="AE1106" s="1"/>
      <c r="AF1106" s="1"/>
      <c r="AG1106" s="4"/>
      <c r="AH1106" s="1"/>
      <c r="AI1106" s="4"/>
      <c r="AJ1106" s="6"/>
      <c r="AK1106" s="7"/>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row>
    <row r="1107" spans="1:61" ht="16.5" customHeight="1">
      <c r="A1107" s="1"/>
      <c r="B1107" s="139"/>
      <c r="C1107" s="1"/>
      <c r="D1107" s="1"/>
      <c r="E1107" s="1"/>
      <c r="F1107" s="1"/>
      <c r="G1107" s="1"/>
      <c r="H1107" s="4"/>
      <c r="I1107" s="4"/>
      <c r="J1107" s="4"/>
      <c r="K1107" s="4"/>
      <c r="L1107" s="4"/>
      <c r="M1107" s="4"/>
      <c r="N1107" s="1"/>
      <c r="O1107" s="1"/>
      <c r="P1107" s="4"/>
      <c r="Q1107" s="5"/>
      <c r="R1107" s="4"/>
      <c r="S1107" s="1"/>
      <c r="T1107" s="1"/>
      <c r="U1107" s="1"/>
      <c r="V1107" s="1"/>
      <c r="W1107" s="1"/>
      <c r="X1107" s="6"/>
      <c r="Y1107" s="4"/>
      <c r="Z1107" s="4"/>
      <c r="AA1107" s="4"/>
      <c r="AB1107" s="1"/>
      <c r="AC1107" s="1"/>
      <c r="AD1107" s="1"/>
      <c r="AE1107" s="1"/>
      <c r="AF1107" s="1"/>
      <c r="AG1107" s="4"/>
      <c r="AH1107" s="1"/>
      <c r="AI1107" s="4"/>
      <c r="AJ1107" s="6"/>
      <c r="AK1107" s="7"/>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row>
    <row r="1108" spans="1:61" ht="16.5" customHeight="1">
      <c r="A1108" s="1"/>
      <c r="B1108" s="139"/>
      <c r="C1108" s="1"/>
      <c r="D1108" s="1"/>
      <c r="E1108" s="1"/>
      <c r="F1108" s="1"/>
      <c r="G1108" s="1"/>
      <c r="H1108" s="4"/>
      <c r="I1108" s="4"/>
      <c r="J1108" s="4"/>
      <c r="K1108" s="4"/>
      <c r="L1108" s="4"/>
      <c r="M1108" s="4"/>
      <c r="N1108" s="1"/>
      <c r="O1108" s="1"/>
      <c r="P1108" s="4"/>
      <c r="Q1108" s="5"/>
      <c r="R1108" s="4"/>
      <c r="S1108" s="1"/>
      <c r="T1108" s="1"/>
      <c r="U1108" s="1"/>
      <c r="V1108" s="1"/>
      <c r="W1108" s="1"/>
      <c r="X1108" s="6"/>
      <c r="Y1108" s="4"/>
      <c r="Z1108" s="4"/>
      <c r="AA1108" s="4"/>
      <c r="AB1108" s="1"/>
      <c r="AC1108" s="1"/>
      <c r="AD1108" s="1"/>
      <c r="AE1108" s="1"/>
      <c r="AF1108" s="1"/>
      <c r="AG1108" s="4"/>
      <c r="AH1108" s="1"/>
      <c r="AI1108" s="4"/>
      <c r="AJ1108" s="6"/>
      <c r="AK1108" s="7"/>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row>
    <row r="1109" spans="1:61" ht="16.5" customHeight="1">
      <c r="A1109" s="1"/>
      <c r="B1109" s="139"/>
      <c r="C1109" s="1"/>
      <c r="D1109" s="1"/>
      <c r="E1109" s="1"/>
      <c r="F1109" s="1"/>
      <c r="G1109" s="1"/>
      <c r="H1109" s="4"/>
      <c r="I1109" s="4"/>
      <c r="J1109" s="4"/>
      <c r="K1109" s="4"/>
      <c r="L1109" s="4"/>
      <c r="M1109" s="4"/>
      <c r="N1109" s="1"/>
      <c r="O1109" s="1"/>
      <c r="P1109" s="4"/>
      <c r="Q1109" s="5"/>
      <c r="R1109" s="4"/>
      <c r="S1109" s="1"/>
      <c r="T1109" s="1"/>
      <c r="U1109" s="1"/>
      <c r="V1109" s="1"/>
      <c r="W1109" s="1"/>
      <c r="X1109" s="6"/>
      <c r="Y1109" s="4"/>
      <c r="Z1109" s="4"/>
      <c r="AA1109" s="4"/>
      <c r="AB1109" s="1"/>
      <c r="AC1109" s="1"/>
      <c r="AD1109" s="1"/>
      <c r="AE1109" s="1"/>
      <c r="AF1109" s="1"/>
      <c r="AG1109" s="4"/>
      <c r="AH1109" s="1"/>
      <c r="AI1109" s="4"/>
      <c r="AJ1109" s="6"/>
      <c r="AK1109" s="7"/>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row>
    <row r="1110" spans="1:61" ht="16.5" customHeight="1">
      <c r="A1110" s="1"/>
      <c r="B1110" s="139"/>
      <c r="C1110" s="1"/>
      <c r="D1110" s="1"/>
      <c r="E1110" s="1"/>
      <c r="F1110" s="1"/>
      <c r="G1110" s="1"/>
      <c r="H1110" s="4"/>
      <c r="I1110" s="4"/>
      <c r="J1110" s="4"/>
      <c r="K1110" s="4"/>
      <c r="L1110" s="4"/>
      <c r="M1110" s="4"/>
      <c r="N1110" s="1"/>
      <c r="O1110" s="1"/>
      <c r="P1110" s="4"/>
      <c r="Q1110" s="5"/>
      <c r="R1110" s="4"/>
      <c r="S1110" s="1"/>
      <c r="T1110" s="1"/>
      <c r="U1110" s="1"/>
      <c r="V1110" s="1"/>
      <c r="W1110" s="1"/>
      <c r="X1110" s="6"/>
      <c r="Y1110" s="4"/>
      <c r="Z1110" s="4"/>
      <c r="AA1110" s="4"/>
      <c r="AB1110" s="1"/>
      <c r="AC1110" s="1"/>
      <c r="AD1110" s="1"/>
      <c r="AE1110" s="1"/>
      <c r="AF1110" s="1"/>
      <c r="AG1110" s="4"/>
      <c r="AH1110" s="1"/>
      <c r="AI1110" s="4"/>
      <c r="AJ1110" s="6"/>
      <c r="AK1110" s="7"/>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row>
    <row r="1111" spans="1:61" ht="16.5" customHeight="1">
      <c r="A1111" s="1"/>
      <c r="B1111" s="139"/>
      <c r="C1111" s="1"/>
      <c r="D1111" s="1"/>
      <c r="E1111" s="1"/>
      <c r="F1111" s="1"/>
      <c r="G1111" s="1"/>
      <c r="H1111" s="4"/>
      <c r="I1111" s="4"/>
      <c r="J1111" s="4"/>
      <c r="K1111" s="4"/>
      <c r="L1111" s="4"/>
      <c r="M1111" s="4"/>
      <c r="N1111" s="1"/>
      <c r="O1111" s="1"/>
      <c r="P1111" s="4"/>
      <c r="Q1111" s="5"/>
      <c r="R1111" s="4"/>
      <c r="S1111" s="1"/>
      <c r="T1111" s="1"/>
      <c r="U1111" s="1"/>
      <c r="V1111" s="1"/>
      <c r="W1111" s="1"/>
      <c r="X1111" s="6"/>
      <c r="Y1111" s="4"/>
      <c r="Z1111" s="4"/>
      <c r="AA1111" s="4"/>
      <c r="AB1111" s="1"/>
      <c r="AC1111" s="1"/>
      <c r="AD1111" s="1"/>
      <c r="AE1111" s="1"/>
      <c r="AF1111" s="1"/>
      <c r="AG1111" s="4"/>
      <c r="AH1111" s="1"/>
      <c r="AI1111" s="4"/>
      <c r="AJ1111" s="6"/>
      <c r="AK1111" s="7"/>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row>
    <row r="1112" spans="1:61" ht="16.5" customHeight="1">
      <c r="A1112" s="1"/>
      <c r="B1112" s="139"/>
      <c r="C1112" s="1"/>
      <c r="D1112" s="1"/>
      <c r="E1112" s="1"/>
      <c r="F1112" s="1"/>
      <c r="G1112" s="1"/>
      <c r="H1112" s="4"/>
      <c r="I1112" s="4"/>
      <c r="J1112" s="4"/>
      <c r="K1112" s="4"/>
      <c r="L1112" s="4"/>
      <c r="M1112" s="4"/>
      <c r="N1112" s="1"/>
      <c r="O1112" s="1"/>
      <c r="P1112" s="4"/>
      <c r="Q1112" s="5"/>
      <c r="R1112" s="4"/>
      <c r="S1112" s="1"/>
      <c r="T1112" s="1"/>
      <c r="U1112" s="1"/>
      <c r="V1112" s="1"/>
      <c r="W1112" s="1"/>
      <c r="X1112" s="6"/>
      <c r="Y1112" s="4"/>
      <c r="Z1112" s="4"/>
      <c r="AA1112" s="4"/>
      <c r="AB1112" s="1"/>
      <c r="AC1112" s="1"/>
      <c r="AD1112" s="1"/>
      <c r="AE1112" s="1"/>
      <c r="AF1112" s="1"/>
      <c r="AG1112" s="4"/>
      <c r="AH1112" s="1"/>
      <c r="AI1112" s="4"/>
      <c r="AJ1112" s="6"/>
      <c r="AK1112" s="7"/>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row>
    <row r="1113" spans="1:61" ht="16.5" customHeight="1">
      <c r="A1113" s="1"/>
      <c r="B1113" s="139"/>
      <c r="C1113" s="1"/>
      <c r="D1113" s="1"/>
      <c r="E1113" s="1"/>
      <c r="F1113" s="1"/>
      <c r="G1113" s="1"/>
      <c r="H1113" s="4"/>
      <c r="I1113" s="4"/>
      <c r="J1113" s="4"/>
      <c r="K1113" s="4"/>
      <c r="L1113" s="4"/>
      <c r="M1113" s="4"/>
      <c r="N1113" s="1"/>
      <c r="O1113" s="1"/>
      <c r="P1113" s="4"/>
      <c r="Q1113" s="5"/>
      <c r="R1113" s="4"/>
      <c r="S1113" s="1"/>
      <c r="T1113" s="1"/>
      <c r="U1113" s="1"/>
      <c r="V1113" s="1"/>
      <c r="W1113" s="1"/>
      <c r="X1113" s="6"/>
      <c r="Y1113" s="4"/>
      <c r="Z1113" s="4"/>
      <c r="AA1113" s="4"/>
      <c r="AB1113" s="1"/>
      <c r="AC1113" s="1"/>
      <c r="AD1113" s="1"/>
      <c r="AE1113" s="1"/>
      <c r="AF1113" s="1"/>
      <c r="AG1113" s="4"/>
      <c r="AH1113" s="1"/>
      <c r="AI1113" s="4"/>
      <c r="AJ1113" s="6"/>
      <c r="AK1113" s="7"/>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row>
    <row r="1114" spans="1:61" ht="16.5" customHeight="1">
      <c r="A1114" s="1"/>
      <c r="B1114" s="139"/>
      <c r="C1114" s="1"/>
      <c r="D1114" s="1"/>
      <c r="E1114" s="1"/>
      <c r="F1114" s="1"/>
      <c r="G1114" s="1"/>
      <c r="H1114" s="4"/>
      <c r="I1114" s="4"/>
      <c r="J1114" s="4"/>
      <c r="K1114" s="4"/>
      <c r="L1114" s="4"/>
      <c r="M1114" s="4"/>
      <c r="N1114" s="1"/>
      <c r="O1114" s="1"/>
      <c r="P1114" s="4"/>
      <c r="Q1114" s="5"/>
      <c r="R1114" s="4"/>
      <c r="S1114" s="1"/>
      <c r="T1114" s="1"/>
      <c r="U1114" s="1"/>
      <c r="V1114" s="1"/>
      <c r="W1114" s="1"/>
      <c r="X1114" s="6"/>
      <c r="Y1114" s="4"/>
      <c r="Z1114" s="4"/>
      <c r="AA1114" s="4"/>
      <c r="AB1114" s="1"/>
      <c r="AC1114" s="1"/>
      <c r="AD1114" s="1"/>
      <c r="AE1114" s="1"/>
      <c r="AF1114" s="1"/>
      <c r="AG1114" s="4"/>
      <c r="AH1114" s="1"/>
      <c r="AI1114" s="4"/>
      <c r="AJ1114" s="6"/>
      <c r="AK1114" s="7"/>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row>
    <row r="1115" spans="1:61" ht="16.5" customHeight="1">
      <c r="A1115" s="1"/>
      <c r="B1115" s="139"/>
      <c r="C1115" s="1"/>
      <c r="D1115" s="1"/>
      <c r="E1115" s="1"/>
      <c r="F1115" s="1"/>
      <c r="G1115" s="1"/>
      <c r="H1115" s="4"/>
      <c r="I1115" s="4"/>
      <c r="J1115" s="4"/>
      <c r="K1115" s="4"/>
      <c r="L1115" s="4"/>
      <c r="M1115" s="4"/>
      <c r="N1115" s="1"/>
      <c r="O1115" s="1"/>
      <c r="P1115" s="4"/>
      <c r="Q1115" s="5"/>
      <c r="R1115" s="4"/>
      <c r="S1115" s="1"/>
      <c r="T1115" s="1"/>
      <c r="U1115" s="1"/>
      <c r="V1115" s="1"/>
      <c r="W1115" s="1"/>
      <c r="X1115" s="6"/>
      <c r="Y1115" s="4"/>
      <c r="Z1115" s="4"/>
      <c r="AA1115" s="4"/>
      <c r="AB1115" s="1"/>
      <c r="AC1115" s="1"/>
      <c r="AD1115" s="1"/>
      <c r="AE1115" s="1"/>
      <c r="AF1115" s="1"/>
      <c r="AG1115" s="4"/>
      <c r="AH1115" s="1"/>
      <c r="AI1115" s="4"/>
      <c r="AJ1115" s="6"/>
      <c r="AK1115" s="7"/>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row>
    <row r="1116" spans="1:61" ht="16.5" customHeight="1">
      <c r="A1116" s="1"/>
      <c r="B1116" s="139"/>
      <c r="C1116" s="1"/>
      <c r="D1116" s="1"/>
      <c r="E1116" s="1"/>
      <c r="F1116" s="1"/>
      <c r="G1116" s="1"/>
      <c r="H1116" s="4"/>
      <c r="I1116" s="4"/>
      <c r="J1116" s="4"/>
      <c r="K1116" s="4"/>
      <c r="L1116" s="4"/>
      <c r="M1116" s="4"/>
      <c r="N1116" s="1"/>
      <c r="O1116" s="1"/>
      <c r="P1116" s="4"/>
      <c r="Q1116" s="5"/>
      <c r="R1116" s="4"/>
      <c r="S1116" s="1"/>
      <c r="T1116" s="1"/>
      <c r="U1116" s="1"/>
      <c r="V1116" s="1"/>
      <c r="W1116" s="1"/>
      <c r="X1116" s="6"/>
      <c r="Y1116" s="4"/>
      <c r="Z1116" s="4"/>
      <c r="AA1116" s="4"/>
      <c r="AB1116" s="1"/>
      <c r="AC1116" s="1"/>
      <c r="AD1116" s="1"/>
      <c r="AE1116" s="1"/>
      <c r="AF1116" s="1"/>
      <c r="AG1116" s="4"/>
      <c r="AH1116" s="1"/>
      <c r="AI1116" s="4"/>
      <c r="AJ1116" s="6"/>
      <c r="AK1116" s="7"/>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row>
    <row r="1117" spans="1:61" ht="16.5" customHeight="1">
      <c r="A1117" s="1"/>
      <c r="B1117" s="139"/>
      <c r="C1117" s="1"/>
      <c r="D1117" s="1"/>
      <c r="E1117" s="1"/>
      <c r="F1117" s="1"/>
      <c r="G1117" s="1"/>
      <c r="H1117" s="4"/>
      <c r="I1117" s="4"/>
      <c r="J1117" s="4"/>
      <c r="K1117" s="4"/>
      <c r="L1117" s="4"/>
      <c r="M1117" s="4"/>
      <c r="N1117" s="1"/>
      <c r="O1117" s="1"/>
      <c r="P1117" s="4"/>
      <c r="Q1117" s="5"/>
      <c r="R1117" s="4"/>
      <c r="S1117" s="1"/>
      <c r="T1117" s="1"/>
      <c r="U1117" s="1"/>
      <c r="V1117" s="1"/>
      <c r="W1117" s="1"/>
      <c r="X1117" s="6"/>
      <c r="Y1117" s="4"/>
      <c r="Z1117" s="4"/>
      <c r="AA1117" s="4"/>
      <c r="AB1117" s="1"/>
      <c r="AC1117" s="1"/>
      <c r="AD1117" s="1"/>
      <c r="AE1117" s="1"/>
      <c r="AF1117" s="1"/>
      <c r="AG1117" s="4"/>
      <c r="AH1117" s="1"/>
      <c r="AI1117" s="4"/>
      <c r="AJ1117" s="6"/>
      <c r="AK1117" s="7"/>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row>
    <row r="1118" spans="1:61" ht="16.5" customHeight="1">
      <c r="A1118" s="1"/>
      <c r="B1118" s="139"/>
      <c r="C1118" s="1"/>
      <c r="D1118" s="1"/>
      <c r="E1118" s="1"/>
      <c r="F1118" s="1"/>
      <c r="G1118" s="1"/>
      <c r="H1118" s="4"/>
      <c r="I1118" s="4"/>
      <c r="J1118" s="4"/>
      <c r="K1118" s="4"/>
      <c r="L1118" s="4"/>
      <c r="M1118" s="4"/>
      <c r="N1118" s="1"/>
      <c r="O1118" s="1"/>
      <c r="P1118" s="4"/>
      <c r="Q1118" s="5"/>
      <c r="R1118" s="4"/>
      <c r="S1118" s="1"/>
      <c r="T1118" s="1"/>
      <c r="U1118" s="1"/>
      <c r="V1118" s="1"/>
      <c r="W1118" s="1"/>
      <c r="X1118" s="6"/>
      <c r="Y1118" s="4"/>
      <c r="Z1118" s="4"/>
      <c r="AA1118" s="4"/>
      <c r="AB1118" s="1"/>
      <c r="AC1118" s="1"/>
      <c r="AD1118" s="1"/>
      <c r="AE1118" s="1"/>
      <c r="AF1118" s="1"/>
      <c r="AG1118" s="4"/>
      <c r="AH1118" s="1"/>
      <c r="AI1118" s="4"/>
      <c r="AJ1118" s="6"/>
      <c r="AK1118" s="7"/>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row>
    <row r="1119" spans="1:61" ht="16.5" customHeight="1">
      <c r="A1119" s="1"/>
      <c r="B1119" s="139"/>
      <c r="C1119" s="1"/>
      <c r="D1119" s="1"/>
      <c r="E1119" s="1"/>
      <c r="F1119" s="1"/>
      <c r="G1119" s="1"/>
      <c r="H1119" s="4"/>
      <c r="I1119" s="4"/>
      <c r="J1119" s="4"/>
      <c r="K1119" s="4"/>
      <c r="L1119" s="4"/>
      <c r="M1119" s="4"/>
      <c r="N1119" s="1"/>
      <c r="O1119" s="1"/>
      <c r="P1119" s="4"/>
      <c r="Q1119" s="5"/>
      <c r="R1119" s="4"/>
      <c r="S1119" s="1"/>
      <c r="T1119" s="1"/>
      <c r="U1119" s="1"/>
      <c r="V1119" s="1"/>
      <c r="W1119" s="1"/>
      <c r="X1119" s="6"/>
      <c r="Y1119" s="4"/>
      <c r="Z1119" s="4"/>
      <c r="AA1119" s="4"/>
      <c r="AB1119" s="1"/>
      <c r="AC1119" s="1"/>
      <c r="AD1119" s="1"/>
      <c r="AE1119" s="1"/>
      <c r="AF1119" s="1"/>
      <c r="AG1119" s="4"/>
      <c r="AH1119" s="1"/>
      <c r="AI1119" s="4"/>
      <c r="AJ1119" s="6"/>
      <c r="AK1119" s="7"/>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row>
    <row r="1120" spans="1:61" ht="16.5" customHeight="1">
      <c r="A1120" s="1"/>
      <c r="B1120" s="139"/>
      <c r="C1120" s="1"/>
      <c r="D1120" s="1"/>
      <c r="E1120" s="1"/>
      <c r="F1120" s="1"/>
      <c r="G1120" s="1"/>
      <c r="H1120" s="4"/>
      <c r="I1120" s="4"/>
      <c r="J1120" s="4"/>
      <c r="K1120" s="4"/>
      <c r="L1120" s="4"/>
      <c r="M1120" s="4"/>
      <c r="N1120" s="1"/>
      <c r="O1120" s="1"/>
      <c r="P1120" s="4"/>
      <c r="Q1120" s="5"/>
      <c r="R1120" s="4"/>
      <c r="S1120" s="1"/>
      <c r="T1120" s="1"/>
      <c r="U1120" s="1"/>
      <c r="V1120" s="1"/>
      <c r="W1120" s="1"/>
      <c r="X1120" s="6"/>
      <c r="Y1120" s="4"/>
      <c r="Z1120" s="4"/>
      <c r="AA1120" s="4"/>
      <c r="AB1120" s="1"/>
      <c r="AC1120" s="1"/>
      <c r="AD1120" s="1"/>
      <c r="AE1120" s="1"/>
      <c r="AF1120" s="1"/>
      <c r="AG1120" s="4"/>
      <c r="AH1120" s="1"/>
      <c r="AI1120" s="4"/>
      <c r="AJ1120" s="6"/>
      <c r="AK1120" s="7"/>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row>
    <row r="1121" spans="1:61" ht="16.5" customHeight="1">
      <c r="A1121" s="1"/>
      <c r="B1121" s="139"/>
      <c r="C1121" s="1"/>
      <c r="D1121" s="1"/>
      <c r="E1121" s="1"/>
      <c r="F1121" s="1"/>
      <c r="G1121" s="1"/>
      <c r="H1121" s="4"/>
      <c r="I1121" s="4"/>
      <c r="J1121" s="4"/>
      <c r="K1121" s="4"/>
      <c r="L1121" s="4"/>
      <c r="M1121" s="4"/>
      <c r="N1121" s="1"/>
      <c r="O1121" s="1"/>
      <c r="P1121" s="4"/>
      <c r="Q1121" s="5"/>
      <c r="R1121" s="4"/>
      <c r="S1121" s="1"/>
      <c r="T1121" s="1"/>
      <c r="U1121" s="1"/>
      <c r="V1121" s="1"/>
      <c r="W1121" s="1"/>
      <c r="X1121" s="6"/>
      <c r="Y1121" s="4"/>
      <c r="Z1121" s="4"/>
      <c r="AA1121" s="4"/>
      <c r="AB1121" s="1"/>
      <c r="AC1121" s="1"/>
      <c r="AD1121" s="1"/>
      <c r="AE1121" s="1"/>
      <c r="AF1121" s="1"/>
      <c r="AG1121" s="4"/>
      <c r="AH1121" s="1"/>
      <c r="AI1121" s="4"/>
      <c r="AJ1121" s="6"/>
      <c r="AK1121" s="7"/>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row>
    <row r="1122" spans="1:61" ht="16.5" customHeight="1">
      <c r="A1122" s="1"/>
      <c r="B1122" s="139"/>
      <c r="C1122" s="1"/>
      <c r="D1122" s="1"/>
      <c r="E1122" s="1"/>
      <c r="F1122" s="1"/>
      <c r="G1122" s="1"/>
      <c r="H1122" s="4"/>
      <c r="I1122" s="4"/>
      <c r="J1122" s="4"/>
      <c r="K1122" s="4"/>
      <c r="L1122" s="4"/>
      <c r="M1122" s="4"/>
      <c r="N1122" s="1"/>
      <c r="O1122" s="1"/>
      <c r="P1122" s="4"/>
      <c r="Q1122" s="5"/>
      <c r="R1122" s="4"/>
      <c r="S1122" s="1"/>
      <c r="T1122" s="1"/>
      <c r="U1122" s="1"/>
      <c r="V1122" s="1"/>
      <c r="W1122" s="1"/>
      <c r="X1122" s="6"/>
      <c r="Y1122" s="4"/>
      <c r="Z1122" s="4"/>
      <c r="AA1122" s="4"/>
      <c r="AB1122" s="1"/>
      <c r="AC1122" s="1"/>
      <c r="AD1122" s="1"/>
      <c r="AE1122" s="1"/>
      <c r="AF1122" s="1"/>
      <c r="AG1122" s="4"/>
      <c r="AH1122" s="1"/>
      <c r="AI1122" s="4"/>
      <c r="AJ1122" s="6"/>
      <c r="AK1122" s="7"/>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row>
    <row r="1123" spans="1:61" ht="16.5" customHeight="1">
      <c r="A1123" s="1"/>
      <c r="B1123" s="139"/>
      <c r="C1123" s="1"/>
      <c r="D1123" s="1"/>
      <c r="E1123" s="1"/>
      <c r="F1123" s="1"/>
      <c r="G1123" s="1"/>
      <c r="H1123" s="4"/>
      <c r="I1123" s="4"/>
      <c r="J1123" s="4"/>
      <c r="K1123" s="4"/>
      <c r="L1123" s="4"/>
      <c r="M1123" s="4"/>
      <c r="N1123" s="1"/>
      <c r="O1123" s="1"/>
      <c r="P1123" s="4"/>
      <c r="Q1123" s="5"/>
      <c r="R1123" s="4"/>
      <c r="S1123" s="1"/>
      <c r="T1123" s="1"/>
      <c r="U1123" s="1"/>
      <c r="V1123" s="1"/>
      <c r="W1123" s="1"/>
      <c r="X1123" s="6"/>
      <c r="Y1123" s="4"/>
      <c r="Z1123" s="4"/>
      <c r="AA1123" s="4"/>
      <c r="AB1123" s="1"/>
      <c r="AC1123" s="1"/>
      <c r="AD1123" s="1"/>
      <c r="AE1123" s="1"/>
      <c r="AF1123" s="1"/>
      <c r="AG1123" s="4"/>
      <c r="AH1123" s="1"/>
      <c r="AI1123" s="4"/>
      <c r="AJ1123" s="6"/>
      <c r="AK1123" s="7"/>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row>
    <row r="1124" spans="1:61" ht="16.5" customHeight="1">
      <c r="A1124" s="1"/>
      <c r="B1124" s="139"/>
      <c r="C1124" s="1"/>
      <c r="D1124" s="1"/>
      <c r="E1124" s="1"/>
      <c r="F1124" s="1"/>
      <c r="G1124" s="1"/>
      <c r="H1124" s="4"/>
      <c r="I1124" s="4"/>
      <c r="J1124" s="4"/>
      <c r="K1124" s="4"/>
      <c r="L1124" s="4"/>
      <c r="M1124" s="4"/>
      <c r="N1124" s="1"/>
      <c r="O1124" s="1"/>
      <c r="P1124" s="4"/>
      <c r="Q1124" s="5"/>
      <c r="R1124" s="4"/>
      <c r="S1124" s="1"/>
      <c r="T1124" s="1"/>
      <c r="U1124" s="1"/>
      <c r="V1124" s="1"/>
      <c r="W1124" s="1"/>
      <c r="X1124" s="6"/>
      <c r="Y1124" s="4"/>
      <c r="Z1124" s="4"/>
      <c r="AA1124" s="4"/>
      <c r="AB1124" s="1"/>
      <c r="AC1124" s="1"/>
      <c r="AD1124" s="1"/>
      <c r="AE1124" s="1"/>
      <c r="AF1124" s="1"/>
      <c r="AG1124" s="4"/>
      <c r="AH1124" s="1"/>
      <c r="AI1124" s="4"/>
      <c r="AJ1124" s="6"/>
      <c r="AK1124" s="7"/>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row>
    <row r="1125" spans="1:61" ht="16.5" customHeight="1">
      <c r="A1125" s="1"/>
      <c r="B1125" s="139"/>
      <c r="C1125" s="1"/>
      <c r="D1125" s="1"/>
      <c r="E1125" s="1"/>
      <c r="F1125" s="1"/>
      <c r="G1125" s="1"/>
      <c r="H1125" s="4"/>
      <c r="I1125" s="4"/>
      <c r="J1125" s="4"/>
      <c r="K1125" s="4"/>
      <c r="L1125" s="4"/>
      <c r="M1125" s="4"/>
      <c r="N1125" s="1"/>
      <c r="O1125" s="1"/>
      <c r="P1125" s="4"/>
      <c r="Q1125" s="5"/>
      <c r="R1125" s="4"/>
      <c r="S1125" s="1"/>
      <c r="T1125" s="1"/>
      <c r="U1125" s="1"/>
      <c r="V1125" s="1"/>
      <c r="W1125" s="1"/>
      <c r="X1125" s="6"/>
      <c r="Y1125" s="4"/>
      <c r="Z1125" s="4"/>
      <c r="AA1125" s="4"/>
      <c r="AB1125" s="1"/>
      <c r="AC1125" s="1"/>
      <c r="AD1125" s="1"/>
      <c r="AE1125" s="1"/>
      <c r="AF1125" s="1"/>
      <c r="AG1125" s="4"/>
      <c r="AH1125" s="1"/>
      <c r="AI1125" s="4"/>
      <c r="AJ1125" s="6"/>
      <c r="AK1125" s="7"/>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row>
    <row r="1126" spans="1:61" ht="16.5" customHeight="1">
      <c r="A1126" s="1"/>
      <c r="B1126" s="139"/>
      <c r="C1126" s="1"/>
      <c r="D1126" s="1"/>
      <c r="E1126" s="1"/>
      <c r="F1126" s="1"/>
      <c r="G1126" s="1"/>
      <c r="H1126" s="4"/>
      <c r="I1126" s="4"/>
      <c r="J1126" s="4"/>
      <c r="K1126" s="4"/>
      <c r="L1126" s="4"/>
      <c r="M1126" s="4"/>
      <c r="N1126" s="1"/>
      <c r="O1126" s="1"/>
      <c r="P1126" s="4"/>
      <c r="Q1126" s="5"/>
      <c r="R1126" s="4"/>
      <c r="S1126" s="1"/>
      <c r="T1126" s="1"/>
      <c r="U1126" s="1"/>
      <c r="V1126" s="1"/>
      <c r="W1126" s="1"/>
      <c r="X1126" s="6"/>
      <c r="Y1126" s="4"/>
      <c r="Z1126" s="4"/>
      <c r="AA1126" s="4"/>
      <c r="AB1126" s="1"/>
      <c r="AC1126" s="1"/>
      <c r="AD1126" s="1"/>
      <c r="AE1126" s="1"/>
      <c r="AF1126" s="1"/>
      <c r="AG1126" s="4"/>
      <c r="AH1126" s="1"/>
      <c r="AI1126" s="4"/>
      <c r="AJ1126" s="6"/>
      <c r="AK1126" s="7"/>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row>
    <row r="1127" spans="1:61" ht="16.5" customHeight="1">
      <c r="A1127" s="1"/>
      <c r="B1127" s="139"/>
      <c r="C1127" s="1"/>
      <c r="D1127" s="1"/>
      <c r="E1127" s="1"/>
      <c r="F1127" s="1"/>
      <c r="G1127" s="1"/>
      <c r="H1127" s="4"/>
      <c r="I1127" s="4"/>
      <c r="J1127" s="4"/>
      <c r="K1127" s="4"/>
      <c r="L1127" s="4"/>
      <c r="M1127" s="4"/>
      <c r="N1127" s="1"/>
      <c r="O1127" s="1"/>
      <c r="P1127" s="4"/>
      <c r="Q1127" s="5"/>
      <c r="R1127" s="4"/>
      <c r="S1127" s="1"/>
      <c r="T1127" s="1"/>
      <c r="U1127" s="1"/>
      <c r="V1127" s="1"/>
      <c r="W1127" s="1"/>
      <c r="X1127" s="6"/>
      <c r="Y1127" s="4"/>
      <c r="Z1127" s="4"/>
      <c r="AA1127" s="4"/>
      <c r="AB1127" s="1"/>
      <c r="AC1127" s="1"/>
      <c r="AD1127" s="1"/>
      <c r="AE1127" s="1"/>
      <c r="AF1127" s="1"/>
      <c r="AG1127" s="4"/>
      <c r="AH1127" s="1"/>
      <c r="AI1127" s="4"/>
      <c r="AJ1127" s="6"/>
      <c r="AK1127" s="7"/>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row>
    <row r="1128" spans="1:61" ht="16.5" customHeight="1">
      <c r="A1128" s="1"/>
      <c r="B1128" s="139"/>
      <c r="C1128" s="1"/>
      <c r="D1128" s="1"/>
      <c r="E1128" s="1"/>
      <c r="F1128" s="1"/>
      <c r="G1128" s="1"/>
      <c r="H1128" s="4"/>
      <c r="I1128" s="4"/>
      <c r="J1128" s="4"/>
      <c r="K1128" s="4"/>
      <c r="L1128" s="4"/>
      <c r="M1128" s="4"/>
      <c r="N1128" s="1"/>
      <c r="O1128" s="1"/>
      <c r="P1128" s="4"/>
      <c r="Q1128" s="5"/>
      <c r="R1128" s="4"/>
      <c r="S1128" s="1"/>
      <c r="T1128" s="1"/>
      <c r="U1128" s="1"/>
      <c r="V1128" s="1"/>
      <c r="W1128" s="1"/>
      <c r="X1128" s="6"/>
      <c r="Y1128" s="4"/>
      <c r="Z1128" s="4"/>
      <c r="AA1128" s="4"/>
      <c r="AB1128" s="1"/>
      <c r="AC1128" s="1"/>
      <c r="AD1128" s="1"/>
      <c r="AE1128" s="1"/>
      <c r="AF1128" s="1"/>
      <c r="AG1128" s="4"/>
      <c r="AH1128" s="1"/>
      <c r="AI1128" s="4"/>
      <c r="AJ1128" s="6"/>
      <c r="AK1128" s="7"/>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row>
    <row r="1129" spans="1:61" ht="16.5" customHeight="1">
      <c r="A1129" s="1"/>
      <c r="B1129" s="139"/>
      <c r="C1129" s="1"/>
      <c r="D1129" s="1"/>
      <c r="E1129" s="1"/>
      <c r="F1129" s="1"/>
      <c r="G1129" s="1"/>
      <c r="H1129" s="4"/>
      <c r="I1129" s="4"/>
      <c r="J1129" s="4"/>
      <c r="K1129" s="4"/>
      <c r="L1129" s="4"/>
      <c r="M1129" s="4"/>
      <c r="N1129" s="1"/>
      <c r="O1129" s="1"/>
      <c r="P1129" s="4"/>
      <c r="Q1129" s="5"/>
      <c r="R1129" s="4"/>
      <c r="S1129" s="1"/>
      <c r="T1129" s="1"/>
      <c r="U1129" s="1"/>
      <c r="V1129" s="1"/>
      <c r="W1129" s="1"/>
      <c r="X1129" s="6"/>
      <c r="Y1129" s="4"/>
      <c r="Z1129" s="4"/>
      <c r="AA1129" s="4"/>
      <c r="AB1129" s="1"/>
      <c r="AC1129" s="1"/>
      <c r="AD1129" s="1"/>
      <c r="AE1129" s="1"/>
      <c r="AF1129" s="1"/>
      <c r="AG1129" s="4"/>
      <c r="AH1129" s="1"/>
      <c r="AI1129" s="4"/>
      <c r="AJ1129" s="6"/>
      <c r="AK1129" s="7"/>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row>
    <row r="1130" spans="1:61" ht="16.5" customHeight="1">
      <c r="A1130" s="1"/>
      <c r="B1130" s="139"/>
      <c r="C1130" s="1"/>
      <c r="D1130" s="1"/>
      <c r="E1130" s="1"/>
      <c r="F1130" s="1"/>
      <c r="G1130" s="1"/>
      <c r="H1130" s="4"/>
      <c r="I1130" s="4"/>
      <c r="J1130" s="4"/>
      <c r="K1130" s="4"/>
      <c r="L1130" s="4"/>
      <c r="M1130" s="4"/>
      <c r="N1130" s="1"/>
      <c r="O1130" s="1"/>
      <c r="P1130" s="4"/>
      <c r="Q1130" s="5"/>
      <c r="R1130" s="4"/>
      <c r="S1130" s="1"/>
      <c r="T1130" s="1"/>
      <c r="U1130" s="1"/>
      <c r="V1130" s="1"/>
      <c r="W1130" s="1"/>
      <c r="X1130" s="6"/>
      <c r="Y1130" s="4"/>
      <c r="Z1130" s="4"/>
      <c r="AA1130" s="4"/>
      <c r="AB1130" s="1"/>
      <c r="AC1130" s="1"/>
      <c r="AD1130" s="1"/>
      <c r="AE1130" s="1"/>
      <c r="AF1130" s="1"/>
      <c r="AG1130" s="4"/>
      <c r="AH1130" s="1"/>
      <c r="AI1130" s="4"/>
      <c r="AJ1130" s="6"/>
      <c r="AK1130" s="7"/>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row>
    <row r="1131" spans="1:61" ht="16.5" customHeight="1">
      <c r="A1131" s="1"/>
      <c r="B1131" s="139"/>
      <c r="C1131" s="1"/>
      <c r="D1131" s="1"/>
      <c r="E1131" s="1"/>
      <c r="F1131" s="1"/>
      <c r="G1131" s="1"/>
      <c r="H1131" s="4"/>
      <c r="I1131" s="4"/>
      <c r="J1131" s="4"/>
      <c r="K1131" s="4"/>
      <c r="L1131" s="4"/>
      <c r="M1131" s="4"/>
      <c r="N1131" s="1"/>
      <c r="O1131" s="1"/>
      <c r="P1131" s="4"/>
      <c r="Q1131" s="5"/>
      <c r="R1131" s="4"/>
      <c r="S1131" s="1"/>
      <c r="T1131" s="1"/>
      <c r="U1131" s="1"/>
      <c r="V1131" s="1"/>
      <c r="W1131" s="1"/>
      <c r="X1131" s="6"/>
      <c r="Y1131" s="4"/>
      <c r="Z1131" s="4"/>
      <c r="AA1131" s="4"/>
      <c r="AB1131" s="1"/>
      <c r="AC1131" s="1"/>
      <c r="AD1131" s="1"/>
      <c r="AE1131" s="1"/>
      <c r="AF1131" s="1"/>
      <c r="AG1131" s="4"/>
      <c r="AH1131" s="1"/>
      <c r="AI1131" s="4"/>
      <c r="AJ1131" s="6"/>
      <c r="AK1131" s="7"/>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row>
    <row r="1132" spans="1:61" ht="16.5" customHeight="1">
      <c r="A1132" s="1"/>
      <c r="B1132" s="139"/>
      <c r="C1132" s="1"/>
      <c r="D1132" s="1"/>
      <c r="E1132" s="1"/>
      <c r="F1132" s="1"/>
      <c r="G1132" s="1"/>
      <c r="H1132" s="4"/>
      <c r="I1132" s="4"/>
      <c r="J1132" s="4"/>
      <c r="K1132" s="4"/>
      <c r="L1132" s="4"/>
      <c r="M1132" s="4"/>
      <c r="N1132" s="1"/>
      <c r="O1132" s="1"/>
      <c r="P1132" s="4"/>
      <c r="Q1132" s="5"/>
      <c r="R1132" s="4"/>
      <c r="S1132" s="1"/>
      <c r="T1132" s="1"/>
      <c r="U1132" s="1"/>
      <c r="V1132" s="1"/>
      <c r="W1132" s="1"/>
      <c r="X1132" s="6"/>
      <c r="Y1132" s="4"/>
      <c r="Z1132" s="4"/>
      <c r="AA1132" s="4"/>
      <c r="AB1132" s="1"/>
      <c r="AC1132" s="1"/>
      <c r="AD1132" s="1"/>
      <c r="AE1132" s="1"/>
      <c r="AF1132" s="1"/>
      <c r="AG1132" s="4"/>
      <c r="AH1132" s="1"/>
      <c r="AI1132" s="4"/>
      <c r="AJ1132" s="6"/>
      <c r="AK1132" s="7"/>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row>
    <row r="1133" spans="1:61" ht="16.5" customHeight="1">
      <c r="A1133" s="1"/>
      <c r="B1133" s="139"/>
      <c r="C1133" s="1"/>
      <c r="D1133" s="1"/>
      <c r="E1133" s="1"/>
      <c r="F1133" s="1"/>
      <c r="G1133" s="1"/>
      <c r="H1133" s="4"/>
      <c r="I1133" s="4"/>
      <c r="J1133" s="4"/>
      <c r="K1133" s="4"/>
      <c r="L1133" s="4"/>
      <c r="M1133" s="4"/>
      <c r="N1133" s="1"/>
      <c r="O1133" s="1"/>
      <c r="P1133" s="4"/>
      <c r="Q1133" s="5"/>
      <c r="R1133" s="4"/>
      <c r="S1133" s="1"/>
      <c r="T1133" s="1"/>
      <c r="U1133" s="1"/>
      <c r="V1133" s="1"/>
      <c r="W1133" s="1"/>
      <c r="X1133" s="6"/>
      <c r="Y1133" s="4"/>
      <c r="Z1133" s="4"/>
      <c r="AA1133" s="4"/>
      <c r="AB1133" s="1"/>
      <c r="AC1133" s="1"/>
      <c r="AD1133" s="1"/>
      <c r="AE1133" s="1"/>
      <c r="AF1133" s="1"/>
      <c r="AG1133" s="4"/>
      <c r="AH1133" s="1"/>
      <c r="AI1133" s="4"/>
      <c r="AJ1133" s="6"/>
      <c r="AK1133" s="7"/>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row>
    <row r="1134" spans="1:61" ht="16.5" customHeight="1">
      <c r="A1134" s="1"/>
      <c r="B1134" s="139"/>
      <c r="C1134" s="1"/>
      <c r="D1134" s="1"/>
      <c r="E1134" s="1"/>
      <c r="F1134" s="1"/>
      <c r="G1134" s="1"/>
      <c r="H1134" s="4"/>
      <c r="I1134" s="4"/>
      <c r="J1134" s="4"/>
      <c r="K1134" s="4"/>
      <c r="L1134" s="4"/>
      <c r="M1134" s="4"/>
      <c r="N1134" s="1"/>
      <c r="O1134" s="1"/>
      <c r="P1134" s="4"/>
      <c r="Q1134" s="5"/>
      <c r="R1134" s="4"/>
      <c r="S1134" s="1"/>
      <c r="T1134" s="1"/>
      <c r="U1134" s="1"/>
      <c r="V1134" s="1"/>
      <c r="W1134" s="1"/>
      <c r="X1134" s="6"/>
      <c r="Y1134" s="4"/>
      <c r="Z1134" s="4"/>
      <c r="AA1134" s="4"/>
      <c r="AB1134" s="1"/>
      <c r="AC1134" s="1"/>
      <c r="AD1134" s="1"/>
      <c r="AE1134" s="1"/>
      <c r="AF1134" s="1"/>
      <c r="AG1134" s="4"/>
      <c r="AH1134" s="1"/>
      <c r="AI1134" s="4"/>
      <c r="AJ1134" s="6"/>
      <c r="AK1134" s="7"/>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row>
    <row r="1135" spans="1:61" ht="16.5" customHeight="1">
      <c r="A1135" s="1"/>
      <c r="B1135" s="139"/>
      <c r="C1135" s="1"/>
      <c r="D1135" s="1"/>
      <c r="E1135" s="1"/>
      <c r="F1135" s="1"/>
      <c r="G1135" s="1"/>
      <c r="H1135" s="4"/>
      <c r="I1135" s="4"/>
      <c r="J1135" s="4"/>
      <c r="K1135" s="4"/>
      <c r="L1135" s="4"/>
      <c r="M1135" s="4"/>
      <c r="N1135" s="1"/>
      <c r="O1135" s="1"/>
      <c r="P1135" s="4"/>
      <c r="Q1135" s="5"/>
      <c r="R1135" s="4"/>
      <c r="S1135" s="1"/>
      <c r="T1135" s="1"/>
      <c r="U1135" s="1"/>
      <c r="V1135" s="1"/>
      <c r="W1135" s="1"/>
      <c r="X1135" s="6"/>
      <c r="Y1135" s="4"/>
      <c r="Z1135" s="4"/>
      <c r="AA1135" s="4"/>
      <c r="AB1135" s="1"/>
      <c r="AC1135" s="1"/>
      <c r="AD1135" s="1"/>
      <c r="AE1135" s="1"/>
      <c r="AF1135" s="1"/>
      <c r="AG1135" s="4"/>
      <c r="AH1135" s="1"/>
      <c r="AI1135" s="4"/>
      <c r="AJ1135" s="6"/>
      <c r="AK1135" s="7"/>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row>
    <row r="1136" spans="1:61" ht="16.5" customHeight="1">
      <c r="A1136" s="1"/>
      <c r="B1136" s="139"/>
      <c r="C1136" s="1"/>
      <c r="D1136" s="1"/>
      <c r="E1136" s="1"/>
      <c r="F1136" s="1"/>
      <c r="G1136" s="1"/>
      <c r="H1136" s="4"/>
      <c r="I1136" s="4"/>
      <c r="J1136" s="4"/>
      <c r="K1136" s="4"/>
      <c r="L1136" s="4"/>
      <c r="M1136" s="4"/>
      <c r="N1136" s="1"/>
      <c r="O1136" s="1"/>
      <c r="P1136" s="4"/>
      <c r="Q1136" s="5"/>
      <c r="R1136" s="4"/>
      <c r="S1136" s="1"/>
      <c r="T1136" s="1"/>
      <c r="U1136" s="1"/>
      <c r="V1136" s="1"/>
      <c r="W1136" s="1"/>
      <c r="X1136" s="6"/>
      <c r="Y1136" s="4"/>
      <c r="Z1136" s="4"/>
      <c r="AA1136" s="4"/>
      <c r="AB1136" s="1"/>
      <c r="AC1136" s="1"/>
      <c r="AD1136" s="1"/>
      <c r="AE1136" s="1"/>
      <c r="AF1136" s="1"/>
      <c r="AG1136" s="4"/>
      <c r="AH1136" s="1"/>
      <c r="AI1136" s="4"/>
      <c r="AJ1136" s="6"/>
      <c r="AK1136" s="7"/>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row>
    <row r="1137" spans="1:61" ht="16.5" customHeight="1">
      <c r="A1137" s="1"/>
      <c r="B1137" s="139"/>
      <c r="C1137" s="1"/>
      <c r="D1137" s="1"/>
      <c r="E1137" s="1"/>
      <c r="F1137" s="1"/>
      <c r="G1137" s="1"/>
      <c r="H1137" s="4"/>
      <c r="I1137" s="4"/>
      <c r="J1137" s="4"/>
      <c r="K1137" s="4"/>
      <c r="L1137" s="4"/>
      <c r="M1137" s="4"/>
      <c r="N1137" s="1"/>
      <c r="O1137" s="1"/>
      <c r="P1137" s="4"/>
      <c r="Q1137" s="5"/>
      <c r="R1137" s="4"/>
      <c r="S1137" s="1"/>
      <c r="T1137" s="1"/>
      <c r="U1137" s="1"/>
      <c r="V1137" s="1"/>
      <c r="W1137" s="1"/>
      <c r="X1137" s="6"/>
      <c r="Y1137" s="4"/>
      <c r="Z1137" s="4"/>
      <c r="AA1137" s="4"/>
      <c r="AB1137" s="1"/>
      <c r="AC1137" s="1"/>
      <c r="AD1137" s="1"/>
      <c r="AE1137" s="1"/>
      <c r="AF1137" s="1"/>
      <c r="AG1137" s="4"/>
      <c r="AH1137" s="1"/>
      <c r="AI1137" s="4"/>
      <c r="AJ1137" s="6"/>
      <c r="AK1137" s="7"/>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row>
    <row r="1138" spans="1:61" ht="16.5" customHeight="1">
      <c r="A1138" s="1"/>
      <c r="B1138" s="139"/>
      <c r="C1138" s="1"/>
      <c r="D1138" s="1"/>
      <c r="E1138" s="1"/>
      <c r="F1138" s="1"/>
      <c r="G1138" s="1"/>
      <c r="H1138" s="4"/>
      <c r="I1138" s="4"/>
      <c r="J1138" s="4"/>
      <c r="K1138" s="4"/>
      <c r="L1138" s="4"/>
      <c r="M1138" s="4"/>
      <c r="N1138" s="1"/>
      <c r="O1138" s="1"/>
      <c r="P1138" s="4"/>
      <c r="Q1138" s="5"/>
      <c r="R1138" s="4"/>
      <c r="S1138" s="1"/>
      <c r="T1138" s="1"/>
      <c r="U1138" s="1"/>
      <c r="V1138" s="1"/>
      <c r="W1138" s="1"/>
      <c r="X1138" s="6"/>
      <c r="Y1138" s="4"/>
      <c r="Z1138" s="4"/>
      <c r="AA1138" s="4"/>
      <c r="AB1138" s="1"/>
      <c r="AC1138" s="1"/>
      <c r="AD1138" s="1"/>
      <c r="AE1138" s="1"/>
      <c r="AF1138" s="1"/>
      <c r="AG1138" s="4"/>
      <c r="AH1138" s="1"/>
      <c r="AI1138" s="4"/>
      <c r="AJ1138" s="6"/>
      <c r="AK1138" s="7"/>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row>
    <row r="1139" spans="1:61" ht="16.5" customHeight="1">
      <c r="A1139" s="1"/>
      <c r="B1139" s="139"/>
      <c r="C1139" s="1"/>
      <c r="D1139" s="1"/>
      <c r="E1139" s="1"/>
      <c r="F1139" s="1"/>
      <c r="G1139" s="1"/>
      <c r="H1139" s="4"/>
      <c r="I1139" s="4"/>
      <c r="J1139" s="4"/>
      <c r="K1139" s="4"/>
      <c r="L1139" s="4"/>
      <c r="M1139" s="4"/>
      <c r="N1139" s="1"/>
      <c r="O1139" s="1"/>
      <c r="P1139" s="4"/>
      <c r="Q1139" s="5"/>
      <c r="R1139" s="4"/>
      <c r="S1139" s="1"/>
      <c r="T1139" s="1"/>
      <c r="U1139" s="1"/>
      <c r="V1139" s="1"/>
      <c r="W1139" s="1"/>
      <c r="X1139" s="6"/>
      <c r="Y1139" s="4"/>
      <c r="Z1139" s="4"/>
      <c r="AA1139" s="4"/>
      <c r="AB1139" s="1"/>
      <c r="AC1139" s="1"/>
      <c r="AD1139" s="1"/>
      <c r="AE1139" s="1"/>
      <c r="AF1139" s="1"/>
      <c r="AG1139" s="4"/>
      <c r="AH1139" s="1"/>
      <c r="AI1139" s="4"/>
      <c r="AJ1139" s="6"/>
      <c r="AK1139" s="7"/>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row>
    <row r="1140" spans="1:61" ht="16.5" customHeight="1">
      <c r="A1140" s="1"/>
      <c r="B1140" s="139"/>
      <c r="C1140" s="1"/>
      <c r="D1140" s="1"/>
      <c r="E1140" s="1"/>
      <c r="F1140" s="1"/>
      <c r="G1140" s="1"/>
      <c r="H1140" s="4"/>
      <c r="I1140" s="4"/>
      <c r="J1140" s="4"/>
      <c r="K1140" s="4"/>
      <c r="L1140" s="4"/>
      <c r="M1140" s="4"/>
      <c r="N1140" s="1"/>
      <c r="O1140" s="1"/>
      <c r="P1140" s="4"/>
      <c r="Q1140" s="5"/>
      <c r="R1140" s="4"/>
      <c r="S1140" s="1"/>
      <c r="T1140" s="1"/>
      <c r="U1140" s="1"/>
      <c r="V1140" s="1"/>
      <c r="W1140" s="1"/>
      <c r="X1140" s="6"/>
      <c r="Y1140" s="4"/>
      <c r="Z1140" s="4"/>
      <c r="AA1140" s="4"/>
      <c r="AB1140" s="1"/>
      <c r="AC1140" s="1"/>
      <c r="AD1140" s="1"/>
      <c r="AE1140" s="1"/>
      <c r="AF1140" s="1"/>
      <c r="AG1140" s="4"/>
      <c r="AH1140" s="1"/>
      <c r="AI1140" s="4"/>
      <c r="AJ1140" s="6"/>
      <c r="AK1140" s="7"/>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row>
    <row r="1141" spans="1:61" ht="16.5" customHeight="1">
      <c r="A1141" s="1"/>
      <c r="B1141" s="139"/>
      <c r="C1141" s="1"/>
      <c r="D1141" s="1"/>
      <c r="E1141" s="1"/>
      <c r="F1141" s="1"/>
      <c r="G1141" s="1"/>
      <c r="H1141" s="4"/>
      <c r="I1141" s="4"/>
      <c r="J1141" s="4"/>
      <c r="K1141" s="4"/>
      <c r="L1141" s="4"/>
      <c r="M1141" s="4"/>
      <c r="N1141" s="1"/>
      <c r="O1141" s="1"/>
      <c r="P1141" s="4"/>
      <c r="Q1141" s="5"/>
      <c r="R1141" s="4"/>
      <c r="S1141" s="1"/>
      <c r="T1141" s="1"/>
      <c r="U1141" s="1"/>
      <c r="V1141" s="1"/>
      <c r="W1141" s="1"/>
      <c r="X1141" s="6"/>
      <c r="Y1141" s="4"/>
      <c r="Z1141" s="4"/>
      <c r="AA1141" s="4"/>
      <c r="AB1141" s="1"/>
      <c r="AC1141" s="1"/>
      <c r="AD1141" s="1"/>
      <c r="AE1141" s="1"/>
      <c r="AF1141" s="1"/>
      <c r="AG1141" s="4"/>
      <c r="AH1141" s="1"/>
      <c r="AI1141" s="4"/>
      <c r="AJ1141" s="6"/>
      <c r="AK1141" s="7"/>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row>
    <row r="1142" spans="1:61" ht="16.5" customHeight="1">
      <c r="A1142" s="1"/>
      <c r="B1142" s="139"/>
      <c r="C1142" s="1"/>
      <c r="D1142" s="1"/>
      <c r="E1142" s="1"/>
      <c r="F1142" s="1"/>
      <c r="G1142" s="1"/>
      <c r="H1142" s="4"/>
      <c r="I1142" s="4"/>
      <c r="J1142" s="4"/>
      <c r="K1142" s="4"/>
      <c r="L1142" s="4"/>
      <c r="M1142" s="4"/>
      <c r="N1142" s="1"/>
      <c r="O1142" s="1"/>
      <c r="P1142" s="4"/>
      <c r="Q1142" s="5"/>
      <c r="R1142" s="4"/>
      <c r="S1142" s="1"/>
      <c r="T1142" s="1"/>
      <c r="U1142" s="1"/>
      <c r="V1142" s="1"/>
      <c r="W1142" s="1"/>
      <c r="X1142" s="6"/>
      <c r="Y1142" s="4"/>
      <c r="Z1142" s="4"/>
      <c r="AA1142" s="4"/>
      <c r="AB1142" s="1"/>
      <c r="AC1142" s="1"/>
      <c r="AD1142" s="1"/>
      <c r="AE1142" s="1"/>
      <c r="AF1142" s="1"/>
      <c r="AG1142" s="4"/>
      <c r="AH1142" s="1"/>
      <c r="AI1142" s="4"/>
      <c r="AJ1142" s="6"/>
      <c r="AK1142" s="7"/>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row>
    <row r="1143" spans="1:61" ht="16.5" customHeight="1">
      <c r="A1143" s="1"/>
      <c r="B1143" s="139"/>
      <c r="C1143" s="1"/>
      <c r="D1143" s="1"/>
      <c r="E1143" s="1"/>
      <c r="F1143" s="1"/>
      <c r="G1143" s="1"/>
      <c r="H1143" s="4"/>
      <c r="I1143" s="4"/>
      <c r="J1143" s="4"/>
      <c r="K1143" s="4"/>
      <c r="L1143" s="4"/>
      <c r="M1143" s="4"/>
      <c r="N1143" s="1"/>
      <c r="O1143" s="1"/>
      <c r="P1143" s="4"/>
      <c r="Q1143" s="5"/>
      <c r="R1143" s="4"/>
      <c r="S1143" s="1"/>
      <c r="T1143" s="1"/>
      <c r="U1143" s="1"/>
      <c r="V1143" s="1"/>
      <c r="W1143" s="1"/>
      <c r="X1143" s="6"/>
      <c r="Y1143" s="4"/>
      <c r="Z1143" s="4"/>
      <c r="AA1143" s="4"/>
      <c r="AB1143" s="1"/>
      <c r="AC1143" s="1"/>
      <c r="AD1143" s="1"/>
      <c r="AE1143" s="1"/>
      <c r="AF1143" s="1"/>
      <c r="AG1143" s="4"/>
      <c r="AH1143" s="1"/>
      <c r="AI1143" s="4"/>
      <c r="AJ1143" s="6"/>
      <c r="AK1143" s="7"/>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row>
    <row r="1144" spans="1:61" ht="16.5" customHeight="1">
      <c r="A1144" s="1"/>
      <c r="B1144" s="139"/>
      <c r="C1144" s="1"/>
      <c r="D1144" s="1"/>
      <c r="E1144" s="1"/>
      <c r="F1144" s="1"/>
      <c r="G1144" s="1"/>
      <c r="H1144" s="4"/>
      <c r="I1144" s="4"/>
      <c r="J1144" s="4"/>
      <c r="K1144" s="4"/>
      <c r="L1144" s="4"/>
      <c r="M1144" s="4"/>
      <c r="N1144" s="1"/>
      <c r="O1144" s="1"/>
      <c r="P1144" s="4"/>
      <c r="Q1144" s="5"/>
      <c r="R1144" s="4"/>
      <c r="S1144" s="1"/>
      <c r="T1144" s="1"/>
      <c r="U1144" s="1"/>
      <c r="V1144" s="1"/>
      <c r="W1144" s="1"/>
      <c r="X1144" s="6"/>
      <c r="Y1144" s="4"/>
      <c r="Z1144" s="4"/>
      <c r="AA1144" s="4"/>
      <c r="AB1144" s="1"/>
      <c r="AC1144" s="1"/>
      <c r="AD1144" s="1"/>
      <c r="AE1144" s="1"/>
      <c r="AF1144" s="1"/>
      <c r="AG1144" s="4"/>
      <c r="AH1144" s="1"/>
      <c r="AI1144" s="4"/>
      <c r="AJ1144" s="6"/>
      <c r="AK1144" s="7"/>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row>
    <row r="1145" spans="1:61" ht="16.5" customHeight="1">
      <c r="A1145" s="1"/>
      <c r="B1145" s="139"/>
      <c r="C1145" s="1"/>
      <c r="D1145" s="1"/>
      <c r="E1145" s="1"/>
      <c r="F1145" s="1"/>
      <c r="G1145" s="1"/>
      <c r="H1145" s="4"/>
      <c r="I1145" s="4"/>
      <c r="J1145" s="4"/>
      <c r="K1145" s="4"/>
      <c r="L1145" s="4"/>
      <c r="M1145" s="4"/>
      <c r="N1145" s="1"/>
      <c r="O1145" s="1"/>
      <c r="P1145" s="4"/>
      <c r="Q1145" s="5"/>
      <c r="R1145" s="4"/>
      <c r="S1145" s="1"/>
      <c r="T1145" s="1"/>
      <c r="U1145" s="1"/>
      <c r="V1145" s="1"/>
      <c r="W1145" s="1"/>
      <c r="X1145" s="6"/>
      <c r="Y1145" s="4"/>
      <c r="Z1145" s="4"/>
      <c r="AA1145" s="4"/>
      <c r="AB1145" s="1"/>
      <c r="AC1145" s="1"/>
      <c r="AD1145" s="1"/>
      <c r="AE1145" s="1"/>
      <c r="AF1145" s="1"/>
      <c r="AG1145" s="4"/>
      <c r="AH1145" s="1"/>
      <c r="AI1145" s="4"/>
      <c r="AJ1145" s="6"/>
      <c r="AK1145" s="7"/>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row>
    <row r="1146" spans="1:61" ht="16.5" customHeight="1">
      <c r="A1146" s="1"/>
      <c r="B1146" s="139"/>
      <c r="C1146" s="1"/>
      <c r="D1146" s="1"/>
      <c r="E1146" s="1"/>
      <c r="F1146" s="1"/>
      <c r="G1146" s="1"/>
      <c r="H1146" s="4"/>
      <c r="I1146" s="4"/>
      <c r="J1146" s="4"/>
      <c r="K1146" s="4"/>
      <c r="L1146" s="4"/>
      <c r="M1146" s="4"/>
      <c r="N1146" s="1"/>
      <c r="O1146" s="1"/>
      <c r="P1146" s="4"/>
      <c r="Q1146" s="5"/>
      <c r="R1146" s="4"/>
      <c r="S1146" s="1"/>
      <c r="T1146" s="1"/>
      <c r="U1146" s="1"/>
      <c r="V1146" s="1"/>
      <c r="W1146" s="1"/>
      <c r="X1146" s="6"/>
      <c r="Y1146" s="4"/>
      <c r="Z1146" s="4"/>
      <c r="AA1146" s="4"/>
      <c r="AB1146" s="1"/>
      <c r="AC1146" s="1"/>
      <c r="AD1146" s="1"/>
      <c r="AE1146" s="1"/>
      <c r="AF1146" s="1"/>
      <c r="AG1146" s="4"/>
      <c r="AH1146" s="1"/>
      <c r="AI1146" s="4"/>
      <c r="AJ1146" s="6"/>
      <c r="AK1146" s="7"/>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row>
    <row r="1147" spans="1:61" ht="16.5" customHeight="1">
      <c r="A1147" s="1"/>
      <c r="B1147" s="139"/>
      <c r="C1147" s="1"/>
      <c r="D1147" s="1"/>
      <c r="E1147" s="1"/>
      <c r="F1147" s="1"/>
      <c r="G1147" s="1"/>
      <c r="H1147" s="4"/>
      <c r="I1147" s="4"/>
      <c r="J1147" s="4"/>
      <c r="K1147" s="4"/>
      <c r="L1147" s="4"/>
      <c r="M1147" s="4"/>
      <c r="N1147" s="1"/>
      <c r="O1147" s="1"/>
      <c r="P1147" s="4"/>
      <c r="Q1147" s="5"/>
      <c r="R1147" s="4"/>
      <c r="S1147" s="1"/>
      <c r="T1147" s="1"/>
      <c r="U1147" s="1"/>
      <c r="V1147" s="1"/>
      <c r="W1147" s="1"/>
      <c r="X1147" s="6"/>
      <c r="Y1147" s="4"/>
      <c r="Z1147" s="4"/>
      <c r="AA1147" s="4"/>
      <c r="AB1147" s="1"/>
      <c r="AC1147" s="1"/>
      <c r="AD1147" s="1"/>
      <c r="AE1147" s="1"/>
      <c r="AF1147" s="1"/>
      <c r="AG1147" s="4"/>
      <c r="AH1147" s="1"/>
      <c r="AI1147" s="4"/>
      <c r="AJ1147" s="6"/>
      <c r="AK1147" s="7"/>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row>
    <row r="1148" spans="1:61" ht="16.5" customHeight="1">
      <c r="A1148" s="1"/>
      <c r="B1148" s="139"/>
      <c r="C1148" s="1"/>
      <c r="D1148" s="1"/>
      <c r="E1148" s="1"/>
      <c r="F1148" s="1"/>
      <c r="G1148" s="1"/>
      <c r="H1148" s="4"/>
      <c r="I1148" s="4"/>
      <c r="J1148" s="4"/>
      <c r="K1148" s="4"/>
      <c r="L1148" s="4"/>
      <c r="M1148" s="4"/>
      <c r="N1148" s="1"/>
      <c r="O1148" s="1"/>
      <c r="P1148" s="4"/>
      <c r="Q1148" s="5"/>
      <c r="R1148" s="4"/>
      <c r="S1148" s="1"/>
      <c r="T1148" s="1"/>
      <c r="U1148" s="1"/>
      <c r="V1148" s="1"/>
      <c r="W1148" s="1"/>
      <c r="X1148" s="6"/>
      <c r="Y1148" s="4"/>
      <c r="Z1148" s="4"/>
      <c r="AA1148" s="4"/>
      <c r="AB1148" s="1"/>
      <c r="AC1148" s="1"/>
      <c r="AD1148" s="1"/>
      <c r="AE1148" s="1"/>
      <c r="AF1148" s="1"/>
      <c r="AG1148" s="4"/>
      <c r="AH1148" s="1"/>
      <c r="AI1148" s="4"/>
      <c r="AJ1148" s="6"/>
      <c r="AK1148" s="7"/>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row>
    <row r="1149" spans="1:61" ht="16.5" customHeight="1">
      <c r="A1149" s="1"/>
      <c r="B1149" s="139"/>
      <c r="C1149" s="1"/>
      <c r="D1149" s="1"/>
      <c r="E1149" s="1"/>
      <c r="F1149" s="1"/>
      <c r="G1149" s="1"/>
      <c r="H1149" s="4"/>
      <c r="I1149" s="4"/>
      <c r="J1149" s="4"/>
      <c r="K1149" s="4"/>
      <c r="L1149" s="4"/>
      <c r="M1149" s="4"/>
      <c r="N1149" s="1"/>
      <c r="O1149" s="1"/>
      <c r="P1149" s="4"/>
      <c r="Q1149" s="5"/>
      <c r="R1149" s="4"/>
      <c r="S1149" s="1"/>
      <c r="T1149" s="1"/>
      <c r="U1149" s="1"/>
      <c r="V1149" s="1"/>
      <c r="W1149" s="1"/>
      <c r="X1149" s="6"/>
      <c r="Y1149" s="4"/>
      <c r="Z1149" s="4"/>
      <c r="AA1149" s="4"/>
      <c r="AB1149" s="1"/>
      <c r="AC1149" s="1"/>
      <c r="AD1149" s="1"/>
      <c r="AE1149" s="1"/>
      <c r="AF1149" s="1"/>
      <c r="AG1149" s="4"/>
      <c r="AH1149" s="1"/>
      <c r="AI1149" s="4"/>
      <c r="AJ1149" s="6"/>
      <c r="AK1149" s="7"/>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row>
    <row r="1150" spans="1:61" ht="16.5" customHeight="1">
      <c r="A1150" s="1"/>
      <c r="B1150" s="139"/>
      <c r="C1150" s="1"/>
      <c r="D1150" s="1"/>
      <c r="E1150" s="1"/>
      <c r="F1150" s="1"/>
      <c r="G1150" s="1"/>
      <c r="H1150" s="4"/>
      <c r="I1150" s="4"/>
      <c r="J1150" s="4"/>
      <c r="K1150" s="4"/>
      <c r="L1150" s="4"/>
      <c r="M1150" s="4"/>
      <c r="N1150" s="1"/>
      <c r="O1150" s="1"/>
      <c r="P1150" s="4"/>
      <c r="Q1150" s="5"/>
      <c r="R1150" s="4"/>
      <c r="S1150" s="1"/>
      <c r="T1150" s="1"/>
      <c r="U1150" s="1"/>
      <c r="V1150" s="1"/>
      <c r="W1150" s="1"/>
      <c r="X1150" s="6"/>
      <c r="Y1150" s="4"/>
      <c r="Z1150" s="4"/>
      <c r="AA1150" s="4"/>
      <c r="AB1150" s="1"/>
      <c r="AC1150" s="1"/>
      <c r="AD1150" s="1"/>
      <c r="AE1150" s="1"/>
      <c r="AF1150" s="1"/>
      <c r="AG1150" s="4"/>
      <c r="AH1150" s="1"/>
      <c r="AI1150" s="4"/>
      <c r="AJ1150" s="6"/>
      <c r="AK1150" s="7"/>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row>
    <row r="1151" spans="1:61" ht="16.5" customHeight="1">
      <c r="A1151" s="1"/>
      <c r="B1151" s="139"/>
      <c r="C1151" s="1"/>
      <c r="D1151" s="1"/>
      <c r="E1151" s="1"/>
      <c r="F1151" s="1"/>
      <c r="G1151" s="1"/>
      <c r="H1151" s="4"/>
      <c r="I1151" s="4"/>
      <c r="J1151" s="4"/>
      <c r="K1151" s="4"/>
      <c r="L1151" s="4"/>
      <c r="M1151" s="4"/>
      <c r="N1151" s="1"/>
      <c r="O1151" s="1"/>
      <c r="P1151" s="4"/>
      <c r="Q1151" s="5"/>
      <c r="R1151" s="4"/>
      <c r="S1151" s="1"/>
      <c r="T1151" s="1"/>
      <c r="U1151" s="1"/>
      <c r="V1151" s="1"/>
      <c r="W1151" s="1"/>
      <c r="X1151" s="6"/>
      <c r="Y1151" s="4"/>
      <c r="Z1151" s="4"/>
      <c r="AA1151" s="4"/>
      <c r="AB1151" s="1"/>
      <c r="AC1151" s="1"/>
      <c r="AD1151" s="1"/>
      <c r="AE1151" s="1"/>
      <c r="AF1151" s="1"/>
      <c r="AG1151" s="4"/>
      <c r="AH1151" s="1"/>
      <c r="AI1151" s="4"/>
      <c r="AJ1151" s="6"/>
      <c r="AK1151" s="7"/>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row>
    <row r="1152" spans="1:61" ht="16.5" customHeight="1">
      <c r="A1152" s="1"/>
      <c r="B1152" s="139"/>
      <c r="C1152" s="1"/>
      <c r="D1152" s="1"/>
      <c r="E1152" s="1"/>
      <c r="F1152" s="1"/>
      <c r="G1152" s="1"/>
      <c r="H1152" s="4"/>
      <c r="I1152" s="4"/>
      <c r="J1152" s="4"/>
      <c r="K1152" s="4"/>
      <c r="L1152" s="4"/>
      <c r="M1152" s="4"/>
      <c r="N1152" s="1"/>
      <c r="O1152" s="1"/>
      <c r="P1152" s="4"/>
      <c r="Q1152" s="5"/>
      <c r="R1152" s="4"/>
      <c r="S1152" s="1"/>
      <c r="T1152" s="1"/>
      <c r="U1152" s="1"/>
      <c r="V1152" s="1"/>
      <c r="W1152" s="1"/>
      <c r="X1152" s="6"/>
      <c r="Y1152" s="4"/>
      <c r="Z1152" s="4"/>
      <c r="AA1152" s="4"/>
      <c r="AB1152" s="1"/>
      <c r="AC1152" s="1"/>
      <c r="AD1152" s="1"/>
      <c r="AE1152" s="1"/>
      <c r="AF1152" s="1"/>
      <c r="AG1152" s="4"/>
      <c r="AH1152" s="1"/>
      <c r="AI1152" s="4"/>
      <c r="AJ1152" s="6"/>
      <c r="AK1152" s="7"/>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row>
    <row r="1153" spans="1:61" ht="16.5" customHeight="1">
      <c r="A1153" s="1"/>
      <c r="B1153" s="139"/>
      <c r="C1153" s="1"/>
      <c r="D1153" s="1"/>
      <c r="E1153" s="1"/>
      <c r="F1153" s="1"/>
      <c r="G1153" s="1"/>
      <c r="H1153" s="4"/>
      <c r="I1153" s="4"/>
      <c r="J1153" s="4"/>
      <c r="K1153" s="4"/>
      <c r="L1153" s="4"/>
      <c r="M1153" s="4"/>
      <c r="N1153" s="1"/>
      <c r="O1153" s="1"/>
      <c r="P1153" s="4"/>
      <c r="Q1153" s="5"/>
      <c r="R1153" s="4"/>
      <c r="S1153" s="1"/>
      <c r="T1153" s="1"/>
      <c r="U1153" s="1"/>
      <c r="V1153" s="1"/>
      <c r="W1153" s="1"/>
      <c r="X1153" s="6"/>
      <c r="Y1153" s="4"/>
      <c r="Z1153" s="4"/>
      <c r="AA1153" s="4"/>
      <c r="AB1153" s="1"/>
      <c r="AC1153" s="1"/>
      <c r="AD1153" s="1"/>
      <c r="AE1153" s="1"/>
      <c r="AF1153" s="1"/>
      <c r="AG1153" s="4"/>
      <c r="AH1153" s="1"/>
      <c r="AI1153" s="4"/>
      <c r="AJ1153" s="6"/>
      <c r="AK1153" s="7"/>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row>
    <row r="1154" spans="1:61" ht="16.5" customHeight="1">
      <c r="A1154" s="1"/>
      <c r="B1154" s="139"/>
      <c r="C1154" s="1"/>
      <c r="D1154" s="1"/>
      <c r="E1154" s="1"/>
      <c r="F1154" s="1"/>
      <c r="G1154" s="1"/>
      <c r="H1154" s="4"/>
      <c r="I1154" s="4"/>
      <c r="J1154" s="4"/>
      <c r="K1154" s="4"/>
      <c r="L1154" s="4"/>
      <c r="M1154" s="4"/>
      <c r="N1154" s="1"/>
      <c r="O1154" s="1"/>
      <c r="P1154" s="4"/>
      <c r="Q1154" s="5"/>
      <c r="R1154" s="4"/>
      <c r="S1154" s="1"/>
      <c r="T1154" s="1"/>
      <c r="U1154" s="1"/>
      <c r="V1154" s="1"/>
      <c r="W1154" s="1"/>
      <c r="X1154" s="6"/>
      <c r="Y1154" s="4"/>
      <c r="Z1154" s="4"/>
      <c r="AA1154" s="4"/>
      <c r="AB1154" s="1"/>
      <c r="AC1154" s="1"/>
      <c r="AD1154" s="1"/>
      <c r="AE1154" s="1"/>
      <c r="AF1154" s="1"/>
      <c r="AG1154" s="4"/>
      <c r="AH1154" s="1"/>
      <c r="AI1154" s="4"/>
      <c r="AJ1154" s="6"/>
      <c r="AK1154" s="7"/>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row>
    <row r="1155" spans="1:61" ht="16.5" customHeight="1">
      <c r="A1155" s="1"/>
      <c r="B1155" s="139"/>
      <c r="C1155" s="1"/>
      <c r="D1155" s="1"/>
      <c r="E1155" s="1"/>
      <c r="F1155" s="1"/>
      <c r="G1155" s="1"/>
      <c r="H1155" s="4"/>
      <c r="I1155" s="4"/>
      <c r="J1155" s="4"/>
      <c r="K1155" s="4"/>
      <c r="L1155" s="4"/>
      <c r="M1155" s="4"/>
      <c r="N1155" s="1"/>
      <c r="O1155" s="1"/>
      <c r="P1155" s="4"/>
      <c r="Q1155" s="5"/>
      <c r="R1155" s="4"/>
      <c r="S1155" s="1"/>
      <c r="T1155" s="1"/>
      <c r="U1155" s="1"/>
      <c r="V1155" s="1"/>
      <c r="W1155" s="1"/>
      <c r="X1155" s="6"/>
      <c r="Y1155" s="4"/>
      <c r="Z1155" s="4"/>
      <c r="AA1155" s="4"/>
      <c r="AB1155" s="1"/>
      <c r="AC1155" s="1"/>
      <c r="AD1155" s="1"/>
      <c r="AE1155" s="1"/>
      <c r="AF1155" s="1"/>
      <c r="AG1155" s="4"/>
      <c r="AH1155" s="1"/>
      <c r="AI1155" s="4"/>
      <c r="AJ1155" s="6"/>
      <c r="AK1155" s="7"/>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row>
    <row r="1156" spans="1:61" ht="16.5" customHeight="1">
      <c r="A1156" s="1"/>
      <c r="B1156" s="139"/>
      <c r="C1156" s="1"/>
      <c r="D1156" s="1"/>
      <c r="E1156" s="1"/>
      <c r="F1156" s="1"/>
      <c r="G1156" s="1"/>
      <c r="H1156" s="4"/>
      <c r="I1156" s="4"/>
      <c r="J1156" s="4"/>
      <c r="K1156" s="4"/>
      <c r="L1156" s="4"/>
      <c r="M1156" s="4"/>
      <c r="N1156" s="1"/>
      <c r="O1156" s="1"/>
      <c r="P1156" s="4"/>
      <c r="Q1156" s="5"/>
      <c r="R1156" s="4"/>
      <c r="S1156" s="1"/>
      <c r="T1156" s="1"/>
      <c r="U1156" s="1"/>
      <c r="V1156" s="1"/>
      <c r="W1156" s="1"/>
      <c r="X1156" s="6"/>
      <c r="Y1156" s="4"/>
      <c r="Z1156" s="4"/>
      <c r="AA1156" s="4"/>
      <c r="AB1156" s="1"/>
      <c r="AC1156" s="1"/>
      <c r="AD1156" s="1"/>
      <c r="AE1156" s="1"/>
      <c r="AF1156" s="1"/>
      <c r="AG1156" s="4"/>
      <c r="AH1156" s="1"/>
      <c r="AI1156" s="4"/>
      <c r="AJ1156" s="6"/>
      <c r="AK1156" s="7"/>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row>
    <row r="1157" spans="1:61" ht="16.5" customHeight="1">
      <c r="A1157" s="1"/>
      <c r="B1157" s="139"/>
      <c r="C1157" s="1"/>
      <c r="D1157" s="1"/>
      <c r="E1157" s="1"/>
      <c r="F1157" s="1"/>
      <c r="G1157" s="1"/>
      <c r="H1157" s="4"/>
      <c r="I1157" s="4"/>
      <c r="J1157" s="4"/>
      <c r="K1157" s="4"/>
      <c r="L1157" s="4"/>
      <c r="M1157" s="4"/>
      <c r="N1157" s="1"/>
      <c r="O1157" s="1"/>
      <c r="P1157" s="4"/>
      <c r="Q1157" s="5"/>
      <c r="R1157" s="4"/>
      <c r="S1157" s="1"/>
      <c r="T1157" s="1"/>
      <c r="U1157" s="1"/>
      <c r="V1157" s="1"/>
      <c r="W1157" s="1"/>
      <c r="X1157" s="6"/>
      <c r="Y1157" s="4"/>
      <c r="Z1157" s="4"/>
      <c r="AA1157" s="4"/>
      <c r="AB1157" s="1"/>
      <c r="AC1157" s="1"/>
      <c r="AD1157" s="1"/>
      <c r="AE1157" s="1"/>
      <c r="AF1157" s="1"/>
      <c r="AG1157" s="4"/>
      <c r="AH1157" s="1"/>
      <c r="AI1157" s="4"/>
      <c r="AJ1157" s="6"/>
      <c r="AK1157" s="7"/>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row>
    <row r="1158" spans="1:61" ht="16.5" customHeight="1">
      <c r="A1158" s="1"/>
      <c r="B1158" s="139"/>
      <c r="C1158" s="1"/>
      <c r="D1158" s="1"/>
      <c r="E1158" s="1"/>
      <c r="F1158" s="1"/>
      <c r="G1158" s="1"/>
      <c r="H1158" s="4"/>
      <c r="I1158" s="4"/>
      <c r="J1158" s="4"/>
      <c r="K1158" s="4"/>
      <c r="L1158" s="4"/>
      <c r="M1158" s="4"/>
      <c r="N1158" s="1"/>
      <c r="O1158" s="1"/>
      <c r="P1158" s="4"/>
      <c r="Q1158" s="5"/>
      <c r="R1158" s="4"/>
      <c r="S1158" s="1"/>
      <c r="T1158" s="1"/>
      <c r="U1158" s="1"/>
      <c r="V1158" s="1"/>
      <c r="W1158" s="1"/>
      <c r="X1158" s="6"/>
      <c r="Y1158" s="4"/>
      <c r="Z1158" s="4"/>
      <c r="AA1158" s="4"/>
      <c r="AB1158" s="1"/>
      <c r="AC1158" s="1"/>
      <c r="AD1158" s="1"/>
      <c r="AE1158" s="1"/>
      <c r="AF1158" s="1"/>
      <c r="AG1158" s="4"/>
      <c r="AH1158" s="1"/>
      <c r="AI1158" s="4"/>
      <c r="AJ1158" s="6"/>
      <c r="AK1158" s="7"/>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row>
    <row r="1159" spans="1:61" ht="16.5" customHeight="1">
      <c r="A1159" s="1"/>
      <c r="B1159" s="139"/>
      <c r="C1159" s="1"/>
      <c r="D1159" s="1"/>
      <c r="E1159" s="1"/>
      <c r="F1159" s="1"/>
      <c r="G1159" s="1"/>
      <c r="H1159" s="4"/>
      <c r="I1159" s="4"/>
      <c r="J1159" s="4"/>
      <c r="K1159" s="4"/>
      <c r="L1159" s="4"/>
      <c r="M1159" s="4"/>
      <c r="N1159" s="1"/>
      <c r="O1159" s="1"/>
      <c r="P1159" s="4"/>
      <c r="Q1159" s="5"/>
      <c r="R1159" s="4"/>
      <c r="S1159" s="1"/>
      <c r="T1159" s="1"/>
      <c r="U1159" s="1"/>
      <c r="V1159" s="1"/>
      <c r="W1159" s="1"/>
      <c r="X1159" s="6"/>
      <c r="Y1159" s="4"/>
      <c r="Z1159" s="4"/>
      <c r="AA1159" s="4"/>
      <c r="AB1159" s="1"/>
      <c r="AC1159" s="1"/>
      <c r="AD1159" s="1"/>
      <c r="AE1159" s="1"/>
      <c r="AF1159" s="1"/>
      <c r="AG1159" s="4"/>
      <c r="AH1159" s="1"/>
      <c r="AI1159" s="4"/>
      <c r="AJ1159" s="6"/>
      <c r="AK1159" s="7"/>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row>
    <row r="1160" spans="1:61" ht="16.5" customHeight="1">
      <c r="A1160" s="1"/>
      <c r="B1160" s="139"/>
      <c r="C1160" s="1"/>
      <c r="D1160" s="1"/>
      <c r="E1160" s="1"/>
      <c r="F1160" s="1"/>
      <c r="G1160" s="1"/>
      <c r="H1160" s="4"/>
      <c r="I1160" s="4"/>
      <c r="J1160" s="4"/>
      <c r="K1160" s="4"/>
      <c r="L1160" s="4"/>
      <c r="M1160" s="4"/>
      <c r="N1160" s="1"/>
      <c r="O1160" s="1"/>
      <c r="P1160" s="4"/>
      <c r="Q1160" s="5"/>
      <c r="R1160" s="4"/>
      <c r="S1160" s="1"/>
      <c r="T1160" s="1"/>
      <c r="U1160" s="1"/>
      <c r="V1160" s="1"/>
      <c r="W1160" s="1"/>
      <c r="X1160" s="6"/>
      <c r="Y1160" s="4"/>
      <c r="Z1160" s="4"/>
      <c r="AA1160" s="4"/>
      <c r="AB1160" s="1"/>
      <c r="AC1160" s="1"/>
      <c r="AD1160" s="1"/>
      <c r="AE1160" s="1"/>
      <c r="AF1160" s="1"/>
      <c r="AG1160" s="4"/>
      <c r="AH1160" s="1"/>
      <c r="AI1160" s="4"/>
      <c r="AJ1160" s="6"/>
      <c r="AK1160" s="7"/>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row>
    <row r="1161" spans="1:61" ht="16.5" customHeight="1">
      <c r="A1161" s="1"/>
      <c r="B1161" s="139"/>
      <c r="C1161" s="1"/>
      <c r="D1161" s="1"/>
      <c r="E1161" s="1"/>
      <c r="F1161" s="1"/>
      <c r="G1161" s="1"/>
      <c r="H1161" s="4"/>
      <c r="I1161" s="4"/>
      <c r="J1161" s="4"/>
      <c r="K1161" s="4"/>
      <c r="L1161" s="4"/>
      <c r="M1161" s="4"/>
      <c r="N1161" s="1"/>
      <c r="O1161" s="1"/>
      <c r="P1161" s="4"/>
      <c r="Q1161" s="5"/>
      <c r="R1161" s="4"/>
      <c r="S1161" s="1"/>
      <c r="T1161" s="1"/>
      <c r="U1161" s="1"/>
      <c r="V1161" s="1"/>
      <c r="W1161" s="1"/>
      <c r="X1161" s="6"/>
      <c r="Y1161" s="4"/>
      <c r="Z1161" s="4"/>
      <c r="AA1161" s="4"/>
      <c r="AB1161" s="1"/>
      <c r="AC1161" s="1"/>
      <c r="AD1161" s="1"/>
      <c r="AE1161" s="1"/>
      <c r="AF1161" s="1"/>
      <c r="AG1161" s="4"/>
      <c r="AH1161" s="1"/>
      <c r="AI1161" s="4"/>
      <c r="AJ1161" s="6"/>
      <c r="AK1161" s="7"/>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row>
    <row r="1162" spans="1:61" ht="16.5" customHeight="1">
      <c r="A1162" s="1"/>
      <c r="B1162" s="139"/>
      <c r="C1162" s="1"/>
      <c r="D1162" s="1"/>
      <c r="E1162" s="1"/>
      <c r="F1162" s="1"/>
      <c r="G1162" s="1"/>
      <c r="H1162" s="4"/>
      <c r="I1162" s="4"/>
      <c r="J1162" s="4"/>
      <c r="K1162" s="4"/>
      <c r="L1162" s="4"/>
      <c r="M1162" s="4"/>
      <c r="N1162" s="1"/>
      <c r="O1162" s="1"/>
      <c r="P1162" s="4"/>
      <c r="Q1162" s="5"/>
      <c r="R1162" s="4"/>
      <c r="S1162" s="1"/>
      <c r="T1162" s="1"/>
      <c r="U1162" s="1"/>
      <c r="V1162" s="1"/>
      <c r="W1162" s="1"/>
      <c r="X1162" s="6"/>
      <c r="Y1162" s="4"/>
      <c r="Z1162" s="4"/>
      <c r="AA1162" s="4"/>
      <c r="AB1162" s="1"/>
      <c r="AC1162" s="1"/>
      <c r="AD1162" s="1"/>
      <c r="AE1162" s="1"/>
      <c r="AF1162" s="1"/>
      <c r="AG1162" s="4"/>
      <c r="AH1162" s="1"/>
      <c r="AI1162" s="4"/>
      <c r="AJ1162" s="6"/>
      <c r="AK1162" s="7"/>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row>
    <row r="1163" spans="1:61" ht="16.5" customHeight="1">
      <c r="A1163" s="1"/>
      <c r="B1163" s="139"/>
      <c r="C1163" s="1"/>
      <c r="D1163" s="1"/>
      <c r="E1163" s="1"/>
      <c r="F1163" s="1"/>
      <c r="G1163" s="1"/>
      <c r="H1163" s="4"/>
      <c r="I1163" s="4"/>
      <c r="J1163" s="4"/>
      <c r="K1163" s="4"/>
      <c r="L1163" s="4"/>
      <c r="M1163" s="4"/>
      <c r="N1163" s="1"/>
      <c r="O1163" s="1"/>
      <c r="P1163" s="4"/>
      <c r="Q1163" s="5"/>
      <c r="R1163" s="4"/>
      <c r="S1163" s="1"/>
      <c r="T1163" s="1"/>
      <c r="U1163" s="1"/>
      <c r="V1163" s="1"/>
      <c r="W1163" s="1"/>
      <c r="X1163" s="6"/>
      <c r="Y1163" s="4"/>
      <c r="Z1163" s="4"/>
      <c r="AA1163" s="4"/>
      <c r="AB1163" s="1"/>
      <c r="AC1163" s="1"/>
      <c r="AD1163" s="1"/>
      <c r="AE1163" s="1"/>
      <c r="AF1163" s="1"/>
      <c r="AG1163" s="4"/>
      <c r="AH1163" s="1"/>
      <c r="AI1163" s="4"/>
      <c r="AJ1163" s="6"/>
      <c r="AK1163" s="7"/>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row>
    <row r="1164" spans="1:61" ht="16.5" customHeight="1">
      <c r="A1164" s="1"/>
      <c r="B1164" s="139"/>
      <c r="C1164" s="1"/>
      <c r="D1164" s="1"/>
      <c r="E1164" s="1"/>
      <c r="F1164" s="1"/>
      <c r="G1164" s="1"/>
      <c r="H1164" s="4"/>
      <c r="I1164" s="4"/>
      <c r="J1164" s="4"/>
      <c r="K1164" s="4"/>
      <c r="L1164" s="4"/>
      <c r="M1164" s="4"/>
      <c r="N1164" s="1"/>
      <c r="O1164" s="1"/>
      <c r="P1164" s="4"/>
      <c r="Q1164" s="5"/>
      <c r="R1164" s="4"/>
      <c r="S1164" s="1"/>
      <c r="T1164" s="1"/>
      <c r="U1164" s="1"/>
      <c r="V1164" s="1"/>
      <c r="W1164" s="1"/>
      <c r="X1164" s="6"/>
      <c r="Y1164" s="4"/>
      <c r="Z1164" s="4"/>
      <c r="AA1164" s="4"/>
      <c r="AB1164" s="1"/>
      <c r="AC1164" s="1"/>
      <c r="AD1164" s="1"/>
      <c r="AE1164" s="1"/>
      <c r="AF1164" s="1"/>
      <c r="AG1164" s="4"/>
      <c r="AH1164" s="1"/>
      <c r="AI1164" s="4"/>
      <c r="AJ1164" s="6"/>
      <c r="AK1164" s="7"/>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row>
    <row r="1165" spans="1:61" ht="16.5" customHeight="1">
      <c r="A1165" s="1"/>
      <c r="B1165" s="139"/>
      <c r="C1165" s="1"/>
      <c r="D1165" s="1"/>
      <c r="E1165" s="1"/>
      <c r="F1165" s="1"/>
      <c r="G1165" s="1"/>
      <c r="H1165" s="4"/>
      <c r="I1165" s="4"/>
      <c r="J1165" s="4"/>
      <c r="K1165" s="4"/>
      <c r="L1165" s="4"/>
      <c r="M1165" s="4"/>
      <c r="N1165" s="1"/>
      <c r="O1165" s="1"/>
      <c r="P1165" s="4"/>
      <c r="Q1165" s="5"/>
      <c r="R1165" s="4"/>
      <c r="S1165" s="1"/>
      <c r="T1165" s="1"/>
      <c r="U1165" s="1"/>
      <c r="V1165" s="1"/>
      <c r="W1165" s="1"/>
      <c r="X1165" s="6"/>
      <c r="Y1165" s="4"/>
      <c r="Z1165" s="4"/>
      <c r="AA1165" s="4"/>
      <c r="AB1165" s="1"/>
      <c r="AC1165" s="1"/>
      <c r="AD1165" s="1"/>
      <c r="AE1165" s="1"/>
      <c r="AF1165" s="1"/>
      <c r="AG1165" s="4"/>
      <c r="AH1165" s="1"/>
      <c r="AI1165" s="4"/>
      <c r="AJ1165" s="6"/>
      <c r="AK1165" s="7"/>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row>
    <row r="1166" spans="1:61" ht="16.5" customHeight="1">
      <c r="A1166" s="1"/>
      <c r="B1166" s="139"/>
      <c r="C1166" s="1"/>
      <c r="D1166" s="1"/>
      <c r="E1166" s="1"/>
      <c r="F1166" s="1"/>
      <c r="G1166" s="1"/>
      <c r="H1166" s="4"/>
      <c r="I1166" s="4"/>
      <c r="J1166" s="4"/>
      <c r="K1166" s="4"/>
      <c r="L1166" s="4"/>
      <c r="M1166" s="4"/>
      <c r="N1166" s="1"/>
      <c r="O1166" s="1"/>
      <c r="P1166" s="4"/>
      <c r="Q1166" s="5"/>
      <c r="R1166" s="4"/>
      <c r="S1166" s="1"/>
      <c r="T1166" s="1"/>
      <c r="U1166" s="1"/>
      <c r="V1166" s="1"/>
      <c r="W1166" s="1"/>
      <c r="X1166" s="6"/>
      <c r="Y1166" s="4"/>
      <c r="Z1166" s="4"/>
      <c r="AA1166" s="4"/>
      <c r="AB1166" s="1"/>
      <c r="AC1166" s="1"/>
      <c r="AD1166" s="1"/>
      <c r="AE1166" s="1"/>
      <c r="AF1166" s="1"/>
      <c r="AG1166" s="4"/>
      <c r="AH1166" s="1"/>
      <c r="AI1166" s="4"/>
      <c r="AJ1166" s="6"/>
      <c r="AK1166" s="7"/>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row>
    <row r="1167" spans="1:61" ht="16.5" customHeight="1">
      <c r="A1167" s="1"/>
      <c r="B1167" s="139"/>
      <c r="C1167" s="1"/>
      <c r="D1167" s="1"/>
      <c r="E1167" s="1"/>
      <c r="F1167" s="1"/>
      <c r="G1167" s="1"/>
      <c r="H1167" s="4"/>
      <c r="I1167" s="4"/>
      <c r="J1167" s="4"/>
      <c r="K1167" s="4"/>
      <c r="L1167" s="4"/>
      <c r="M1167" s="4"/>
      <c r="N1167" s="1"/>
      <c r="O1167" s="1"/>
      <c r="P1167" s="4"/>
      <c r="Q1167" s="5"/>
      <c r="R1167" s="4"/>
      <c r="S1167" s="1"/>
      <c r="T1167" s="1"/>
      <c r="U1167" s="1"/>
      <c r="V1167" s="1"/>
      <c r="W1167" s="1"/>
      <c r="X1167" s="6"/>
      <c r="Y1167" s="4"/>
      <c r="Z1167" s="4"/>
      <c r="AA1167" s="4"/>
      <c r="AB1167" s="1"/>
      <c r="AC1167" s="1"/>
      <c r="AD1167" s="1"/>
      <c r="AE1167" s="1"/>
      <c r="AF1167" s="1"/>
      <c r="AG1167" s="4"/>
      <c r="AH1167" s="1"/>
      <c r="AI1167" s="4"/>
      <c r="AJ1167" s="6"/>
      <c r="AK1167" s="7"/>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row>
    <row r="1168" spans="1:61" ht="16.5" customHeight="1">
      <c r="A1168" s="1"/>
      <c r="B1168" s="139"/>
      <c r="C1168" s="1"/>
      <c r="D1168" s="1"/>
      <c r="E1168" s="1"/>
      <c r="F1168" s="1"/>
      <c r="G1168" s="1"/>
      <c r="H1168" s="4"/>
      <c r="I1168" s="4"/>
      <c r="J1168" s="4"/>
      <c r="K1168" s="4"/>
      <c r="L1168" s="4"/>
      <c r="M1168" s="4"/>
      <c r="N1168" s="1"/>
      <c r="O1168" s="1"/>
      <c r="P1168" s="4"/>
      <c r="Q1168" s="5"/>
      <c r="R1168" s="4"/>
      <c r="S1168" s="1"/>
      <c r="T1168" s="1"/>
      <c r="U1168" s="1"/>
      <c r="V1168" s="1"/>
      <c r="W1168" s="1"/>
      <c r="X1168" s="6"/>
      <c r="Y1168" s="4"/>
      <c r="Z1168" s="4"/>
      <c r="AA1168" s="4"/>
      <c r="AB1168" s="1"/>
      <c r="AC1168" s="1"/>
      <c r="AD1168" s="1"/>
      <c r="AE1168" s="1"/>
      <c r="AF1168" s="1"/>
      <c r="AG1168" s="4"/>
      <c r="AH1168" s="1"/>
      <c r="AI1168" s="4"/>
      <c r="AJ1168" s="6"/>
      <c r="AK1168" s="7"/>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row>
    <row r="1169" spans="1:61" ht="16.5" customHeight="1">
      <c r="A1169" s="1"/>
      <c r="B1169" s="139"/>
      <c r="C1169" s="1"/>
      <c r="D1169" s="1"/>
      <c r="E1169" s="1"/>
      <c r="F1169" s="1"/>
      <c r="G1169" s="1"/>
      <c r="H1169" s="4"/>
      <c r="I1169" s="4"/>
      <c r="J1169" s="4"/>
      <c r="K1169" s="4"/>
      <c r="L1169" s="4"/>
      <c r="M1169" s="4"/>
      <c r="N1169" s="1"/>
      <c r="O1169" s="1"/>
      <c r="P1169" s="4"/>
      <c r="Q1169" s="5"/>
      <c r="R1169" s="4"/>
      <c r="S1169" s="1"/>
      <c r="T1169" s="1"/>
      <c r="U1169" s="1"/>
      <c r="V1169" s="1"/>
      <c r="W1169" s="1"/>
      <c r="X1169" s="6"/>
      <c r="Y1169" s="4"/>
      <c r="Z1169" s="4"/>
      <c r="AA1169" s="4"/>
      <c r="AB1169" s="1"/>
      <c r="AC1169" s="1"/>
      <c r="AD1169" s="1"/>
      <c r="AE1169" s="1"/>
      <c r="AF1169" s="1"/>
      <c r="AG1169" s="4"/>
      <c r="AH1169" s="1"/>
      <c r="AI1169" s="4"/>
      <c r="AJ1169" s="6"/>
      <c r="AK1169" s="7"/>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row>
    <row r="1170" spans="1:61" ht="16.5" customHeight="1">
      <c r="A1170" s="1"/>
      <c r="B1170" s="139"/>
      <c r="C1170" s="1"/>
      <c r="D1170" s="1"/>
      <c r="E1170" s="1"/>
      <c r="F1170" s="1"/>
      <c r="G1170" s="1"/>
      <c r="H1170" s="4"/>
      <c r="I1170" s="4"/>
      <c r="J1170" s="4"/>
      <c r="K1170" s="4"/>
      <c r="L1170" s="4"/>
      <c r="M1170" s="4"/>
      <c r="N1170" s="1"/>
      <c r="O1170" s="1"/>
      <c r="P1170" s="4"/>
      <c r="Q1170" s="5"/>
      <c r="R1170" s="4"/>
      <c r="S1170" s="1"/>
      <c r="T1170" s="1"/>
      <c r="U1170" s="1"/>
      <c r="V1170" s="1"/>
      <c r="W1170" s="1"/>
      <c r="X1170" s="6"/>
      <c r="Y1170" s="4"/>
      <c r="Z1170" s="4"/>
      <c r="AA1170" s="4"/>
      <c r="AB1170" s="1"/>
      <c r="AC1170" s="1"/>
      <c r="AD1170" s="1"/>
      <c r="AE1170" s="1"/>
      <c r="AF1170" s="1"/>
      <c r="AG1170" s="4"/>
      <c r="AH1170" s="1"/>
      <c r="AI1170" s="4"/>
      <c r="AJ1170" s="6"/>
      <c r="AK1170" s="7"/>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row>
    <row r="1171" spans="1:61" ht="16.5" customHeight="1">
      <c r="A1171" s="1"/>
      <c r="B1171" s="139"/>
      <c r="C1171" s="1"/>
      <c r="D1171" s="1"/>
      <c r="E1171" s="1"/>
      <c r="F1171" s="1"/>
      <c r="G1171" s="1"/>
      <c r="H1171" s="4"/>
      <c r="I1171" s="4"/>
      <c r="J1171" s="4"/>
      <c r="K1171" s="4"/>
      <c r="L1171" s="4"/>
      <c r="M1171" s="4"/>
      <c r="N1171" s="1"/>
      <c r="O1171" s="1"/>
      <c r="P1171" s="4"/>
      <c r="Q1171" s="5"/>
      <c r="R1171" s="4"/>
      <c r="S1171" s="1"/>
      <c r="T1171" s="1"/>
      <c r="U1171" s="1"/>
      <c r="V1171" s="1"/>
      <c r="W1171" s="1"/>
      <c r="X1171" s="6"/>
      <c r="Y1171" s="4"/>
      <c r="Z1171" s="4"/>
      <c r="AA1171" s="4"/>
      <c r="AB1171" s="1"/>
      <c r="AC1171" s="1"/>
      <c r="AD1171" s="1"/>
      <c r="AE1171" s="1"/>
      <c r="AF1171" s="1"/>
      <c r="AG1171" s="4"/>
      <c r="AH1171" s="1"/>
      <c r="AI1171" s="4"/>
      <c r="AJ1171" s="6"/>
      <c r="AK1171" s="7"/>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row>
    <row r="1172" spans="1:61" ht="16.5" customHeight="1">
      <c r="A1172" s="1"/>
      <c r="B1172" s="139"/>
      <c r="C1172" s="1"/>
      <c r="D1172" s="1"/>
      <c r="E1172" s="1"/>
      <c r="F1172" s="1"/>
      <c r="G1172" s="1"/>
      <c r="H1172" s="4"/>
      <c r="I1172" s="4"/>
      <c r="J1172" s="4"/>
      <c r="K1172" s="4"/>
      <c r="L1172" s="4"/>
      <c r="M1172" s="4"/>
      <c r="N1172" s="1"/>
      <c r="O1172" s="1"/>
      <c r="P1172" s="4"/>
      <c r="Q1172" s="5"/>
      <c r="R1172" s="4"/>
      <c r="S1172" s="1"/>
      <c r="T1172" s="1"/>
      <c r="U1172" s="1"/>
      <c r="V1172" s="1"/>
      <c r="W1172" s="1"/>
      <c r="X1172" s="6"/>
      <c r="Y1172" s="4"/>
      <c r="Z1172" s="4"/>
      <c r="AA1172" s="4"/>
      <c r="AB1172" s="1"/>
      <c r="AC1172" s="1"/>
      <c r="AD1172" s="1"/>
      <c r="AE1172" s="1"/>
      <c r="AF1172" s="1"/>
      <c r="AG1172" s="4"/>
      <c r="AH1172" s="1"/>
      <c r="AI1172" s="4"/>
      <c r="AJ1172" s="6"/>
      <c r="AK1172" s="7"/>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row>
    <row r="1173" spans="1:61" ht="16.5" customHeight="1">
      <c r="A1173" s="1"/>
      <c r="B1173" s="139"/>
      <c r="C1173" s="1"/>
      <c r="D1173" s="1"/>
      <c r="E1173" s="1"/>
      <c r="F1173" s="1"/>
      <c r="G1173" s="1"/>
      <c r="H1173" s="4"/>
      <c r="I1173" s="4"/>
      <c r="J1173" s="4"/>
      <c r="K1173" s="4"/>
      <c r="L1173" s="4"/>
      <c r="M1173" s="4"/>
      <c r="N1173" s="1"/>
      <c r="O1173" s="1"/>
      <c r="P1173" s="4"/>
      <c r="Q1173" s="5"/>
      <c r="R1173" s="4"/>
      <c r="S1173" s="1"/>
      <c r="T1173" s="1"/>
      <c r="U1173" s="1"/>
      <c r="V1173" s="1"/>
      <c r="W1173" s="1"/>
      <c r="X1173" s="6"/>
      <c r="Y1173" s="4"/>
      <c r="Z1173" s="4"/>
      <c r="AA1173" s="4"/>
      <c r="AB1173" s="1"/>
      <c r="AC1173" s="1"/>
      <c r="AD1173" s="1"/>
      <c r="AE1173" s="1"/>
      <c r="AF1173" s="1"/>
      <c r="AG1173" s="4"/>
      <c r="AH1173" s="1"/>
      <c r="AI1173" s="4"/>
      <c r="AJ1173" s="6"/>
      <c r="AK1173" s="7"/>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row>
    <row r="1174" spans="1:61" ht="16.5" customHeight="1">
      <c r="A1174" s="1"/>
      <c r="B1174" s="139"/>
      <c r="C1174" s="1"/>
      <c r="D1174" s="1"/>
      <c r="E1174" s="1"/>
      <c r="F1174" s="1"/>
      <c r="G1174" s="1"/>
      <c r="H1174" s="4"/>
      <c r="I1174" s="4"/>
      <c r="J1174" s="4"/>
      <c r="K1174" s="4"/>
      <c r="L1174" s="4"/>
      <c r="M1174" s="4"/>
      <c r="N1174" s="1"/>
      <c r="O1174" s="1"/>
      <c r="P1174" s="4"/>
      <c r="Q1174" s="5"/>
      <c r="R1174" s="4"/>
      <c r="S1174" s="1"/>
      <c r="T1174" s="1"/>
      <c r="U1174" s="1"/>
      <c r="V1174" s="1"/>
      <c r="W1174" s="1"/>
      <c r="X1174" s="6"/>
      <c r="Y1174" s="4"/>
      <c r="Z1174" s="4"/>
      <c r="AA1174" s="4"/>
      <c r="AB1174" s="1"/>
      <c r="AC1174" s="1"/>
      <c r="AD1174" s="1"/>
      <c r="AE1174" s="1"/>
      <c r="AF1174" s="1"/>
      <c r="AG1174" s="4"/>
      <c r="AH1174" s="1"/>
      <c r="AI1174" s="4"/>
      <c r="AJ1174" s="6"/>
      <c r="AK1174" s="7"/>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row>
    <row r="1175" spans="1:61" ht="16.5" customHeight="1">
      <c r="A1175" s="1"/>
      <c r="B1175" s="139"/>
      <c r="C1175" s="1"/>
      <c r="D1175" s="1"/>
      <c r="E1175" s="1"/>
      <c r="F1175" s="1"/>
      <c r="G1175" s="1"/>
      <c r="H1175" s="4"/>
      <c r="I1175" s="4"/>
      <c r="J1175" s="4"/>
      <c r="K1175" s="4"/>
      <c r="L1175" s="4"/>
      <c r="M1175" s="4"/>
      <c r="N1175" s="1"/>
      <c r="O1175" s="1"/>
      <c r="P1175" s="4"/>
      <c r="Q1175" s="5"/>
      <c r="R1175" s="4"/>
      <c r="S1175" s="1"/>
      <c r="T1175" s="1"/>
      <c r="U1175" s="1"/>
      <c r="V1175" s="1"/>
      <c r="W1175" s="1"/>
      <c r="X1175" s="6"/>
      <c r="Y1175" s="4"/>
      <c r="Z1175" s="4"/>
      <c r="AA1175" s="4"/>
      <c r="AB1175" s="1"/>
      <c r="AC1175" s="1"/>
      <c r="AD1175" s="1"/>
      <c r="AE1175" s="1"/>
      <c r="AF1175" s="1"/>
      <c r="AG1175" s="4"/>
      <c r="AH1175" s="1"/>
      <c r="AI1175" s="4"/>
      <c r="AJ1175" s="6"/>
      <c r="AK1175" s="7"/>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row>
    <row r="1176" spans="1:61" ht="16.5" customHeight="1">
      <c r="A1176" s="1"/>
      <c r="B1176" s="139"/>
      <c r="C1176" s="1"/>
      <c r="D1176" s="1"/>
      <c r="E1176" s="1"/>
      <c r="F1176" s="1"/>
      <c r="G1176" s="1"/>
      <c r="H1176" s="4"/>
      <c r="I1176" s="4"/>
      <c r="J1176" s="4"/>
      <c r="K1176" s="4"/>
      <c r="L1176" s="4"/>
      <c r="M1176" s="4"/>
      <c r="N1176" s="1"/>
      <c r="O1176" s="1"/>
      <c r="P1176" s="4"/>
      <c r="Q1176" s="5"/>
      <c r="R1176" s="4"/>
      <c r="S1176" s="1"/>
      <c r="T1176" s="1"/>
      <c r="U1176" s="1"/>
      <c r="V1176" s="1"/>
      <c r="W1176" s="1"/>
      <c r="X1176" s="6"/>
      <c r="Y1176" s="4"/>
      <c r="Z1176" s="4"/>
      <c r="AA1176" s="4"/>
      <c r="AB1176" s="1"/>
      <c r="AC1176" s="1"/>
      <c r="AD1176" s="1"/>
      <c r="AE1176" s="1"/>
      <c r="AF1176" s="1"/>
      <c r="AG1176" s="4"/>
      <c r="AH1176" s="1"/>
      <c r="AI1176" s="4"/>
      <c r="AJ1176" s="6"/>
      <c r="AK1176" s="7"/>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row>
    <row r="1177" spans="1:61" ht="16.5" customHeight="1">
      <c r="A1177" s="1"/>
      <c r="B1177" s="139"/>
      <c r="C1177" s="1"/>
      <c r="D1177" s="1"/>
      <c r="E1177" s="1"/>
      <c r="F1177" s="1"/>
      <c r="G1177" s="1"/>
      <c r="H1177" s="4"/>
      <c r="I1177" s="4"/>
      <c r="J1177" s="4"/>
      <c r="K1177" s="4"/>
      <c r="L1177" s="4"/>
      <c r="M1177" s="4"/>
      <c r="N1177" s="1"/>
      <c r="O1177" s="1"/>
      <c r="P1177" s="4"/>
      <c r="Q1177" s="5"/>
      <c r="R1177" s="4"/>
      <c r="S1177" s="1"/>
      <c r="T1177" s="1"/>
      <c r="U1177" s="1"/>
      <c r="V1177" s="1"/>
      <c r="W1177" s="1"/>
      <c r="X1177" s="6"/>
      <c r="Y1177" s="4"/>
      <c r="Z1177" s="4"/>
      <c r="AA1177" s="4"/>
      <c r="AB1177" s="1"/>
      <c r="AC1177" s="1"/>
      <c r="AD1177" s="1"/>
      <c r="AE1177" s="1"/>
      <c r="AF1177" s="1"/>
      <c r="AG1177" s="4"/>
      <c r="AH1177" s="1"/>
      <c r="AI1177" s="4"/>
      <c r="AJ1177" s="6"/>
      <c r="AK1177" s="7"/>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row>
    <row r="1178" spans="1:61" ht="16.5" customHeight="1">
      <c r="A1178" s="1"/>
      <c r="B1178" s="139"/>
      <c r="C1178" s="1"/>
      <c r="D1178" s="1"/>
      <c r="E1178" s="1"/>
      <c r="F1178" s="1"/>
      <c r="G1178" s="1"/>
      <c r="H1178" s="4"/>
      <c r="I1178" s="4"/>
      <c r="J1178" s="4"/>
      <c r="K1178" s="4"/>
      <c r="L1178" s="4"/>
      <c r="M1178" s="4"/>
      <c r="N1178" s="1"/>
      <c r="O1178" s="1"/>
      <c r="P1178" s="4"/>
      <c r="Q1178" s="5"/>
      <c r="R1178" s="4"/>
      <c r="S1178" s="1"/>
      <c r="T1178" s="1"/>
      <c r="U1178" s="1"/>
      <c r="V1178" s="1"/>
      <c r="W1178" s="1"/>
      <c r="X1178" s="6"/>
      <c r="Y1178" s="4"/>
      <c r="Z1178" s="4"/>
      <c r="AA1178" s="4"/>
      <c r="AB1178" s="1"/>
      <c r="AC1178" s="1"/>
      <c r="AD1178" s="1"/>
      <c r="AE1178" s="1"/>
      <c r="AF1178" s="1"/>
      <c r="AG1178" s="4"/>
      <c r="AH1178" s="1"/>
      <c r="AI1178" s="4"/>
      <c r="AJ1178" s="6"/>
      <c r="AK1178" s="7"/>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row>
    <row r="1179" spans="1:61" ht="16.5" customHeight="1">
      <c r="A1179" s="1"/>
      <c r="B1179" s="139"/>
      <c r="C1179" s="1"/>
      <c r="D1179" s="1"/>
      <c r="E1179" s="1"/>
      <c r="F1179" s="1"/>
      <c r="G1179" s="1"/>
      <c r="H1179" s="4"/>
      <c r="I1179" s="4"/>
      <c r="J1179" s="4"/>
      <c r="K1179" s="4"/>
      <c r="L1179" s="4"/>
      <c r="M1179" s="4"/>
      <c r="N1179" s="1"/>
      <c r="O1179" s="1"/>
      <c r="P1179" s="4"/>
      <c r="Q1179" s="5"/>
      <c r="R1179" s="4"/>
      <c r="S1179" s="1"/>
      <c r="T1179" s="1"/>
      <c r="U1179" s="1"/>
      <c r="V1179" s="1"/>
      <c r="W1179" s="1"/>
      <c r="X1179" s="6"/>
      <c r="Y1179" s="4"/>
      <c r="Z1179" s="4"/>
      <c r="AA1179" s="4"/>
      <c r="AB1179" s="1"/>
      <c r="AC1179" s="1"/>
      <c r="AD1179" s="1"/>
      <c r="AE1179" s="1"/>
      <c r="AF1179" s="1"/>
      <c r="AG1179" s="4"/>
      <c r="AH1179" s="1"/>
      <c r="AI1179" s="4"/>
      <c r="AJ1179" s="6"/>
      <c r="AK1179" s="7"/>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row>
    <row r="1180" spans="1:61" ht="16.5" customHeight="1">
      <c r="A1180" s="1"/>
      <c r="B1180" s="139"/>
      <c r="C1180" s="1"/>
      <c r="D1180" s="1"/>
      <c r="E1180" s="1"/>
      <c r="F1180" s="1"/>
      <c r="G1180" s="1"/>
      <c r="H1180" s="4"/>
      <c r="I1180" s="4"/>
      <c r="J1180" s="4"/>
      <c r="K1180" s="4"/>
      <c r="L1180" s="4"/>
      <c r="M1180" s="4"/>
      <c r="N1180" s="1"/>
      <c r="O1180" s="1"/>
      <c r="P1180" s="4"/>
      <c r="Q1180" s="5"/>
      <c r="R1180" s="4"/>
      <c r="S1180" s="1"/>
      <c r="T1180" s="1"/>
      <c r="U1180" s="1"/>
      <c r="V1180" s="1"/>
      <c r="W1180" s="1"/>
      <c r="X1180" s="6"/>
      <c r="Y1180" s="4"/>
      <c r="Z1180" s="4"/>
      <c r="AA1180" s="4"/>
      <c r="AB1180" s="1"/>
      <c r="AC1180" s="1"/>
      <c r="AD1180" s="1"/>
      <c r="AE1180" s="1"/>
      <c r="AF1180" s="1"/>
      <c r="AG1180" s="4"/>
      <c r="AH1180" s="1"/>
      <c r="AI1180" s="4"/>
      <c r="AJ1180" s="6"/>
      <c r="AK1180" s="7"/>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row>
    <row r="1181" spans="1:61" ht="16.5" customHeight="1">
      <c r="A1181" s="1"/>
      <c r="B1181" s="139"/>
      <c r="C1181" s="1"/>
      <c r="D1181" s="1"/>
      <c r="E1181" s="1"/>
      <c r="F1181" s="1"/>
      <c r="G1181" s="1"/>
      <c r="H1181" s="4"/>
      <c r="I1181" s="4"/>
      <c r="J1181" s="4"/>
      <c r="K1181" s="4"/>
      <c r="L1181" s="4"/>
      <c r="M1181" s="4"/>
      <c r="N1181" s="1"/>
      <c r="O1181" s="1"/>
      <c r="P1181" s="4"/>
      <c r="Q1181" s="5"/>
      <c r="R1181" s="4"/>
      <c r="S1181" s="1"/>
      <c r="T1181" s="1"/>
      <c r="U1181" s="1"/>
      <c r="V1181" s="1"/>
      <c r="W1181" s="1"/>
      <c r="X1181" s="6"/>
      <c r="Y1181" s="4"/>
      <c r="Z1181" s="4"/>
      <c r="AA1181" s="4"/>
      <c r="AB1181" s="1"/>
      <c r="AC1181" s="1"/>
      <c r="AD1181" s="1"/>
      <c r="AE1181" s="1"/>
      <c r="AF1181" s="1"/>
      <c r="AG1181" s="4"/>
      <c r="AH1181" s="1"/>
      <c r="AI1181" s="4"/>
      <c r="AJ1181" s="6"/>
      <c r="AK1181" s="7"/>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row>
    <row r="1182" spans="1:61" ht="16.5" customHeight="1">
      <c r="A1182" s="1"/>
      <c r="B1182" s="139"/>
      <c r="C1182" s="1"/>
      <c r="D1182" s="1"/>
      <c r="E1182" s="1"/>
      <c r="F1182" s="1"/>
      <c r="G1182" s="1"/>
      <c r="H1182" s="4"/>
      <c r="I1182" s="4"/>
      <c r="J1182" s="4"/>
      <c r="K1182" s="4"/>
      <c r="L1182" s="4"/>
      <c r="M1182" s="4"/>
      <c r="N1182" s="1"/>
      <c r="O1182" s="1"/>
      <c r="P1182" s="4"/>
      <c r="Q1182" s="5"/>
      <c r="R1182" s="4"/>
      <c r="S1182" s="1"/>
      <c r="T1182" s="1"/>
      <c r="U1182" s="1"/>
      <c r="V1182" s="1"/>
      <c r="W1182" s="1"/>
      <c r="X1182" s="6"/>
      <c r="Y1182" s="4"/>
      <c r="Z1182" s="4"/>
      <c r="AA1182" s="4"/>
      <c r="AB1182" s="1"/>
      <c r="AC1182" s="1"/>
      <c r="AD1182" s="1"/>
      <c r="AE1182" s="1"/>
      <c r="AF1182" s="1"/>
      <c r="AG1182" s="4"/>
      <c r="AH1182" s="1"/>
      <c r="AI1182" s="4"/>
      <c r="AJ1182" s="6"/>
      <c r="AK1182" s="7"/>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row>
    <row r="1183" spans="1:61" ht="16.5" customHeight="1">
      <c r="A1183" s="1"/>
      <c r="B1183" s="139"/>
      <c r="C1183" s="1"/>
      <c r="D1183" s="1"/>
      <c r="E1183" s="1"/>
      <c r="F1183" s="1"/>
      <c r="G1183" s="1"/>
      <c r="H1183" s="4"/>
      <c r="I1183" s="4"/>
      <c r="J1183" s="4"/>
      <c r="K1183" s="4"/>
      <c r="L1183" s="4"/>
      <c r="M1183" s="4"/>
      <c r="N1183" s="1"/>
      <c r="O1183" s="1"/>
      <c r="P1183" s="4"/>
      <c r="Q1183" s="5"/>
      <c r="R1183" s="4"/>
      <c r="S1183" s="1"/>
      <c r="T1183" s="1"/>
      <c r="U1183" s="1"/>
      <c r="V1183" s="1"/>
      <c r="W1183" s="1"/>
      <c r="X1183" s="6"/>
      <c r="Y1183" s="4"/>
      <c r="Z1183" s="4"/>
      <c r="AA1183" s="4"/>
      <c r="AB1183" s="1"/>
      <c r="AC1183" s="1"/>
      <c r="AD1183" s="1"/>
      <c r="AE1183" s="1"/>
      <c r="AF1183" s="1"/>
      <c r="AG1183" s="4"/>
      <c r="AH1183" s="1"/>
      <c r="AI1183" s="4"/>
      <c r="AJ1183" s="6"/>
      <c r="AK1183" s="7"/>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row>
    <row r="1184" spans="1:61" ht="16.5" customHeight="1">
      <c r="A1184" s="1"/>
      <c r="B1184" s="139"/>
      <c r="C1184" s="1"/>
      <c r="D1184" s="1"/>
      <c r="E1184" s="1"/>
      <c r="F1184" s="1"/>
      <c r="G1184" s="1"/>
      <c r="H1184" s="4"/>
      <c r="I1184" s="4"/>
      <c r="J1184" s="4"/>
      <c r="K1184" s="4"/>
      <c r="L1184" s="4"/>
      <c r="M1184" s="4"/>
      <c r="N1184" s="1"/>
      <c r="O1184" s="1"/>
      <c r="P1184" s="4"/>
      <c r="Q1184" s="5"/>
      <c r="R1184" s="4"/>
      <c r="S1184" s="1"/>
      <c r="T1184" s="1"/>
      <c r="U1184" s="1"/>
      <c r="V1184" s="1"/>
      <c r="W1184" s="1"/>
      <c r="X1184" s="6"/>
      <c r="Y1184" s="4"/>
      <c r="Z1184" s="4"/>
      <c r="AA1184" s="4"/>
      <c r="AB1184" s="1"/>
      <c r="AC1184" s="1"/>
      <c r="AD1184" s="1"/>
      <c r="AE1184" s="1"/>
      <c r="AF1184" s="1"/>
      <c r="AG1184" s="4"/>
      <c r="AH1184" s="1"/>
      <c r="AI1184" s="4"/>
      <c r="AJ1184" s="6"/>
      <c r="AK1184" s="7"/>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row>
    <row r="1185" spans="1:61" ht="16.5" customHeight="1">
      <c r="A1185" s="1"/>
      <c r="B1185" s="139"/>
      <c r="C1185" s="1"/>
      <c r="D1185" s="1"/>
      <c r="E1185" s="1"/>
      <c r="F1185" s="1"/>
      <c r="G1185" s="1"/>
      <c r="H1185" s="4"/>
      <c r="I1185" s="4"/>
      <c r="J1185" s="4"/>
      <c r="K1185" s="4"/>
      <c r="L1185" s="4"/>
      <c r="M1185" s="4"/>
      <c r="N1185" s="1"/>
      <c r="O1185" s="1"/>
      <c r="P1185" s="4"/>
      <c r="Q1185" s="5"/>
      <c r="R1185" s="4"/>
      <c r="S1185" s="1"/>
      <c r="T1185" s="1"/>
      <c r="U1185" s="1"/>
      <c r="V1185" s="1"/>
      <c r="W1185" s="1"/>
      <c r="X1185" s="6"/>
      <c r="Y1185" s="4"/>
      <c r="Z1185" s="4"/>
      <c r="AA1185" s="4"/>
      <c r="AB1185" s="1"/>
      <c r="AC1185" s="1"/>
      <c r="AD1185" s="1"/>
      <c r="AE1185" s="1"/>
      <c r="AF1185" s="1"/>
      <c r="AG1185" s="4"/>
      <c r="AH1185" s="1"/>
      <c r="AI1185" s="4"/>
      <c r="AJ1185" s="6"/>
      <c r="AK1185" s="7"/>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row>
    <row r="1186" spans="1:61" ht="16.5" customHeight="1">
      <c r="A1186" s="1"/>
      <c r="B1186" s="139"/>
      <c r="C1186" s="1"/>
      <c r="D1186" s="1"/>
      <c r="E1186" s="1"/>
      <c r="F1186" s="1"/>
      <c r="G1186" s="1"/>
      <c r="H1186" s="4"/>
      <c r="I1186" s="4"/>
      <c r="J1186" s="4"/>
      <c r="K1186" s="4"/>
      <c r="L1186" s="4"/>
      <c r="M1186" s="4"/>
      <c r="N1186" s="1"/>
      <c r="O1186" s="1"/>
      <c r="P1186" s="4"/>
      <c r="Q1186" s="5"/>
      <c r="R1186" s="4"/>
      <c r="S1186" s="1"/>
      <c r="T1186" s="1"/>
      <c r="U1186" s="1"/>
      <c r="V1186" s="1"/>
      <c r="W1186" s="1"/>
      <c r="X1186" s="6"/>
      <c r="Y1186" s="4"/>
      <c r="Z1186" s="4"/>
      <c r="AA1186" s="4"/>
      <c r="AB1186" s="1"/>
      <c r="AC1186" s="1"/>
      <c r="AD1186" s="1"/>
      <c r="AE1186" s="1"/>
      <c r="AF1186" s="1"/>
      <c r="AG1186" s="4"/>
      <c r="AH1186" s="1"/>
      <c r="AI1186" s="4"/>
      <c r="AJ1186" s="6"/>
      <c r="AK1186" s="7"/>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row>
    <row r="1187" spans="1:61" ht="16.5" customHeight="1">
      <c r="A1187" s="1"/>
      <c r="B1187" s="139"/>
      <c r="C1187" s="1"/>
      <c r="D1187" s="1"/>
      <c r="E1187" s="1"/>
      <c r="F1187" s="1"/>
      <c r="G1187" s="1"/>
      <c r="H1187" s="4"/>
      <c r="I1187" s="4"/>
      <c r="J1187" s="4"/>
      <c r="K1187" s="4"/>
      <c r="L1187" s="4"/>
      <c r="M1187" s="4"/>
      <c r="N1187" s="1"/>
      <c r="O1187" s="1"/>
      <c r="P1187" s="4"/>
      <c r="Q1187" s="5"/>
      <c r="R1187" s="4"/>
      <c r="S1187" s="1"/>
      <c r="T1187" s="1"/>
      <c r="U1187" s="1"/>
      <c r="V1187" s="1"/>
      <c r="W1187" s="1"/>
      <c r="X1187" s="6"/>
      <c r="Y1187" s="4"/>
      <c r="Z1187" s="4"/>
      <c r="AA1187" s="4"/>
      <c r="AB1187" s="1"/>
      <c r="AC1187" s="1"/>
      <c r="AD1187" s="1"/>
      <c r="AE1187" s="1"/>
      <c r="AF1187" s="1"/>
      <c r="AG1187" s="4"/>
      <c r="AH1187" s="1"/>
      <c r="AI1187" s="4"/>
      <c r="AJ1187" s="6"/>
      <c r="AK1187" s="7"/>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row>
    <row r="1188" spans="1:61" ht="16.5" customHeight="1">
      <c r="A1188" s="1"/>
      <c r="B1188" s="139"/>
      <c r="C1188" s="1"/>
      <c r="D1188" s="1"/>
      <c r="E1188" s="1"/>
      <c r="F1188" s="1"/>
      <c r="G1188" s="1"/>
      <c r="H1188" s="4"/>
      <c r="I1188" s="4"/>
      <c r="J1188" s="4"/>
      <c r="K1188" s="4"/>
      <c r="L1188" s="4"/>
      <c r="M1188" s="4"/>
      <c r="N1188" s="1"/>
      <c r="O1188" s="1"/>
      <c r="P1188" s="4"/>
      <c r="Q1188" s="5"/>
      <c r="R1188" s="4"/>
      <c r="S1188" s="1"/>
      <c r="T1188" s="1"/>
      <c r="U1188" s="1"/>
      <c r="V1188" s="1"/>
      <c r="W1188" s="1"/>
      <c r="X1188" s="6"/>
      <c r="Y1188" s="4"/>
      <c r="Z1188" s="4"/>
      <c r="AA1188" s="4"/>
      <c r="AB1188" s="1"/>
      <c r="AC1188" s="1"/>
      <c r="AD1188" s="1"/>
      <c r="AE1188" s="1"/>
      <c r="AF1188" s="1"/>
      <c r="AG1188" s="4"/>
      <c r="AH1188" s="1"/>
      <c r="AI1188" s="4"/>
      <c r="AJ1188" s="6"/>
      <c r="AK1188" s="7"/>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row>
    <row r="1189" spans="1:61" ht="16.5" customHeight="1">
      <c r="A1189" s="1"/>
      <c r="B1189" s="139"/>
      <c r="C1189" s="1"/>
      <c r="D1189" s="1"/>
      <c r="E1189" s="1"/>
      <c r="F1189" s="1"/>
      <c r="G1189" s="1"/>
      <c r="H1189" s="4"/>
      <c r="I1189" s="4"/>
      <c r="J1189" s="4"/>
      <c r="K1189" s="4"/>
      <c r="L1189" s="4"/>
      <c r="M1189" s="4"/>
      <c r="N1189" s="1"/>
      <c r="O1189" s="1"/>
      <c r="P1189" s="4"/>
      <c r="Q1189" s="5"/>
      <c r="R1189" s="4"/>
      <c r="S1189" s="1"/>
      <c r="T1189" s="1"/>
      <c r="U1189" s="1"/>
      <c r="V1189" s="1"/>
      <c r="W1189" s="1"/>
      <c r="X1189" s="6"/>
      <c r="Y1189" s="4"/>
      <c r="Z1189" s="4"/>
      <c r="AA1189" s="4"/>
      <c r="AB1189" s="1"/>
      <c r="AC1189" s="1"/>
      <c r="AD1189" s="1"/>
      <c r="AE1189" s="1"/>
      <c r="AF1189" s="1"/>
      <c r="AG1189" s="4"/>
      <c r="AH1189" s="1"/>
      <c r="AI1189" s="4"/>
      <c r="AJ1189" s="6"/>
      <c r="AK1189" s="7"/>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row>
    <row r="1190" spans="1:61" ht="16.5" customHeight="1">
      <c r="A1190" s="1"/>
      <c r="B1190" s="139"/>
      <c r="C1190" s="1"/>
      <c r="D1190" s="1"/>
      <c r="E1190" s="1"/>
      <c r="F1190" s="1"/>
      <c r="G1190" s="1"/>
      <c r="H1190" s="4"/>
      <c r="I1190" s="4"/>
      <c r="J1190" s="4"/>
      <c r="K1190" s="4"/>
      <c r="L1190" s="4"/>
      <c r="M1190" s="4"/>
      <c r="N1190" s="1"/>
      <c r="O1190" s="1"/>
      <c r="P1190" s="4"/>
      <c r="Q1190" s="5"/>
      <c r="R1190" s="4"/>
      <c r="S1190" s="1"/>
      <c r="T1190" s="1"/>
      <c r="U1190" s="1"/>
      <c r="V1190" s="1"/>
      <c r="W1190" s="1"/>
      <c r="X1190" s="6"/>
      <c r="Y1190" s="4"/>
      <c r="Z1190" s="4"/>
      <c r="AA1190" s="4"/>
      <c r="AB1190" s="1"/>
      <c r="AC1190" s="1"/>
      <c r="AD1190" s="1"/>
      <c r="AE1190" s="1"/>
      <c r="AF1190" s="1"/>
      <c r="AG1190" s="4"/>
      <c r="AH1190" s="1"/>
      <c r="AI1190" s="4"/>
      <c r="AJ1190" s="6"/>
      <c r="AK1190" s="7"/>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row>
    <row r="1191" spans="1:61" ht="16.5" customHeight="1">
      <c r="A1191" s="1"/>
      <c r="B1191" s="139"/>
      <c r="C1191" s="1"/>
      <c r="D1191" s="1"/>
      <c r="E1191" s="1"/>
      <c r="F1191" s="1"/>
      <c r="G1191" s="1"/>
      <c r="H1191" s="4"/>
      <c r="I1191" s="4"/>
      <c r="J1191" s="4"/>
      <c r="K1191" s="4"/>
      <c r="L1191" s="4"/>
      <c r="M1191" s="4"/>
      <c r="N1191" s="1"/>
      <c r="O1191" s="1"/>
      <c r="P1191" s="4"/>
      <c r="Q1191" s="5"/>
      <c r="R1191" s="4"/>
      <c r="S1191" s="1"/>
      <c r="T1191" s="1"/>
      <c r="U1191" s="1"/>
      <c r="V1191" s="1"/>
      <c r="W1191" s="1"/>
      <c r="X1191" s="6"/>
      <c r="Y1191" s="4"/>
      <c r="Z1191" s="4"/>
      <c r="AA1191" s="4"/>
      <c r="AB1191" s="1"/>
      <c r="AC1191" s="1"/>
      <c r="AD1191" s="1"/>
      <c r="AE1191" s="1"/>
      <c r="AF1191" s="1"/>
      <c r="AG1191" s="4"/>
      <c r="AH1191" s="1"/>
      <c r="AI1191" s="4"/>
      <c r="AJ1191" s="6"/>
      <c r="AK1191" s="7"/>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row>
    <row r="1192" spans="1:61" ht="16.5" customHeight="1">
      <c r="A1192" s="1"/>
      <c r="B1192" s="139"/>
      <c r="C1192" s="1"/>
      <c r="D1192" s="1"/>
      <c r="E1192" s="1"/>
      <c r="F1192" s="1"/>
      <c r="G1192" s="1"/>
      <c r="H1192" s="4"/>
      <c r="I1192" s="4"/>
      <c r="J1192" s="4"/>
      <c r="K1192" s="4"/>
      <c r="L1192" s="4"/>
      <c r="M1192" s="4"/>
      <c r="N1192" s="1"/>
      <c r="O1192" s="1"/>
      <c r="P1192" s="4"/>
      <c r="Q1192" s="5"/>
      <c r="R1192" s="4"/>
      <c r="S1192" s="1"/>
      <c r="T1192" s="1"/>
      <c r="U1192" s="1"/>
      <c r="V1192" s="1"/>
      <c r="W1192" s="1"/>
      <c r="X1192" s="6"/>
      <c r="Y1192" s="4"/>
      <c r="Z1192" s="4"/>
      <c r="AA1192" s="4"/>
      <c r="AB1192" s="1"/>
      <c r="AC1192" s="1"/>
      <c r="AD1192" s="1"/>
      <c r="AE1192" s="1"/>
      <c r="AF1192" s="1"/>
      <c r="AG1192" s="4"/>
      <c r="AH1192" s="1"/>
      <c r="AI1192" s="4"/>
      <c r="AJ1192" s="6"/>
      <c r="AK1192" s="7"/>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row>
    <row r="1193" spans="1:61" ht="16.5" customHeight="1">
      <c r="A1193" s="1"/>
      <c r="B1193" s="139"/>
      <c r="C1193" s="1"/>
      <c r="D1193" s="1"/>
      <c r="E1193" s="1"/>
      <c r="F1193" s="1"/>
      <c r="G1193" s="1"/>
      <c r="H1193" s="4"/>
      <c r="I1193" s="4"/>
      <c r="J1193" s="4"/>
      <c r="K1193" s="4"/>
      <c r="L1193" s="4"/>
      <c r="M1193" s="4"/>
      <c r="N1193" s="1"/>
      <c r="O1193" s="1"/>
      <c r="P1193" s="4"/>
      <c r="Q1193" s="5"/>
      <c r="R1193" s="4"/>
      <c r="S1193" s="1"/>
      <c r="T1193" s="1"/>
      <c r="U1193" s="1"/>
      <c r="V1193" s="1"/>
      <c r="W1193" s="1"/>
      <c r="X1193" s="6"/>
      <c r="Y1193" s="4"/>
      <c r="Z1193" s="4"/>
      <c r="AA1193" s="4"/>
      <c r="AB1193" s="1"/>
      <c r="AC1193" s="1"/>
      <c r="AD1193" s="1"/>
      <c r="AE1193" s="1"/>
      <c r="AF1193" s="1"/>
      <c r="AG1193" s="4"/>
      <c r="AH1193" s="1"/>
      <c r="AI1193" s="4"/>
      <c r="AJ1193" s="6"/>
      <c r="AK1193" s="7"/>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row>
    <row r="1194" spans="1:61" ht="16.5" customHeight="1">
      <c r="A1194" s="1"/>
      <c r="B1194" s="139"/>
      <c r="C1194" s="1"/>
      <c r="D1194" s="1"/>
      <c r="E1194" s="1"/>
      <c r="F1194" s="1"/>
      <c r="G1194" s="1"/>
      <c r="H1194" s="4"/>
      <c r="I1194" s="4"/>
      <c r="J1194" s="4"/>
      <c r="K1194" s="4"/>
      <c r="L1194" s="4"/>
      <c r="M1194" s="4"/>
      <c r="N1194" s="1"/>
      <c r="O1194" s="1"/>
      <c r="P1194" s="4"/>
      <c r="Q1194" s="5"/>
      <c r="R1194" s="4"/>
      <c r="S1194" s="1"/>
      <c r="T1194" s="1"/>
      <c r="U1194" s="1"/>
      <c r="V1194" s="1"/>
      <c r="W1194" s="1"/>
      <c r="X1194" s="6"/>
      <c r="Y1194" s="4"/>
      <c r="Z1194" s="4"/>
      <c r="AA1194" s="4"/>
      <c r="AB1194" s="1"/>
      <c r="AC1194" s="1"/>
      <c r="AD1194" s="1"/>
      <c r="AE1194" s="1"/>
      <c r="AF1194" s="1"/>
      <c r="AG1194" s="4"/>
      <c r="AH1194" s="1"/>
      <c r="AI1194" s="4"/>
      <c r="AJ1194" s="6"/>
      <c r="AK1194" s="7"/>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row>
    <row r="1195" spans="1:61" ht="16.5" customHeight="1">
      <c r="A1195" s="1"/>
      <c r="B1195" s="139"/>
      <c r="C1195" s="1"/>
      <c r="D1195" s="1"/>
      <c r="E1195" s="1"/>
      <c r="F1195" s="1"/>
      <c r="G1195" s="1"/>
      <c r="H1195" s="4"/>
      <c r="I1195" s="4"/>
      <c r="J1195" s="4"/>
      <c r="K1195" s="4"/>
      <c r="L1195" s="4"/>
      <c r="M1195" s="4"/>
      <c r="N1195" s="1"/>
      <c r="O1195" s="1"/>
      <c r="P1195" s="4"/>
      <c r="Q1195" s="5"/>
      <c r="R1195" s="4"/>
      <c r="S1195" s="1"/>
      <c r="T1195" s="1"/>
      <c r="U1195" s="1"/>
      <c r="V1195" s="1"/>
      <c r="W1195" s="1"/>
      <c r="X1195" s="6"/>
      <c r="Y1195" s="4"/>
      <c r="Z1195" s="4"/>
      <c r="AA1195" s="4"/>
      <c r="AB1195" s="1"/>
      <c r="AC1195" s="1"/>
      <c r="AD1195" s="1"/>
      <c r="AE1195" s="1"/>
      <c r="AF1195" s="1"/>
      <c r="AG1195" s="4"/>
      <c r="AH1195" s="1"/>
      <c r="AI1195" s="4"/>
      <c r="AJ1195" s="6"/>
      <c r="AK1195" s="7"/>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row>
    <row r="1196" spans="1:61" ht="16.5" customHeight="1">
      <c r="A1196" s="1"/>
      <c r="B1196" s="139"/>
      <c r="C1196" s="1"/>
      <c r="D1196" s="1"/>
      <c r="E1196" s="1"/>
      <c r="F1196" s="1"/>
      <c r="G1196" s="1"/>
      <c r="H1196" s="4"/>
      <c r="I1196" s="4"/>
      <c r="J1196" s="4"/>
      <c r="K1196" s="4"/>
      <c r="L1196" s="4"/>
      <c r="M1196" s="4"/>
      <c r="N1196" s="1"/>
      <c r="O1196" s="1"/>
      <c r="P1196" s="4"/>
      <c r="Q1196" s="5"/>
      <c r="R1196" s="4"/>
      <c r="S1196" s="1"/>
      <c r="T1196" s="1"/>
      <c r="U1196" s="1"/>
      <c r="V1196" s="1"/>
      <c r="W1196" s="1"/>
      <c r="X1196" s="6"/>
      <c r="Y1196" s="4"/>
      <c r="Z1196" s="4"/>
      <c r="AA1196" s="4"/>
      <c r="AB1196" s="1"/>
      <c r="AC1196" s="1"/>
      <c r="AD1196" s="1"/>
      <c r="AE1196" s="1"/>
      <c r="AF1196" s="1"/>
      <c r="AG1196" s="4"/>
      <c r="AH1196" s="1"/>
      <c r="AI1196" s="4"/>
      <c r="AJ1196" s="6"/>
      <c r="AK1196" s="7"/>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row>
    <row r="1197" spans="1:61" ht="16.5" customHeight="1">
      <c r="A1197" s="1"/>
      <c r="B1197" s="139"/>
      <c r="C1197" s="1"/>
      <c r="D1197" s="1"/>
      <c r="E1197" s="1"/>
      <c r="F1197" s="1"/>
      <c r="G1197" s="1"/>
      <c r="H1197" s="4"/>
      <c r="I1197" s="4"/>
      <c r="J1197" s="4"/>
      <c r="K1197" s="4"/>
      <c r="L1197" s="4"/>
      <c r="M1197" s="4"/>
      <c r="N1197" s="1"/>
      <c r="O1197" s="1"/>
      <c r="P1197" s="4"/>
      <c r="Q1197" s="5"/>
      <c r="R1197" s="4"/>
      <c r="S1197" s="1"/>
      <c r="T1197" s="1"/>
      <c r="U1197" s="1"/>
      <c r="V1197" s="1"/>
      <c r="W1197" s="1"/>
      <c r="X1197" s="6"/>
      <c r="Y1197" s="4"/>
      <c r="Z1197" s="4"/>
      <c r="AA1197" s="4"/>
      <c r="AB1197" s="1"/>
      <c r="AC1197" s="1"/>
      <c r="AD1197" s="1"/>
      <c r="AE1197" s="1"/>
      <c r="AF1197" s="1"/>
      <c r="AG1197" s="4"/>
      <c r="AH1197" s="1"/>
      <c r="AI1197" s="4"/>
      <c r="AJ1197" s="6"/>
      <c r="AK1197" s="7"/>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row>
    <row r="1198" spans="1:61" ht="16.5" customHeight="1">
      <c r="A1198" s="1"/>
      <c r="B1198" s="139"/>
      <c r="C1198" s="1"/>
      <c r="D1198" s="1"/>
      <c r="E1198" s="1"/>
      <c r="F1198" s="1"/>
      <c r="G1198" s="1"/>
      <c r="H1198" s="4"/>
      <c r="I1198" s="4"/>
      <c r="J1198" s="4"/>
      <c r="K1198" s="4"/>
      <c r="L1198" s="4"/>
      <c r="M1198" s="4"/>
      <c r="N1198" s="1"/>
      <c r="O1198" s="1"/>
      <c r="P1198" s="4"/>
      <c r="Q1198" s="5"/>
      <c r="R1198" s="4"/>
      <c r="S1198" s="1"/>
      <c r="T1198" s="1"/>
      <c r="U1198" s="1"/>
      <c r="V1198" s="1"/>
      <c r="W1198" s="1"/>
      <c r="X1198" s="6"/>
      <c r="Y1198" s="4"/>
      <c r="Z1198" s="4"/>
      <c r="AA1198" s="4"/>
      <c r="AB1198" s="1"/>
      <c r="AC1198" s="1"/>
      <c r="AD1198" s="1"/>
      <c r="AE1198" s="1"/>
      <c r="AF1198" s="1"/>
      <c r="AG1198" s="4"/>
      <c r="AH1198" s="1"/>
      <c r="AI1198" s="4"/>
      <c r="AJ1198" s="6"/>
      <c r="AK1198" s="7"/>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row>
    <row r="1199" spans="1:61" ht="16.5" customHeight="1">
      <c r="A1199" s="1"/>
      <c r="B1199" s="139"/>
      <c r="C1199" s="1"/>
      <c r="D1199" s="1"/>
      <c r="E1199" s="1"/>
      <c r="F1199" s="1"/>
      <c r="G1199" s="1"/>
      <c r="H1199" s="4"/>
      <c r="I1199" s="4"/>
      <c r="J1199" s="4"/>
      <c r="K1199" s="4"/>
      <c r="L1199" s="4"/>
      <c r="M1199" s="4"/>
      <c r="N1199" s="1"/>
      <c r="O1199" s="1"/>
      <c r="P1199" s="4"/>
      <c r="Q1199" s="5"/>
      <c r="R1199" s="4"/>
      <c r="S1199" s="1"/>
      <c r="T1199" s="1"/>
      <c r="U1199" s="1"/>
      <c r="V1199" s="1"/>
      <c r="W1199" s="1"/>
      <c r="X1199" s="6"/>
      <c r="Y1199" s="4"/>
      <c r="Z1199" s="4"/>
      <c r="AA1199" s="4"/>
      <c r="AB1199" s="1"/>
      <c r="AC1199" s="1"/>
      <c r="AD1199" s="1"/>
      <c r="AE1199" s="1"/>
      <c r="AF1199" s="1"/>
      <c r="AG1199" s="4"/>
      <c r="AH1199" s="1"/>
      <c r="AI1199" s="4"/>
      <c r="AJ1199" s="6"/>
      <c r="AK1199" s="7"/>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row>
    <row r="1200" spans="1:61" ht="16.5" customHeight="1">
      <c r="A1200" s="1"/>
      <c r="B1200" s="139"/>
      <c r="C1200" s="1"/>
      <c r="D1200" s="1"/>
      <c r="E1200" s="1"/>
      <c r="F1200" s="1"/>
      <c r="G1200" s="1"/>
      <c r="H1200" s="4"/>
      <c r="I1200" s="4"/>
      <c r="J1200" s="4"/>
      <c r="K1200" s="4"/>
      <c r="L1200" s="4"/>
      <c r="M1200" s="4"/>
      <c r="N1200" s="1"/>
      <c r="O1200" s="1"/>
      <c r="P1200" s="4"/>
      <c r="Q1200" s="5"/>
      <c r="R1200" s="4"/>
      <c r="S1200" s="1"/>
      <c r="T1200" s="1"/>
      <c r="U1200" s="1"/>
      <c r="V1200" s="1"/>
      <c r="W1200" s="1"/>
      <c r="X1200" s="6"/>
      <c r="Y1200" s="4"/>
      <c r="Z1200" s="4"/>
      <c r="AA1200" s="4"/>
      <c r="AB1200" s="1"/>
      <c r="AC1200" s="1"/>
      <c r="AD1200" s="1"/>
      <c r="AE1200" s="1"/>
      <c r="AF1200" s="1"/>
      <c r="AG1200" s="4"/>
      <c r="AH1200" s="1"/>
      <c r="AI1200" s="4"/>
      <c r="AJ1200" s="6"/>
      <c r="AK1200" s="7"/>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row>
    <row r="1201" spans="1:61" ht="16.5" customHeight="1">
      <c r="A1201" s="1"/>
      <c r="B1201" s="139"/>
      <c r="C1201" s="1"/>
      <c r="D1201" s="1"/>
      <c r="E1201" s="1"/>
      <c r="F1201" s="1"/>
      <c r="G1201" s="1"/>
      <c r="H1201" s="4"/>
      <c r="I1201" s="4"/>
      <c r="J1201" s="4"/>
      <c r="K1201" s="4"/>
      <c r="L1201" s="4"/>
      <c r="M1201" s="4"/>
      <c r="N1201" s="1"/>
      <c r="O1201" s="1"/>
      <c r="P1201" s="4"/>
      <c r="Q1201" s="5"/>
      <c r="R1201" s="4"/>
      <c r="S1201" s="1"/>
      <c r="T1201" s="1"/>
      <c r="U1201" s="1"/>
      <c r="V1201" s="1"/>
      <c r="W1201" s="1"/>
      <c r="X1201" s="6"/>
      <c r="Y1201" s="4"/>
      <c r="Z1201" s="4"/>
      <c r="AA1201" s="4"/>
      <c r="AB1201" s="1"/>
      <c r="AC1201" s="1"/>
      <c r="AD1201" s="1"/>
      <c r="AE1201" s="1"/>
      <c r="AF1201" s="1"/>
      <c r="AG1201" s="4"/>
      <c r="AH1201" s="1"/>
      <c r="AI1201" s="4"/>
      <c r="AJ1201" s="6"/>
      <c r="AK1201" s="7"/>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row>
    <row r="1202" spans="1:61" ht="16.5" customHeight="1">
      <c r="A1202" s="1"/>
      <c r="B1202" s="139"/>
      <c r="C1202" s="1"/>
      <c r="D1202" s="1"/>
      <c r="E1202" s="1"/>
      <c r="F1202" s="1"/>
      <c r="G1202" s="1"/>
      <c r="H1202" s="4"/>
      <c r="I1202" s="4"/>
      <c r="J1202" s="4"/>
      <c r="K1202" s="4"/>
      <c r="L1202" s="4"/>
      <c r="M1202" s="4"/>
      <c r="N1202" s="1"/>
      <c r="O1202" s="1"/>
      <c r="P1202" s="4"/>
      <c r="Q1202" s="5"/>
      <c r="R1202" s="4"/>
      <c r="S1202" s="1"/>
      <c r="T1202" s="1"/>
      <c r="U1202" s="1"/>
      <c r="V1202" s="1"/>
      <c r="W1202" s="1"/>
      <c r="X1202" s="6"/>
      <c r="Y1202" s="4"/>
      <c r="Z1202" s="4"/>
      <c r="AA1202" s="4"/>
      <c r="AB1202" s="1"/>
      <c r="AC1202" s="1"/>
      <c r="AD1202" s="1"/>
      <c r="AE1202" s="1"/>
      <c r="AF1202" s="1"/>
      <c r="AG1202" s="4"/>
      <c r="AH1202" s="1"/>
      <c r="AI1202" s="4"/>
      <c r="AJ1202" s="6"/>
      <c r="AK1202" s="7"/>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row>
    <row r="1203" spans="1:61" ht="16.5" customHeight="1">
      <c r="A1203" s="1"/>
      <c r="B1203" s="139"/>
      <c r="C1203" s="1"/>
      <c r="D1203" s="1"/>
      <c r="E1203" s="1"/>
      <c r="F1203" s="1"/>
      <c r="G1203" s="1"/>
      <c r="H1203" s="4"/>
      <c r="I1203" s="4"/>
      <c r="J1203" s="4"/>
      <c r="K1203" s="4"/>
      <c r="L1203" s="4"/>
      <c r="M1203" s="4"/>
      <c r="N1203" s="1"/>
      <c r="O1203" s="1"/>
      <c r="P1203" s="4"/>
      <c r="Q1203" s="5"/>
      <c r="R1203" s="4"/>
      <c r="S1203" s="1"/>
      <c r="T1203" s="1"/>
      <c r="U1203" s="1"/>
      <c r="V1203" s="1"/>
      <c r="W1203" s="1"/>
      <c r="X1203" s="6"/>
      <c r="Y1203" s="4"/>
      <c r="Z1203" s="4"/>
      <c r="AA1203" s="4"/>
      <c r="AB1203" s="1"/>
      <c r="AC1203" s="1"/>
      <c r="AD1203" s="1"/>
      <c r="AE1203" s="1"/>
      <c r="AF1203" s="1"/>
      <c r="AG1203" s="4"/>
      <c r="AH1203" s="1"/>
      <c r="AI1203" s="4"/>
      <c r="AJ1203" s="6"/>
      <c r="AK1203" s="7"/>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row>
    <row r="1204" spans="1:61" ht="16.5" customHeight="1">
      <c r="A1204" s="1"/>
      <c r="B1204" s="139"/>
      <c r="C1204" s="1"/>
      <c r="D1204" s="1"/>
      <c r="E1204" s="1"/>
      <c r="F1204" s="1"/>
      <c r="G1204" s="1"/>
      <c r="H1204" s="4"/>
      <c r="I1204" s="4"/>
      <c r="J1204" s="4"/>
      <c r="K1204" s="4"/>
      <c r="L1204" s="4"/>
      <c r="M1204" s="4"/>
      <c r="N1204" s="1"/>
      <c r="O1204" s="1"/>
      <c r="P1204" s="4"/>
      <c r="Q1204" s="5"/>
      <c r="R1204" s="4"/>
      <c r="S1204" s="1"/>
      <c r="T1204" s="1"/>
      <c r="U1204" s="1"/>
      <c r="V1204" s="1"/>
      <c r="W1204" s="1"/>
      <c r="X1204" s="6"/>
      <c r="Y1204" s="4"/>
      <c r="Z1204" s="4"/>
      <c r="AA1204" s="4"/>
      <c r="AB1204" s="1"/>
      <c r="AC1204" s="1"/>
      <c r="AD1204" s="1"/>
      <c r="AE1204" s="1"/>
      <c r="AF1204" s="1"/>
      <c r="AG1204" s="4"/>
      <c r="AH1204" s="1"/>
      <c r="AI1204" s="4"/>
      <c r="AJ1204" s="6"/>
      <c r="AK1204" s="7"/>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row>
    <row r="1205" spans="1:61" ht="16.5" customHeight="1">
      <c r="A1205" s="1"/>
      <c r="B1205" s="139"/>
      <c r="C1205" s="1"/>
      <c r="D1205" s="1"/>
      <c r="E1205" s="1"/>
      <c r="F1205" s="1"/>
      <c r="G1205" s="1"/>
      <c r="H1205" s="4"/>
      <c r="I1205" s="4"/>
      <c r="J1205" s="4"/>
      <c r="K1205" s="4"/>
      <c r="L1205" s="4"/>
      <c r="M1205" s="4"/>
      <c r="N1205" s="1"/>
      <c r="O1205" s="1"/>
      <c r="P1205" s="4"/>
      <c r="Q1205" s="5"/>
      <c r="R1205" s="4"/>
      <c r="S1205" s="1"/>
      <c r="T1205" s="1"/>
      <c r="U1205" s="1"/>
      <c r="V1205" s="1"/>
      <c r="W1205" s="1"/>
      <c r="X1205" s="6"/>
      <c r="Y1205" s="4"/>
      <c r="Z1205" s="4"/>
      <c r="AA1205" s="4"/>
      <c r="AB1205" s="1"/>
      <c r="AC1205" s="1"/>
      <c r="AD1205" s="1"/>
      <c r="AE1205" s="1"/>
      <c r="AF1205" s="1"/>
      <c r="AG1205" s="4"/>
      <c r="AH1205" s="1"/>
      <c r="AI1205" s="4"/>
      <c r="AJ1205" s="6"/>
      <c r="AK1205" s="7"/>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row>
    <row r="1206" spans="1:61" ht="16.5" customHeight="1">
      <c r="A1206" s="1"/>
      <c r="B1206" s="139"/>
      <c r="C1206" s="1"/>
      <c r="D1206" s="1"/>
      <c r="E1206" s="1"/>
      <c r="F1206" s="1"/>
      <c r="G1206" s="1"/>
      <c r="H1206" s="4"/>
      <c r="I1206" s="4"/>
      <c r="J1206" s="4"/>
      <c r="K1206" s="4"/>
      <c r="L1206" s="4"/>
      <c r="M1206" s="4"/>
      <c r="N1206" s="1"/>
      <c r="O1206" s="1"/>
      <c r="P1206" s="4"/>
      <c r="Q1206" s="5"/>
      <c r="R1206" s="4"/>
      <c r="S1206" s="1"/>
      <c r="T1206" s="1"/>
      <c r="U1206" s="1"/>
      <c r="V1206" s="1"/>
      <c r="W1206" s="1"/>
      <c r="X1206" s="6"/>
      <c r="Y1206" s="4"/>
      <c r="Z1206" s="4"/>
      <c r="AA1206" s="4"/>
      <c r="AB1206" s="1"/>
      <c r="AC1206" s="1"/>
      <c r="AD1206" s="1"/>
      <c r="AE1206" s="1"/>
      <c r="AF1206" s="1"/>
      <c r="AG1206" s="4"/>
      <c r="AH1206" s="1"/>
      <c r="AI1206" s="4"/>
      <c r="AJ1206" s="6"/>
      <c r="AK1206" s="7"/>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row>
    <row r="1207" spans="1:61" ht="16.5" customHeight="1">
      <c r="A1207" s="1"/>
      <c r="B1207" s="139"/>
      <c r="C1207" s="1"/>
      <c r="D1207" s="1"/>
      <c r="E1207" s="1"/>
      <c r="F1207" s="1"/>
      <c r="G1207" s="1"/>
      <c r="H1207" s="4"/>
      <c r="I1207" s="4"/>
      <c r="J1207" s="4"/>
      <c r="K1207" s="4"/>
      <c r="L1207" s="4"/>
      <c r="M1207" s="4"/>
      <c r="N1207" s="1"/>
      <c r="O1207" s="1"/>
      <c r="P1207" s="4"/>
      <c r="Q1207" s="5"/>
      <c r="R1207" s="4"/>
      <c r="S1207" s="1"/>
      <c r="T1207" s="1"/>
      <c r="U1207" s="1"/>
      <c r="V1207" s="1"/>
      <c r="W1207" s="1"/>
      <c r="X1207" s="6"/>
      <c r="Y1207" s="4"/>
      <c r="Z1207" s="4"/>
      <c r="AA1207" s="4"/>
      <c r="AB1207" s="1"/>
      <c r="AC1207" s="1"/>
      <c r="AD1207" s="1"/>
      <c r="AE1207" s="1"/>
      <c r="AF1207" s="1"/>
      <c r="AG1207" s="4"/>
      <c r="AH1207" s="1"/>
      <c r="AI1207" s="4"/>
      <c r="AJ1207" s="6"/>
      <c r="AK1207" s="7"/>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row>
    <row r="1208" spans="1:61" ht="16.5" customHeight="1">
      <c r="A1208" s="1"/>
      <c r="B1208" s="139"/>
      <c r="C1208" s="1"/>
      <c r="D1208" s="1"/>
      <c r="E1208" s="1"/>
      <c r="F1208" s="1"/>
      <c r="G1208" s="1"/>
      <c r="H1208" s="4"/>
      <c r="I1208" s="4"/>
      <c r="J1208" s="4"/>
      <c r="K1208" s="4"/>
      <c r="L1208" s="4"/>
      <c r="M1208" s="4"/>
      <c r="N1208" s="1"/>
      <c r="O1208" s="1"/>
      <c r="P1208" s="4"/>
      <c r="Q1208" s="5"/>
      <c r="R1208" s="4"/>
      <c r="S1208" s="1"/>
      <c r="T1208" s="1"/>
      <c r="U1208" s="1"/>
      <c r="V1208" s="1"/>
      <c r="W1208" s="1"/>
      <c r="X1208" s="6"/>
      <c r="Y1208" s="4"/>
      <c r="Z1208" s="4"/>
      <c r="AA1208" s="4"/>
      <c r="AB1208" s="1"/>
      <c r="AC1208" s="1"/>
      <c r="AD1208" s="1"/>
      <c r="AE1208" s="1"/>
      <c r="AF1208" s="1"/>
      <c r="AG1208" s="4"/>
      <c r="AH1208" s="1"/>
      <c r="AI1208" s="4"/>
      <c r="AJ1208" s="6"/>
      <c r="AK1208" s="7"/>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row>
    <row r="1209" spans="1:61" ht="16.5" customHeight="1">
      <c r="A1209" s="1"/>
      <c r="B1209" s="139"/>
      <c r="C1209" s="1"/>
      <c r="D1209" s="1"/>
      <c r="E1209" s="1"/>
      <c r="F1209" s="1"/>
      <c r="G1209" s="1"/>
      <c r="H1209" s="4"/>
      <c r="I1209" s="4"/>
      <c r="J1209" s="4"/>
      <c r="K1209" s="4"/>
      <c r="L1209" s="4"/>
      <c r="M1209" s="4"/>
      <c r="N1209" s="1"/>
      <c r="O1209" s="1"/>
      <c r="P1209" s="4"/>
      <c r="Q1209" s="5"/>
      <c r="R1209" s="4"/>
      <c r="S1209" s="1"/>
      <c r="T1209" s="1"/>
      <c r="U1209" s="1"/>
      <c r="V1209" s="1"/>
      <c r="W1209" s="1"/>
      <c r="X1209" s="6"/>
      <c r="Y1209" s="4"/>
      <c r="Z1209" s="4"/>
      <c r="AA1209" s="4"/>
      <c r="AB1209" s="1"/>
      <c r="AC1209" s="1"/>
      <c r="AD1209" s="1"/>
      <c r="AE1209" s="1"/>
      <c r="AF1209" s="1"/>
      <c r="AG1209" s="4"/>
      <c r="AH1209" s="1"/>
      <c r="AI1209" s="4"/>
      <c r="AJ1209" s="6"/>
      <c r="AK1209" s="7"/>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row>
    <row r="1210" spans="1:61" ht="16.5" customHeight="1">
      <c r="A1210" s="1"/>
      <c r="B1210" s="139"/>
      <c r="C1210" s="1"/>
      <c r="D1210" s="1"/>
      <c r="E1210" s="1"/>
      <c r="F1210" s="1"/>
      <c r="G1210" s="1"/>
      <c r="H1210" s="4"/>
      <c r="I1210" s="4"/>
      <c r="J1210" s="4"/>
      <c r="K1210" s="4"/>
      <c r="L1210" s="4"/>
      <c r="M1210" s="4"/>
      <c r="N1210" s="1"/>
      <c r="O1210" s="1"/>
      <c r="P1210" s="4"/>
      <c r="Q1210" s="5"/>
      <c r="R1210" s="4"/>
      <c r="S1210" s="1"/>
      <c r="T1210" s="1"/>
      <c r="U1210" s="1"/>
      <c r="V1210" s="1"/>
      <c r="W1210" s="1"/>
      <c r="X1210" s="6"/>
      <c r="Y1210" s="4"/>
      <c r="Z1210" s="4"/>
      <c r="AA1210" s="4"/>
      <c r="AB1210" s="1"/>
      <c r="AC1210" s="1"/>
      <c r="AD1210" s="1"/>
      <c r="AE1210" s="1"/>
      <c r="AF1210" s="1"/>
      <c r="AG1210" s="4"/>
      <c r="AH1210" s="1"/>
      <c r="AI1210" s="4"/>
      <c r="AJ1210" s="6"/>
      <c r="AK1210" s="7"/>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row>
    <row r="1211" spans="1:61" ht="16.5" customHeight="1">
      <c r="A1211" s="1"/>
      <c r="B1211" s="139"/>
      <c r="C1211" s="1"/>
      <c r="D1211" s="1"/>
      <c r="E1211" s="1"/>
      <c r="F1211" s="1"/>
      <c r="G1211" s="1"/>
      <c r="H1211" s="4"/>
      <c r="I1211" s="4"/>
      <c r="J1211" s="4"/>
      <c r="K1211" s="4"/>
      <c r="L1211" s="4"/>
      <c r="M1211" s="4"/>
      <c r="N1211" s="1"/>
      <c r="O1211" s="1"/>
      <c r="P1211" s="4"/>
      <c r="Q1211" s="5"/>
      <c r="R1211" s="4"/>
      <c r="S1211" s="1"/>
      <c r="T1211" s="1"/>
      <c r="U1211" s="1"/>
      <c r="V1211" s="1"/>
      <c r="W1211" s="1"/>
      <c r="X1211" s="6"/>
      <c r="Y1211" s="4"/>
      <c r="Z1211" s="4"/>
      <c r="AA1211" s="4"/>
      <c r="AB1211" s="1"/>
      <c r="AC1211" s="1"/>
      <c r="AD1211" s="1"/>
      <c r="AE1211" s="1"/>
      <c r="AF1211" s="1"/>
      <c r="AG1211" s="4"/>
      <c r="AH1211" s="1"/>
      <c r="AI1211" s="4"/>
      <c r="AJ1211" s="6"/>
      <c r="AK1211" s="7"/>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row>
    <row r="1212" spans="1:61" ht="16.5" customHeight="1">
      <c r="A1212" s="1"/>
      <c r="B1212" s="139"/>
      <c r="C1212" s="1"/>
      <c r="D1212" s="1"/>
      <c r="E1212" s="1"/>
      <c r="F1212" s="1"/>
      <c r="G1212" s="1"/>
      <c r="H1212" s="4"/>
      <c r="I1212" s="4"/>
      <c r="J1212" s="4"/>
      <c r="K1212" s="4"/>
      <c r="L1212" s="4"/>
      <c r="M1212" s="4"/>
      <c r="N1212" s="1"/>
      <c r="O1212" s="1"/>
      <c r="P1212" s="4"/>
      <c r="Q1212" s="5"/>
      <c r="R1212" s="4"/>
      <c r="S1212" s="1"/>
      <c r="T1212" s="1"/>
      <c r="U1212" s="1"/>
      <c r="V1212" s="1"/>
      <c r="W1212" s="1"/>
      <c r="X1212" s="6"/>
      <c r="Y1212" s="4"/>
      <c r="Z1212" s="4"/>
      <c r="AA1212" s="4"/>
      <c r="AB1212" s="1"/>
      <c r="AC1212" s="1"/>
      <c r="AD1212" s="1"/>
      <c r="AE1212" s="1"/>
      <c r="AF1212" s="1"/>
      <c r="AG1212" s="4"/>
      <c r="AH1212" s="1"/>
      <c r="AI1212" s="4"/>
      <c r="AJ1212" s="6"/>
      <c r="AK1212" s="7"/>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row>
    <row r="1213" spans="1:61" ht="16.5" customHeight="1">
      <c r="A1213" s="1"/>
      <c r="B1213" s="139"/>
      <c r="C1213" s="1"/>
      <c r="D1213" s="1"/>
      <c r="E1213" s="1"/>
      <c r="F1213" s="1"/>
      <c r="G1213" s="1"/>
      <c r="H1213" s="4"/>
      <c r="I1213" s="4"/>
      <c r="J1213" s="4"/>
      <c r="K1213" s="4"/>
      <c r="L1213" s="4"/>
      <c r="M1213" s="4"/>
      <c r="N1213" s="1"/>
      <c r="O1213" s="1"/>
      <c r="P1213" s="4"/>
      <c r="Q1213" s="5"/>
      <c r="R1213" s="4"/>
      <c r="S1213" s="1"/>
      <c r="T1213" s="1"/>
      <c r="U1213" s="1"/>
      <c r="V1213" s="1"/>
      <c r="W1213" s="1"/>
      <c r="X1213" s="6"/>
      <c r="Y1213" s="4"/>
      <c r="Z1213" s="4"/>
      <c r="AA1213" s="4"/>
      <c r="AB1213" s="1"/>
      <c r="AC1213" s="1"/>
      <c r="AD1213" s="1"/>
      <c r="AE1213" s="1"/>
      <c r="AF1213" s="1"/>
      <c r="AG1213" s="4"/>
      <c r="AH1213" s="1"/>
      <c r="AI1213" s="4"/>
      <c r="AJ1213" s="6"/>
      <c r="AK1213" s="7"/>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row>
    <row r="1214" spans="1:61" ht="16.5" customHeight="1">
      <c r="A1214" s="1"/>
      <c r="B1214" s="139"/>
      <c r="C1214" s="1"/>
      <c r="D1214" s="1"/>
      <c r="E1214" s="1"/>
      <c r="F1214" s="1"/>
      <c r="G1214" s="1"/>
      <c r="H1214" s="4"/>
      <c r="I1214" s="4"/>
      <c r="J1214" s="4"/>
      <c r="K1214" s="4"/>
      <c r="L1214" s="4"/>
      <c r="M1214" s="4"/>
      <c r="N1214" s="1"/>
      <c r="O1214" s="1"/>
      <c r="P1214" s="4"/>
      <c r="Q1214" s="5"/>
      <c r="R1214" s="4"/>
      <c r="S1214" s="1"/>
      <c r="T1214" s="1"/>
      <c r="U1214" s="1"/>
      <c r="V1214" s="1"/>
      <c r="W1214" s="1"/>
      <c r="X1214" s="6"/>
      <c r="Y1214" s="4"/>
      <c r="Z1214" s="4"/>
      <c r="AA1214" s="4"/>
      <c r="AB1214" s="1"/>
      <c r="AC1214" s="1"/>
      <c r="AD1214" s="1"/>
      <c r="AE1214" s="1"/>
      <c r="AF1214" s="1"/>
      <c r="AG1214" s="4"/>
      <c r="AH1214" s="1"/>
      <c r="AI1214" s="4"/>
      <c r="AJ1214" s="6"/>
      <c r="AK1214" s="7"/>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row>
    <row r="1215" spans="1:61" ht="16.5" customHeight="1">
      <c r="A1215" s="1"/>
      <c r="B1215" s="139"/>
      <c r="C1215" s="1"/>
      <c r="D1215" s="1"/>
      <c r="E1215" s="1"/>
      <c r="F1215" s="1"/>
      <c r="G1215" s="1"/>
      <c r="H1215" s="4"/>
      <c r="I1215" s="4"/>
      <c r="J1215" s="4"/>
      <c r="K1215" s="4"/>
      <c r="L1215" s="4"/>
      <c r="M1215" s="4"/>
      <c r="N1215" s="1"/>
      <c r="O1215" s="1"/>
      <c r="P1215" s="4"/>
      <c r="Q1215" s="5"/>
      <c r="R1215" s="4"/>
      <c r="S1215" s="1"/>
      <c r="T1215" s="1"/>
      <c r="U1215" s="1"/>
      <c r="V1215" s="1"/>
      <c r="W1215" s="1"/>
      <c r="X1215" s="6"/>
      <c r="Y1215" s="4"/>
      <c r="Z1215" s="4"/>
      <c r="AA1215" s="4"/>
      <c r="AB1215" s="1"/>
      <c r="AC1215" s="1"/>
      <c r="AD1215" s="1"/>
      <c r="AE1215" s="1"/>
      <c r="AF1215" s="1"/>
      <c r="AG1215" s="4"/>
      <c r="AH1215" s="1"/>
      <c r="AI1215" s="4"/>
      <c r="AJ1215" s="6"/>
      <c r="AK1215" s="7"/>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row>
    <row r="1216" spans="1:61" ht="16.5" customHeight="1">
      <c r="A1216" s="1"/>
      <c r="B1216" s="139"/>
      <c r="C1216" s="1"/>
      <c r="D1216" s="1"/>
      <c r="E1216" s="1"/>
      <c r="F1216" s="1"/>
      <c r="G1216" s="1"/>
      <c r="H1216" s="4"/>
      <c r="I1216" s="4"/>
      <c r="J1216" s="4"/>
      <c r="K1216" s="4"/>
      <c r="L1216" s="4"/>
      <c r="M1216" s="4"/>
      <c r="N1216" s="1"/>
      <c r="O1216" s="1"/>
      <c r="P1216" s="4"/>
      <c r="Q1216" s="5"/>
      <c r="R1216" s="4"/>
      <c r="S1216" s="1"/>
      <c r="T1216" s="1"/>
      <c r="U1216" s="1"/>
      <c r="V1216" s="1"/>
      <c r="W1216" s="1"/>
      <c r="X1216" s="6"/>
      <c r="Y1216" s="4"/>
      <c r="Z1216" s="4"/>
      <c r="AA1216" s="4"/>
      <c r="AB1216" s="1"/>
      <c r="AC1216" s="1"/>
      <c r="AD1216" s="1"/>
      <c r="AE1216" s="1"/>
      <c r="AF1216" s="1"/>
      <c r="AG1216" s="4"/>
      <c r="AH1216" s="1"/>
      <c r="AI1216" s="4"/>
      <c r="AJ1216" s="6"/>
      <c r="AK1216" s="7"/>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row>
    <row r="1217" spans="1:61" ht="16.5" customHeight="1">
      <c r="A1217" s="1"/>
      <c r="B1217" s="139"/>
      <c r="C1217" s="1"/>
      <c r="D1217" s="1"/>
      <c r="E1217" s="1"/>
      <c r="F1217" s="1"/>
      <c r="G1217" s="1"/>
      <c r="H1217" s="4"/>
      <c r="I1217" s="4"/>
      <c r="J1217" s="4"/>
      <c r="K1217" s="4"/>
      <c r="L1217" s="4"/>
      <c r="M1217" s="4"/>
      <c r="N1217" s="1"/>
      <c r="O1217" s="1"/>
      <c r="P1217" s="4"/>
      <c r="Q1217" s="5"/>
      <c r="R1217" s="4"/>
      <c r="S1217" s="1"/>
      <c r="T1217" s="1"/>
      <c r="U1217" s="1"/>
      <c r="V1217" s="1"/>
      <c r="W1217" s="1"/>
      <c r="X1217" s="6"/>
      <c r="Y1217" s="4"/>
      <c r="Z1217" s="4"/>
      <c r="AA1217" s="4"/>
      <c r="AB1217" s="1"/>
      <c r="AC1217" s="1"/>
      <c r="AD1217" s="1"/>
      <c r="AE1217" s="1"/>
      <c r="AF1217" s="1"/>
      <c r="AG1217" s="4"/>
      <c r="AH1217" s="1"/>
      <c r="AI1217" s="4"/>
      <c r="AJ1217" s="6"/>
      <c r="AK1217" s="7"/>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row>
    <row r="1218" spans="1:61" ht="16.5" customHeight="1">
      <c r="A1218" s="1"/>
      <c r="B1218" s="139"/>
      <c r="C1218" s="1"/>
      <c r="D1218" s="1"/>
      <c r="E1218" s="1"/>
      <c r="F1218" s="1"/>
      <c r="G1218" s="1"/>
      <c r="H1218" s="4"/>
      <c r="I1218" s="4"/>
      <c r="J1218" s="4"/>
      <c r="K1218" s="4"/>
      <c r="L1218" s="4"/>
      <c r="M1218" s="4"/>
      <c r="N1218" s="1"/>
      <c r="O1218" s="1"/>
      <c r="P1218" s="4"/>
      <c r="Q1218" s="5"/>
      <c r="R1218" s="4"/>
      <c r="S1218" s="1"/>
      <c r="T1218" s="1"/>
      <c r="U1218" s="1"/>
      <c r="V1218" s="1"/>
      <c r="W1218" s="1"/>
      <c r="X1218" s="6"/>
      <c r="Y1218" s="4"/>
      <c r="Z1218" s="4"/>
      <c r="AA1218" s="4"/>
      <c r="AB1218" s="1"/>
      <c r="AC1218" s="1"/>
      <c r="AD1218" s="1"/>
      <c r="AE1218" s="1"/>
      <c r="AF1218" s="1"/>
      <c r="AG1218" s="4"/>
      <c r="AH1218" s="1"/>
      <c r="AI1218" s="4"/>
      <c r="AJ1218" s="6"/>
      <c r="AK1218" s="7"/>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row>
    <row r="1219" spans="1:61" ht="16.5" customHeight="1">
      <c r="A1219" s="1"/>
      <c r="B1219" s="139"/>
      <c r="C1219" s="1"/>
      <c r="D1219" s="1"/>
      <c r="E1219" s="1"/>
      <c r="F1219" s="1"/>
      <c r="G1219" s="1"/>
      <c r="H1219" s="4"/>
      <c r="I1219" s="4"/>
      <c r="J1219" s="4"/>
      <c r="K1219" s="4"/>
      <c r="L1219" s="4"/>
      <c r="M1219" s="4"/>
      <c r="N1219" s="1"/>
      <c r="O1219" s="1"/>
      <c r="P1219" s="4"/>
      <c r="Q1219" s="5"/>
      <c r="R1219" s="4"/>
      <c r="S1219" s="1"/>
      <c r="T1219" s="1"/>
      <c r="U1219" s="1"/>
      <c r="V1219" s="1"/>
      <c r="W1219" s="1"/>
      <c r="X1219" s="6"/>
      <c r="Y1219" s="4"/>
      <c r="Z1219" s="4"/>
      <c r="AA1219" s="4"/>
      <c r="AB1219" s="1"/>
      <c r="AC1219" s="1"/>
      <c r="AD1219" s="1"/>
      <c r="AE1219" s="1"/>
      <c r="AF1219" s="1"/>
      <c r="AG1219" s="4"/>
      <c r="AH1219" s="1"/>
      <c r="AI1219" s="4"/>
      <c r="AJ1219" s="6"/>
      <c r="AK1219" s="7"/>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row>
    <row r="1220" spans="1:61" ht="16.5" customHeight="1">
      <c r="A1220" s="1"/>
      <c r="B1220" s="139"/>
      <c r="C1220" s="1"/>
      <c r="D1220" s="1"/>
      <c r="E1220" s="1"/>
      <c r="F1220" s="1"/>
      <c r="G1220" s="1"/>
      <c r="H1220" s="4"/>
      <c r="I1220" s="4"/>
      <c r="J1220" s="4"/>
      <c r="K1220" s="4"/>
      <c r="L1220" s="4"/>
      <c r="M1220" s="4"/>
      <c r="N1220" s="1"/>
      <c r="O1220" s="1"/>
      <c r="P1220" s="4"/>
      <c r="Q1220" s="5"/>
      <c r="R1220" s="4"/>
      <c r="S1220" s="1"/>
      <c r="T1220" s="1"/>
      <c r="U1220" s="1"/>
      <c r="V1220" s="1"/>
      <c r="W1220" s="1"/>
      <c r="X1220" s="6"/>
      <c r="Y1220" s="4"/>
      <c r="Z1220" s="4"/>
      <c r="AA1220" s="4"/>
      <c r="AB1220" s="1"/>
      <c r="AC1220" s="1"/>
      <c r="AD1220" s="1"/>
      <c r="AE1220" s="1"/>
      <c r="AF1220" s="1"/>
      <c r="AG1220" s="4"/>
      <c r="AH1220" s="1"/>
      <c r="AI1220" s="4"/>
      <c r="AJ1220" s="6"/>
      <c r="AK1220" s="7"/>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row>
    <row r="1221" spans="1:61" ht="16.5" customHeight="1">
      <c r="A1221" s="1"/>
      <c r="B1221" s="139"/>
      <c r="C1221" s="1"/>
      <c r="D1221" s="1"/>
      <c r="E1221" s="1"/>
      <c r="F1221" s="1"/>
      <c r="G1221" s="1"/>
      <c r="H1221" s="4"/>
      <c r="I1221" s="4"/>
      <c r="J1221" s="4"/>
      <c r="K1221" s="4"/>
      <c r="L1221" s="4"/>
      <c r="M1221" s="4"/>
      <c r="N1221" s="1"/>
      <c r="O1221" s="1"/>
      <c r="P1221" s="4"/>
      <c r="Q1221" s="5"/>
      <c r="R1221" s="4"/>
      <c r="S1221" s="1"/>
      <c r="T1221" s="1"/>
      <c r="U1221" s="1"/>
      <c r="V1221" s="1"/>
      <c r="W1221" s="1"/>
      <c r="X1221" s="6"/>
      <c r="Y1221" s="4"/>
      <c r="Z1221" s="4"/>
      <c r="AA1221" s="4"/>
      <c r="AB1221" s="1"/>
      <c r="AC1221" s="1"/>
      <c r="AD1221" s="1"/>
      <c r="AE1221" s="1"/>
      <c r="AF1221" s="1"/>
      <c r="AG1221" s="4"/>
      <c r="AH1221" s="1"/>
      <c r="AI1221" s="4"/>
      <c r="AJ1221" s="6"/>
      <c r="AK1221" s="7"/>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row>
    <row r="1222" spans="1:61" ht="16.5" customHeight="1">
      <c r="A1222" s="1"/>
      <c r="B1222" s="139"/>
      <c r="C1222" s="1"/>
      <c r="D1222" s="1"/>
      <c r="E1222" s="1"/>
      <c r="F1222" s="1"/>
      <c r="G1222" s="1"/>
      <c r="H1222" s="4"/>
      <c r="I1222" s="4"/>
      <c r="J1222" s="4"/>
      <c r="K1222" s="4"/>
      <c r="L1222" s="4"/>
      <c r="M1222" s="4"/>
      <c r="N1222" s="1"/>
      <c r="O1222" s="1"/>
      <c r="P1222" s="4"/>
      <c r="Q1222" s="5"/>
      <c r="R1222" s="4"/>
      <c r="S1222" s="1"/>
      <c r="T1222" s="1"/>
      <c r="U1222" s="1"/>
      <c r="V1222" s="1"/>
      <c r="W1222" s="1"/>
      <c r="X1222" s="6"/>
      <c r="Y1222" s="4"/>
      <c r="Z1222" s="4"/>
      <c r="AA1222" s="4"/>
      <c r="AB1222" s="1"/>
      <c r="AC1222" s="1"/>
      <c r="AD1222" s="1"/>
      <c r="AE1222" s="1"/>
      <c r="AF1222" s="1"/>
      <c r="AG1222" s="4"/>
      <c r="AH1222" s="1"/>
      <c r="AI1222" s="4"/>
      <c r="AJ1222" s="6"/>
      <c r="AK1222" s="7"/>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row>
    <row r="1223" spans="1:61" ht="16.5" customHeight="1">
      <c r="A1223" s="1"/>
      <c r="B1223" s="139"/>
      <c r="C1223" s="1"/>
      <c r="D1223" s="1"/>
      <c r="E1223" s="1"/>
      <c r="F1223" s="1"/>
      <c r="G1223" s="1"/>
      <c r="H1223" s="4"/>
      <c r="I1223" s="4"/>
      <c r="J1223" s="4"/>
      <c r="K1223" s="4"/>
      <c r="L1223" s="4"/>
      <c r="M1223" s="4"/>
      <c r="N1223" s="1"/>
      <c r="O1223" s="1"/>
      <c r="P1223" s="4"/>
      <c r="Q1223" s="5"/>
      <c r="R1223" s="4"/>
      <c r="S1223" s="1"/>
      <c r="T1223" s="1"/>
      <c r="U1223" s="1"/>
      <c r="V1223" s="1"/>
      <c r="W1223" s="1"/>
      <c r="X1223" s="6"/>
      <c r="Y1223" s="4"/>
      <c r="Z1223" s="4"/>
      <c r="AA1223" s="4"/>
      <c r="AB1223" s="1"/>
      <c r="AC1223" s="1"/>
      <c r="AD1223" s="1"/>
      <c r="AE1223" s="1"/>
      <c r="AF1223" s="1"/>
      <c r="AG1223" s="4"/>
      <c r="AH1223" s="1"/>
      <c r="AI1223" s="4"/>
      <c r="AJ1223" s="6"/>
      <c r="AK1223" s="7"/>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row>
    <row r="1224" spans="1:61" ht="16.5" customHeight="1">
      <c r="A1224" s="1"/>
      <c r="B1224" s="139"/>
      <c r="C1224" s="1"/>
      <c r="D1224" s="1"/>
      <c r="E1224" s="1"/>
      <c r="F1224" s="1"/>
      <c r="G1224" s="1"/>
      <c r="H1224" s="4"/>
      <c r="I1224" s="4"/>
      <c r="J1224" s="4"/>
      <c r="K1224" s="4"/>
      <c r="L1224" s="4"/>
      <c r="M1224" s="4"/>
      <c r="N1224" s="1"/>
      <c r="O1224" s="1"/>
      <c r="P1224" s="4"/>
      <c r="Q1224" s="5"/>
      <c r="R1224" s="4"/>
      <c r="S1224" s="1"/>
      <c r="T1224" s="1"/>
      <c r="U1224" s="1"/>
      <c r="V1224" s="1"/>
      <c r="W1224" s="1"/>
      <c r="X1224" s="6"/>
      <c r="Y1224" s="4"/>
      <c r="Z1224" s="4"/>
      <c r="AA1224" s="4"/>
      <c r="AB1224" s="1"/>
      <c r="AC1224" s="1"/>
      <c r="AD1224" s="1"/>
      <c r="AE1224" s="1"/>
      <c r="AF1224" s="1"/>
      <c r="AG1224" s="4"/>
      <c r="AH1224" s="1"/>
      <c r="AI1224" s="4"/>
      <c r="AJ1224" s="6"/>
      <c r="AK1224" s="7"/>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row>
    <row r="1225" spans="1:61" ht="16.5" customHeight="1">
      <c r="A1225" s="1"/>
      <c r="B1225" s="139"/>
      <c r="C1225" s="1"/>
      <c r="D1225" s="1"/>
      <c r="E1225" s="1"/>
      <c r="F1225" s="1"/>
      <c r="G1225" s="1"/>
      <c r="H1225" s="4"/>
      <c r="I1225" s="4"/>
      <c r="J1225" s="4"/>
      <c r="K1225" s="4"/>
      <c r="L1225" s="4"/>
      <c r="M1225" s="4"/>
      <c r="N1225" s="1"/>
      <c r="O1225" s="1"/>
      <c r="P1225" s="4"/>
      <c r="Q1225" s="5"/>
      <c r="R1225" s="4"/>
      <c r="S1225" s="1"/>
      <c r="T1225" s="1"/>
      <c r="U1225" s="1"/>
      <c r="V1225" s="1"/>
      <c r="W1225" s="1"/>
      <c r="X1225" s="6"/>
      <c r="Y1225" s="4"/>
      <c r="Z1225" s="4"/>
      <c r="AA1225" s="4"/>
      <c r="AB1225" s="1"/>
      <c r="AC1225" s="1"/>
      <c r="AD1225" s="1"/>
      <c r="AE1225" s="1"/>
      <c r="AF1225" s="1"/>
      <c r="AG1225" s="4"/>
      <c r="AH1225" s="1"/>
      <c r="AI1225" s="4"/>
      <c r="AJ1225" s="6"/>
      <c r="AK1225" s="7"/>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row>
    <row r="1226" spans="1:61" ht="16.5" customHeight="1">
      <c r="A1226" s="1"/>
      <c r="B1226" s="139"/>
      <c r="C1226" s="1"/>
      <c r="D1226" s="1"/>
      <c r="E1226" s="1"/>
      <c r="F1226" s="1"/>
      <c r="G1226" s="1"/>
      <c r="H1226" s="4"/>
      <c r="I1226" s="4"/>
      <c r="J1226" s="4"/>
      <c r="K1226" s="4"/>
      <c r="L1226" s="4"/>
      <c r="M1226" s="4"/>
      <c r="N1226" s="1"/>
      <c r="O1226" s="1"/>
      <c r="P1226" s="4"/>
      <c r="Q1226" s="5"/>
      <c r="R1226" s="4"/>
      <c r="S1226" s="1"/>
      <c r="T1226" s="1"/>
      <c r="U1226" s="1"/>
      <c r="V1226" s="1"/>
      <c r="W1226" s="1"/>
      <c r="X1226" s="6"/>
      <c r="Y1226" s="4"/>
      <c r="Z1226" s="4"/>
      <c r="AA1226" s="4"/>
      <c r="AB1226" s="1"/>
      <c r="AC1226" s="1"/>
      <c r="AD1226" s="1"/>
      <c r="AE1226" s="1"/>
      <c r="AF1226" s="1"/>
      <c r="AG1226" s="4"/>
      <c r="AH1226" s="1"/>
      <c r="AI1226" s="4"/>
      <c r="AJ1226" s="6"/>
      <c r="AK1226" s="7"/>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row>
    <row r="1227" spans="1:61" ht="16.5" customHeight="1">
      <c r="A1227" s="1"/>
      <c r="B1227" s="139"/>
      <c r="C1227" s="1"/>
      <c r="D1227" s="1"/>
      <c r="E1227" s="1"/>
      <c r="F1227" s="1"/>
      <c r="G1227" s="1"/>
      <c r="H1227" s="4"/>
      <c r="I1227" s="4"/>
      <c r="J1227" s="4"/>
      <c r="K1227" s="4"/>
      <c r="L1227" s="4"/>
      <c r="M1227" s="4"/>
      <c r="N1227" s="1"/>
      <c r="O1227" s="1"/>
      <c r="P1227" s="4"/>
      <c r="Q1227" s="5"/>
      <c r="R1227" s="4"/>
      <c r="S1227" s="1"/>
      <c r="T1227" s="1"/>
      <c r="U1227" s="1"/>
      <c r="V1227" s="1"/>
      <c r="W1227" s="1"/>
      <c r="X1227" s="6"/>
      <c r="Y1227" s="4"/>
      <c r="Z1227" s="4"/>
      <c r="AA1227" s="4"/>
      <c r="AB1227" s="1"/>
      <c r="AC1227" s="1"/>
      <c r="AD1227" s="1"/>
      <c r="AE1227" s="1"/>
      <c r="AF1227" s="1"/>
      <c r="AG1227" s="4"/>
      <c r="AH1227" s="1"/>
      <c r="AI1227" s="4"/>
      <c r="AJ1227" s="6"/>
      <c r="AK1227" s="7"/>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row>
    <row r="1228" spans="1:61" ht="16.5" customHeight="1">
      <c r="A1228" s="1"/>
      <c r="B1228" s="139"/>
      <c r="C1228" s="1"/>
      <c r="D1228" s="1"/>
      <c r="E1228" s="1"/>
      <c r="F1228" s="1"/>
      <c r="G1228" s="1"/>
      <c r="H1228" s="4"/>
      <c r="I1228" s="4"/>
      <c r="J1228" s="4"/>
      <c r="K1228" s="4"/>
      <c r="L1228" s="4"/>
      <c r="M1228" s="4"/>
      <c r="N1228" s="1"/>
      <c r="O1228" s="1"/>
      <c r="P1228" s="4"/>
      <c r="Q1228" s="5"/>
      <c r="R1228" s="4"/>
      <c r="S1228" s="1"/>
      <c r="T1228" s="1"/>
      <c r="U1228" s="1"/>
      <c r="V1228" s="1"/>
      <c r="W1228" s="1"/>
      <c r="X1228" s="6"/>
      <c r="Y1228" s="4"/>
      <c r="Z1228" s="4"/>
      <c r="AA1228" s="4"/>
      <c r="AB1228" s="1"/>
      <c r="AC1228" s="1"/>
      <c r="AD1228" s="1"/>
      <c r="AE1228" s="1"/>
      <c r="AF1228" s="1"/>
      <c r="AG1228" s="4"/>
      <c r="AH1228" s="1"/>
      <c r="AI1228" s="4"/>
      <c r="AJ1228" s="6"/>
      <c r="AK1228" s="7"/>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row>
    <row r="1229" spans="1:61" ht="16.5" customHeight="1">
      <c r="A1229" s="1"/>
      <c r="B1229" s="139"/>
      <c r="C1229" s="1"/>
      <c r="D1229" s="1"/>
      <c r="E1229" s="1"/>
      <c r="F1229" s="1"/>
      <c r="G1229" s="1"/>
      <c r="H1229" s="4"/>
      <c r="I1229" s="4"/>
      <c r="J1229" s="4"/>
      <c r="K1229" s="4"/>
      <c r="L1229" s="4"/>
      <c r="M1229" s="4"/>
      <c r="N1229" s="1"/>
      <c r="O1229" s="1"/>
      <c r="P1229" s="4"/>
      <c r="Q1229" s="5"/>
      <c r="R1229" s="4"/>
      <c r="S1229" s="1"/>
      <c r="T1229" s="1"/>
      <c r="U1229" s="1"/>
      <c r="V1229" s="1"/>
      <c r="W1229" s="1"/>
      <c r="X1229" s="6"/>
      <c r="Y1229" s="4"/>
      <c r="Z1229" s="4"/>
      <c r="AA1229" s="4"/>
      <c r="AB1229" s="1"/>
      <c r="AC1229" s="1"/>
      <c r="AD1229" s="1"/>
      <c r="AE1229" s="1"/>
      <c r="AF1229" s="1"/>
      <c r="AG1229" s="4"/>
      <c r="AH1229" s="1"/>
      <c r="AI1229" s="4"/>
      <c r="AJ1229" s="6"/>
      <c r="AK1229" s="7"/>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row>
    <row r="1230" spans="1:61" ht="16.5" customHeight="1">
      <c r="A1230" s="1"/>
      <c r="B1230" s="139"/>
      <c r="C1230" s="1"/>
      <c r="D1230" s="1"/>
      <c r="E1230" s="1"/>
      <c r="F1230" s="1"/>
      <c r="G1230" s="1"/>
      <c r="H1230" s="4"/>
      <c r="I1230" s="4"/>
      <c r="J1230" s="4"/>
      <c r="K1230" s="4"/>
      <c r="L1230" s="4"/>
      <c r="M1230" s="4"/>
      <c r="N1230" s="1"/>
      <c r="O1230" s="1"/>
      <c r="P1230" s="4"/>
      <c r="Q1230" s="5"/>
      <c r="R1230" s="4"/>
      <c r="S1230" s="1"/>
      <c r="T1230" s="1"/>
      <c r="U1230" s="1"/>
      <c r="V1230" s="1"/>
      <c r="W1230" s="1"/>
      <c r="X1230" s="6"/>
      <c r="Y1230" s="4"/>
      <c r="Z1230" s="4"/>
      <c r="AA1230" s="4"/>
      <c r="AB1230" s="1"/>
      <c r="AC1230" s="1"/>
      <c r="AD1230" s="1"/>
      <c r="AE1230" s="1"/>
      <c r="AF1230" s="1"/>
      <c r="AG1230" s="4"/>
      <c r="AH1230" s="1"/>
      <c r="AI1230" s="4"/>
      <c r="AJ1230" s="6"/>
      <c r="AK1230" s="7"/>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row>
    <row r="1231" spans="1:61" ht="16.5" customHeight="1">
      <c r="A1231" s="1"/>
      <c r="B1231" s="139"/>
      <c r="C1231" s="1"/>
      <c r="D1231" s="1"/>
      <c r="E1231" s="1"/>
      <c r="F1231" s="1"/>
      <c r="G1231" s="1"/>
      <c r="H1231" s="4"/>
      <c r="I1231" s="4"/>
      <c r="J1231" s="4"/>
      <c r="K1231" s="4"/>
      <c r="L1231" s="4"/>
      <c r="M1231" s="4"/>
      <c r="N1231" s="1"/>
      <c r="O1231" s="1"/>
      <c r="P1231" s="4"/>
      <c r="Q1231" s="5"/>
      <c r="R1231" s="4"/>
      <c r="S1231" s="1"/>
      <c r="T1231" s="1"/>
      <c r="U1231" s="1"/>
      <c r="V1231" s="1"/>
      <c r="W1231" s="1"/>
      <c r="X1231" s="6"/>
      <c r="Y1231" s="4"/>
      <c r="Z1231" s="4"/>
      <c r="AA1231" s="4"/>
      <c r="AB1231" s="1"/>
      <c r="AC1231" s="1"/>
      <c r="AD1231" s="1"/>
      <c r="AE1231" s="1"/>
      <c r="AF1231" s="1"/>
      <c r="AG1231" s="4"/>
      <c r="AH1231" s="1"/>
      <c r="AI1231" s="4"/>
      <c r="AJ1231" s="6"/>
      <c r="AK1231" s="7"/>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row>
    <row r="1232" spans="1:61" ht="16.5" customHeight="1">
      <c r="A1232" s="1"/>
      <c r="B1232" s="139"/>
      <c r="C1232" s="1"/>
      <c r="D1232" s="1"/>
      <c r="E1232" s="1"/>
      <c r="F1232" s="1"/>
      <c r="G1232" s="1"/>
      <c r="H1232" s="4"/>
      <c r="I1232" s="4"/>
      <c r="J1232" s="4"/>
      <c r="K1232" s="4"/>
      <c r="L1232" s="4"/>
      <c r="M1232" s="4"/>
      <c r="N1232" s="1"/>
      <c r="O1232" s="1"/>
      <c r="P1232" s="4"/>
      <c r="Q1232" s="5"/>
      <c r="R1232" s="4"/>
      <c r="S1232" s="1"/>
      <c r="T1232" s="1"/>
      <c r="U1232" s="1"/>
      <c r="V1232" s="1"/>
      <c r="W1232" s="1"/>
      <c r="X1232" s="6"/>
      <c r="Y1232" s="4"/>
      <c r="Z1232" s="4"/>
      <c r="AA1232" s="4"/>
      <c r="AB1232" s="1"/>
      <c r="AC1232" s="1"/>
      <c r="AD1232" s="1"/>
      <c r="AE1232" s="1"/>
      <c r="AF1232" s="1"/>
      <c r="AG1232" s="4"/>
      <c r="AH1232" s="1"/>
      <c r="AI1232" s="4"/>
      <c r="AJ1232" s="6"/>
      <c r="AK1232" s="7"/>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row>
    <row r="1233" spans="1:61" ht="16.5" customHeight="1">
      <c r="A1233" s="1"/>
      <c r="B1233" s="139"/>
      <c r="C1233" s="1"/>
      <c r="D1233" s="1"/>
      <c r="E1233" s="1"/>
      <c r="F1233" s="1"/>
      <c r="G1233" s="1"/>
      <c r="H1233" s="4"/>
      <c r="I1233" s="4"/>
      <c r="J1233" s="4"/>
      <c r="K1233" s="4"/>
      <c r="L1233" s="4"/>
      <c r="M1233" s="4"/>
      <c r="N1233" s="1"/>
      <c r="O1233" s="1"/>
      <c r="P1233" s="4"/>
      <c r="Q1233" s="5"/>
      <c r="R1233" s="4"/>
      <c r="S1233" s="1"/>
      <c r="T1233" s="1"/>
      <c r="U1233" s="1"/>
      <c r="V1233" s="1"/>
      <c r="W1233" s="1"/>
      <c r="X1233" s="6"/>
      <c r="Y1233" s="4"/>
      <c r="Z1233" s="4"/>
      <c r="AA1233" s="4"/>
      <c r="AB1233" s="1"/>
      <c r="AC1233" s="1"/>
      <c r="AD1233" s="1"/>
      <c r="AE1233" s="1"/>
      <c r="AF1233" s="1"/>
      <c r="AG1233" s="4"/>
      <c r="AH1233" s="1"/>
      <c r="AI1233" s="4"/>
      <c r="AJ1233" s="6"/>
      <c r="AK1233" s="7"/>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row>
    <row r="1234" spans="1:61" ht="16.5" customHeight="1">
      <c r="A1234" s="1"/>
      <c r="B1234" s="139"/>
      <c r="C1234" s="1"/>
      <c r="D1234" s="1"/>
      <c r="E1234" s="1"/>
      <c r="F1234" s="1"/>
      <c r="G1234" s="1"/>
      <c r="H1234" s="4"/>
      <c r="I1234" s="4"/>
      <c r="J1234" s="4"/>
      <c r="K1234" s="4"/>
      <c r="L1234" s="4"/>
      <c r="M1234" s="4"/>
      <c r="N1234" s="1"/>
      <c r="O1234" s="1"/>
      <c r="P1234" s="4"/>
      <c r="Q1234" s="5"/>
      <c r="R1234" s="4"/>
      <c r="S1234" s="1"/>
      <c r="T1234" s="1"/>
      <c r="U1234" s="1"/>
      <c r="V1234" s="1"/>
      <c r="W1234" s="1"/>
      <c r="X1234" s="6"/>
      <c r="Y1234" s="4"/>
      <c r="Z1234" s="4"/>
      <c r="AA1234" s="4"/>
      <c r="AB1234" s="1"/>
      <c r="AC1234" s="1"/>
      <c r="AD1234" s="1"/>
      <c r="AE1234" s="1"/>
      <c r="AF1234" s="1"/>
      <c r="AG1234" s="4"/>
      <c r="AH1234" s="1"/>
      <c r="AI1234" s="4"/>
      <c r="AJ1234" s="6"/>
      <c r="AK1234" s="7"/>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row>
    <row r="1235" spans="1:61" ht="16.5" customHeight="1">
      <c r="A1235" s="1"/>
      <c r="B1235" s="139"/>
      <c r="C1235" s="1"/>
      <c r="D1235" s="1"/>
      <c r="E1235" s="1"/>
      <c r="F1235" s="1"/>
      <c r="G1235" s="1"/>
      <c r="H1235" s="4"/>
      <c r="I1235" s="4"/>
      <c r="J1235" s="4"/>
      <c r="K1235" s="4"/>
      <c r="L1235" s="4"/>
      <c r="M1235" s="4"/>
      <c r="N1235" s="1"/>
      <c r="O1235" s="1"/>
      <c r="P1235" s="4"/>
      <c r="Q1235" s="5"/>
      <c r="R1235" s="4"/>
      <c r="S1235" s="1"/>
      <c r="T1235" s="1"/>
      <c r="U1235" s="1"/>
      <c r="V1235" s="1"/>
      <c r="W1235" s="1"/>
      <c r="X1235" s="6"/>
      <c r="Y1235" s="4"/>
      <c r="Z1235" s="4"/>
      <c r="AA1235" s="4"/>
      <c r="AB1235" s="1"/>
      <c r="AC1235" s="1"/>
      <c r="AD1235" s="1"/>
      <c r="AE1235" s="1"/>
      <c r="AF1235" s="1"/>
      <c r="AG1235" s="4"/>
      <c r="AH1235" s="1"/>
      <c r="AI1235" s="4"/>
      <c r="AJ1235" s="6"/>
      <c r="AK1235" s="7"/>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row>
    <row r="1236" spans="1:61" ht="16.5" customHeight="1">
      <c r="A1236" s="1"/>
      <c r="B1236" s="139"/>
      <c r="C1236" s="1"/>
      <c r="D1236" s="1"/>
      <c r="E1236" s="1"/>
      <c r="F1236" s="1"/>
      <c r="G1236" s="1"/>
      <c r="H1236" s="4"/>
      <c r="I1236" s="4"/>
      <c r="J1236" s="4"/>
      <c r="K1236" s="4"/>
      <c r="L1236" s="4"/>
      <c r="M1236" s="4"/>
      <c r="N1236" s="1"/>
      <c r="O1236" s="1"/>
      <c r="P1236" s="4"/>
      <c r="Q1236" s="5"/>
      <c r="R1236" s="4"/>
      <c r="S1236" s="1"/>
      <c r="T1236" s="1"/>
      <c r="U1236" s="1"/>
      <c r="V1236" s="1"/>
      <c r="W1236" s="1"/>
      <c r="X1236" s="6"/>
      <c r="Y1236" s="4"/>
      <c r="Z1236" s="4"/>
      <c r="AA1236" s="4"/>
      <c r="AB1236" s="1"/>
      <c r="AC1236" s="1"/>
      <c r="AD1236" s="1"/>
      <c r="AE1236" s="1"/>
      <c r="AF1236" s="1"/>
      <c r="AG1236" s="4"/>
      <c r="AH1236" s="1"/>
      <c r="AI1236" s="4"/>
      <c r="AJ1236" s="6"/>
      <c r="AK1236" s="7"/>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row>
    <row r="1237" spans="1:61" ht="16.5" customHeight="1">
      <c r="A1237" s="1"/>
      <c r="B1237" s="139"/>
      <c r="C1237" s="1"/>
      <c r="D1237" s="1"/>
      <c r="E1237" s="1"/>
      <c r="F1237" s="1"/>
      <c r="G1237" s="1"/>
      <c r="H1237" s="4"/>
      <c r="I1237" s="4"/>
      <c r="J1237" s="4"/>
      <c r="K1237" s="4"/>
      <c r="L1237" s="4"/>
      <c r="M1237" s="4"/>
      <c r="N1237" s="1"/>
      <c r="O1237" s="1"/>
      <c r="P1237" s="4"/>
      <c r="Q1237" s="5"/>
      <c r="R1237" s="4"/>
      <c r="S1237" s="1"/>
      <c r="T1237" s="1"/>
      <c r="U1237" s="1"/>
      <c r="V1237" s="1"/>
      <c r="W1237" s="1"/>
      <c r="X1237" s="6"/>
      <c r="Y1237" s="4"/>
      <c r="Z1237" s="4"/>
      <c r="AA1237" s="4"/>
      <c r="AB1237" s="1"/>
      <c r="AC1237" s="1"/>
      <c r="AD1237" s="1"/>
      <c r="AE1237" s="1"/>
      <c r="AF1237" s="1"/>
      <c r="AG1237" s="4"/>
      <c r="AH1237" s="1"/>
      <c r="AI1237" s="4"/>
      <c r="AJ1237" s="6"/>
      <c r="AK1237" s="7"/>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row>
    <row r="1238" spans="1:61" ht="16.5" customHeight="1">
      <c r="A1238" s="1"/>
      <c r="B1238" s="139"/>
      <c r="C1238" s="1"/>
      <c r="D1238" s="1"/>
      <c r="E1238" s="1"/>
      <c r="F1238" s="1"/>
      <c r="G1238" s="1"/>
      <c r="H1238" s="4"/>
      <c r="I1238" s="4"/>
      <c r="J1238" s="4"/>
      <c r="K1238" s="4"/>
      <c r="L1238" s="4"/>
      <c r="M1238" s="4"/>
      <c r="N1238" s="1"/>
      <c r="O1238" s="1"/>
      <c r="P1238" s="4"/>
      <c r="Q1238" s="5"/>
      <c r="R1238" s="4"/>
      <c r="S1238" s="1"/>
      <c r="T1238" s="1"/>
      <c r="U1238" s="1"/>
      <c r="V1238" s="1"/>
      <c r="W1238" s="1"/>
      <c r="X1238" s="6"/>
      <c r="Y1238" s="4"/>
      <c r="Z1238" s="4"/>
      <c r="AA1238" s="4"/>
      <c r="AB1238" s="1"/>
      <c r="AC1238" s="1"/>
      <c r="AD1238" s="1"/>
      <c r="AE1238" s="1"/>
      <c r="AF1238" s="1"/>
      <c r="AG1238" s="4"/>
      <c r="AH1238" s="1"/>
      <c r="AI1238" s="4"/>
      <c r="AJ1238" s="6"/>
      <c r="AK1238" s="7"/>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row>
    <row r="1239" spans="1:61" ht="16.5" customHeight="1">
      <c r="A1239" s="1"/>
      <c r="B1239" s="139"/>
      <c r="C1239" s="1"/>
      <c r="D1239" s="1"/>
      <c r="E1239" s="1"/>
      <c r="F1239" s="1"/>
      <c r="G1239" s="1"/>
      <c r="H1239" s="4"/>
      <c r="I1239" s="4"/>
      <c r="J1239" s="4"/>
      <c r="K1239" s="4"/>
      <c r="L1239" s="4"/>
      <c r="M1239" s="4"/>
      <c r="N1239" s="1"/>
      <c r="O1239" s="1"/>
      <c r="P1239" s="4"/>
      <c r="Q1239" s="5"/>
      <c r="R1239" s="4"/>
      <c r="S1239" s="1"/>
      <c r="T1239" s="1"/>
      <c r="U1239" s="1"/>
      <c r="V1239" s="1"/>
      <c r="W1239" s="1"/>
      <c r="X1239" s="6"/>
      <c r="Y1239" s="4"/>
      <c r="Z1239" s="4"/>
      <c r="AA1239" s="4"/>
      <c r="AB1239" s="1"/>
      <c r="AC1239" s="1"/>
      <c r="AD1239" s="1"/>
      <c r="AE1239" s="1"/>
      <c r="AF1239" s="1"/>
      <c r="AG1239" s="4"/>
      <c r="AH1239" s="1"/>
      <c r="AI1239" s="4"/>
      <c r="AJ1239" s="6"/>
      <c r="AK1239" s="7"/>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row>
    <row r="1240" spans="1:61" ht="16.5" customHeight="1">
      <c r="A1240" s="1"/>
      <c r="B1240" s="139"/>
      <c r="C1240" s="1"/>
      <c r="D1240" s="1"/>
      <c r="E1240" s="1"/>
      <c r="F1240" s="1"/>
      <c r="G1240" s="1"/>
      <c r="H1240" s="4"/>
      <c r="I1240" s="4"/>
      <c r="J1240" s="4"/>
      <c r="K1240" s="4"/>
      <c r="L1240" s="4"/>
      <c r="M1240" s="4"/>
      <c r="N1240" s="1"/>
      <c r="O1240" s="1"/>
      <c r="P1240" s="4"/>
      <c r="Q1240" s="5"/>
      <c r="R1240" s="4"/>
      <c r="S1240" s="1"/>
      <c r="T1240" s="1"/>
      <c r="U1240" s="1"/>
      <c r="V1240" s="1"/>
      <c r="W1240" s="1"/>
      <c r="X1240" s="6"/>
      <c r="Y1240" s="4"/>
      <c r="Z1240" s="4"/>
      <c r="AA1240" s="4"/>
      <c r="AB1240" s="1"/>
      <c r="AC1240" s="1"/>
      <c r="AD1240" s="1"/>
      <c r="AE1240" s="1"/>
      <c r="AF1240" s="1"/>
      <c r="AG1240" s="4"/>
      <c r="AH1240" s="1"/>
      <c r="AI1240" s="4"/>
      <c r="AJ1240" s="6"/>
      <c r="AK1240" s="7"/>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row>
    <row r="1241" spans="1:61" ht="16.5" customHeight="1">
      <c r="A1241" s="1"/>
      <c r="B1241" s="139"/>
      <c r="C1241" s="1"/>
      <c r="D1241" s="1"/>
      <c r="E1241" s="1"/>
      <c r="F1241" s="1"/>
      <c r="G1241" s="1"/>
      <c r="H1241" s="4"/>
      <c r="I1241" s="4"/>
      <c r="J1241" s="4"/>
      <c r="K1241" s="4"/>
      <c r="L1241" s="4"/>
      <c r="M1241" s="4"/>
      <c r="N1241" s="1"/>
      <c r="O1241" s="1"/>
      <c r="P1241" s="4"/>
      <c r="Q1241" s="5"/>
      <c r="R1241" s="4"/>
      <c r="S1241" s="1"/>
      <c r="T1241" s="1"/>
      <c r="U1241" s="1"/>
      <c r="V1241" s="1"/>
      <c r="W1241" s="1"/>
      <c r="X1241" s="6"/>
      <c r="Y1241" s="4"/>
      <c r="Z1241" s="4"/>
      <c r="AA1241" s="4"/>
      <c r="AB1241" s="1"/>
      <c r="AC1241" s="1"/>
      <c r="AD1241" s="1"/>
      <c r="AE1241" s="1"/>
      <c r="AF1241" s="1"/>
      <c r="AG1241" s="4"/>
      <c r="AH1241" s="1"/>
      <c r="AI1241" s="4"/>
      <c r="AJ1241" s="6"/>
      <c r="AK1241" s="7"/>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row>
    <row r="1242" spans="1:61" ht="16.5" customHeight="1">
      <c r="A1242" s="1"/>
      <c r="B1242" s="139"/>
      <c r="C1242" s="1"/>
      <c r="D1242" s="1"/>
      <c r="E1242" s="1"/>
      <c r="F1242" s="1"/>
      <c r="G1242" s="1"/>
      <c r="H1242" s="4"/>
      <c r="I1242" s="4"/>
      <c r="J1242" s="4"/>
      <c r="K1242" s="4"/>
      <c r="L1242" s="4"/>
      <c r="M1242" s="4"/>
      <c r="N1242" s="1"/>
      <c r="O1242" s="1"/>
      <c r="P1242" s="4"/>
      <c r="Q1242" s="5"/>
      <c r="R1242" s="4"/>
      <c r="S1242" s="1"/>
      <c r="T1242" s="1"/>
      <c r="U1242" s="1"/>
      <c r="V1242" s="1"/>
      <c r="W1242" s="1"/>
      <c r="X1242" s="6"/>
      <c r="Y1242" s="4"/>
      <c r="Z1242" s="4"/>
      <c r="AA1242" s="4"/>
      <c r="AB1242" s="1"/>
      <c r="AC1242" s="1"/>
      <c r="AD1242" s="1"/>
      <c r="AE1242" s="1"/>
      <c r="AF1242" s="1"/>
      <c r="AG1242" s="4"/>
      <c r="AH1242" s="1"/>
      <c r="AI1242" s="4"/>
      <c r="AJ1242" s="6"/>
      <c r="AK1242" s="7"/>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row>
    <row r="1243" spans="1:61" ht="16.5" customHeight="1">
      <c r="A1243" s="1"/>
      <c r="B1243" s="139"/>
      <c r="C1243" s="1"/>
      <c r="D1243" s="1"/>
      <c r="E1243" s="1"/>
      <c r="F1243" s="1"/>
      <c r="G1243" s="1"/>
      <c r="H1243" s="4"/>
      <c r="I1243" s="4"/>
      <c r="J1243" s="4"/>
      <c r="K1243" s="4"/>
      <c r="L1243" s="4"/>
      <c r="M1243" s="4"/>
      <c r="N1243" s="1"/>
      <c r="O1243" s="1"/>
      <c r="P1243" s="4"/>
      <c r="Q1243" s="5"/>
      <c r="R1243" s="4"/>
      <c r="S1243" s="1"/>
      <c r="T1243" s="1"/>
      <c r="U1243" s="1"/>
      <c r="V1243" s="1"/>
      <c r="W1243" s="1"/>
      <c r="X1243" s="6"/>
      <c r="Y1243" s="4"/>
      <c r="Z1243" s="4"/>
      <c r="AA1243" s="4"/>
      <c r="AB1243" s="1"/>
      <c r="AC1243" s="1"/>
      <c r="AD1243" s="1"/>
      <c r="AE1243" s="1"/>
      <c r="AF1243" s="1"/>
      <c r="AG1243" s="4"/>
      <c r="AH1243" s="1"/>
      <c r="AI1243" s="4"/>
      <c r="AJ1243" s="6"/>
      <c r="AK1243" s="7"/>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row>
    <row r="1244" spans="1:61" ht="16.5" customHeight="1">
      <c r="A1244" s="1"/>
      <c r="B1244" s="139"/>
      <c r="C1244" s="1"/>
      <c r="D1244" s="1"/>
      <c r="E1244" s="1"/>
      <c r="F1244" s="1"/>
      <c r="G1244" s="1"/>
      <c r="H1244" s="4"/>
      <c r="I1244" s="4"/>
      <c r="J1244" s="4"/>
      <c r="K1244" s="4"/>
      <c r="L1244" s="4"/>
      <c r="M1244" s="4"/>
      <c r="N1244" s="1"/>
      <c r="O1244" s="1"/>
      <c r="P1244" s="4"/>
      <c r="Q1244" s="5"/>
      <c r="R1244" s="4"/>
      <c r="S1244" s="1"/>
      <c r="T1244" s="1"/>
      <c r="U1244" s="1"/>
      <c r="V1244" s="1"/>
      <c r="W1244" s="1"/>
      <c r="X1244" s="6"/>
      <c r="Y1244" s="4"/>
      <c r="Z1244" s="4"/>
      <c r="AA1244" s="4"/>
      <c r="AB1244" s="1"/>
      <c r="AC1244" s="1"/>
      <c r="AD1244" s="1"/>
      <c r="AE1244" s="1"/>
      <c r="AF1244" s="1"/>
      <c r="AG1244" s="4"/>
      <c r="AH1244" s="1"/>
      <c r="AI1244" s="4"/>
      <c r="AJ1244" s="6"/>
      <c r="AK1244" s="7"/>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row>
    <row r="1245" spans="1:61" ht="16.5" customHeight="1">
      <c r="A1245" s="1"/>
      <c r="B1245" s="139"/>
      <c r="C1245" s="1"/>
      <c r="D1245" s="1"/>
      <c r="E1245" s="1"/>
      <c r="F1245" s="1"/>
      <c r="G1245" s="1"/>
      <c r="H1245" s="4"/>
      <c r="I1245" s="4"/>
      <c r="J1245" s="4"/>
      <c r="K1245" s="4"/>
      <c r="L1245" s="4"/>
      <c r="M1245" s="4"/>
      <c r="N1245" s="1"/>
      <c r="O1245" s="1"/>
      <c r="P1245" s="4"/>
      <c r="Q1245" s="5"/>
      <c r="R1245" s="4"/>
      <c r="S1245" s="1"/>
      <c r="T1245" s="1"/>
      <c r="U1245" s="1"/>
      <c r="V1245" s="1"/>
      <c r="W1245" s="1"/>
      <c r="X1245" s="6"/>
      <c r="Y1245" s="4"/>
      <c r="Z1245" s="4"/>
      <c r="AA1245" s="4"/>
      <c r="AB1245" s="1"/>
      <c r="AC1245" s="1"/>
      <c r="AD1245" s="1"/>
      <c r="AE1245" s="1"/>
      <c r="AF1245" s="1"/>
      <c r="AG1245" s="4"/>
      <c r="AH1245" s="1"/>
      <c r="AI1245" s="4"/>
      <c r="AJ1245" s="6"/>
      <c r="AK1245" s="7"/>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row>
    <row r="1246" spans="1:61" ht="16.5" customHeight="1">
      <c r="A1246" s="1"/>
      <c r="B1246" s="139"/>
      <c r="C1246" s="1"/>
      <c r="D1246" s="1"/>
      <c r="E1246" s="1"/>
      <c r="F1246" s="1"/>
      <c r="G1246" s="1"/>
      <c r="H1246" s="4"/>
      <c r="I1246" s="4"/>
      <c r="J1246" s="4"/>
      <c r="K1246" s="4"/>
      <c r="L1246" s="4"/>
      <c r="M1246" s="4"/>
      <c r="N1246" s="1"/>
      <c r="O1246" s="1"/>
      <c r="P1246" s="4"/>
      <c r="Q1246" s="5"/>
      <c r="R1246" s="4"/>
      <c r="S1246" s="1"/>
      <c r="T1246" s="1"/>
      <c r="U1246" s="1"/>
      <c r="V1246" s="1"/>
      <c r="W1246" s="1"/>
      <c r="X1246" s="6"/>
      <c r="Y1246" s="4"/>
      <c r="Z1246" s="4"/>
      <c r="AA1246" s="4"/>
      <c r="AB1246" s="1"/>
      <c r="AC1246" s="1"/>
      <c r="AD1246" s="1"/>
      <c r="AE1246" s="1"/>
      <c r="AF1246" s="1"/>
      <c r="AG1246" s="4"/>
      <c r="AH1246" s="1"/>
      <c r="AI1246" s="4"/>
      <c r="AJ1246" s="6"/>
      <c r="AK1246" s="7"/>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row>
    <row r="1247" spans="1:61" ht="16.5" customHeight="1">
      <c r="A1247" s="1"/>
      <c r="B1247" s="139"/>
      <c r="C1247" s="1"/>
      <c r="D1247" s="1"/>
      <c r="E1247" s="1"/>
      <c r="F1247" s="1"/>
      <c r="G1247" s="1"/>
      <c r="H1247" s="4"/>
      <c r="I1247" s="4"/>
      <c r="J1247" s="4"/>
      <c r="K1247" s="4"/>
      <c r="L1247" s="4"/>
      <c r="M1247" s="4"/>
      <c r="N1247" s="1"/>
      <c r="O1247" s="1"/>
      <c r="P1247" s="4"/>
      <c r="Q1247" s="5"/>
      <c r="R1247" s="4"/>
      <c r="S1247" s="1"/>
      <c r="T1247" s="1"/>
      <c r="U1247" s="1"/>
      <c r="V1247" s="1"/>
      <c r="W1247" s="1"/>
      <c r="X1247" s="6"/>
      <c r="Y1247" s="4"/>
      <c r="Z1247" s="4"/>
      <c r="AA1247" s="4"/>
      <c r="AB1247" s="1"/>
      <c r="AC1247" s="1"/>
      <c r="AD1247" s="1"/>
      <c r="AE1247" s="1"/>
      <c r="AF1247" s="1"/>
      <c r="AG1247" s="4"/>
      <c r="AH1247" s="1"/>
      <c r="AI1247" s="4"/>
      <c r="AJ1247" s="6"/>
      <c r="AK1247" s="7"/>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row>
    <row r="1248" spans="1:61" ht="16.5" customHeight="1">
      <c r="A1248" s="1"/>
      <c r="B1248" s="139"/>
      <c r="C1248" s="1"/>
      <c r="D1248" s="1"/>
      <c r="E1248" s="1"/>
      <c r="F1248" s="1"/>
      <c r="G1248" s="1"/>
      <c r="H1248" s="4"/>
      <c r="I1248" s="4"/>
      <c r="J1248" s="4"/>
      <c r="K1248" s="4"/>
      <c r="L1248" s="4"/>
      <c r="M1248" s="4"/>
      <c r="N1248" s="1"/>
      <c r="O1248" s="1"/>
      <c r="P1248" s="4"/>
      <c r="Q1248" s="5"/>
      <c r="R1248" s="4"/>
      <c r="S1248" s="1"/>
      <c r="T1248" s="1"/>
      <c r="U1248" s="1"/>
      <c r="V1248" s="1"/>
      <c r="W1248" s="1"/>
      <c r="X1248" s="6"/>
      <c r="Y1248" s="4"/>
      <c r="Z1248" s="4"/>
      <c r="AA1248" s="4"/>
      <c r="AB1248" s="1"/>
      <c r="AC1248" s="1"/>
      <c r="AD1248" s="1"/>
      <c r="AE1248" s="1"/>
      <c r="AF1248" s="1"/>
      <c r="AG1248" s="4"/>
      <c r="AH1248" s="1"/>
      <c r="AI1248" s="4"/>
      <c r="AJ1248" s="6"/>
      <c r="AK1248" s="7"/>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row>
    <row r="1249" spans="1:61" ht="16.5" customHeight="1">
      <c r="A1249" s="1"/>
      <c r="B1249" s="139"/>
      <c r="C1249" s="1"/>
      <c r="D1249" s="1"/>
      <c r="E1249" s="1"/>
      <c r="F1249" s="1"/>
      <c r="G1249" s="1"/>
      <c r="H1249" s="4"/>
      <c r="I1249" s="4"/>
      <c r="J1249" s="4"/>
      <c r="K1249" s="4"/>
      <c r="L1249" s="4"/>
      <c r="M1249" s="4"/>
      <c r="N1249" s="1"/>
      <c r="O1249" s="1"/>
      <c r="P1249" s="4"/>
      <c r="Q1249" s="5"/>
      <c r="R1249" s="4"/>
      <c r="S1249" s="1"/>
      <c r="T1249" s="1"/>
      <c r="U1249" s="1"/>
      <c r="V1249" s="1"/>
      <c r="W1249" s="1"/>
      <c r="X1249" s="6"/>
      <c r="Y1249" s="4"/>
      <c r="Z1249" s="4"/>
      <c r="AA1249" s="4"/>
      <c r="AB1249" s="1"/>
      <c r="AC1249" s="1"/>
      <c r="AD1249" s="1"/>
      <c r="AE1249" s="1"/>
      <c r="AF1249" s="1"/>
      <c r="AG1249" s="4"/>
      <c r="AH1249" s="1"/>
      <c r="AI1249" s="4"/>
      <c r="AJ1249" s="6"/>
      <c r="AK1249" s="7"/>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row>
    <row r="1250" spans="1:61" ht="16.5" customHeight="1">
      <c r="A1250" s="1"/>
      <c r="B1250" s="139"/>
      <c r="C1250" s="1"/>
      <c r="D1250" s="1"/>
      <c r="E1250" s="1"/>
      <c r="F1250" s="1"/>
      <c r="G1250" s="1"/>
      <c r="H1250" s="4"/>
      <c r="I1250" s="4"/>
      <c r="J1250" s="4"/>
      <c r="K1250" s="4"/>
      <c r="L1250" s="4"/>
      <c r="M1250" s="4"/>
      <c r="N1250" s="1"/>
      <c r="O1250" s="1"/>
      <c r="P1250" s="4"/>
      <c r="Q1250" s="5"/>
      <c r="R1250" s="4"/>
      <c r="S1250" s="1"/>
      <c r="T1250" s="1"/>
      <c r="U1250" s="1"/>
      <c r="V1250" s="1"/>
      <c r="W1250" s="1"/>
      <c r="X1250" s="6"/>
      <c r="Y1250" s="4"/>
      <c r="Z1250" s="4"/>
      <c r="AA1250" s="4"/>
      <c r="AB1250" s="1"/>
      <c r="AC1250" s="1"/>
      <c r="AD1250" s="1"/>
      <c r="AE1250" s="1"/>
      <c r="AF1250" s="1"/>
      <c r="AG1250" s="4"/>
      <c r="AH1250" s="1"/>
      <c r="AI1250" s="4"/>
      <c r="AJ1250" s="6"/>
      <c r="AK1250" s="7"/>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row>
    <row r="1251" spans="1:61" ht="16.5" customHeight="1">
      <c r="A1251" s="1"/>
      <c r="B1251" s="139"/>
      <c r="C1251" s="1"/>
      <c r="D1251" s="1"/>
      <c r="E1251" s="1"/>
      <c r="F1251" s="1"/>
      <c r="G1251" s="1"/>
      <c r="H1251" s="4"/>
      <c r="I1251" s="4"/>
      <c r="J1251" s="4"/>
      <c r="K1251" s="4"/>
      <c r="L1251" s="4"/>
      <c r="M1251" s="4"/>
      <c r="N1251" s="1"/>
      <c r="O1251" s="1"/>
      <c r="P1251" s="4"/>
      <c r="Q1251" s="5"/>
      <c r="R1251" s="4"/>
      <c r="S1251" s="1"/>
      <c r="T1251" s="1"/>
      <c r="U1251" s="1"/>
      <c r="V1251" s="1"/>
      <c r="W1251" s="1"/>
      <c r="X1251" s="6"/>
      <c r="Y1251" s="4"/>
      <c r="Z1251" s="4"/>
      <c r="AA1251" s="4"/>
      <c r="AB1251" s="1"/>
      <c r="AC1251" s="1"/>
      <c r="AD1251" s="1"/>
      <c r="AE1251" s="1"/>
      <c r="AF1251" s="1"/>
      <c r="AG1251" s="4"/>
      <c r="AH1251" s="1"/>
      <c r="AI1251" s="4"/>
      <c r="AJ1251" s="6"/>
      <c r="AK1251" s="7"/>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row>
    <row r="1252" spans="1:61" ht="16.5" customHeight="1">
      <c r="A1252" s="1"/>
      <c r="B1252" s="139"/>
      <c r="C1252" s="1"/>
      <c r="D1252" s="1"/>
      <c r="E1252" s="1"/>
      <c r="F1252" s="1"/>
      <c r="G1252" s="1"/>
      <c r="H1252" s="4"/>
      <c r="I1252" s="4"/>
      <c r="J1252" s="4"/>
      <c r="K1252" s="4"/>
      <c r="L1252" s="4"/>
      <c r="M1252" s="4"/>
      <c r="N1252" s="1"/>
      <c r="O1252" s="1"/>
      <c r="P1252" s="4"/>
      <c r="Q1252" s="5"/>
      <c r="R1252" s="4"/>
      <c r="S1252" s="1"/>
      <c r="T1252" s="1"/>
      <c r="U1252" s="1"/>
      <c r="V1252" s="1"/>
      <c r="W1252" s="1"/>
      <c r="X1252" s="6"/>
      <c r="Y1252" s="4"/>
      <c r="Z1252" s="4"/>
      <c r="AA1252" s="4"/>
      <c r="AB1252" s="1"/>
      <c r="AC1252" s="1"/>
      <c r="AD1252" s="1"/>
      <c r="AE1252" s="1"/>
      <c r="AF1252" s="1"/>
      <c r="AG1252" s="4"/>
      <c r="AH1252" s="1"/>
      <c r="AI1252" s="4"/>
      <c r="AJ1252" s="6"/>
      <c r="AK1252" s="7"/>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row>
    <row r="1253" spans="1:61" ht="16.5" customHeight="1">
      <c r="A1253" s="1"/>
      <c r="B1253" s="139"/>
      <c r="C1253" s="1"/>
      <c r="D1253" s="1"/>
      <c r="E1253" s="1"/>
      <c r="F1253" s="1"/>
      <c r="G1253" s="1"/>
      <c r="H1253" s="4"/>
      <c r="I1253" s="4"/>
      <c r="J1253" s="4"/>
      <c r="K1253" s="4"/>
      <c r="L1253" s="4"/>
      <c r="M1253" s="4"/>
      <c r="N1253" s="1"/>
      <c r="O1253" s="1"/>
      <c r="P1253" s="4"/>
      <c r="Q1253" s="5"/>
      <c r="R1253" s="4"/>
      <c r="S1253" s="1"/>
      <c r="T1253" s="1"/>
      <c r="U1253" s="1"/>
      <c r="V1253" s="1"/>
      <c r="W1253" s="1"/>
      <c r="X1253" s="6"/>
      <c r="Y1253" s="4"/>
      <c r="Z1253" s="4"/>
      <c r="AA1253" s="4"/>
      <c r="AB1253" s="1"/>
      <c r="AC1253" s="1"/>
      <c r="AD1253" s="1"/>
      <c r="AE1253" s="1"/>
      <c r="AF1253" s="1"/>
      <c r="AG1253" s="4"/>
      <c r="AH1253" s="1"/>
      <c r="AI1253" s="4"/>
      <c r="AJ1253" s="6"/>
      <c r="AK1253" s="7"/>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row>
    <row r="1254" spans="1:61" ht="16.5" customHeight="1">
      <c r="A1254" s="1"/>
      <c r="B1254" s="139"/>
      <c r="C1254" s="1"/>
      <c r="D1254" s="1"/>
      <c r="E1254" s="1"/>
      <c r="F1254" s="1"/>
      <c r="G1254" s="1"/>
      <c r="H1254" s="4"/>
      <c r="I1254" s="4"/>
      <c r="J1254" s="4"/>
      <c r="K1254" s="4"/>
      <c r="L1254" s="4"/>
      <c r="M1254" s="4"/>
      <c r="N1254" s="1"/>
      <c r="O1254" s="1"/>
      <c r="P1254" s="4"/>
      <c r="Q1254" s="5"/>
      <c r="R1254" s="4"/>
      <c r="S1254" s="1"/>
      <c r="T1254" s="1"/>
      <c r="U1254" s="1"/>
      <c r="V1254" s="1"/>
      <c r="W1254" s="1"/>
      <c r="X1254" s="6"/>
      <c r="Y1254" s="4"/>
      <c r="Z1254" s="4"/>
      <c r="AA1254" s="4"/>
      <c r="AB1254" s="1"/>
      <c r="AC1254" s="1"/>
      <c r="AD1254" s="1"/>
      <c r="AE1254" s="1"/>
      <c r="AF1254" s="1"/>
      <c r="AG1254" s="4"/>
      <c r="AH1254" s="1"/>
      <c r="AI1254" s="4"/>
      <c r="AJ1254" s="6"/>
      <c r="AK1254" s="7"/>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row>
    <row r="1255" spans="1:61" ht="16.5" customHeight="1">
      <c r="A1255" s="1"/>
      <c r="B1255" s="139"/>
      <c r="C1255" s="1"/>
      <c r="D1255" s="1"/>
      <c r="E1255" s="1"/>
      <c r="F1255" s="1"/>
      <c r="G1255" s="1"/>
      <c r="H1255" s="4"/>
      <c r="I1255" s="4"/>
      <c r="J1255" s="4"/>
      <c r="K1255" s="4"/>
      <c r="L1255" s="4"/>
      <c r="M1255" s="4"/>
      <c r="N1255" s="1"/>
      <c r="O1255" s="1"/>
      <c r="P1255" s="4"/>
      <c r="Q1255" s="5"/>
      <c r="R1255" s="4"/>
      <c r="S1255" s="1"/>
      <c r="T1255" s="1"/>
      <c r="U1255" s="1"/>
      <c r="V1255" s="1"/>
      <c r="W1255" s="1"/>
      <c r="X1255" s="6"/>
      <c r="Y1255" s="4"/>
      <c r="Z1255" s="4"/>
      <c r="AA1255" s="4"/>
      <c r="AB1255" s="1"/>
      <c r="AC1255" s="1"/>
      <c r="AD1255" s="1"/>
      <c r="AE1255" s="1"/>
      <c r="AF1255" s="1"/>
      <c r="AG1255" s="4"/>
      <c r="AH1255" s="1"/>
      <c r="AI1255" s="4"/>
      <c r="AJ1255" s="6"/>
      <c r="AK1255" s="7"/>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row>
    <row r="1256" spans="1:61" ht="16.5" customHeight="1">
      <c r="A1256" s="1"/>
      <c r="B1256" s="139"/>
      <c r="C1256" s="1"/>
      <c r="D1256" s="1"/>
      <c r="E1256" s="1"/>
      <c r="F1256" s="1"/>
      <c r="G1256" s="1"/>
      <c r="H1256" s="4"/>
      <c r="I1256" s="4"/>
      <c r="J1256" s="4"/>
      <c r="K1256" s="4"/>
      <c r="L1256" s="4"/>
      <c r="M1256" s="4"/>
      <c r="N1256" s="1"/>
      <c r="O1256" s="1"/>
      <c r="P1256" s="4"/>
      <c r="Q1256" s="5"/>
      <c r="R1256" s="4"/>
      <c r="S1256" s="1"/>
      <c r="T1256" s="1"/>
      <c r="U1256" s="1"/>
      <c r="V1256" s="1"/>
      <c r="W1256" s="1"/>
      <c r="X1256" s="6"/>
      <c r="Y1256" s="4"/>
      <c r="Z1256" s="4"/>
      <c r="AA1256" s="4"/>
      <c r="AB1256" s="1"/>
      <c r="AC1256" s="1"/>
      <c r="AD1256" s="1"/>
      <c r="AE1256" s="1"/>
      <c r="AF1256" s="1"/>
      <c r="AG1256" s="4"/>
      <c r="AH1256" s="1"/>
      <c r="AI1256" s="4"/>
      <c r="AJ1256" s="6"/>
      <c r="AK1256" s="7"/>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row>
    <row r="1257" spans="1:61" ht="16.5" customHeight="1">
      <c r="A1257" s="1"/>
      <c r="B1257" s="139"/>
      <c r="C1257" s="1"/>
      <c r="D1257" s="1"/>
      <c r="E1257" s="1"/>
      <c r="F1257" s="1"/>
      <c r="G1257" s="1"/>
      <c r="H1257" s="4"/>
      <c r="I1257" s="4"/>
      <c r="J1257" s="4"/>
      <c r="K1257" s="4"/>
      <c r="L1257" s="4"/>
      <c r="M1257" s="4"/>
      <c r="N1257" s="1"/>
      <c r="O1257" s="1"/>
      <c r="P1257" s="4"/>
      <c r="Q1257" s="5"/>
      <c r="R1257" s="4"/>
      <c r="S1257" s="1"/>
      <c r="T1257" s="1"/>
      <c r="U1257" s="1"/>
      <c r="V1257" s="1"/>
      <c r="W1257" s="1"/>
      <c r="X1257" s="6"/>
      <c r="Y1257" s="4"/>
      <c r="Z1257" s="4"/>
      <c r="AA1257" s="4"/>
      <c r="AB1257" s="1"/>
      <c r="AC1257" s="1"/>
      <c r="AD1257" s="1"/>
      <c r="AE1257" s="1"/>
      <c r="AF1257" s="1"/>
      <c r="AG1257" s="4"/>
      <c r="AH1257" s="1"/>
      <c r="AI1257" s="4"/>
      <c r="AJ1257" s="6"/>
      <c r="AK1257" s="7"/>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row>
    <row r="1258" spans="1:61" ht="16.5" customHeight="1">
      <c r="A1258" s="1"/>
      <c r="B1258" s="139"/>
      <c r="C1258" s="1"/>
      <c r="D1258" s="1"/>
      <c r="E1258" s="1"/>
      <c r="F1258" s="1"/>
      <c r="G1258" s="1"/>
      <c r="H1258" s="4"/>
      <c r="I1258" s="4"/>
      <c r="J1258" s="4"/>
      <c r="K1258" s="4"/>
      <c r="L1258" s="4"/>
      <c r="M1258" s="4"/>
      <c r="N1258" s="1"/>
      <c r="O1258" s="1"/>
      <c r="P1258" s="4"/>
      <c r="Q1258" s="5"/>
      <c r="R1258" s="4"/>
      <c r="S1258" s="1"/>
      <c r="T1258" s="1"/>
      <c r="U1258" s="1"/>
      <c r="V1258" s="1"/>
      <c r="W1258" s="1"/>
      <c r="X1258" s="6"/>
      <c r="Y1258" s="4"/>
      <c r="Z1258" s="4"/>
      <c r="AA1258" s="4"/>
      <c r="AB1258" s="1"/>
      <c r="AC1258" s="1"/>
      <c r="AD1258" s="1"/>
      <c r="AE1258" s="1"/>
      <c r="AF1258" s="1"/>
      <c r="AG1258" s="4"/>
      <c r="AH1258" s="1"/>
      <c r="AI1258" s="4"/>
      <c r="AJ1258" s="6"/>
      <c r="AK1258" s="7"/>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row>
    <row r="1259" spans="1:61" ht="16.5" customHeight="1">
      <c r="A1259" s="1"/>
      <c r="B1259" s="139"/>
      <c r="C1259" s="1"/>
      <c r="D1259" s="1"/>
      <c r="E1259" s="1"/>
      <c r="F1259" s="1"/>
      <c r="G1259" s="1"/>
      <c r="H1259" s="4"/>
      <c r="I1259" s="4"/>
      <c r="J1259" s="4"/>
      <c r="K1259" s="4"/>
      <c r="L1259" s="4"/>
      <c r="M1259" s="4"/>
      <c r="N1259" s="1"/>
      <c r="O1259" s="1"/>
      <c r="P1259" s="4"/>
      <c r="Q1259" s="5"/>
      <c r="R1259" s="4"/>
      <c r="S1259" s="1"/>
      <c r="T1259" s="1"/>
      <c r="U1259" s="1"/>
      <c r="V1259" s="1"/>
      <c r="W1259" s="1"/>
      <c r="X1259" s="6"/>
      <c r="Y1259" s="4"/>
      <c r="Z1259" s="4"/>
      <c r="AA1259" s="4"/>
      <c r="AB1259" s="1"/>
      <c r="AC1259" s="1"/>
      <c r="AD1259" s="1"/>
      <c r="AE1259" s="1"/>
      <c r="AF1259" s="1"/>
      <c r="AG1259" s="4"/>
      <c r="AH1259" s="1"/>
      <c r="AI1259" s="4"/>
      <c r="AJ1259" s="6"/>
      <c r="AK1259" s="7"/>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row>
    <row r="1260" spans="1:61" ht="16.5" customHeight="1">
      <c r="A1260" s="1"/>
      <c r="B1260" s="139"/>
      <c r="C1260" s="1"/>
      <c r="D1260" s="1"/>
      <c r="E1260" s="1"/>
      <c r="F1260" s="1"/>
      <c r="G1260" s="1"/>
      <c r="H1260" s="4"/>
      <c r="I1260" s="4"/>
      <c r="J1260" s="4"/>
      <c r="K1260" s="4"/>
      <c r="L1260" s="4"/>
      <c r="M1260" s="4"/>
      <c r="N1260" s="1"/>
      <c r="O1260" s="1"/>
      <c r="P1260" s="4"/>
      <c r="Q1260" s="5"/>
      <c r="R1260" s="4"/>
      <c r="S1260" s="1"/>
      <c r="T1260" s="1"/>
      <c r="U1260" s="1"/>
      <c r="V1260" s="1"/>
      <c r="W1260" s="1"/>
      <c r="X1260" s="6"/>
      <c r="Y1260" s="4"/>
      <c r="Z1260" s="4"/>
      <c r="AA1260" s="4"/>
      <c r="AB1260" s="1"/>
      <c r="AC1260" s="1"/>
      <c r="AD1260" s="1"/>
      <c r="AE1260" s="1"/>
      <c r="AF1260" s="1"/>
      <c r="AG1260" s="4"/>
      <c r="AH1260" s="1"/>
      <c r="AI1260" s="4"/>
      <c r="AJ1260" s="6"/>
      <c r="AK1260" s="7"/>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row>
    <row r="1261" spans="1:61" ht="16.5" customHeight="1">
      <c r="A1261" s="1"/>
      <c r="B1261" s="139"/>
      <c r="C1261" s="1"/>
      <c r="D1261" s="1"/>
      <c r="E1261" s="1"/>
      <c r="F1261" s="1"/>
      <c r="G1261" s="1"/>
      <c r="H1261" s="4"/>
      <c r="I1261" s="4"/>
      <c r="J1261" s="4"/>
      <c r="K1261" s="4"/>
      <c r="L1261" s="4"/>
      <c r="M1261" s="4"/>
      <c r="N1261" s="1"/>
      <c r="O1261" s="1"/>
      <c r="P1261" s="4"/>
      <c r="Q1261" s="5"/>
      <c r="R1261" s="4"/>
      <c r="S1261" s="1"/>
      <c r="T1261" s="1"/>
      <c r="U1261" s="1"/>
      <c r="V1261" s="1"/>
      <c r="W1261" s="1"/>
      <c r="X1261" s="6"/>
      <c r="Y1261" s="4"/>
      <c r="Z1261" s="4"/>
      <c r="AA1261" s="4"/>
      <c r="AB1261" s="1"/>
      <c r="AC1261" s="1"/>
      <c r="AD1261" s="1"/>
      <c r="AE1261" s="1"/>
      <c r="AF1261" s="1"/>
      <c r="AG1261" s="4"/>
      <c r="AH1261" s="1"/>
      <c r="AI1261" s="4"/>
      <c r="AJ1261" s="6"/>
      <c r="AK1261" s="7"/>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row>
    <row r="1262" spans="1:61" ht="16.5" customHeight="1">
      <c r="A1262" s="1"/>
      <c r="B1262" s="139"/>
      <c r="C1262" s="1"/>
      <c r="D1262" s="1"/>
      <c r="E1262" s="1"/>
      <c r="F1262" s="1"/>
      <c r="G1262" s="1"/>
      <c r="H1262" s="4"/>
      <c r="I1262" s="4"/>
      <c r="J1262" s="4"/>
      <c r="K1262" s="4"/>
      <c r="L1262" s="4"/>
      <c r="M1262" s="4"/>
      <c r="N1262" s="1"/>
      <c r="O1262" s="1"/>
      <c r="P1262" s="4"/>
      <c r="Q1262" s="5"/>
      <c r="R1262" s="4"/>
      <c r="S1262" s="1"/>
      <c r="T1262" s="1"/>
      <c r="U1262" s="1"/>
      <c r="V1262" s="1"/>
      <c r="W1262" s="1"/>
      <c r="X1262" s="6"/>
      <c r="Y1262" s="4"/>
      <c r="Z1262" s="4"/>
      <c r="AA1262" s="4"/>
      <c r="AB1262" s="1"/>
      <c r="AC1262" s="1"/>
      <c r="AD1262" s="1"/>
      <c r="AE1262" s="1"/>
      <c r="AF1262" s="1"/>
      <c r="AG1262" s="4"/>
      <c r="AH1262" s="1"/>
      <c r="AI1262" s="4"/>
      <c r="AJ1262" s="6"/>
      <c r="AK1262" s="7"/>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row>
    <row r="1263" spans="1:61" ht="16.5" customHeight="1">
      <c r="A1263" s="1"/>
      <c r="B1263" s="139"/>
      <c r="C1263" s="1"/>
      <c r="D1263" s="1"/>
      <c r="E1263" s="1"/>
      <c r="F1263" s="1"/>
      <c r="G1263" s="1"/>
      <c r="H1263" s="4"/>
      <c r="I1263" s="4"/>
      <c r="J1263" s="4"/>
      <c r="K1263" s="4"/>
      <c r="L1263" s="4"/>
      <c r="M1263" s="4"/>
      <c r="N1263" s="1"/>
      <c r="O1263" s="1"/>
      <c r="P1263" s="4"/>
      <c r="Q1263" s="5"/>
      <c r="R1263" s="4"/>
      <c r="S1263" s="1"/>
      <c r="T1263" s="1"/>
      <c r="U1263" s="1"/>
      <c r="V1263" s="1"/>
      <c r="W1263" s="1"/>
      <c r="X1263" s="6"/>
      <c r="Y1263" s="4"/>
      <c r="Z1263" s="4"/>
      <c r="AA1263" s="4"/>
      <c r="AB1263" s="1"/>
      <c r="AC1263" s="1"/>
      <c r="AD1263" s="1"/>
      <c r="AE1263" s="1"/>
      <c r="AF1263" s="1"/>
      <c r="AG1263" s="4"/>
      <c r="AH1263" s="1"/>
      <c r="AI1263" s="4"/>
      <c r="AJ1263" s="6"/>
      <c r="AK1263" s="7"/>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row>
    <row r="1264" spans="1:61" ht="16.5" customHeight="1">
      <c r="A1264" s="1"/>
      <c r="B1264" s="139"/>
      <c r="C1264" s="1"/>
      <c r="D1264" s="1"/>
      <c r="E1264" s="1"/>
      <c r="F1264" s="1"/>
      <c r="G1264" s="1"/>
      <c r="H1264" s="4"/>
      <c r="I1264" s="4"/>
      <c r="J1264" s="4"/>
      <c r="K1264" s="4"/>
      <c r="L1264" s="4"/>
      <c r="M1264" s="4"/>
      <c r="N1264" s="1"/>
      <c r="O1264" s="1"/>
      <c r="P1264" s="4"/>
      <c r="Q1264" s="5"/>
      <c r="R1264" s="4"/>
      <c r="S1264" s="1"/>
      <c r="T1264" s="1"/>
      <c r="U1264" s="1"/>
      <c r="V1264" s="1"/>
      <c r="W1264" s="1"/>
      <c r="X1264" s="6"/>
      <c r="Y1264" s="4"/>
      <c r="Z1264" s="4"/>
      <c r="AA1264" s="4"/>
      <c r="AB1264" s="1"/>
      <c r="AC1264" s="1"/>
      <c r="AD1264" s="1"/>
      <c r="AE1264" s="1"/>
      <c r="AF1264" s="1"/>
      <c r="AG1264" s="4"/>
      <c r="AH1264" s="1"/>
      <c r="AI1264" s="4"/>
      <c r="AJ1264" s="6"/>
      <c r="AK1264" s="7"/>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row>
    <row r="1265" spans="1:61" ht="16.5" customHeight="1">
      <c r="A1265" s="1"/>
      <c r="B1265" s="139"/>
      <c r="C1265" s="1"/>
      <c r="D1265" s="1"/>
      <c r="E1265" s="1"/>
      <c r="F1265" s="1"/>
      <c r="G1265" s="1"/>
      <c r="H1265" s="4"/>
      <c r="I1265" s="4"/>
      <c r="J1265" s="4"/>
      <c r="K1265" s="4"/>
      <c r="L1265" s="4"/>
      <c r="M1265" s="4"/>
      <c r="N1265" s="1"/>
      <c r="O1265" s="1"/>
      <c r="P1265" s="4"/>
      <c r="Q1265" s="5"/>
      <c r="R1265" s="4"/>
      <c r="S1265" s="1"/>
      <c r="T1265" s="1"/>
      <c r="U1265" s="1"/>
      <c r="V1265" s="1"/>
      <c r="W1265" s="1"/>
      <c r="X1265" s="6"/>
      <c r="Y1265" s="4"/>
      <c r="Z1265" s="4"/>
      <c r="AA1265" s="4"/>
      <c r="AB1265" s="1"/>
      <c r="AC1265" s="1"/>
      <c r="AD1265" s="1"/>
      <c r="AE1265" s="1"/>
      <c r="AF1265" s="1"/>
      <c r="AG1265" s="4"/>
      <c r="AH1265" s="1"/>
      <c r="AI1265" s="4"/>
      <c r="AJ1265" s="6"/>
      <c r="AK1265" s="7"/>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row>
    <row r="1266" spans="1:61" ht="16.5" customHeight="1">
      <c r="A1266" s="1"/>
      <c r="B1266" s="139"/>
      <c r="C1266" s="1"/>
      <c r="D1266" s="1"/>
      <c r="E1266" s="1"/>
      <c r="F1266" s="1"/>
      <c r="G1266" s="1"/>
      <c r="H1266" s="4"/>
      <c r="I1266" s="4"/>
      <c r="J1266" s="4"/>
      <c r="K1266" s="4"/>
      <c r="L1266" s="4"/>
      <c r="M1266" s="4"/>
      <c r="N1266" s="1"/>
      <c r="O1266" s="1"/>
      <c r="P1266" s="4"/>
      <c r="Q1266" s="5"/>
      <c r="R1266" s="4"/>
      <c r="S1266" s="1"/>
      <c r="T1266" s="1"/>
      <c r="U1266" s="1"/>
      <c r="V1266" s="1"/>
      <c r="W1266" s="1"/>
      <c r="X1266" s="6"/>
      <c r="Y1266" s="4"/>
      <c r="Z1266" s="4"/>
      <c r="AA1266" s="4"/>
      <c r="AB1266" s="1"/>
      <c r="AC1266" s="1"/>
      <c r="AD1266" s="1"/>
      <c r="AE1266" s="1"/>
      <c r="AF1266" s="1"/>
      <c r="AG1266" s="4"/>
      <c r="AH1266" s="1"/>
      <c r="AI1266" s="4"/>
      <c r="AJ1266" s="6"/>
      <c r="AK1266" s="7"/>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row>
    <row r="1267" spans="1:61" ht="16.5" customHeight="1">
      <c r="A1267" s="1"/>
      <c r="B1267" s="139"/>
      <c r="C1267" s="1"/>
      <c r="D1267" s="1"/>
      <c r="E1267" s="1"/>
      <c r="F1267" s="1"/>
      <c r="G1267" s="1"/>
      <c r="H1267" s="4"/>
      <c r="I1267" s="4"/>
      <c r="J1267" s="4"/>
      <c r="K1267" s="4"/>
      <c r="L1267" s="4"/>
      <c r="M1267" s="4"/>
      <c r="N1267" s="1"/>
      <c r="O1267" s="1"/>
      <c r="P1267" s="4"/>
      <c r="Q1267" s="5"/>
      <c r="R1267" s="4"/>
      <c r="S1267" s="1"/>
      <c r="T1267" s="1"/>
      <c r="U1267" s="1"/>
      <c r="V1267" s="1"/>
      <c r="W1267" s="1"/>
      <c r="X1267" s="6"/>
      <c r="Y1267" s="4"/>
      <c r="Z1267" s="4"/>
      <c r="AA1267" s="4"/>
      <c r="AB1267" s="1"/>
      <c r="AC1267" s="1"/>
      <c r="AD1267" s="1"/>
      <c r="AE1267" s="1"/>
      <c r="AF1267" s="1"/>
      <c r="AG1267" s="4"/>
      <c r="AH1267" s="1"/>
      <c r="AI1267" s="4"/>
      <c r="AJ1267" s="6"/>
      <c r="AK1267" s="7"/>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row>
    <row r="1268" spans="1:61" ht="16.5" customHeight="1">
      <c r="A1268" s="1"/>
      <c r="B1268" s="139"/>
      <c r="C1268" s="1"/>
      <c r="D1268" s="1"/>
      <c r="E1268" s="1"/>
      <c r="F1268" s="1"/>
      <c r="G1268" s="1"/>
      <c r="H1268" s="4"/>
      <c r="I1268" s="4"/>
      <c r="J1268" s="4"/>
      <c r="K1268" s="4"/>
      <c r="L1268" s="4"/>
      <c r="M1268" s="4"/>
      <c r="N1268" s="1"/>
      <c r="O1268" s="1"/>
      <c r="P1268" s="4"/>
      <c r="Q1268" s="5"/>
      <c r="R1268" s="4"/>
      <c r="S1268" s="1"/>
      <c r="T1268" s="1"/>
      <c r="U1268" s="1"/>
      <c r="V1268" s="1"/>
      <c r="W1268" s="1"/>
      <c r="X1268" s="6"/>
      <c r="Y1268" s="4"/>
      <c r="Z1268" s="4"/>
      <c r="AA1268" s="4"/>
      <c r="AB1268" s="1"/>
      <c r="AC1268" s="1"/>
      <c r="AD1268" s="1"/>
      <c r="AE1268" s="1"/>
      <c r="AF1268" s="1"/>
      <c r="AG1268" s="4"/>
      <c r="AH1268" s="1"/>
      <c r="AI1268" s="4"/>
      <c r="AJ1268" s="6"/>
      <c r="AK1268" s="7"/>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row>
    <row r="1269" spans="1:61" ht="16.5" customHeight="1">
      <c r="A1269" s="1"/>
      <c r="B1269" s="139"/>
      <c r="C1269" s="1"/>
      <c r="D1269" s="1"/>
      <c r="E1269" s="1"/>
      <c r="F1269" s="1"/>
      <c r="G1269" s="1"/>
      <c r="H1269" s="4"/>
      <c r="I1269" s="4"/>
      <c r="J1269" s="4"/>
      <c r="K1269" s="4"/>
      <c r="L1269" s="4"/>
      <c r="M1269" s="4"/>
      <c r="N1269" s="1"/>
      <c r="O1269" s="1"/>
      <c r="P1269" s="4"/>
      <c r="Q1269" s="5"/>
      <c r="R1269" s="4"/>
      <c r="S1269" s="1"/>
      <c r="T1269" s="1"/>
      <c r="U1269" s="1"/>
      <c r="V1269" s="1"/>
      <c r="W1269" s="1"/>
      <c r="X1269" s="6"/>
      <c r="Y1269" s="4"/>
      <c r="Z1269" s="4"/>
      <c r="AA1269" s="4"/>
      <c r="AB1269" s="1"/>
      <c r="AC1269" s="1"/>
      <c r="AD1269" s="1"/>
      <c r="AE1269" s="1"/>
      <c r="AF1269" s="1"/>
      <c r="AG1269" s="4"/>
      <c r="AH1269" s="1"/>
      <c r="AI1269" s="4"/>
      <c r="AJ1269" s="6"/>
      <c r="AK1269" s="7"/>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row>
    <row r="1270" spans="1:61" ht="16.5" customHeight="1">
      <c r="A1270" s="1"/>
      <c r="B1270" s="139"/>
      <c r="C1270" s="1"/>
      <c r="D1270" s="1"/>
      <c r="E1270" s="1"/>
      <c r="F1270" s="1"/>
      <c r="G1270" s="1"/>
      <c r="H1270" s="4"/>
      <c r="I1270" s="4"/>
      <c r="J1270" s="4"/>
      <c r="K1270" s="4"/>
      <c r="L1270" s="4"/>
      <c r="M1270" s="4"/>
      <c r="N1270" s="1"/>
      <c r="O1270" s="1"/>
      <c r="P1270" s="4"/>
      <c r="Q1270" s="5"/>
      <c r="R1270" s="4"/>
      <c r="S1270" s="1"/>
      <c r="T1270" s="1"/>
      <c r="U1270" s="1"/>
      <c r="V1270" s="1"/>
      <c r="W1270" s="1"/>
      <c r="X1270" s="6"/>
      <c r="Y1270" s="4"/>
      <c r="Z1270" s="4"/>
      <c r="AA1270" s="4"/>
      <c r="AB1270" s="1"/>
      <c r="AC1270" s="1"/>
      <c r="AD1270" s="1"/>
      <c r="AE1270" s="1"/>
      <c r="AF1270" s="1"/>
      <c r="AG1270" s="4"/>
      <c r="AH1270" s="1"/>
      <c r="AI1270" s="4"/>
      <c r="AJ1270" s="6"/>
      <c r="AK1270" s="7"/>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row>
    <row r="1271" spans="1:61" ht="16.5" customHeight="1">
      <c r="A1271" s="1"/>
      <c r="B1271" s="139"/>
      <c r="C1271" s="1"/>
      <c r="D1271" s="1"/>
      <c r="E1271" s="1"/>
      <c r="F1271" s="1"/>
      <c r="G1271" s="1"/>
      <c r="H1271" s="4"/>
      <c r="I1271" s="4"/>
      <c r="J1271" s="4"/>
      <c r="K1271" s="4"/>
      <c r="L1271" s="4"/>
      <c r="M1271" s="4"/>
      <c r="N1271" s="1"/>
      <c r="O1271" s="1"/>
      <c r="P1271" s="4"/>
      <c r="Q1271" s="5"/>
      <c r="R1271" s="4"/>
      <c r="S1271" s="1"/>
      <c r="T1271" s="1"/>
      <c r="U1271" s="1"/>
      <c r="V1271" s="1"/>
      <c r="W1271" s="1"/>
      <c r="X1271" s="6"/>
      <c r="Y1271" s="4"/>
      <c r="Z1271" s="4"/>
      <c r="AA1271" s="4"/>
      <c r="AB1271" s="1"/>
      <c r="AC1271" s="1"/>
      <c r="AD1271" s="1"/>
      <c r="AE1271" s="1"/>
      <c r="AF1271" s="1"/>
      <c r="AG1271" s="4"/>
      <c r="AH1271" s="1"/>
      <c r="AI1271" s="4"/>
      <c r="AJ1271" s="6"/>
      <c r="AK1271" s="7"/>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row>
    <row r="1272" spans="1:61" ht="16.5" customHeight="1">
      <c r="A1272" s="1"/>
      <c r="B1272" s="139"/>
      <c r="C1272" s="1"/>
      <c r="D1272" s="1"/>
      <c r="E1272" s="1"/>
      <c r="F1272" s="1"/>
      <c r="G1272" s="1"/>
      <c r="H1272" s="4"/>
      <c r="I1272" s="4"/>
      <c r="J1272" s="4"/>
      <c r="K1272" s="4"/>
      <c r="L1272" s="4"/>
      <c r="M1272" s="4"/>
      <c r="N1272" s="1"/>
      <c r="O1272" s="1"/>
      <c r="P1272" s="4"/>
      <c r="Q1272" s="5"/>
      <c r="R1272" s="4"/>
      <c r="S1272" s="1"/>
      <c r="T1272" s="1"/>
      <c r="U1272" s="1"/>
      <c r="V1272" s="1"/>
      <c r="W1272" s="1"/>
      <c r="X1272" s="6"/>
      <c r="Y1272" s="4"/>
      <c r="Z1272" s="4"/>
      <c r="AA1272" s="4"/>
      <c r="AB1272" s="1"/>
      <c r="AC1272" s="1"/>
      <c r="AD1272" s="1"/>
      <c r="AE1272" s="1"/>
      <c r="AF1272" s="1"/>
      <c r="AG1272" s="4"/>
      <c r="AH1272" s="1"/>
      <c r="AI1272" s="4"/>
      <c r="AJ1272" s="6"/>
      <c r="AK1272" s="7"/>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row>
    <row r="1273" spans="1:61" ht="16.5" customHeight="1">
      <c r="A1273" s="1"/>
      <c r="B1273" s="139"/>
      <c r="C1273" s="1"/>
      <c r="D1273" s="1"/>
      <c r="E1273" s="1"/>
      <c r="F1273" s="1"/>
      <c r="G1273" s="1"/>
      <c r="H1273" s="4"/>
      <c r="I1273" s="4"/>
      <c r="J1273" s="4"/>
      <c r="K1273" s="4"/>
      <c r="L1273" s="4"/>
      <c r="M1273" s="4"/>
      <c r="N1273" s="1"/>
      <c r="O1273" s="1"/>
      <c r="P1273" s="4"/>
      <c r="Q1273" s="5"/>
      <c r="R1273" s="4"/>
      <c r="S1273" s="1"/>
      <c r="T1273" s="1"/>
      <c r="U1273" s="1"/>
      <c r="V1273" s="1"/>
      <c r="W1273" s="1"/>
      <c r="X1273" s="6"/>
      <c r="Y1273" s="4"/>
      <c r="Z1273" s="4"/>
      <c r="AA1273" s="4"/>
      <c r="AB1273" s="1"/>
      <c r="AC1273" s="1"/>
      <c r="AD1273" s="1"/>
      <c r="AE1273" s="1"/>
      <c r="AF1273" s="1"/>
      <c r="AG1273" s="4"/>
      <c r="AH1273" s="1"/>
      <c r="AI1273" s="4"/>
      <c r="AJ1273" s="6"/>
      <c r="AK1273" s="7"/>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row>
    <row r="1274" spans="1:61" ht="16.5" customHeight="1">
      <c r="A1274" s="1"/>
      <c r="B1274" s="139"/>
      <c r="C1274" s="1"/>
      <c r="D1274" s="1"/>
      <c r="E1274" s="1"/>
      <c r="F1274" s="1"/>
      <c r="G1274" s="1"/>
      <c r="H1274" s="4"/>
      <c r="I1274" s="4"/>
      <c r="J1274" s="4"/>
      <c r="K1274" s="4"/>
      <c r="L1274" s="4"/>
      <c r="M1274" s="4"/>
      <c r="N1274" s="1"/>
      <c r="O1274" s="1"/>
      <c r="P1274" s="4"/>
      <c r="Q1274" s="5"/>
      <c r="R1274" s="4"/>
      <c r="S1274" s="1"/>
      <c r="T1274" s="1"/>
      <c r="U1274" s="1"/>
      <c r="V1274" s="1"/>
      <c r="W1274" s="1"/>
      <c r="X1274" s="6"/>
      <c r="Y1274" s="4"/>
      <c r="Z1274" s="4"/>
      <c r="AA1274" s="4"/>
      <c r="AB1274" s="1"/>
      <c r="AC1274" s="1"/>
      <c r="AD1274" s="1"/>
      <c r="AE1274" s="1"/>
      <c r="AF1274" s="1"/>
      <c r="AG1274" s="4"/>
      <c r="AH1274" s="1"/>
      <c r="AI1274" s="4"/>
      <c r="AJ1274" s="6"/>
      <c r="AK1274" s="7"/>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row>
    <row r="1275" spans="1:61" ht="16.5" customHeight="1">
      <c r="A1275" s="1"/>
      <c r="B1275" s="139"/>
      <c r="C1275" s="1"/>
      <c r="D1275" s="1"/>
      <c r="E1275" s="1"/>
      <c r="F1275" s="1"/>
      <c r="G1275" s="1"/>
      <c r="H1275" s="4"/>
      <c r="I1275" s="4"/>
      <c r="J1275" s="4"/>
      <c r="K1275" s="4"/>
      <c r="L1275" s="4"/>
      <c r="M1275" s="4"/>
      <c r="N1275" s="1"/>
      <c r="O1275" s="1"/>
      <c r="P1275" s="4"/>
      <c r="Q1275" s="5"/>
      <c r="R1275" s="4"/>
      <c r="S1275" s="1"/>
      <c r="T1275" s="1"/>
      <c r="U1275" s="1"/>
      <c r="V1275" s="1"/>
      <c r="W1275" s="1"/>
      <c r="X1275" s="6"/>
      <c r="Y1275" s="4"/>
      <c r="Z1275" s="4"/>
      <c r="AA1275" s="4"/>
      <c r="AB1275" s="1"/>
      <c r="AC1275" s="1"/>
      <c r="AD1275" s="1"/>
      <c r="AE1275" s="1"/>
      <c r="AF1275" s="1"/>
      <c r="AG1275" s="4"/>
      <c r="AH1275" s="1"/>
      <c r="AI1275" s="4"/>
      <c r="AJ1275" s="6"/>
      <c r="AK1275" s="7"/>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row>
    <row r="1276" spans="1:61" ht="16.5" customHeight="1">
      <c r="A1276" s="1"/>
      <c r="B1276" s="139"/>
      <c r="C1276" s="1"/>
      <c r="D1276" s="1"/>
      <c r="E1276" s="1"/>
      <c r="F1276" s="1"/>
      <c r="G1276" s="1"/>
      <c r="H1276" s="4"/>
      <c r="I1276" s="4"/>
      <c r="J1276" s="4"/>
      <c r="K1276" s="4"/>
      <c r="L1276" s="4"/>
      <c r="M1276" s="4"/>
      <c r="N1276" s="1"/>
      <c r="O1276" s="1"/>
      <c r="P1276" s="4"/>
      <c r="Q1276" s="5"/>
      <c r="R1276" s="4"/>
      <c r="S1276" s="1"/>
      <c r="T1276" s="1"/>
      <c r="U1276" s="1"/>
      <c r="V1276" s="1"/>
      <c r="W1276" s="1"/>
      <c r="X1276" s="6"/>
      <c r="Y1276" s="4"/>
      <c r="Z1276" s="4"/>
      <c r="AA1276" s="4"/>
      <c r="AB1276" s="1"/>
      <c r="AC1276" s="1"/>
      <c r="AD1276" s="1"/>
      <c r="AE1276" s="1"/>
      <c r="AF1276" s="1"/>
      <c r="AG1276" s="4"/>
      <c r="AH1276" s="1"/>
      <c r="AI1276" s="4"/>
      <c r="AJ1276" s="6"/>
      <c r="AK1276" s="7"/>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row>
    <row r="1277" spans="1:61" ht="16.5" customHeight="1">
      <c r="A1277" s="1"/>
      <c r="B1277" s="139"/>
      <c r="C1277" s="1"/>
      <c r="D1277" s="1"/>
      <c r="E1277" s="1"/>
      <c r="F1277" s="1"/>
      <c r="G1277" s="1"/>
      <c r="H1277" s="4"/>
      <c r="I1277" s="4"/>
      <c r="J1277" s="4"/>
      <c r="K1277" s="4"/>
      <c r="L1277" s="4"/>
      <c r="M1277" s="4"/>
      <c r="N1277" s="1"/>
      <c r="O1277" s="1"/>
      <c r="P1277" s="4"/>
      <c r="Q1277" s="5"/>
      <c r="R1277" s="4"/>
      <c r="S1277" s="1"/>
      <c r="T1277" s="1"/>
      <c r="U1277" s="1"/>
      <c r="V1277" s="1"/>
      <c r="W1277" s="1"/>
      <c r="X1277" s="6"/>
      <c r="Y1277" s="4"/>
      <c r="Z1277" s="4"/>
      <c r="AA1277" s="4"/>
      <c r="AB1277" s="1"/>
      <c r="AC1277" s="1"/>
      <c r="AD1277" s="1"/>
      <c r="AE1277" s="1"/>
      <c r="AF1277" s="1"/>
      <c r="AG1277" s="4"/>
      <c r="AH1277" s="1"/>
      <c r="AI1277" s="4"/>
      <c r="AJ1277" s="6"/>
      <c r="AK1277" s="7"/>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row>
    <row r="1278" spans="1:61" ht="16.5" customHeight="1">
      <c r="A1278" s="1"/>
      <c r="B1278" s="139"/>
      <c r="C1278" s="1"/>
      <c r="D1278" s="1"/>
      <c r="E1278" s="1"/>
      <c r="F1278" s="1"/>
      <c r="G1278" s="1"/>
      <c r="H1278" s="4"/>
      <c r="I1278" s="4"/>
      <c r="J1278" s="4"/>
      <c r="K1278" s="4"/>
      <c r="L1278" s="4"/>
      <c r="M1278" s="4"/>
      <c r="N1278" s="1"/>
      <c r="O1278" s="1"/>
      <c r="P1278" s="4"/>
      <c r="Q1278" s="5"/>
      <c r="R1278" s="4"/>
      <c r="S1278" s="1"/>
      <c r="T1278" s="1"/>
      <c r="U1278" s="1"/>
      <c r="V1278" s="1"/>
      <c r="W1278" s="1"/>
      <c r="X1278" s="6"/>
      <c r="Y1278" s="4"/>
      <c r="Z1278" s="4"/>
      <c r="AA1278" s="4"/>
      <c r="AB1278" s="1"/>
      <c r="AC1278" s="1"/>
      <c r="AD1278" s="1"/>
      <c r="AE1278" s="1"/>
      <c r="AF1278" s="1"/>
      <c r="AG1278" s="4"/>
      <c r="AH1278" s="1"/>
      <c r="AI1278" s="4"/>
      <c r="AJ1278" s="6"/>
      <c r="AK1278" s="7"/>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row>
    <row r="1279" spans="1:61" ht="16.5" customHeight="1">
      <c r="A1279" s="1"/>
      <c r="B1279" s="139"/>
      <c r="C1279" s="1"/>
      <c r="D1279" s="1"/>
      <c r="E1279" s="1"/>
      <c r="F1279" s="1"/>
      <c r="G1279" s="1"/>
      <c r="H1279" s="4"/>
      <c r="I1279" s="4"/>
      <c r="J1279" s="4"/>
      <c r="K1279" s="4"/>
      <c r="L1279" s="4"/>
      <c r="M1279" s="4"/>
      <c r="N1279" s="1"/>
      <c r="O1279" s="1"/>
      <c r="P1279" s="4"/>
      <c r="Q1279" s="5"/>
      <c r="R1279" s="4"/>
      <c r="S1279" s="1"/>
      <c r="T1279" s="1"/>
      <c r="U1279" s="1"/>
      <c r="V1279" s="1"/>
      <c r="W1279" s="1"/>
      <c r="X1279" s="6"/>
      <c r="Y1279" s="4"/>
      <c r="Z1279" s="4"/>
      <c r="AA1279" s="4"/>
      <c r="AB1279" s="1"/>
      <c r="AC1279" s="1"/>
      <c r="AD1279" s="1"/>
      <c r="AE1279" s="1"/>
      <c r="AF1279" s="1"/>
      <c r="AG1279" s="4"/>
      <c r="AH1279" s="1"/>
      <c r="AI1279" s="4"/>
      <c r="AJ1279" s="6"/>
      <c r="AK1279" s="7"/>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row>
    <row r="1280" spans="1:61" ht="16.5" customHeight="1">
      <c r="A1280" s="1"/>
      <c r="B1280" s="139"/>
      <c r="C1280" s="1"/>
      <c r="D1280" s="1"/>
      <c r="E1280" s="1"/>
      <c r="F1280" s="1"/>
      <c r="G1280" s="1"/>
      <c r="H1280" s="4"/>
      <c r="I1280" s="4"/>
      <c r="J1280" s="4"/>
      <c r="K1280" s="4"/>
      <c r="L1280" s="4"/>
      <c r="M1280" s="4"/>
      <c r="N1280" s="1"/>
      <c r="O1280" s="1"/>
      <c r="P1280" s="4"/>
      <c r="Q1280" s="5"/>
      <c r="R1280" s="4"/>
      <c r="S1280" s="1"/>
      <c r="T1280" s="1"/>
      <c r="U1280" s="1"/>
      <c r="V1280" s="1"/>
      <c r="W1280" s="1"/>
      <c r="X1280" s="6"/>
      <c r="Y1280" s="4"/>
      <c r="Z1280" s="4"/>
      <c r="AA1280" s="4"/>
      <c r="AB1280" s="1"/>
      <c r="AC1280" s="1"/>
      <c r="AD1280" s="1"/>
      <c r="AE1280" s="1"/>
      <c r="AF1280" s="1"/>
      <c r="AG1280" s="4"/>
      <c r="AH1280" s="1"/>
      <c r="AI1280" s="4"/>
      <c r="AJ1280" s="6"/>
      <c r="AK1280" s="7"/>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row>
    <row r="1281" spans="1:61" ht="16.5" customHeight="1">
      <c r="A1281" s="1"/>
      <c r="B1281" s="139"/>
      <c r="C1281" s="1"/>
      <c r="D1281" s="1"/>
      <c r="E1281" s="1"/>
      <c r="F1281" s="1"/>
      <c r="G1281" s="1"/>
      <c r="H1281" s="4"/>
      <c r="I1281" s="4"/>
      <c r="J1281" s="4"/>
      <c r="K1281" s="4"/>
      <c r="L1281" s="4"/>
      <c r="M1281" s="4"/>
      <c r="N1281" s="1"/>
      <c r="O1281" s="1"/>
      <c r="P1281" s="4"/>
      <c r="Q1281" s="5"/>
      <c r="R1281" s="4"/>
      <c r="S1281" s="1"/>
      <c r="T1281" s="1"/>
      <c r="U1281" s="1"/>
      <c r="V1281" s="1"/>
      <c r="W1281" s="1"/>
      <c r="X1281" s="6"/>
      <c r="Y1281" s="4"/>
      <c r="Z1281" s="4"/>
      <c r="AA1281" s="4"/>
      <c r="AB1281" s="1"/>
      <c r="AC1281" s="1"/>
      <c r="AD1281" s="1"/>
      <c r="AE1281" s="1"/>
      <c r="AF1281" s="1"/>
      <c r="AG1281" s="4"/>
      <c r="AH1281" s="1"/>
      <c r="AI1281" s="4"/>
      <c r="AJ1281" s="6"/>
      <c r="AK1281" s="7"/>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row>
    <row r="1282" spans="1:61" ht="16.5" customHeight="1">
      <c r="A1282" s="1"/>
      <c r="B1282" s="139"/>
      <c r="C1282" s="1"/>
      <c r="D1282" s="1"/>
      <c r="E1282" s="1"/>
      <c r="F1282" s="1"/>
      <c r="G1282" s="1"/>
      <c r="H1282" s="4"/>
      <c r="I1282" s="4"/>
      <c r="J1282" s="4"/>
      <c r="K1282" s="4"/>
      <c r="L1282" s="4"/>
      <c r="M1282" s="4"/>
      <c r="N1282" s="1"/>
      <c r="O1282" s="1"/>
      <c r="P1282" s="4"/>
      <c r="Q1282" s="5"/>
      <c r="R1282" s="4"/>
      <c r="S1282" s="1"/>
      <c r="T1282" s="1"/>
      <c r="U1282" s="1"/>
      <c r="V1282" s="1"/>
      <c r="W1282" s="1"/>
      <c r="X1282" s="6"/>
      <c r="Y1282" s="4"/>
      <c r="Z1282" s="4"/>
      <c r="AA1282" s="4"/>
      <c r="AB1282" s="1"/>
      <c r="AC1282" s="1"/>
      <c r="AD1282" s="1"/>
      <c r="AE1282" s="1"/>
      <c r="AF1282" s="1"/>
      <c r="AG1282" s="4"/>
      <c r="AH1282" s="1"/>
      <c r="AI1282" s="4"/>
      <c r="AJ1282" s="6"/>
      <c r="AK1282" s="7"/>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row>
    <row r="1283" spans="1:61" ht="16.5" customHeight="1">
      <c r="A1283" s="1"/>
      <c r="B1283" s="139"/>
      <c r="C1283" s="1"/>
      <c r="D1283" s="1"/>
      <c r="E1283" s="1"/>
      <c r="F1283" s="1"/>
      <c r="G1283" s="1"/>
      <c r="H1283" s="4"/>
      <c r="I1283" s="4"/>
      <c r="J1283" s="4"/>
      <c r="K1283" s="4"/>
      <c r="L1283" s="4"/>
      <c r="M1283" s="4"/>
      <c r="N1283" s="1"/>
      <c r="O1283" s="1"/>
      <c r="P1283" s="4"/>
      <c r="Q1283" s="5"/>
      <c r="R1283" s="4"/>
      <c r="S1283" s="1"/>
      <c r="T1283" s="1"/>
      <c r="U1283" s="1"/>
      <c r="V1283" s="1"/>
      <c r="W1283" s="1"/>
      <c r="X1283" s="6"/>
      <c r="Y1283" s="4"/>
      <c r="Z1283" s="4"/>
      <c r="AA1283" s="4"/>
      <c r="AB1283" s="1"/>
      <c r="AC1283" s="1"/>
      <c r="AD1283" s="1"/>
      <c r="AE1283" s="1"/>
      <c r="AF1283" s="1"/>
      <c r="AG1283" s="4"/>
      <c r="AH1283" s="1"/>
      <c r="AI1283" s="4"/>
      <c r="AJ1283" s="6"/>
      <c r="AK1283" s="7"/>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row>
    <row r="1284" spans="1:61" ht="16.5" customHeight="1">
      <c r="A1284" s="1"/>
      <c r="B1284" s="139"/>
      <c r="C1284" s="1"/>
      <c r="D1284" s="1"/>
      <c r="E1284" s="1"/>
      <c r="F1284" s="1"/>
      <c r="G1284" s="1"/>
      <c r="H1284" s="4"/>
      <c r="I1284" s="4"/>
      <c r="J1284" s="4"/>
      <c r="K1284" s="4"/>
      <c r="L1284" s="4"/>
      <c r="M1284" s="4"/>
      <c r="N1284" s="1"/>
      <c r="O1284" s="1"/>
      <c r="P1284" s="4"/>
      <c r="Q1284" s="5"/>
      <c r="R1284" s="4"/>
      <c r="S1284" s="1"/>
      <c r="T1284" s="1"/>
      <c r="U1284" s="1"/>
      <c r="V1284" s="1"/>
      <c r="W1284" s="1"/>
      <c r="X1284" s="6"/>
      <c r="Y1284" s="4"/>
      <c r="Z1284" s="4"/>
      <c r="AA1284" s="4"/>
      <c r="AB1284" s="1"/>
      <c r="AC1284" s="1"/>
      <c r="AD1284" s="1"/>
      <c r="AE1284" s="1"/>
      <c r="AF1284" s="1"/>
      <c r="AG1284" s="4"/>
      <c r="AH1284" s="1"/>
      <c r="AI1284" s="4"/>
      <c r="AJ1284" s="6"/>
      <c r="AK1284" s="7"/>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row>
    <row r="1285" spans="1:61" ht="16.5" customHeight="1">
      <c r="A1285" s="1"/>
      <c r="B1285" s="139"/>
      <c r="C1285" s="1"/>
      <c r="D1285" s="1"/>
      <c r="E1285" s="1"/>
      <c r="F1285" s="1"/>
      <c r="G1285" s="1"/>
      <c r="H1285" s="4"/>
      <c r="I1285" s="4"/>
      <c r="J1285" s="4"/>
      <c r="K1285" s="4"/>
      <c r="L1285" s="4"/>
      <c r="M1285" s="4"/>
      <c r="N1285" s="1"/>
      <c r="O1285" s="1"/>
      <c r="P1285" s="4"/>
      <c r="Q1285" s="5"/>
      <c r="R1285" s="4"/>
      <c r="S1285" s="1"/>
      <c r="T1285" s="1"/>
      <c r="U1285" s="1"/>
      <c r="V1285" s="1"/>
      <c r="W1285" s="1"/>
      <c r="X1285" s="6"/>
      <c r="Y1285" s="4"/>
      <c r="Z1285" s="4"/>
      <c r="AA1285" s="4"/>
      <c r="AB1285" s="1"/>
      <c r="AC1285" s="1"/>
      <c r="AD1285" s="1"/>
      <c r="AE1285" s="1"/>
      <c r="AF1285" s="1"/>
      <c r="AG1285" s="4"/>
      <c r="AH1285" s="1"/>
      <c r="AI1285" s="4"/>
      <c r="AJ1285" s="6"/>
      <c r="AK1285" s="7"/>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row>
    <row r="1286" spans="1:61" ht="16.5" customHeight="1">
      <c r="A1286" s="1"/>
      <c r="B1286" s="139"/>
      <c r="C1286" s="1"/>
      <c r="D1286" s="1"/>
      <c r="E1286" s="1"/>
      <c r="F1286" s="1"/>
      <c r="G1286" s="1"/>
      <c r="H1286" s="4"/>
      <c r="I1286" s="4"/>
      <c r="J1286" s="4"/>
      <c r="K1286" s="4"/>
      <c r="L1286" s="4"/>
      <c r="M1286" s="4"/>
      <c r="N1286" s="1"/>
      <c r="O1286" s="1"/>
      <c r="P1286" s="4"/>
      <c r="Q1286" s="5"/>
      <c r="R1286" s="4"/>
      <c r="S1286" s="1"/>
      <c r="T1286" s="1"/>
      <c r="U1286" s="1"/>
      <c r="V1286" s="1"/>
      <c r="W1286" s="1"/>
      <c r="X1286" s="6"/>
      <c r="Y1286" s="4"/>
      <c r="Z1286" s="4"/>
      <c r="AA1286" s="4"/>
      <c r="AB1286" s="1"/>
      <c r="AC1286" s="1"/>
      <c r="AD1286" s="1"/>
      <c r="AE1286" s="1"/>
      <c r="AF1286" s="1"/>
      <c r="AG1286" s="4"/>
      <c r="AH1286" s="1"/>
      <c r="AI1286" s="4"/>
      <c r="AJ1286" s="6"/>
      <c r="AK1286" s="7"/>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row>
    <row r="1287" spans="1:61" ht="16.5" customHeight="1">
      <c r="A1287" s="1"/>
      <c r="B1287" s="139"/>
      <c r="C1287" s="1"/>
      <c r="D1287" s="1"/>
      <c r="E1287" s="1"/>
      <c r="F1287" s="1"/>
      <c r="G1287" s="1"/>
      <c r="H1287" s="4"/>
      <c r="I1287" s="4"/>
      <c r="J1287" s="4"/>
      <c r="K1287" s="4"/>
      <c r="L1287" s="4"/>
      <c r="M1287" s="4"/>
      <c r="N1287" s="1"/>
      <c r="O1287" s="1"/>
      <c r="P1287" s="4"/>
      <c r="Q1287" s="5"/>
      <c r="R1287" s="4"/>
      <c r="S1287" s="1"/>
      <c r="T1287" s="1"/>
      <c r="U1287" s="1"/>
      <c r="V1287" s="1"/>
      <c r="W1287" s="1"/>
      <c r="X1287" s="6"/>
      <c r="Y1287" s="4"/>
      <c r="Z1287" s="4"/>
      <c r="AA1287" s="4"/>
      <c r="AB1287" s="1"/>
      <c r="AC1287" s="1"/>
      <c r="AD1287" s="1"/>
      <c r="AE1287" s="1"/>
      <c r="AF1287" s="1"/>
      <c r="AG1287" s="4"/>
      <c r="AH1287" s="1"/>
      <c r="AI1287" s="4"/>
      <c r="AJ1287" s="6"/>
      <c r="AK1287" s="7"/>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row>
    <row r="1288" spans="1:61" ht="16.5" customHeight="1">
      <c r="A1288" s="1"/>
      <c r="B1288" s="139"/>
      <c r="C1288" s="1"/>
      <c r="D1288" s="1"/>
      <c r="E1288" s="1"/>
      <c r="F1288" s="1"/>
      <c r="G1288" s="1"/>
      <c r="H1288" s="4"/>
      <c r="I1288" s="4"/>
      <c r="J1288" s="4"/>
      <c r="K1288" s="4"/>
      <c r="L1288" s="4"/>
      <c r="M1288" s="4"/>
      <c r="N1288" s="1"/>
      <c r="O1288" s="1"/>
      <c r="P1288" s="4"/>
      <c r="Q1288" s="5"/>
      <c r="R1288" s="4"/>
      <c r="S1288" s="1"/>
      <c r="T1288" s="1"/>
      <c r="U1288" s="1"/>
      <c r="V1288" s="1"/>
      <c r="W1288" s="1"/>
      <c r="X1288" s="6"/>
      <c r="Y1288" s="4"/>
      <c r="Z1288" s="4"/>
      <c r="AA1288" s="4"/>
      <c r="AB1288" s="1"/>
      <c r="AC1288" s="1"/>
      <c r="AD1288" s="1"/>
      <c r="AE1288" s="1"/>
      <c r="AF1288" s="1"/>
      <c r="AG1288" s="4"/>
      <c r="AH1288" s="1"/>
      <c r="AI1288" s="4"/>
      <c r="AJ1288" s="6"/>
      <c r="AK1288" s="7"/>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row>
    <row r="1289" spans="1:61" ht="16.5" customHeight="1">
      <c r="A1289" s="1"/>
      <c r="B1289" s="139"/>
      <c r="C1289" s="1"/>
      <c r="D1289" s="1"/>
      <c r="E1289" s="1"/>
      <c r="F1289" s="1"/>
      <c r="G1289" s="1"/>
      <c r="H1289" s="4"/>
      <c r="I1289" s="4"/>
      <c r="J1289" s="4"/>
      <c r="K1289" s="4"/>
      <c r="L1289" s="4"/>
      <c r="M1289" s="4"/>
      <c r="N1289" s="1"/>
      <c r="O1289" s="1"/>
      <c r="P1289" s="4"/>
      <c r="Q1289" s="5"/>
      <c r="R1289" s="4"/>
      <c r="S1289" s="1"/>
      <c r="T1289" s="1"/>
      <c r="U1289" s="1"/>
      <c r="V1289" s="1"/>
      <c r="W1289" s="1"/>
      <c r="X1289" s="6"/>
      <c r="Y1289" s="4"/>
      <c r="Z1289" s="4"/>
      <c r="AA1289" s="4"/>
      <c r="AB1289" s="1"/>
      <c r="AC1289" s="1"/>
      <c r="AD1289" s="1"/>
      <c r="AE1289" s="1"/>
      <c r="AF1289" s="1"/>
      <c r="AG1289" s="4"/>
      <c r="AH1289" s="1"/>
      <c r="AI1289" s="4"/>
      <c r="AJ1289" s="6"/>
      <c r="AK1289" s="7"/>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row>
    <row r="1290" spans="1:61" ht="16.5" customHeight="1">
      <c r="A1290" s="1"/>
      <c r="B1290" s="139"/>
      <c r="C1290" s="1"/>
      <c r="D1290" s="1"/>
      <c r="E1290" s="1"/>
      <c r="F1290" s="1"/>
      <c r="G1290" s="1"/>
      <c r="H1290" s="4"/>
      <c r="I1290" s="4"/>
      <c r="J1290" s="4"/>
      <c r="K1290" s="4"/>
      <c r="L1290" s="4"/>
      <c r="M1290" s="4"/>
      <c r="N1290" s="1"/>
      <c r="O1290" s="1"/>
      <c r="P1290" s="4"/>
      <c r="Q1290" s="5"/>
      <c r="R1290" s="4"/>
      <c r="S1290" s="1"/>
      <c r="T1290" s="1"/>
      <c r="U1290" s="1"/>
      <c r="V1290" s="1"/>
      <c r="W1290" s="1"/>
      <c r="X1290" s="6"/>
      <c r="Y1290" s="4"/>
      <c r="Z1290" s="4"/>
      <c r="AA1290" s="4"/>
      <c r="AB1290" s="1"/>
      <c r="AC1290" s="1"/>
      <c r="AD1290" s="1"/>
      <c r="AE1290" s="1"/>
      <c r="AF1290" s="1"/>
      <c r="AG1290" s="4"/>
      <c r="AH1290" s="1"/>
      <c r="AI1290" s="4"/>
      <c r="AJ1290" s="6"/>
      <c r="AK1290" s="7"/>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row>
    <row r="1291" spans="1:61" ht="16.5" customHeight="1">
      <c r="A1291" s="1"/>
      <c r="B1291" s="139"/>
      <c r="C1291" s="1"/>
      <c r="D1291" s="1"/>
      <c r="E1291" s="1"/>
      <c r="F1291" s="1"/>
      <c r="G1291" s="1"/>
      <c r="H1291" s="4"/>
      <c r="I1291" s="4"/>
      <c r="J1291" s="4"/>
      <c r="K1291" s="4"/>
      <c r="L1291" s="4"/>
      <c r="M1291" s="4"/>
      <c r="N1291" s="1"/>
      <c r="O1291" s="1"/>
      <c r="P1291" s="4"/>
      <c r="Q1291" s="5"/>
      <c r="R1291" s="4"/>
      <c r="S1291" s="1"/>
      <c r="T1291" s="1"/>
      <c r="U1291" s="1"/>
      <c r="V1291" s="1"/>
      <c r="W1291" s="1"/>
      <c r="X1291" s="6"/>
      <c r="Y1291" s="4"/>
      <c r="Z1291" s="4"/>
      <c r="AA1291" s="4"/>
      <c r="AB1291" s="1"/>
      <c r="AC1291" s="1"/>
      <c r="AD1291" s="1"/>
      <c r="AE1291" s="1"/>
      <c r="AF1291" s="1"/>
      <c r="AG1291" s="4"/>
      <c r="AH1291" s="1"/>
      <c r="AI1291" s="4"/>
      <c r="AJ1291" s="6"/>
      <c r="AK1291" s="7"/>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row>
    <row r="1292" spans="1:61" ht="16.5" customHeight="1">
      <c r="A1292" s="1"/>
      <c r="B1292" s="139"/>
      <c r="C1292" s="1"/>
      <c r="D1292" s="1"/>
      <c r="E1292" s="1"/>
      <c r="F1292" s="1"/>
      <c r="G1292" s="1"/>
      <c r="H1292" s="4"/>
      <c r="I1292" s="4"/>
      <c r="J1292" s="4"/>
      <c r="K1292" s="4"/>
      <c r="L1292" s="4"/>
      <c r="M1292" s="4"/>
      <c r="N1292" s="1"/>
      <c r="O1292" s="1"/>
      <c r="P1292" s="4"/>
      <c r="Q1292" s="5"/>
      <c r="R1292" s="4"/>
      <c r="S1292" s="1"/>
      <c r="T1292" s="1"/>
      <c r="U1292" s="1"/>
      <c r="V1292" s="1"/>
      <c r="W1292" s="1"/>
      <c r="X1292" s="6"/>
      <c r="Y1292" s="4"/>
      <c r="Z1292" s="4"/>
      <c r="AA1292" s="4"/>
      <c r="AB1292" s="1"/>
      <c r="AC1292" s="1"/>
      <c r="AD1292" s="1"/>
      <c r="AE1292" s="1"/>
      <c r="AF1292" s="1"/>
      <c r="AG1292" s="4"/>
      <c r="AH1292" s="1"/>
      <c r="AI1292" s="4"/>
      <c r="AJ1292" s="6"/>
      <c r="AK1292" s="7"/>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row>
    <row r="1293" spans="1:61" ht="16.5" customHeight="1">
      <c r="A1293" s="1"/>
      <c r="B1293" s="139"/>
      <c r="C1293" s="1"/>
      <c r="D1293" s="1"/>
      <c r="E1293" s="1"/>
      <c r="F1293" s="1"/>
      <c r="G1293" s="1"/>
      <c r="H1293" s="4"/>
      <c r="I1293" s="4"/>
      <c r="J1293" s="4"/>
      <c r="K1293" s="4"/>
      <c r="L1293" s="4"/>
      <c r="M1293" s="4"/>
      <c r="N1293" s="1"/>
      <c r="O1293" s="1"/>
      <c r="P1293" s="4"/>
      <c r="Q1293" s="5"/>
      <c r="R1293" s="4"/>
      <c r="S1293" s="1"/>
      <c r="T1293" s="1"/>
      <c r="U1293" s="1"/>
      <c r="V1293" s="1"/>
      <c r="W1293" s="1"/>
      <c r="X1293" s="6"/>
      <c r="Y1293" s="4"/>
      <c r="Z1293" s="4"/>
      <c r="AA1293" s="4"/>
      <c r="AB1293" s="1"/>
      <c r="AC1293" s="1"/>
      <c r="AD1293" s="1"/>
      <c r="AE1293" s="1"/>
      <c r="AF1293" s="1"/>
      <c r="AG1293" s="4"/>
      <c r="AH1293" s="1"/>
      <c r="AI1293" s="4"/>
      <c r="AJ1293" s="6"/>
      <c r="AK1293" s="7"/>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row>
    <row r="1294" spans="1:61" ht="16.5" customHeight="1">
      <c r="A1294" s="1"/>
      <c r="B1294" s="139"/>
      <c r="C1294" s="1"/>
      <c r="D1294" s="1"/>
      <c r="E1294" s="1"/>
      <c r="F1294" s="1"/>
      <c r="G1294" s="1"/>
      <c r="H1294" s="4"/>
      <c r="I1294" s="4"/>
      <c r="J1294" s="4"/>
      <c r="K1294" s="4"/>
      <c r="L1294" s="4"/>
      <c r="M1294" s="4"/>
      <c r="N1294" s="1"/>
      <c r="O1294" s="1"/>
      <c r="P1294" s="4"/>
      <c r="Q1294" s="5"/>
      <c r="R1294" s="4"/>
      <c r="S1294" s="1"/>
      <c r="T1294" s="1"/>
      <c r="U1294" s="1"/>
      <c r="V1294" s="1"/>
      <c r="W1294" s="1"/>
      <c r="X1294" s="6"/>
      <c r="Y1294" s="4"/>
      <c r="Z1294" s="4"/>
      <c r="AA1294" s="4"/>
      <c r="AB1294" s="1"/>
      <c r="AC1294" s="1"/>
      <c r="AD1294" s="1"/>
      <c r="AE1294" s="1"/>
      <c r="AF1294" s="1"/>
      <c r="AG1294" s="4"/>
      <c r="AH1294" s="1"/>
      <c r="AI1294" s="4"/>
      <c r="AJ1294" s="6"/>
      <c r="AK1294" s="7"/>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row>
    <row r="1295" spans="1:61" ht="16.5" customHeight="1">
      <c r="A1295" s="1"/>
      <c r="B1295" s="139"/>
      <c r="C1295" s="1"/>
      <c r="D1295" s="1"/>
      <c r="E1295" s="1"/>
      <c r="F1295" s="1"/>
      <c r="G1295" s="1"/>
      <c r="H1295" s="4"/>
      <c r="I1295" s="4"/>
      <c r="J1295" s="4"/>
      <c r="K1295" s="4"/>
      <c r="L1295" s="4"/>
      <c r="M1295" s="4"/>
      <c r="N1295" s="1"/>
      <c r="O1295" s="1"/>
      <c r="P1295" s="4"/>
      <c r="Q1295" s="5"/>
      <c r="R1295" s="4"/>
      <c r="S1295" s="1"/>
      <c r="T1295" s="1"/>
      <c r="U1295" s="1"/>
      <c r="V1295" s="1"/>
      <c r="W1295" s="1"/>
      <c r="X1295" s="6"/>
      <c r="Y1295" s="4"/>
      <c r="Z1295" s="4"/>
      <c r="AA1295" s="4"/>
      <c r="AB1295" s="1"/>
      <c r="AC1295" s="1"/>
      <c r="AD1295" s="1"/>
      <c r="AE1295" s="1"/>
      <c r="AF1295" s="1"/>
      <c r="AG1295" s="4"/>
      <c r="AH1295" s="1"/>
      <c r="AI1295" s="4"/>
      <c r="AJ1295" s="6"/>
      <c r="AK1295" s="7"/>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row>
    <row r="1296" spans="1:61" ht="16.5" customHeight="1">
      <c r="A1296" s="1"/>
      <c r="B1296" s="139"/>
      <c r="C1296" s="1"/>
      <c r="D1296" s="1"/>
      <c r="E1296" s="1"/>
      <c r="F1296" s="1"/>
      <c r="G1296" s="1"/>
      <c r="H1296" s="4"/>
      <c r="I1296" s="4"/>
      <c r="J1296" s="4"/>
      <c r="K1296" s="4"/>
      <c r="L1296" s="4"/>
      <c r="M1296" s="4"/>
      <c r="N1296" s="1"/>
      <c r="O1296" s="1"/>
      <c r="P1296" s="4"/>
      <c r="Q1296" s="5"/>
      <c r="R1296" s="4"/>
      <c r="S1296" s="1"/>
      <c r="T1296" s="1"/>
      <c r="U1296" s="1"/>
      <c r="V1296" s="1"/>
      <c r="W1296" s="1"/>
      <c r="X1296" s="6"/>
      <c r="Y1296" s="4"/>
      <c r="Z1296" s="4"/>
      <c r="AA1296" s="4"/>
      <c r="AB1296" s="1"/>
      <c r="AC1296" s="1"/>
      <c r="AD1296" s="1"/>
      <c r="AE1296" s="1"/>
      <c r="AF1296" s="1"/>
      <c r="AG1296" s="4"/>
      <c r="AH1296" s="1"/>
      <c r="AI1296" s="4"/>
      <c r="AJ1296" s="6"/>
      <c r="AK1296" s="7"/>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row>
    <row r="1297" spans="1:61" ht="16.5" customHeight="1">
      <c r="A1297" s="1"/>
      <c r="B1297" s="139"/>
      <c r="C1297" s="1"/>
      <c r="D1297" s="1"/>
      <c r="E1297" s="1"/>
      <c r="F1297" s="1"/>
      <c r="G1297" s="1"/>
      <c r="H1297" s="4"/>
      <c r="I1297" s="4"/>
      <c r="J1297" s="4"/>
      <c r="K1297" s="4"/>
      <c r="L1297" s="4"/>
      <c r="M1297" s="4"/>
      <c r="N1297" s="1"/>
      <c r="O1297" s="1"/>
      <c r="P1297" s="4"/>
      <c r="Q1297" s="5"/>
      <c r="R1297" s="4"/>
      <c r="S1297" s="1"/>
      <c r="T1297" s="1"/>
      <c r="U1297" s="1"/>
      <c r="V1297" s="1"/>
      <c r="W1297" s="1"/>
      <c r="X1297" s="6"/>
      <c r="Y1297" s="4"/>
      <c r="Z1297" s="4"/>
      <c r="AA1297" s="4"/>
      <c r="AB1297" s="1"/>
      <c r="AC1297" s="1"/>
      <c r="AD1297" s="1"/>
      <c r="AE1297" s="1"/>
      <c r="AF1297" s="1"/>
      <c r="AG1297" s="4"/>
      <c r="AH1297" s="1"/>
      <c r="AI1297" s="4"/>
      <c r="AJ1297" s="6"/>
      <c r="AK1297" s="7"/>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row>
    <row r="1298" spans="1:61" ht="16.5" customHeight="1">
      <c r="A1298" s="1"/>
      <c r="B1298" s="139"/>
      <c r="C1298" s="1"/>
      <c r="D1298" s="1"/>
      <c r="E1298" s="1"/>
      <c r="F1298" s="1"/>
      <c r="G1298" s="1"/>
      <c r="H1298" s="4"/>
      <c r="I1298" s="4"/>
      <c r="J1298" s="4"/>
      <c r="K1298" s="4"/>
      <c r="L1298" s="4"/>
      <c r="M1298" s="4"/>
      <c r="N1298" s="1"/>
      <c r="O1298" s="1"/>
      <c r="P1298" s="4"/>
      <c r="Q1298" s="5"/>
      <c r="R1298" s="4"/>
      <c r="S1298" s="1"/>
      <c r="T1298" s="1"/>
      <c r="U1298" s="1"/>
      <c r="V1298" s="1"/>
      <c r="W1298" s="1"/>
      <c r="X1298" s="6"/>
      <c r="Y1298" s="4"/>
      <c r="Z1298" s="4"/>
      <c r="AA1298" s="4"/>
      <c r="AB1298" s="1"/>
      <c r="AC1298" s="1"/>
      <c r="AD1298" s="1"/>
      <c r="AE1298" s="1"/>
      <c r="AF1298" s="1"/>
      <c r="AG1298" s="4"/>
      <c r="AH1298" s="1"/>
      <c r="AI1298" s="4"/>
      <c r="AJ1298" s="6"/>
      <c r="AK1298" s="7"/>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row>
    <row r="1299" spans="1:61" ht="16.5" customHeight="1">
      <c r="A1299" s="1"/>
      <c r="B1299" s="139"/>
      <c r="C1299" s="1"/>
      <c r="D1299" s="1"/>
      <c r="E1299" s="1"/>
      <c r="F1299" s="1"/>
      <c r="G1299" s="1"/>
      <c r="H1299" s="4"/>
      <c r="I1299" s="4"/>
      <c r="J1299" s="4"/>
      <c r="K1299" s="4"/>
      <c r="L1299" s="4"/>
      <c r="M1299" s="4"/>
      <c r="N1299" s="1"/>
      <c r="O1299" s="1"/>
      <c r="P1299" s="4"/>
      <c r="Q1299" s="5"/>
      <c r="R1299" s="4"/>
      <c r="S1299" s="1"/>
      <c r="T1299" s="1"/>
      <c r="U1299" s="1"/>
      <c r="V1299" s="1"/>
      <c r="W1299" s="1"/>
      <c r="X1299" s="6"/>
      <c r="Y1299" s="4"/>
      <c r="Z1299" s="4"/>
      <c r="AA1299" s="4"/>
      <c r="AB1299" s="1"/>
      <c r="AC1299" s="1"/>
      <c r="AD1299" s="1"/>
      <c r="AE1299" s="1"/>
      <c r="AF1299" s="1"/>
      <c r="AG1299" s="4"/>
      <c r="AH1299" s="1"/>
      <c r="AI1299" s="4"/>
      <c r="AJ1299" s="6"/>
      <c r="AK1299" s="7"/>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row>
    <row r="1300" spans="1:61" ht="16.5" customHeight="1">
      <c r="A1300" s="1"/>
      <c r="B1300" s="139"/>
      <c r="C1300" s="1"/>
      <c r="D1300" s="1"/>
      <c r="E1300" s="1"/>
      <c r="F1300" s="1"/>
      <c r="G1300" s="1"/>
      <c r="H1300" s="4"/>
      <c r="I1300" s="4"/>
      <c r="J1300" s="4"/>
      <c r="K1300" s="4"/>
      <c r="L1300" s="4"/>
      <c r="M1300" s="4"/>
      <c r="N1300" s="1"/>
      <c r="O1300" s="1"/>
      <c r="P1300" s="4"/>
      <c r="Q1300" s="5"/>
      <c r="R1300" s="4"/>
      <c r="S1300" s="1"/>
      <c r="T1300" s="1"/>
      <c r="U1300" s="1"/>
      <c r="V1300" s="1"/>
      <c r="W1300" s="1"/>
      <c r="X1300" s="6"/>
      <c r="Y1300" s="4"/>
      <c r="Z1300" s="4"/>
      <c r="AA1300" s="4"/>
      <c r="AB1300" s="1"/>
      <c r="AC1300" s="1"/>
      <c r="AD1300" s="1"/>
      <c r="AE1300" s="1"/>
      <c r="AF1300" s="1"/>
      <c r="AG1300" s="4"/>
      <c r="AH1300" s="1"/>
      <c r="AI1300" s="4"/>
      <c r="AJ1300" s="6"/>
      <c r="AK1300" s="7"/>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row>
    <row r="1301" spans="1:61" ht="16.5" customHeight="1">
      <c r="A1301" s="1"/>
      <c r="B1301" s="139"/>
      <c r="C1301" s="1"/>
      <c r="D1301" s="1"/>
      <c r="E1301" s="1"/>
      <c r="F1301" s="1"/>
      <c r="G1301" s="1"/>
      <c r="H1301" s="4"/>
      <c r="I1301" s="4"/>
      <c r="J1301" s="4"/>
      <c r="K1301" s="4"/>
      <c r="L1301" s="4"/>
      <c r="M1301" s="4"/>
      <c r="N1301" s="1"/>
      <c r="O1301" s="1"/>
      <c r="P1301" s="4"/>
      <c r="Q1301" s="5"/>
      <c r="R1301" s="4"/>
      <c r="S1301" s="1"/>
      <c r="T1301" s="1"/>
      <c r="U1301" s="1"/>
      <c r="V1301" s="1"/>
      <c r="W1301" s="1"/>
      <c r="X1301" s="6"/>
      <c r="Y1301" s="4"/>
      <c r="Z1301" s="4"/>
      <c r="AA1301" s="4"/>
      <c r="AB1301" s="1"/>
      <c r="AC1301" s="1"/>
      <c r="AD1301" s="1"/>
      <c r="AE1301" s="1"/>
      <c r="AF1301" s="1"/>
      <c r="AG1301" s="4"/>
      <c r="AH1301" s="1"/>
      <c r="AI1301" s="4"/>
      <c r="AJ1301" s="6"/>
      <c r="AK1301" s="7"/>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row>
    <row r="1302" spans="1:61" ht="16.5" customHeight="1">
      <c r="A1302" s="1"/>
      <c r="B1302" s="139"/>
      <c r="C1302" s="1"/>
      <c r="D1302" s="1"/>
      <c r="E1302" s="1"/>
      <c r="F1302" s="1"/>
      <c r="G1302" s="1"/>
      <c r="H1302" s="4"/>
      <c r="I1302" s="4"/>
      <c r="J1302" s="4"/>
      <c r="K1302" s="4"/>
      <c r="L1302" s="4"/>
      <c r="M1302" s="4"/>
      <c r="N1302" s="1"/>
      <c r="O1302" s="1"/>
      <c r="P1302" s="4"/>
      <c r="Q1302" s="5"/>
      <c r="R1302" s="4"/>
      <c r="S1302" s="1"/>
      <c r="T1302" s="1"/>
      <c r="U1302" s="1"/>
      <c r="V1302" s="1"/>
      <c r="W1302" s="1"/>
      <c r="X1302" s="6"/>
      <c r="Y1302" s="4"/>
      <c r="Z1302" s="4"/>
      <c r="AA1302" s="4"/>
      <c r="AB1302" s="1"/>
      <c r="AC1302" s="1"/>
      <c r="AD1302" s="1"/>
      <c r="AE1302" s="1"/>
      <c r="AF1302" s="1"/>
      <c r="AG1302" s="4"/>
      <c r="AH1302" s="1"/>
      <c r="AI1302" s="4"/>
      <c r="AJ1302" s="6"/>
      <c r="AK1302" s="7"/>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row>
    <row r="1303" spans="1:61" ht="16.5" customHeight="1">
      <c r="A1303" s="1"/>
      <c r="B1303" s="139"/>
      <c r="C1303" s="1"/>
      <c r="D1303" s="1"/>
      <c r="E1303" s="1"/>
      <c r="F1303" s="1"/>
      <c r="G1303" s="1"/>
      <c r="H1303" s="4"/>
      <c r="I1303" s="4"/>
      <c r="J1303" s="4"/>
      <c r="K1303" s="4"/>
      <c r="L1303" s="4"/>
      <c r="M1303" s="4"/>
      <c r="N1303" s="1"/>
      <c r="O1303" s="1"/>
      <c r="P1303" s="4"/>
      <c r="Q1303" s="5"/>
      <c r="R1303" s="4"/>
      <c r="S1303" s="1"/>
      <c r="T1303" s="1"/>
      <c r="U1303" s="1"/>
      <c r="V1303" s="1"/>
      <c r="W1303" s="1"/>
      <c r="X1303" s="6"/>
      <c r="Y1303" s="4"/>
      <c r="Z1303" s="4"/>
      <c r="AA1303" s="4"/>
      <c r="AB1303" s="1"/>
      <c r="AC1303" s="1"/>
      <c r="AD1303" s="1"/>
      <c r="AE1303" s="1"/>
      <c r="AF1303" s="1"/>
      <c r="AG1303" s="4"/>
      <c r="AH1303" s="1"/>
      <c r="AI1303" s="4"/>
      <c r="AJ1303" s="6"/>
      <c r="AK1303" s="7"/>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row>
    <row r="1304" spans="1:61" ht="16.5" customHeight="1">
      <c r="A1304" s="1"/>
      <c r="B1304" s="139"/>
      <c r="C1304" s="1"/>
      <c r="D1304" s="1"/>
      <c r="E1304" s="1"/>
      <c r="F1304" s="1"/>
      <c r="G1304" s="1"/>
      <c r="H1304" s="4"/>
      <c r="I1304" s="4"/>
      <c r="J1304" s="4"/>
      <c r="K1304" s="4"/>
      <c r="L1304" s="4"/>
      <c r="M1304" s="4"/>
      <c r="N1304" s="1"/>
      <c r="O1304" s="1"/>
      <c r="P1304" s="4"/>
      <c r="Q1304" s="5"/>
      <c r="R1304" s="4"/>
      <c r="S1304" s="1"/>
      <c r="T1304" s="1"/>
      <c r="U1304" s="1"/>
      <c r="V1304" s="1"/>
      <c r="W1304" s="1"/>
      <c r="X1304" s="6"/>
      <c r="Y1304" s="4"/>
      <c r="Z1304" s="4"/>
      <c r="AA1304" s="4"/>
      <c r="AB1304" s="1"/>
      <c r="AC1304" s="1"/>
      <c r="AD1304" s="1"/>
      <c r="AE1304" s="1"/>
      <c r="AF1304" s="1"/>
      <c r="AG1304" s="4"/>
      <c r="AH1304" s="1"/>
      <c r="AI1304" s="4"/>
      <c r="AJ1304" s="6"/>
      <c r="AK1304" s="7"/>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row>
    <row r="1305" spans="1:61" ht="16.5" customHeight="1">
      <c r="A1305" s="1"/>
      <c r="B1305" s="139"/>
      <c r="C1305" s="1"/>
      <c r="D1305" s="1"/>
      <c r="E1305" s="1"/>
      <c r="F1305" s="1"/>
      <c r="G1305" s="1"/>
      <c r="H1305" s="4"/>
      <c r="I1305" s="4"/>
      <c r="J1305" s="4"/>
      <c r="K1305" s="4"/>
      <c r="L1305" s="4"/>
      <c r="M1305" s="4"/>
      <c r="N1305" s="1"/>
      <c r="O1305" s="1"/>
      <c r="P1305" s="4"/>
      <c r="Q1305" s="5"/>
      <c r="R1305" s="4"/>
      <c r="S1305" s="1"/>
      <c r="T1305" s="1"/>
      <c r="U1305" s="1"/>
      <c r="V1305" s="1"/>
      <c r="W1305" s="1"/>
      <c r="X1305" s="6"/>
      <c r="Y1305" s="4"/>
      <c r="Z1305" s="4"/>
      <c r="AA1305" s="4"/>
      <c r="AB1305" s="1"/>
      <c r="AC1305" s="1"/>
      <c r="AD1305" s="1"/>
      <c r="AE1305" s="1"/>
      <c r="AF1305" s="1"/>
      <c r="AG1305" s="4"/>
      <c r="AH1305" s="1"/>
      <c r="AI1305" s="4"/>
      <c r="AJ1305" s="6"/>
      <c r="AK1305" s="7"/>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row>
    <row r="1306" spans="1:61" ht="16.5" customHeight="1">
      <c r="A1306" s="1"/>
      <c r="B1306" s="139"/>
      <c r="C1306" s="1"/>
      <c r="D1306" s="1"/>
      <c r="E1306" s="1"/>
      <c r="F1306" s="1"/>
      <c r="G1306" s="1"/>
      <c r="H1306" s="4"/>
      <c r="I1306" s="4"/>
      <c r="J1306" s="4"/>
      <c r="K1306" s="4"/>
      <c r="L1306" s="4"/>
      <c r="M1306" s="4"/>
      <c r="N1306" s="1"/>
      <c r="O1306" s="1"/>
      <c r="P1306" s="4"/>
      <c r="Q1306" s="5"/>
      <c r="R1306" s="4"/>
      <c r="S1306" s="1"/>
      <c r="T1306" s="1"/>
      <c r="U1306" s="1"/>
      <c r="V1306" s="1"/>
      <c r="W1306" s="1"/>
      <c r="X1306" s="6"/>
      <c r="Y1306" s="4"/>
      <c r="Z1306" s="4"/>
      <c r="AA1306" s="4"/>
      <c r="AB1306" s="1"/>
      <c r="AC1306" s="1"/>
      <c r="AD1306" s="1"/>
      <c r="AE1306" s="1"/>
      <c r="AF1306" s="1"/>
      <c r="AG1306" s="4"/>
      <c r="AH1306" s="1"/>
      <c r="AI1306" s="4"/>
      <c r="AJ1306" s="6"/>
      <c r="AK1306" s="7"/>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row>
    <row r="1307" spans="1:61" ht="16.5" customHeight="1">
      <c r="A1307" s="1"/>
      <c r="B1307" s="139"/>
      <c r="C1307" s="1"/>
      <c r="D1307" s="1"/>
      <c r="E1307" s="1"/>
      <c r="F1307" s="1"/>
      <c r="G1307" s="1"/>
      <c r="H1307" s="4"/>
      <c r="I1307" s="4"/>
      <c r="J1307" s="4"/>
      <c r="K1307" s="4"/>
      <c r="L1307" s="4"/>
      <c r="M1307" s="4"/>
      <c r="N1307" s="1"/>
      <c r="O1307" s="1"/>
      <c r="P1307" s="4"/>
      <c r="Q1307" s="5"/>
      <c r="R1307" s="4"/>
      <c r="S1307" s="1"/>
      <c r="T1307" s="1"/>
      <c r="U1307" s="1"/>
      <c r="V1307" s="1"/>
      <c r="W1307" s="1"/>
      <c r="X1307" s="6"/>
      <c r="Y1307" s="4"/>
      <c r="Z1307" s="4"/>
      <c r="AA1307" s="4"/>
      <c r="AB1307" s="1"/>
      <c r="AC1307" s="1"/>
      <c r="AD1307" s="1"/>
      <c r="AE1307" s="1"/>
      <c r="AF1307" s="1"/>
      <c r="AG1307" s="4"/>
      <c r="AH1307" s="1"/>
      <c r="AI1307" s="4"/>
      <c r="AJ1307" s="6"/>
      <c r="AK1307" s="7"/>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row>
    <row r="1308" spans="1:61" ht="16.5" customHeight="1">
      <c r="A1308" s="1"/>
      <c r="B1308" s="139"/>
      <c r="C1308" s="1"/>
      <c r="D1308" s="1"/>
      <c r="E1308" s="1"/>
      <c r="F1308" s="1"/>
      <c r="G1308" s="1"/>
      <c r="H1308" s="4"/>
      <c r="I1308" s="4"/>
      <c r="J1308" s="4"/>
      <c r="K1308" s="4"/>
      <c r="L1308" s="4"/>
      <c r="M1308" s="4"/>
      <c r="N1308" s="1"/>
      <c r="O1308" s="1"/>
      <c r="P1308" s="4"/>
      <c r="Q1308" s="5"/>
      <c r="R1308" s="4"/>
      <c r="S1308" s="1"/>
      <c r="T1308" s="1"/>
      <c r="U1308" s="1"/>
      <c r="V1308" s="1"/>
      <c r="W1308" s="1"/>
      <c r="X1308" s="6"/>
      <c r="Y1308" s="4"/>
      <c r="Z1308" s="4"/>
      <c r="AA1308" s="4"/>
      <c r="AB1308" s="1"/>
      <c r="AC1308" s="1"/>
      <c r="AD1308" s="1"/>
      <c r="AE1308" s="1"/>
      <c r="AF1308" s="1"/>
      <c r="AG1308" s="4"/>
      <c r="AH1308" s="1"/>
      <c r="AI1308" s="4"/>
      <c r="AJ1308" s="6"/>
      <c r="AK1308" s="7"/>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row>
    <row r="1309" spans="1:61" ht="16.5" customHeight="1">
      <c r="A1309" s="1"/>
      <c r="B1309" s="139"/>
      <c r="C1309" s="1"/>
      <c r="D1309" s="1"/>
      <c r="E1309" s="1"/>
      <c r="F1309" s="1"/>
      <c r="G1309" s="1"/>
      <c r="H1309" s="4"/>
      <c r="I1309" s="4"/>
      <c r="J1309" s="4"/>
      <c r="K1309" s="4"/>
      <c r="L1309" s="4"/>
      <c r="M1309" s="4"/>
      <c r="N1309" s="1"/>
      <c r="O1309" s="1"/>
      <c r="P1309" s="4"/>
      <c r="Q1309" s="5"/>
      <c r="R1309" s="4"/>
      <c r="S1309" s="1"/>
      <c r="T1309" s="1"/>
      <c r="U1309" s="1"/>
      <c r="V1309" s="1"/>
      <c r="W1309" s="1"/>
      <c r="X1309" s="6"/>
      <c r="Y1309" s="4"/>
      <c r="Z1309" s="4"/>
      <c r="AA1309" s="4"/>
      <c r="AB1309" s="1"/>
      <c r="AC1309" s="1"/>
      <c r="AD1309" s="1"/>
      <c r="AE1309" s="1"/>
      <c r="AF1309" s="1"/>
      <c r="AG1309" s="4"/>
      <c r="AH1309" s="1"/>
      <c r="AI1309" s="4"/>
      <c r="AJ1309" s="6"/>
      <c r="AK1309" s="7"/>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row>
    <row r="1310" spans="1:61" ht="16.5" customHeight="1">
      <c r="A1310" s="1"/>
      <c r="B1310" s="139"/>
      <c r="C1310" s="1"/>
      <c r="D1310" s="1"/>
      <c r="E1310" s="1"/>
      <c r="F1310" s="1"/>
      <c r="G1310" s="1"/>
      <c r="H1310" s="4"/>
      <c r="I1310" s="4"/>
      <c r="J1310" s="4"/>
      <c r="K1310" s="4"/>
      <c r="L1310" s="4"/>
      <c r="M1310" s="4"/>
      <c r="N1310" s="1"/>
      <c r="O1310" s="1"/>
      <c r="P1310" s="4"/>
      <c r="Q1310" s="5"/>
      <c r="R1310" s="4"/>
      <c r="S1310" s="1"/>
      <c r="T1310" s="1"/>
      <c r="U1310" s="1"/>
      <c r="V1310" s="1"/>
      <c r="W1310" s="1"/>
      <c r="X1310" s="6"/>
      <c r="Y1310" s="4"/>
      <c r="Z1310" s="4"/>
      <c r="AA1310" s="4"/>
      <c r="AB1310" s="1"/>
      <c r="AC1310" s="1"/>
      <c r="AD1310" s="1"/>
      <c r="AE1310" s="1"/>
      <c r="AF1310" s="1"/>
      <c r="AG1310" s="4"/>
      <c r="AH1310" s="1"/>
      <c r="AI1310" s="4"/>
      <c r="AJ1310" s="6"/>
      <c r="AK1310" s="7"/>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row>
    <row r="1311" spans="1:61" ht="16.5" customHeight="1">
      <c r="A1311" s="1"/>
      <c r="B1311" s="139"/>
      <c r="C1311" s="1"/>
      <c r="D1311" s="1"/>
      <c r="E1311" s="1"/>
      <c r="F1311" s="1"/>
      <c r="G1311" s="1"/>
      <c r="H1311" s="4"/>
      <c r="I1311" s="4"/>
      <c r="J1311" s="4"/>
      <c r="K1311" s="4"/>
      <c r="L1311" s="4"/>
      <c r="M1311" s="4"/>
      <c r="N1311" s="1"/>
      <c r="O1311" s="1"/>
      <c r="P1311" s="4"/>
      <c r="Q1311" s="5"/>
      <c r="R1311" s="4"/>
      <c r="S1311" s="1"/>
      <c r="T1311" s="1"/>
      <c r="U1311" s="1"/>
      <c r="V1311" s="1"/>
      <c r="W1311" s="1"/>
      <c r="X1311" s="6"/>
      <c r="Y1311" s="4"/>
      <c r="Z1311" s="4"/>
      <c r="AA1311" s="4"/>
      <c r="AB1311" s="1"/>
      <c r="AC1311" s="1"/>
      <c r="AD1311" s="1"/>
      <c r="AE1311" s="1"/>
      <c r="AF1311" s="1"/>
      <c r="AG1311" s="4"/>
      <c r="AH1311" s="1"/>
      <c r="AI1311" s="4"/>
      <c r="AJ1311" s="6"/>
      <c r="AK1311" s="7"/>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row>
    <row r="1312" spans="1:61" ht="16.5" customHeight="1">
      <c r="A1312" s="1"/>
      <c r="B1312" s="139"/>
      <c r="C1312" s="1"/>
      <c r="D1312" s="1"/>
      <c r="E1312" s="1"/>
      <c r="F1312" s="1"/>
      <c r="G1312" s="1"/>
      <c r="H1312" s="4"/>
      <c r="I1312" s="4"/>
      <c r="J1312" s="4"/>
      <c r="K1312" s="4"/>
      <c r="L1312" s="4"/>
      <c r="M1312" s="4"/>
      <c r="N1312" s="1"/>
      <c r="O1312" s="1"/>
      <c r="P1312" s="4"/>
      <c r="Q1312" s="5"/>
      <c r="R1312" s="4"/>
      <c r="S1312" s="1"/>
      <c r="T1312" s="1"/>
      <c r="U1312" s="1"/>
      <c r="V1312" s="1"/>
      <c r="W1312" s="1"/>
      <c r="X1312" s="6"/>
      <c r="Y1312" s="4"/>
      <c r="Z1312" s="4"/>
      <c r="AA1312" s="4"/>
      <c r="AB1312" s="1"/>
      <c r="AC1312" s="1"/>
      <c r="AD1312" s="1"/>
      <c r="AE1312" s="1"/>
      <c r="AF1312" s="1"/>
      <c r="AG1312" s="4"/>
      <c r="AH1312" s="1"/>
      <c r="AI1312" s="4"/>
      <c r="AJ1312" s="6"/>
      <c r="AK1312" s="7"/>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row>
    <row r="1313" spans="1:61" ht="16.5" customHeight="1">
      <c r="A1313" s="1"/>
      <c r="B1313" s="139"/>
      <c r="C1313" s="1"/>
      <c r="D1313" s="1"/>
      <c r="E1313" s="1"/>
      <c r="F1313" s="1"/>
      <c r="G1313" s="1"/>
      <c r="H1313" s="4"/>
      <c r="I1313" s="4"/>
      <c r="J1313" s="4"/>
      <c r="K1313" s="4"/>
      <c r="L1313" s="4"/>
      <c r="M1313" s="4"/>
      <c r="N1313" s="1"/>
      <c r="O1313" s="1"/>
      <c r="P1313" s="4"/>
      <c r="Q1313" s="5"/>
      <c r="R1313" s="4"/>
      <c r="S1313" s="1"/>
      <c r="T1313" s="1"/>
      <c r="U1313" s="1"/>
      <c r="V1313" s="1"/>
      <c r="W1313" s="1"/>
      <c r="X1313" s="6"/>
      <c r="Y1313" s="4"/>
      <c r="Z1313" s="4"/>
      <c r="AA1313" s="4"/>
      <c r="AB1313" s="1"/>
      <c r="AC1313" s="1"/>
      <c r="AD1313" s="1"/>
      <c r="AE1313" s="1"/>
      <c r="AF1313" s="1"/>
      <c r="AG1313" s="4"/>
      <c r="AH1313" s="1"/>
      <c r="AI1313" s="4"/>
      <c r="AJ1313" s="6"/>
      <c r="AK1313" s="7"/>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row>
    <row r="1314" spans="1:61" ht="16.5" customHeight="1">
      <c r="A1314" s="1"/>
      <c r="B1314" s="139"/>
      <c r="C1314" s="1"/>
      <c r="D1314" s="1"/>
      <c r="E1314" s="1"/>
      <c r="F1314" s="1"/>
      <c r="G1314" s="1"/>
      <c r="H1314" s="4"/>
      <c r="I1314" s="4"/>
      <c r="J1314" s="4"/>
      <c r="K1314" s="4"/>
      <c r="L1314" s="4"/>
      <c r="M1314" s="4"/>
      <c r="N1314" s="1"/>
      <c r="O1314" s="1"/>
      <c r="P1314" s="4"/>
      <c r="Q1314" s="5"/>
      <c r="R1314" s="4"/>
      <c r="S1314" s="1"/>
      <c r="T1314" s="1"/>
      <c r="U1314" s="1"/>
      <c r="V1314" s="1"/>
      <c r="W1314" s="1"/>
      <c r="X1314" s="6"/>
      <c r="Y1314" s="4"/>
      <c r="Z1314" s="4"/>
      <c r="AA1314" s="4"/>
      <c r="AB1314" s="1"/>
      <c r="AC1314" s="1"/>
      <c r="AD1314" s="1"/>
      <c r="AE1314" s="1"/>
      <c r="AF1314" s="1"/>
      <c r="AG1314" s="4"/>
      <c r="AH1314" s="1"/>
      <c r="AI1314" s="4"/>
      <c r="AJ1314" s="6"/>
      <c r="AK1314" s="7"/>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row>
    <row r="1315" spans="1:61" ht="16.5" customHeight="1">
      <c r="A1315" s="1"/>
      <c r="B1315" s="139"/>
      <c r="C1315" s="1"/>
      <c r="D1315" s="1"/>
      <c r="E1315" s="1"/>
      <c r="F1315" s="1"/>
      <c r="G1315" s="1"/>
      <c r="H1315" s="4"/>
      <c r="I1315" s="4"/>
      <c r="J1315" s="4"/>
      <c r="K1315" s="4"/>
      <c r="L1315" s="4"/>
      <c r="M1315" s="4"/>
      <c r="N1315" s="1"/>
      <c r="O1315" s="1"/>
      <c r="P1315" s="4"/>
      <c r="Q1315" s="5"/>
      <c r="R1315" s="4"/>
      <c r="S1315" s="1"/>
      <c r="T1315" s="1"/>
      <c r="U1315" s="1"/>
      <c r="V1315" s="1"/>
      <c r="W1315" s="1"/>
      <c r="X1315" s="6"/>
      <c r="Y1315" s="4"/>
      <c r="Z1315" s="4"/>
      <c r="AA1315" s="4"/>
      <c r="AB1315" s="1"/>
      <c r="AC1315" s="1"/>
      <c r="AD1315" s="1"/>
      <c r="AE1315" s="1"/>
      <c r="AF1315" s="1"/>
      <c r="AG1315" s="4"/>
      <c r="AH1315" s="1"/>
      <c r="AI1315" s="4"/>
      <c r="AJ1315" s="6"/>
      <c r="AK1315" s="7"/>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row>
    <row r="1316" spans="1:61" ht="16.5" customHeight="1">
      <c r="A1316" s="1"/>
      <c r="B1316" s="139"/>
      <c r="C1316" s="1"/>
      <c r="D1316" s="1"/>
      <c r="E1316" s="1"/>
      <c r="F1316" s="1"/>
      <c r="G1316" s="1"/>
      <c r="H1316" s="4"/>
      <c r="I1316" s="4"/>
      <c r="J1316" s="4"/>
      <c r="K1316" s="4"/>
      <c r="L1316" s="4"/>
      <c r="M1316" s="4"/>
      <c r="N1316" s="1"/>
      <c r="O1316" s="1"/>
      <c r="P1316" s="4"/>
      <c r="Q1316" s="5"/>
      <c r="R1316" s="4"/>
      <c r="S1316" s="1"/>
      <c r="T1316" s="1"/>
      <c r="U1316" s="1"/>
      <c r="V1316" s="1"/>
      <c r="W1316" s="1"/>
      <c r="X1316" s="6"/>
      <c r="Y1316" s="4"/>
      <c r="Z1316" s="4"/>
      <c r="AA1316" s="4"/>
      <c r="AB1316" s="1"/>
      <c r="AC1316" s="1"/>
      <c r="AD1316" s="1"/>
      <c r="AE1316" s="1"/>
      <c r="AF1316" s="1"/>
      <c r="AG1316" s="4"/>
      <c r="AH1316" s="1"/>
      <c r="AI1316" s="4"/>
      <c r="AJ1316" s="6"/>
      <c r="AK1316" s="7"/>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row>
    <row r="1317" spans="1:61" ht="16.5" customHeight="1">
      <c r="A1317" s="1"/>
      <c r="B1317" s="139"/>
      <c r="C1317" s="1"/>
      <c r="D1317" s="1"/>
      <c r="E1317" s="1"/>
      <c r="F1317" s="1"/>
      <c r="G1317" s="1"/>
      <c r="H1317" s="4"/>
      <c r="I1317" s="4"/>
      <c r="J1317" s="4"/>
      <c r="K1317" s="4"/>
      <c r="L1317" s="4"/>
      <c r="M1317" s="4"/>
      <c r="N1317" s="1"/>
      <c r="O1317" s="1"/>
      <c r="P1317" s="4"/>
      <c r="Q1317" s="5"/>
      <c r="R1317" s="4"/>
      <c r="S1317" s="1"/>
      <c r="T1317" s="1"/>
      <c r="U1317" s="1"/>
      <c r="V1317" s="1"/>
      <c r="W1317" s="1"/>
      <c r="X1317" s="6"/>
      <c r="Y1317" s="4"/>
      <c r="Z1317" s="4"/>
      <c r="AA1317" s="4"/>
      <c r="AB1317" s="1"/>
      <c r="AC1317" s="1"/>
      <c r="AD1317" s="1"/>
      <c r="AE1317" s="1"/>
      <c r="AF1317" s="1"/>
      <c r="AG1317" s="4"/>
      <c r="AH1317" s="1"/>
      <c r="AI1317" s="4"/>
      <c r="AJ1317" s="6"/>
      <c r="AK1317" s="7"/>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row>
    <row r="1318" spans="1:61" ht="16.5" customHeight="1">
      <c r="A1318" s="1"/>
      <c r="B1318" s="139"/>
      <c r="C1318" s="1"/>
      <c r="D1318" s="1"/>
      <c r="E1318" s="1"/>
      <c r="F1318" s="1"/>
      <c r="G1318" s="1"/>
      <c r="H1318" s="4"/>
      <c r="I1318" s="4"/>
      <c r="J1318" s="4"/>
      <c r="K1318" s="4"/>
      <c r="L1318" s="4"/>
      <c r="M1318" s="4"/>
      <c r="N1318" s="1"/>
      <c r="O1318" s="1"/>
      <c r="P1318" s="4"/>
      <c r="Q1318" s="5"/>
      <c r="R1318" s="4"/>
      <c r="S1318" s="1"/>
      <c r="T1318" s="1"/>
      <c r="U1318" s="1"/>
      <c r="V1318" s="1"/>
      <c r="W1318" s="1"/>
      <c r="X1318" s="6"/>
      <c r="Y1318" s="4"/>
      <c r="Z1318" s="4"/>
      <c r="AA1318" s="4"/>
      <c r="AB1318" s="1"/>
      <c r="AC1318" s="1"/>
      <c r="AD1318" s="1"/>
      <c r="AE1318" s="1"/>
      <c r="AF1318" s="1"/>
      <c r="AG1318" s="4"/>
      <c r="AH1318" s="1"/>
      <c r="AI1318" s="4"/>
      <c r="AJ1318" s="6"/>
      <c r="AK1318" s="7"/>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row>
    <row r="1319" spans="1:61" ht="16.5" customHeight="1">
      <c r="A1319" s="1"/>
      <c r="B1319" s="139"/>
      <c r="C1319" s="1"/>
      <c r="D1319" s="1"/>
      <c r="E1319" s="1"/>
      <c r="F1319" s="1"/>
      <c r="G1319" s="1"/>
      <c r="H1319" s="4"/>
      <c r="I1319" s="4"/>
      <c r="J1319" s="4"/>
      <c r="K1319" s="4"/>
      <c r="L1319" s="4"/>
      <c r="M1319" s="4"/>
      <c r="N1319" s="1"/>
      <c r="O1319" s="1"/>
      <c r="P1319" s="4"/>
      <c r="Q1319" s="5"/>
      <c r="R1319" s="4"/>
      <c r="S1319" s="1"/>
      <c r="T1319" s="1"/>
      <c r="U1319" s="1"/>
      <c r="V1319" s="1"/>
      <c r="W1319" s="1"/>
      <c r="X1319" s="6"/>
      <c r="Y1319" s="4"/>
      <c r="Z1319" s="4"/>
      <c r="AA1319" s="4"/>
      <c r="AB1319" s="1"/>
      <c r="AC1319" s="1"/>
      <c r="AD1319" s="1"/>
      <c r="AE1319" s="1"/>
      <c r="AF1319" s="1"/>
      <c r="AG1319" s="4"/>
      <c r="AH1319" s="1"/>
      <c r="AI1319" s="4"/>
      <c r="AJ1319" s="6"/>
      <c r="AK1319" s="7"/>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row>
    <row r="1320" spans="1:61" ht="16.5" customHeight="1">
      <c r="A1320" s="1"/>
      <c r="B1320" s="139"/>
      <c r="C1320" s="1"/>
      <c r="D1320" s="1"/>
      <c r="E1320" s="1"/>
      <c r="F1320" s="1"/>
      <c r="G1320" s="1"/>
      <c r="H1320" s="4"/>
      <c r="I1320" s="4"/>
      <c r="J1320" s="4"/>
      <c r="K1320" s="4"/>
      <c r="L1320" s="4"/>
      <c r="M1320" s="4"/>
      <c r="N1320" s="1"/>
      <c r="O1320" s="1"/>
      <c r="P1320" s="4"/>
      <c r="Q1320" s="5"/>
      <c r="R1320" s="4"/>
      <c r="S1320" s="1"/>
      <c r="T1320" s="1"/>
      <c r="U1320" s="1"/>
      <c r="V1320" s="1"/>
      <c r="W1320" s="1"/>
      <c r="X1320" s="6"/>
      <c r="Y1320" s="4"/>
      <c r="Z1320" s="4"/>
      <c r="AA1320" s="4"/>
      <c r="AB1320" s="1"/>
      <c r="AC1320" s="1"/>
      <c r="AD1320" s="1"/>
      <c r="AE1320" s="1"/>
      <c r="AF1320" s="1"/>
      <c r="AG1320" s="4"/>
      <c r="AH1320" s="1"/>
      <c r="AI1320" s="4"/>
      <c r="AJ1320" s="6"/>
      <c r="AK1320" s="7"/>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row>
    <row r="1321" spans="1:61" ht="16.5" customHeight="1">
      <c r="A1321" s="1"/>
      <c r="B1321" s="139"/>
      <c r="C1321" s="1"/>
      <c r="D1321" s="1"/>
      <c r="E1321" s="1"/>
      <c r="F1321" s="1"/>
      <c r="G1321" s="1"/>
      <c r="H1321" s="4"/>
      <c r="I1321" s="4"/>
      <c r="J1321" s="4"/>
      <c r="K1321" s="4"/>
      <c r="L1321" s="4"/>
      <c r="M1321" s="4"/>
      <c r="N1321" s="1"/>
      <c r="O1321" s="1"/>
      <c r="P1321" s="4"/>
      <c r="Q1321" s="5"/>
      <c r="R1321" s="4"/>
      <c r="S1321" s="1"/>
      <c r="T1321" s="1"/>
      <c r="U1321" s="1"/>
      <c r="V1321" s="1"/>
      <c r="W1321" s="1"/>
      <c r="X1321" s="6"/>
      <c r="Y1321" s="4"/>
      <c r="Z1321" s="4"/>
      <c r="AA1321" s="4"/>
      <c r="AB1321" s="1"/>
      <c r="AC1321" s="1"/>
      <c r="AD1321" s="1"/>
      <c r="AE1321" s="1"/>
      <c r="AF1321" s="1"/>
      <c r="AG1321" s="4"/>
      <c r="AH1321" s="1"/>
      <c r="AI1321" s="4"/>
      <c r="AJ1321" s="6"/>
      <c r="AK1321" s="7"/>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row>
    <row r="1322" spans="1:61" ht="16.5" customHeight="1">
      <c r="A1322" s="1"/>
      <c r="B1322" s="139"/>
      <c r="C1322" s="1"/>
      <c r="D1322" s="1"/>
      <c r="E1322" s="1"/>
      <c r="F1322" s="1"/>
      <c r="G1322" s="1"/>
      <c r="H1322" s="4"/>
      <c r="I1322" s="4"/>
      <c r="J1322" s="4"/>
      <c r="K1322" s="4"/>
      <c r="L1322" s="4"/>
      <c r="M1322" s="4"/>
      <c r="N1322" s="1"/>
      <c r="O1322" s="1"/>
      <c r="P1322" s="4"/>
      <c r="Q1322" s="5"/>
      <c r="R1322" s="4"/>
      <c r="S1322" s="1"/>
      <c r="T1322" s="1"/>
      <c r="U1322" s="1"/>
      <c r="V1322" s="1"/>
      <c r="W1322" s="1"/>
      <c r="X1322" s="6"/>
      <c r="Y1322" s="4"/>
      <c r="Z1322" s="4"/>
      <c r="AA1322" s="4"/>
      <c r="AB1322" s="1"/>
      <c r="AC1322" s="1"/>
      <c r="AD1322" s="1"/>
      <c r="AE1322" s="1"/>
      <c r="AF1322" s="1"/>
      <c r="AG1322" s="4"/>
      <c r="AH1322" s="1"/>
      <c r="AI1322" s="4"/>
      <c r="AJ1322" s="6"/>
      <c r="AK1322" s="7"/>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row>
    <row r="1323" spans="1:61" ht="16.5" customHeight="1">
      <c r="A1323" s="1"/>
      <c r="B1323" s="139"/>
      <c r="C1323" s="1"/>
      <c r="D1323" s="1"/>
      <c r="E1323" s="1"/>
      <c r="F1323" s="1"/>
      <c r="G1323" s="1"/>
      <c r="H1323" s="4"/>
      <c r="I1323" s="4"/>
      <c r="J1323" s="4"/>
      <c r="K1323" s="4"/>
      <c r="L1323" s="4"/>
      <c r="M1323" s="4"/>
      <c r="N1323" s="1"/>
      <c r="O1323" s="1"/>
      <c r="P1323" s="4"/>
      <c r="Q1323" s="5"/>
      <c r="R1323" s="4"/>
      <c r="S1323" s="1"/>
      <c r="T1323" s="1"/>
      <c r="U1323" s="1"/>
      <c r="V1323" s="1"/>
      <c r="W1323" s="1"/>
      <c r="X1323" s="6"/>
      <c r="Y1323" s="4"/>
      <c r="Z1323" s="4"/>
      <c r="AA1323" s="4"/>
      <c r="AB1323" s="1"/>
      <c r="AC1323" s="1"/>
      <c r="AD1323" s="1"/>
      <c r="AE1323" s="1"/>
      <c r="AF1323" s="1"/>
      <c r="AG1323" s="4"/>
      <c r="AH1323" s="1"/>
      <c r="AI1323" s="4"/>
      <c r="AJ1323" s="6"/>
      <c r="AK1323" s="7"/>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row>
    <row r="1324" spans="1:61" ht="16.5" customHeight="1">
      <c r="A1324" s="1"/>
      <c r="B1324" s="139"/>
      <c r="C1324" s="1"/>
      <c r="D1324" s="1"/>
      <c r="E1324" s="1"/>
      <c r="F1324" s="1"/>
      <c r="G1324" s="1"/>
      <c r="H1324" s="4"/>
      <c r="I1324" s="4"/>
      <c r="J1324" s="4"/>
      <c r="K1324" s="4"/>
      <c r="L1324" s="4"/>
      <c r="M1324" s="4"/>
      <c r="N1324" s="1"/>
      <c r="O1324" s="1"/>
      <c r="P1324" s="4"/>
      <c r="Q1324" s="5"/>
      <c r="R1324" s="4"/>
      <c r="S1324" s="1"/>
      <c r="T1324" s="1"/>
      <c r="U1324" s="1"/>
      <c r="V1324" s="1"/>
      <c r="W1324" s="1"/>
      <c r="X1324" s="6"/>
      <c r="Y1324" s="4"/>
      <c r="Z1324" s="4"/>
      <c r="AA1324" s="4"/>
      <c r="AB1324" s="1"/>
      <c r="AC1324" s="1"/>
      <c r="AD1324" s="1"/>
      <c r="AE1324" s="1"/>
      <c r="AF1324" s="1"/>
      <c r="AG1324" s="4"/>
      <c r="AH1324" s="1"/>
      <c r="AI1324" s="4"/>
      <c r="AJ1324" s="6"/>
      <c r="AK1324" s="7"/>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row>
    <row r="1325" spans="1:61" ht="16.5" customHeight="1">
      <c r="A1325" s="1"/>
      <c r="B1325" s="139"/>
      <c r="C1325" s="1"/>
      <c r="D1325" s="1"/>
      <c r="E1325" s="1"/>
      <c r="F1325" s="1"/>
      <c r="G1325" s="1"/>
      <c r="H1325" s="4"/>
      <c r="I1325" s="4"/>
      <c r="J1325" s="4"/>
      <c r="K1325" s="4"/>
      <c r="L1325" s="4"/>
      <c r="M1325" s="4"/>
      <c r="N1325" s="1"/>
      <c r="O1325" s="1"/>
      <c r="P1325" s="4"/>
      <c r="Q1325" s="5"/>
      <c r="R1325" s="4"/>
      <c r="S1325" s="1"/>
      <c r="T1325" s="1"/>
      <c r="U1325" s="1"/>
      <c r="V1325" s="1"/>
      <c r="W1325" s="1"/>
      <c r="X1325" s="6"/>
      <c r="Y1325" s="4"/>
      <c r="Z1325" s="4"/>
      <c r="AA1325" s="4"/>
      <c r="AB1325" s="1"/>
      <c r="AC1325" s="1"/>
      <c r="AD1325" s="1"/>
      <c r="AE1325" s="1"/>
      <c r="AF1325" s="1"/>
      <c r="AG1325" s="4"/>
      <c r="AH1325" s="1"/>
      <c r="AI1325" s="4"/>
      <c r="AJ1325" s="6"/>
      <c r="AK1325" s="7"/>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row>
    <row r="1326" spans="1:61" ht="16.5" customHeight="1">
      <c r="A1326" s="1"/>
      <c r="B1326" s="139"/>
      <c r="C1326" s="1"/>
      <c r="D1326" s="1"/>
      <c r="E1326" s="1"/>
      <c r="F1326" s="1"/>
      <c r="G1326" s="1"/>
      <c r="H1326" s="4"/>
      <c r="I1326" s="4"/>
      <c r="J1326" s="4"/>
      <c r="K1326" s="4"/>
      <c r="L1326" s="4"/>
      <c r="M1326" s="4"/>
      <c r="N1326" s="1"/>
      <c r="O1326" s="1"/>
      <c r="P1326" s="4"/>
      <c r="Q1326" s="5"/>
      <c r="R1326" s="4"/>
      <c r="S1326" s="1"/>
      <c r="T1326" s="1"/>
      <c r="U1326" s="1"/>
      <c r="V1326" s="1"/>
      <c r="W1326" s="1"/>
      <c r="X1326" s="6"/>
      <c r="Y1326" s="4"/>
      <c r="Z1326" s="4"/>
      <c r="AA1326" s="4"/>
      <c r="AB1326" s="1"/>
      <c r="AC1326" s="1"/>
      <c r="AD1326" s="1"/>
      <c r="AE1326" s="1"/>
      <c r="AF1326" s="1"/>
      <c r="AG1326" s="4"/>
      <c r="AH1326" s="1"/>
      <c r="AI1326" s="4"/>
      <c r="AJ1326" s="6"/>
      <c r="AK1326" s="7"/>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row>
    <row r="1327" spans="1:61" ht="16.5" customHeight="1">
      <c r="A1327" s="1"/>
      <c r="B1327" s="139"/>
      <c r="C1327" s="1"/>
      <c r="D1327" s="1"/>
      <c r="E1327" s="1"/>
      <c r="F1327" s="1"/>
      <c r="G1327" s="1"/>
      <c r="H1327" s="4"/>
      <c r="I1327" s="4"/>
      <c r="J1327" s="4"/>
      <c r="K1327" s="4"/>
      <c r="L1327" s="4"/>
      <c r="M1327" s="4"/>
      <c r="N1327" s="1"/>
      <c r="O1327" s="1"/>
      <c r="P1327" s="4"/>
      <c r="Q1327" s="5"/>
      <c r="R1327" s="4"/>
      <c r="S1327" s="1"/>
      <c r="T1327" s="1"/>
      <c r="U1327" s="1"/>
      <c r="V1327" s="1"/>
      <c r="W1327" s="1"/>
      <c r="X1327" s="6"/>
      <c r="Y1327" s="4"/>
      <c r="Z1327" s="4"/>
      <c r="AA1327" s="4"/>
      <c r="AB1327" s="1"/>
      <c r="AC1327" s="1"/>
      <c r="AD1327" s="1"/>
      <c r="AE1327" s="1"/>
      <c r="AF1327" s="1"/>
      <c r="AG1327" s="4"/>
      <c r="AH1327" s="1"/>
      <c r="AI1327" s="4"/>
      <c r="AJ1327" s="6"/>
      <c r="AK1327" s="7"/>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row>
    <row r="1328" spans="1:61" ht="16.5" customHeight="1">
      <c r="A1328" s="1"/>
      <c r="B1328" s="139"/>
      <c r="C1328" s="1"/>
      <c r="D1328" s="1"/>
      <c r="E1328" s="1"/>
      <c r="F1328" s="1"/>
      <c r="G1328" s="1"/>
      <c r="H1328" s="4"/>
      <c r="I1328" s="4"/>
      <c r="J1328" s="4"/>
      <c r="K1328" s="4"/>
      <c r="L1328" s="4"/>
      <c r="M1328" s="4"/>
      <c r="N1328" s="1"/>
      <c r="O1328" s="1"/>
      <c r="P1328" s="4"/>
      <c r="Q1328" s="5"/>
      <c r="R1328" s="4"/>
      <c r="S1328" s="1"/>
      <c r="T1328" s="1"/>
      <c r="U1328" s="1"/>
      <c r="V1328" s="1"/>
      <c r="W1328" s="1"/>
      <c r="X1328" s="6"/>
      <c r="Y1328" s="4"/>
      <c r="Z1328" s="4"/>
      <c r="AA1328" s="4"/>
      <c r="AB1328" s="1"/>
      <c r="AC1328" s="1"/>
      <c r="AD1328" s="1"/>
      <c r="AE1328" s="1"/>
      <c r="AF1328" s="1"/>
      <c r="AG1328" s="4"/>
      <c r="AH1328" s="1"/>
      <c r="AI1328" s="4"/>
      <c r="AJ1328" s="6"/>
      <c r="AK1328" s="7"/>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row>
    <row r="1329" spans="1:61" ht="16.5" customHeight="1">
      <c r="A1329" s="1"/>
      <c r="B1329" s="139"/>
      <c r="C1329" s="1"/>
      <c r="D1329" s="1"/>
      <c r="E1329" s="1"/>
      <c r="F1329" s="1"/>
      <c r="G1329" s="1"/>
      <c r="H1329" s="4"/>
      <c r="I1329" s="4"/>
      <c r="J1329" s="4"/>
      <c r="K1329" s="4"/>
      <c r="L1329" s="4"/>
      <c r="M1329" s="4"/>
      <c r="N1329" s="1"/>
      <c r="O1329" s="1"/>
      <c r="P1329" s="4"/>
      <c r="Q1329" s="5"/>
      <c r="R1329" s="4"/>
      <c r="S1329" s="1"/>
      <c r="T1329" s="1"/>
      <c r="U1329" s="1"/>
      <c r="V1329" s="1"/>
      <c r="W1329" s="1"/>
      <c r="X1329" s="6"/>
      <c r="Y1329" s="4"/>
      <c r="Z1329" s="4"/>
      <c r="AA1329" s="4"/>
      <c r="AB1329" s="1"/>
      <c r="AC1329" s="1"/>
      <c r="AD1329" s="1"/>
      <c r="AE1329" s="1"/>
      <c r="AF1329" s="1"/>
      <c r="AG1329" s="4"/>
      <c r="AH1329" s="1"/>
      <c r="AI1329" s="4"/>
      <c r="AJ1329" s="6"/>
      <c r="AK1329" s="7"/>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row>
    <row r="1330" spans="1:61" ht="16.5" customHeight="1">
      <c r="A1330" s="1"/>
      <c r="B1330" s="139"/>
      <c r="C1330" s="1"/>
      <c r="D1330" s="1"/>
      <c r="E1330" s="1"/>
      <c r="F1330" s="1"/>
      <c r="G1330" s="1"/>
      <c r="H1330" s="4"/>
      <c r="I1330" s="4"/>
      <c r="J1330" s="4"/>
      <c r="K1330" s="4"/>
      <c r="L1330" s="4"/>
      <c r="M1330" s="4"/>
      <c r="N1330" s="1"/>
      <c r="O1330" s="1"/>
      <c r="P1330" s="4"/>
      <c r="Q1330" s="5"/>
      <c r="R1330" s="4"/>
      <c r="S1330" s="1"/>
      <c r="T1330" s="1"/>
      <c r="U1330" s="1"/>
      <c r="V1330" s="1"/>
      <c r="W1330" s="1"/>
      <c r="X1330" s="6"/>
      <c r="Y1330" s="4"/>
      <c r="Z1330" s="4"/>
      <c r="AA1330" s="4"/>
      <c r="AB1330" s="1"/>
      <c r="AC1330" s="1"/>
      <c r="AD1330" s="1"/>
      <c r="AE1330" s="1"/>
      <c r="AF1330" s="1"/>
      <c r="AG1330" s="4"/>
      <c r="AH1330" s="1"/>
      <c r="AI1330" s="4"/>
      <c r="AJ1330" s="6"/>
      <c r="AK1330" s="7"/>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row>
    <row r="1331" spans="1:61" ht="16.5" customHeight="1">
      <c r="A1331" s="1"/>
      <c r="B1331" s="139"/>
      <c r="C1331" s="1"/>
      <c r="D1331" s="1"/>
      <c r="E1331" s="1"/>
      <c r="F1331" s="1"/>
      <c r="G1331" s="1"/>
      <c r="H1331" s="4"/>
      <c r="I1331" s="4"/>
      <c r="J1331" s="4"/>
      <c r="K1331" s="4"/>
      <c r="L1331" s="4"/>
      <c r="M1331" s="4"/>
      <c r="N1331" s="1"/>
      <c r="O1331" s="1"/>
      <c r="P1331" s="4"/>
      <c r="Q1331" s="5"/>
      <c r="R1331" s="4"/>
      <c r="S1331" s="1"/>
      <c r="T1331" s="1"/>
      <c r="U1331" s="1"/>
      <c r="V1331" s="1"/>
      <c r="W1331" s="1"/>
      <c r="X1331" s="6"/>
      <c r="Y1331" s="4"/>
      <c r="Z1331" s="4"/>
      <c r="AA1331" s="4"/>
      <c r="AB1331" s="1"/>
      <c r="AC1331" s="1"/>
      <c r="AD1331" s="1"/>
      <c r="AE1331" s="1"/>
      <c r="AF1331" s="1"/>
      <c r="AG1331" s="4"/>
      <c r="AH1331" s="1"/>
      <c r="AI1331" s="4"/>
      <c r="AJ1331" s="6"/>
      <c r="AK1331" s="7"/>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row>
    <row r="1332" spans="1:61" ht="16.5" customHeight="1">
      <c r="A1332" s="1"/>
      <c r="B1332" s="139"/>
      <c r="C1332" s="1"/>
      <c r="D1332" s="1"/>
      <c r="E1332" s="1"/>
      <c r="F1332" s="1"/>
      <c r="G1332" s="1"/>
      <c r="H1332" s="4"/>
      <c r="I1332" s="4"/>
      <c r="J1332" s="4"/>
      <c r="K1332" s="4"/>
      <c r="L1332" s="4"/>
      <c r="M1332" s="4"/>
      <c r="N1332" s="1"/>
      <c r="O1332" s="1"/>
      <c r="P1332" s="4"/>
      <c r="Q1332" s="5"/>
      <c r="R1332" s="4"/>
      <c r="S1332" s="1"/>
      <c r="T1332" s="1"/>
      <c r="U1332" s="1"/>
      <c r="V1332" s="1"/>
      <c r="W1332" s="1"/>
      <c r="X1332" s="6"/>
      <c r="Y1332" s="4"/>
      <c r="Z1332" s="4"/>
      <c r="AA1332" s="4"/>
      <c r="AB1332" s="1"/>
      <c r="AC1332" s="1"/>
      <c r="AD1332" s="1"/>
      <c r="AE1332" s="1"/>
      <c r="AF1332" s="1"/>
      <c r="AG1332" s="4"/>
      <c r="AH1332" s="1"/>
      <c r="AI1332" s="4"/>
      <c r="AJ1332" s="6"/>
      <c r="AK1332" s="7"/>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row>
    <row r="1333" spans="1:61" ht="16.5" customHeight="1">
      <c r="A1333" s="1"/>
      <c r="B1333" s="139"/>
      <c r="C1333" s="1"/>
      <c r="D1333" s="1"/>
      <c r="E1333" s="1"/>
      <c r="F1333" s="1"/>
      <c r="G1333" s="1"/>
      <c r="H1333" s="4"/>
      <c r="I1333" s="4"/>
      <c r="J1333" s="4"/>
      <c r="K1333" s="4"/>
      <c r="L1333" s="4"/>
      <c r="M1333" s="4"/>
      <c r="N1333" s="1"/>
      <c r="O1333" s="1"/>
      <c r="P1333" s="4"/>
      <c r="Q1333" s="5"/>
      <c r="R1333" s="4"/>
      <c r="S1333" s="1"/>
      <c r="T1333" s="1"/>
      <c r="U1333" s="1"/>
      <c r="V1333" s="1"/>
      <c r="W1333" s="1"/>
      <c r="X1333" s="6"/>
      <c r="Y1333" s="4"/>
      <c r="Z1333" s="4"/>
      <c r="AA1333" s="4"/>
      <c r="AB1333" s="1"/>
      <c r="AC1333" s="1"/>
      <c r="AD1333" s="1"/>
      <c r="AE1333" s="1"/>
      <c r="AF1333" s="1"/>
      <c r="AG1333" s="4"/>
      <c r="AH1333" s="1"/>
      <c r="AI1333" s="4"/>
      <c r="AJ1333" s="6"/>
      <c r="AK1333" s="7"/>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row>
    <row r="1334" spans="1:61" ht="16.5" customHeight="1">
      <c r="A1334" s="1"/>
      <c r="B1334" s="139"/>
      <c r="C1334" s="1"/>
      <c r="D1334" s="1"/>
      <c r="E1334" s="1"/>
      <c r="F1334" s="1"/>
      <c r="G1334" s="1"/>
      <c r="H1334" s="4"/>
      <c r="I1334" s="4"/>
      <c r="J1334" s="4"/>
      <c r="K1334" s="4"/>
      <c r="L1334" s="4"/>
      <c r="M1334" s="4"/>
      <c r="N1334" s="1"/>
      <c r="O1334" s="1"/>
      <c r="P1334" s="4"/>
      <c r="Q1334" s="5"/>
      <c r="R1334" s="4"/>
      <c r="S1334" s="1"/>
      <c r="T1334" s="1"/>
      <c r="U1334" s="1"/>
      <c r="V1334" s="1"/>
      <c r="W1334" s="1"/>
      <c r="X1334" s="6"/>
      <c r="Y1334" s="4"/>
      <c r="Z1334" s="4"/>
      <c r="AA1334" s="4"/>
      <c r="AB1334" s="1"/>
      <c r="AC1334" s="1"/>
      <c r="AD1334" s="1"/>
      <c r="AE1334" s="1"/>
      <c r="AF1334" s="1"/>
      <c r="AG1334" s="4"/>
      <c r="AH1334" s="1"/>
      <c r="AI1334" s="4"/>
      <c r="AJ1334" s="6"/>
      <c r="AK1334" s="7"/>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row>
    <row r="1335" spans="1:61" ht="16.5" customHeight="1">
      <c r="A1335" s="1"/>
      <c r="B1335" s="139"/>
      <c r="C1335" s="1"/>
      <c r="D1335" s="1"/>
      <c r="E1335" s="1"/>
      <c r="F1335" s="1"/>
      <c r="G1335" s="1"/>
      <c r="H1335" s="4"/>
      <c r="I1335" s="4"/>
      <c r="J1335" s="4"/>
      <c r="K1335" s="4"/>
      <c r="L1335" s="4"/>
      <c r="M1335" s="4"/>
      <c r="N1335" s="1"/>
      <c r="O1335" s="1"/>
      <c r="P1335" s="4"/>
      <c r="Q1335" s="5"/>
      <c r="R1335" s="4"/>
      <c r="S1335" s="1"/>
      <c r="T1335" s="1"/>
      <c r="U1335" s="1"/>
      <c r="V1335" s="1"/>
      <c r="W1335" s="1"/>
      <c r="X1335" s="6"/>
      <c r="Y1335" s="4"/>
      <c r="Z1335" s="4"/>
      <c r="AA1335" s="4"/>
      <c r="AB1335" s="1"/>
      <c r="AC1335" s="1"/>
      <c r="AD1335" s="1"/>
      <c r="AE1335" s="1"/>
      <c r="AF1335" s="1"/>
      <c r="AG1335" s="4"/>
      <c r="AH1335" s="1"/>
      <c r="AI1335" s="4"/>
      <c r="AJ1335" s="6"/>
      <c r="AK1335" s="7"/>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row>
    <row r="1336" spans="1:61" ht="16.5" customHeight="1">
      <c r="A1336" s="1"/>
      <c r="B1336" s="139"/>
      <c r="C1336" s="1"/>
      <c r="D1336" s="1"/>
      <c r="E1336" s="1"/>
      <c r="F1336" s="1"/>
      <c r="G1336" s="1"/>
      <c r="H1336" s="4"/>
      <c r="I1336" s="4"/>
      <c r="J1336" s="4"/>
      <c r="K1336" s="4"/>
      <c r="L1336" s="4"/>
      <c r="M1336" s="4"/>
      <c r="N1336" s="1"/>
      <c r="O1336" s="1"/>
      <c r="P1336" s="4"/>
      <c r="Q1336" s="5"/>
      <c r="R1336" s="4"/>
      <c r="S1336" s="1"/>
      <c r="T1336" s="1"/>
      <c r="U1336" s="1"/>
      <c r="V1336" s="1"/>
      <c r="W1336" s="1"/>
      <c r="X1336" s="6"/>
      <c r="Y1336" s="4"/>
      <c r="Z1336" s="4"/>
      <c r="AA1336" s="4"/>
      <c r="AB1336" s="1"/>
      <c r="AC1336" s="1"/>
      <c r="AD1336" s="1"/>
      <c r="AE1336" s="1"/>
      <c r="AF1336" s="1"/>
      <c r="AG1336" s="4"/>
      <c r="AH1336" s="1"/>
      <c r="AI1336" s="4"/>
      <c r="AJ1336" s="6"/>
      <c r="AK1336" s="7"/>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row>
    <row r="1337" spans="1:61" ht="16.5" customHeight="1">
      <c r="A1337" s="1"/>
      <c r="B1337" s="139"/>
      <c r="C1337" s="1"/>
      <c r="D1337" s="1"/>
      <c r="E1337" s="1"/>
      <c r="F1337" s="1"/>
      <c r="G1337" s="1"/>
      <c r="H1337" s="4"/>
      <c r="I1337" s="4"/>
      <c r="J1337" s="4"/>
      <c r="K1337" s="4"/>
      <c r="L1337" s="4"/>
      <c r="M1337" s="4"/>
      <c r="N1337" s="1"/>
      <c r="O1337" s="1"/>
      <c r="P1337" s="4"/>
      <c r="Q1337" s="5"/>
      <c r="R1337" s="4"/>
      <c r="S1337" s="1"/>
      <c r="T1337" s="1"/>
      <c r="U1337" s="1"/>
      <c r="V1337" s="1"/>
      <c r="W1337" s="1"/>
      <c r="X1337" s="6"/>
      <c r="Y1337" s="4"/>
      <c r="Z1337" s="4"/>
      <c r="AA1337" s="4"/>
      <c r="AB1337" s="1"/>
      <c r="AC1337" s="1"/>
      <c r="AD1337" s="1"/>
      <c r="AE1337" s="1"/>
      <c r="AF1337" s="1"/>
      <c r="AG1337" s="4"/>
      <c r="AH1337" s="1"/>
      <c r="AI1337" s="4"/>
      <c r="AJ1337" s="6"/>
      <c r="AK1337" s="7"/>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row>
    <row r="1338" spans="1:61" ht="16.5" customHeight="1">
      <c r="A1338" s="1"/>
      <c r="B1338" s="139"/>
      <c r="C1338" s="1"/>
      <c r="D1338" s="1"/>
      <c r="E1338" s="1"/>
      <c r="F1338" s="1"/>
      <c r="G1338" s="1"/>
      <c r="H1338" s="4"/>
      <c r="I1338" s="4"/>
      <c r="J1338" s="4"/>
      <c r="K1338" s="4"/>
      <c r="L1338" s="4"/>
      <c r="M1338" s="4"/>
      <c r="N1338" s="1"/>
      <c r="O1338" s="1"/>
      <c r="P1338" s="4"/>
      <c r="Q1338" s="5"/>
      <c r="R1338" s="4"/>
      <c r="S1338" s="1"/>
      <c r="T1338" s="1"/>
      <c r="U1338" s="1"/>
      <c r="V1338" s="1"/>
      <c r="W1338" s="1"/>
      <c r="X1338" s="6"/>
      <c r="Y1338" s="4"/>
      <c r="Z1338" s="4"/>
      <c r="AA1338" s="4"/>
      <c r="AB1338" s="1"/>
      <c r="AC1338" s="1"/>
      <c r="AD1338" s="1"/>
      <c r="AE1338" s="1"/>
      <c r="AF1338" s="1"/>
      <c r="AG1338" s="4"/>
      <c r="AH1338" s="1"/>
      <c r="AI1338" s="4"/>
      <c r="AJ1338" s="6"/>
      <c r="AK1338" s="7"/>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row>
    <row r="1339" spans="1:61" ht="16.5" customHeight="1">
      <c r="A1339" s="1"/>
      <c r="B1339" s="139"/>
      <c r="C1339" s="1"/>
      <c r="D1339" s="1"/>
      <c r="E1339" s="1"/>
      <c r="F1339" s="1"/>
      <c r="G1339" s="1"/>
      <c r="H1339" s="4"/>
      <c r="I1339" s="4"/>
      <c r="J1339" s="4"/>
      <c r="K1339" s="4"/>
      <c r="L1339" s="4"/>
      <c r="M1339" s="4"/>
      <c r="N1339" s="1"/>
      <c r="O1339" s="1"/>
      <c r="P1339" s="4"/>
      <c r="Q1339" s="5"/>
      <c r="R1339" s="4"/>
      <c r="S1339" s="1"/>
      <c r="T1339" s="1"/>
      <c r="U1339" s="1"/>
      <c r="V1339" s="1"/>
      <c r="W1339" s="1"/>
      <c r="X1339" s="6"/>
      <c r="Y1339" s="4"/>
      <c r="Z1339" s="4"/>
      <c r="AA1339" s="4"/>
      <c r="AB1339" s="1"/>
      <c r="AC1339" s="1"/>
      <c r="AD1339" s="1"/>
      <c r="AE1339" s="1"/>
      <c r="AF1339" s="1"/>
      <c r="AG1339" s="4"/>
      <c r="AH1339" s="1"/>
      <c r="AI1339" s="4"/>
      <c r="AJ1339" s="6"/>
      <c r="AK1339" s="7"/>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row>
    <row r="1340" spans="1:61" ht="16.5" customHeight="1">
      <c r="A1340" s="1"/>
      <c r="B1340" s="139"/>
      <c r="C1340" s="1"/>
      <c r="D1340" s="1"/>
      <c r="E1340" s="1"/>
      <c r="F1340" s="1"/>
      <c r="G1340" s="1"/>
      <c r="H1340" s="4"/>
      <c r="I1340" s="4"/>
      <c r="J1340" s="4"/>
      <c r="K1340" s="4"/>
      <c r="L1340" s="4"/>
      <c r="M1340" s="4"/>
      <c r="N1340" s="1"/>
      <c r="O1340" s="1"/>
      <c r="P1340" s="4"/>
      <c r="Q1340" s="5"/>
      <c r="R1340" s="4"/>
      <c r="S1340" s="1"/>
      <c r="T1340" s="1"/>
      <c r="U1340" s="1"/>
      <c r="V1340" s="1"/>
      <c r="W1340" s="1"/>
      <c r="X1340" s="6"/>
      <c r="Y1340" s="4"/>
      <c r="Z1340" s="4"/>
      <c r="AA1340" s="4"/>
      <c r="AB1340" s="1"/>
      <c r="AC1340" s="1"/>
      <c r="AD1340" s="1"/>
      <c r="AE1340" s="1"/>
      <c r="AF1340" s="1"/>
      <c r="AG1340" s="4"/>
      <c r="AH1340" s="1"/>
      <c r="AI1340" s="4"/>
      <c r="AJ1340" s="6"/>
      <c r="AK1340" s="7"/>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row>
    <row r="1341" spans="1:61" ht="16.5" customHeight="1">
      <c r="A1341" s="1"/>
      <c r="B1341" s="139"/>
      <c r="C1341" s="1"/>
      <c r="D1341" s="1"/>
      <c r="E1341" s="1"/>
      <c r="F1341" s="1"/>
      <c r="G1341" s="1"/>
      <c r="H1341" s="4"/>
      <c r="I1341" s="4"/>
      <c r="J1341" s="4"/>
      <c r="K1341" s="4"/>
      <c r="L1341" s="4"/>
      <c r="M1341" s="4"/>
      <c r="N1341" s="1"/>
      <c r="O1341" s="1"/>
      <c r="P1341" s="4"/>
      <c r="Q1341" s="5"/>
      <c r="R1341" s="4"/>
      <c r="S1341" s="1"/>
      <c r="T1341" s="1"/>
      <c r="U1341" s="1"/>
      <c r="V1341" s="1"/>
      <c r="W1341" s="1"/>
      <c r="X1341" s="6"/>
      <c r="Y1341" s="4"/>
      <c r="Z1341" s="4"/>
      <c r="AA1341" s="4"/>
      <c r="AB1341" s="1"/>
      <c r="AC1341" s="1"/>
      <c r="AD1341" s="1"/>
      <c r="AE1341" s="1"/>
      <c r="AF1341" s="1"/>
      <c r="AG1341" s="4"/>
      <c r="AH1341" s="1"/>
      <c r="AI1341" s="4"/>
      <c r="AJ1341" s="6"/>
      <c r="AK1341" s="7"/>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row>
    <row r="1342" spans="1:61" ht="16.5" customHeight="1">
      <c r="A1342" s="1"/>
      <c r="B1342" s="139"/>
      <c r="C1342" s="1"/>
      <c r="D1342" s="1"/>
      <c r="E1342" s="1"/>
      <c r="F1342" s="1"/>
      <c r="G1342" s="1"/>
      <c r="H1342" s="4"/>
      <c r="I1342" s="4"/>
      <c r="J1342" s="4"/>
      <c r="K1342" s="4"/>
      <c r="L1342" s="4"/>
      <c r="M1342" s="4"/>
      <c r="N1342" s="1"/>
      <c r="O1342" s="1"/>
      <c r="P1342" s="4"/>
      <c r="Q1342" s="5"/>
      <c r="R1342" s="4"/>
      <c r="S1342" s="1"/>
      <c r="T1342" s="1"/>
      <c r="U1342" s="1"/>
      <c r="V1342" s="1"/>
      <c r="W1342" s="1"/>
      <c r="X1342" s="6"/>
      <c r="Y1342" s="4"/>
      <c r="Z1342" s="4"/>
      <c r="AA1342" s="4"/>
      <c r="AB1342" s="1"/>
      <c r="AC1342" s="1"/>
      <c r="AD1342" s="1"/>
      <c r="AE1342" s="1"/>
      <c r="AF1342" s="1"/>
      <c r="AG1342" s="4"/>
      <c r="AH1342" s="1"/>
      <c r="AI1342" s="4"/>
      <c r="AJ1342" s="6"/>
      <c r="AK1342" s="7"/>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row>
    <row r="1343" spans="1:61" ht="16.5" customHeight="1">
      <c r="A1343" s="1"/>
      <c r="B1343" s="139"/>
      <c r="C1343" s="1"/>
      <c r="D1343" s="1"/>
      <c r="E1343" s="1"/>
      <c r="F1343" s="1"/>
      <c r="G1343" s="1"/>
      <c r="H1343" s="4"/>
      <c r="I1343" s="4"/>
      <c r="J1343" s="4"/>
      <c r="K1343" s="4"/>
      <c r="L1343" s="4"/>
      <c r="M1343" s="4"/>
      <c r="N1343" s="1"/>
      <c r="O1343" s="1"/>
      <c r="P1343" s="4"/>
      <c r="Q1343" s="5"/>
      <c r="R1343" s="4"/>
      <c r="S1343" s="1"/>
      <c r="T1343" s="1"/>
      <c r="U1343" s="1"/>
      <c r="V1343" s="1"/>
      <c r="W1343" s="1"/>
      <c r="X1343" s="6"/>
      <c r="Y1343" s="4"/>
      <c r="Z1343" s="4"/>
      <c r="AA1343" s="4"/>
      <c r="AB1343" s="1"/>
      <c r="AC1343" s="1"/>
      <c r="AD1343" s="1"/>
      <c r="AE1343" s="1"/>
      <c r="AF1343" s="1"/>
      <c r="AG1343" s="4"/>
      <c r="AH1343" s="1"/>
      <c r="AI1343" s="4"/>
      <c r="AJ1343" s="6"/>
      <c r="AK1343" s="7"/>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row>
    <row r="1344" spans="1:61" ht="16.5" customHeight="1">
      <c r="A1344" s="1"/>
      <c r="B1344" s="139"/>
      <c r="C1344" s="1"/>
      <c r="D1344" s="1"/>
      <c r="E1344" s="1"/>
      <c r="F1344" s="1"/>
      <c r="G1344" s="1"/>
      <c r="H1344" s="4"/>
      <c r="I1344" s="4"/>
      <c r="J1344" s="4"/>
      <c r="K1344" s="4"/>
      <c r="L1344" s="4"/>
      <c r="M1344" s="4"/>
      <c r="N1344" s="1"/>
      <c r="O1344" s="1"/>
      <c r="P1344" s="4"/>
      <c r="Q1344" s="5"/>
      <c r="R1344" s="4"/>
      <c r="S1344" s="1"/>
      <c r="T1344" s="1"/>
      <c r="U1344" s="1"/>
      <c r="V1344" s="1"/>
      <c r="W1344" s="1"/>
      <c r="X1344" s="6"/>
      <c r="Y1344" s="4"/>
      <c r="Z1344" s="4"/>
      <c r="AA1344" s="4"/>
      <c r="AB1344" s="1"/>
      <c r="AC1344" s="1"/>
      <c r="AD1344" s="1"/>
      <c r="AE1344" s="1"/>
      <c r="AF1344" s="1"/>
      <c r="AG1344" s="4"/>
      <c r="AH1344" s="1"/>
      <c r="AI1344" s="4"/>
      <c r="AJ1344" s="6"/>
      <c r="AK1344" s="7"/>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row>
    <row r="1345" spans="1:61" ht="16.5" customHeight="1">
      <c r="A1345" s="1"/>
      <c r="B1345" s="139"/>
      <c r="C1345" s="1"/>
      <c r="D1345" s="1"/>
      <c r="E1345" s="1"/>
      <c r="F1345" s="1"/>
      <c r="G1345" s="1"/>
      <c r="H1345" s="4"/>
      <c r="I1345" s="4"/>
      <c r="J1345" s="4"/>
      <c r="K1345" s="4"/>
      <c r="L1345" s="4"/>
      <c r="M1345" s="4"/>
      <c r="N1345" s="1"/>
      <c r="O1345" s="1"/>
      <c r="P1345" s="4"/>
      <c r="Q1345" s="5"/>
      <c r="R1345" s="4"/>
      <c r="S1345" s="1"/>
      <c r="T1345" s="1"/>
      <c r="U1345" s="1"/>
      <c r="V1345" s="1"/>
      <c r="W1345" s="1"/>
      <c r="X1345" s="6"/>
      <c r="Y1345" s="4"/>
      <c r="Z1345" s="4"/>
      <c r="AA1345" s="4"/>
      <c r="AB1345" s="1"/>
      <c r="AC1345" s="1"/>
      <c r="AD1345" s="1"/>
      <c r="AE1345" s="1"/>
      <c r="AF1345" s="1"/>
      <c r="AG1345" s="4"/>
      <c r="AH1345" s="1"/>
      <c r="AI1345" s="4"/>
      <c r="AJ1345" s="6"/>
      <c r="AK1345" s="7"/>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row>
    <row r="1346" spans="1:61" ht="16.5" customHeight="1">
      <c r="A1346" s="1"/>
      <c r="B1346" s="139"/>
      <c r="C1346" s="1"/>
      <c r="D1346" s="1"/>
      <c r="E1346" s="1"/>
      <c r="F1346" s="1"/>
      <c r="G1346" s="1"/>
      <c r="H1346" s="4"/>
      <c r="I1346" s="4"/>
      <c r="J1346" s="4"/>
      <c r="K1346" s="4"/>
      <c r="L1346" s="4"/>
      <c r="M1346" s="4"/>
      <c r="N1346" s="1"/>
      <c r="O1346" s="1"/>
      <c r="P1346" s="4"/>
      <c r="Q1346" s="5"/>
      <c r="R1346" s="4"/>
      <c r="S1346" s="1"/>
      <c r="T1346" s="1"/>
      <c r="U1346" s="1"/>
      <c r="V1346" s="1"/>
      <c r="W1346" s="1"/>
      <c r="X1346" s="6"/>
      <c r="Y1346" s="4"/>
      <c r="Z1346" s="4"/>
      <c r="AA1346" s="4"/>
      <c r="AB1346" s="1"/>
      <c r="AC1346" s="1"/>
      <c r="AD1346" s="1"/>
      <c r="AE1346" s="1"/>
      <c r="AF1346" s="1"/>
      <c r="AG1346" s="4"/>
      <c r="AH1346" s="1"/>
      <c r="AI1346" s="4"/>
      <c r="AJ1346" s="6"/>
      <c r="AK1346" s="7"/>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row>
    <row r="1347" spans="1:61" ht="16.5" customHeight="1">
      <c r="A1347" s="1"/>
      <c r="B1347" s="139"/>
      <c r="C1347" s="1"/>
      <c r="D1347" s="1"/>
      <c r="E1347" s="1"/>
      <c r="F1347" s="1"/>
      <c r="G1347" s="1"/>
      <c r="H1347" s="4"/>
      <c r="I1347" s="4"/>
      <c r="J1347" s="4"/>
      <c r="K1347" s="4"/>
      <c r="L1347" s="4"/>
      <c r="M1347" s="4"/>
      <c r="N1347" s="1"/>
      <c r="O1347" s="1"/>
      <c r="P1347" s="4"/>
      <c r="Q1347" s="5"/>
      <c r="R1347" s="4"/>
      <c r="S1347" s="1"/>
      <c r="T1347" s="1"/>
      <c r="U1347" s="1"/>
      <c r="V1347" s="1"/>
      <c r="W1347" s="1"/>
      <c r="X1347" s="6"/>
      <c r="Y1347" s="4"/>
      <c r="Z1347" s="4"/>
      <c r="AA1347" s="4"/>
      <c r="AB1347" s="1"/>
      <c r="AC1347" s="1"/>
      <c r="AD1347" s="1"/>
      <c r="AE1347" s="1"/>
      <c r="AF1347" s="1"/>
      <c r="AG1347" s="4"/>
      <c r="AH1347" s="1"/>
      <c r="AI1347" s="4"/>
      <c r="AJ1347" s="6"/>
      <c r="AK1347" s="7"/>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row>
    <row r="1348" spans="1:61" ht="16.5" customHeight="1">
      <c r="A1348" s="1"/>
      <c r="B1348" s="139"/>
      <c r="C1348" s="1"/>
      <c r="D1348" s="1"/>
      <c r="E1348" s="1"/>
      <c r="F1348" s="1"/>
      <c r="G1348" s="1"/>
      <c r="H1348" s="4"/>
      <c r="I1348" s="4"/>
      <c r="J1348" s="4"/>
      <c r="K1348" s="4"/>
      <c r="L1348" s="4"/>
      <c r="M1348" s="4"/>
      <c r="N1348" s="1"/>
      <c r="O1348" s="1"/>
      <c r="P1348" s="4"/>
      <c r="Q1348" s="5"/>
      <c r="R1348" s="4"/>
      <c r="S1348" s="1"/>
      <c r="T1348" s="1"/>
      <c r="U1348" s="1"/>
      <c r="V1348" s="1"/>
      <c r="W1348" s="1"/>
      <c r="X1348" s="6"/>
      <c r="Y1348" s="4"/>
      <c r="Z1348" s="4"/>
      <c r="AA1348" s="4"/>
      <c r="AB1348" s="1"/>
      <c r="AC1348" s="1"/>
      <c r="AD1348" s="1"/>
      <c r="AE1348" s="1"/>
      <c r="AF1348" s="1"/>
      <c r="AG1348" s="4"/>
      <c r="AH1348" s="1"/>
      <c r="AI1348" s="4"/>
      <c r="AJ1348" s="6"/>
      <c r="AK1348" s="7"/>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row>
    <row r="1349" spans="1:61" ht="16.5" customHeight="1">
      <c r="A1349" s="1"/>
      <c r="B1349" s="139"/>
      <c r="C1349" s="1"/>
      <c r="D1349" s="1"/>
      <c r="E1349" s="1"/>
      <c r="F1349" s="1"/>
      <c r="G1349" s="1"/>
      <c r="H1349" s="4"/>
      <c r="I1349" s="4"/>
      <c r="J1349" s="4"/>
      <c r="K1349" s="4"/>
      <c r="L1349" s="4"/>
      <c r="M1349" s="4"/>
      <c r="N1349" s="1"/>
      <c r="O1349" s="1"/>
      <c r="P1349" s="4"/>
      <c r="Q1349" s="5"/>
      <c r="R1349" s="4"/>
      <c r="S1349" s="1"/>
      <c r="T1349" s="1"/>
      <c r="U1349" s="1"/>
      <c r="V1349" s="1"/>
      <c r="W1349" s="1"/>
      <c r="X1349" s="6"/>
      <c r="Y1349" s="4"/>
      <c r="Z1349" s="4"/>
      <c r="AA1349" s="4"/>
      <c r="AB1349" s="1"/>
      <c r="AC1349" s="1"/>
      <c r="AD1349" s="1"/>
      <c r="AE1349" s="1"/>
      <c r="AF1349" s="1"/>
      <c r="AG1349" s="4"/>
      <c r="AH1349" s="1"/>
      <c r="AI1349" s="4"/>
      <c r="AJ1349" s="6"/>
      <c r="AK1349" s="7"/>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row>
    <row r="1350" spans="1:61" ht="16.5" customHeight="1">
      <c r="A1350" s="1"/>
      <c r="B1350" s="139"/>
      <c r="C1350" s="1"/>
      <c r="D1350" s="1"/>
      <c r="E1350" s="1"/>
      <c r="F1350" s="1"/>
      <c r="G1350" s="1"/>
      <c r="H1350" s="4"/>
      <c r="I1350" s="4"/>
      <c r="J1350" s="4"/>
      <c r="K1350" s="4"/>
      <c r="L1350" s="4"/>
      <c r="M1350" s="4"/>
      <c r="N1350" s="1"/>
      <c r="O1350" s="1"/>
      <c r="P1350" s="4"/>
      <c r="Q1350" s="5"/>
      <c r="R1350" s="4"/>
      <c r="S1350" s="1"/>
      <c r="T1350" s="1"/>
      <c r="U1350" s="1"/>
      <c r="V1350" s="1"/>
      <c r="W1350" s="1"/>
      <c r="X1350" s="6"/>
      <c r="Y1350" s="4"/>
      <c r="Z1350" s="4"/>
      <c r="AA1350" s="4"/>
      <c r="AB1350" s="1"/>
      <c r="AC1350" s="1"/>
      <c r="AD1350" s="1"/>
      <c r="AE1350" s="1"/>
      <c r="AF1350" s="1"/>
      <c r="AG1350" s="4"/>
      <c r="AH1350" s="1"/>
      <c r="AI1350" s="4"/>
      <c r="AJ1350" s="6"/>
      <c r="AK1350" s="7"/>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row>
    <row r="1351" spans="1:61" ht="16.5" customHeight="1">
      <c r="A1351" s="1"/>
      <c r="B1351" s="139"/>
      <c r="C1351" s="1"/>
      <c r="D1351" s="1"/>
      <c r="E1351" s="1"/>
      <c r="F1351" s="1"/>
      <c r="G1351" s="1"/>
      <c r="H1351" s="4"/>
      <c r="I1351" s="4"/>
      <c r="J1351" s="4"/>
      <c r="K1351" s="4"/>
      <c r="L1351" s="4"/>
      <c r="M1351" s="4"/>
      <c r="N1351" s="1"/>
      <c r="O1351" s="1"/>
      <c r="P1351" s="4"/>
      <c r="Q1351" s="5"/>
      <c r="R1351" s="4"/>
      <c r="S1351" s="1"/>
      <c r="T1351" s="1"/>
      <c r="U1351" s="1"/>
      <c r="V1351" s="1"/>
      <c r="W1351" s="1"/>
      <c r="X1351" s="6"/>
      <c r="Y1351" s="4"/>
      <c r="Z1351" s="4"/>
      <c r="AA1351" s="4"/>
      <c r="AB1351" s="1"/>
      <c r="AC1351" s="1"/>
      <c r="AD1351" s="1"/>
      <c r="AE1351" s="1"/>
      <c r="AF1351" s="1"/>
      <c r="AG1351" s="4"/>
      <c r="AH1351" s="1"/>
      <c r="AI1351" s="4"/>
      <c r="AJ1351" s="6"/>
      <c r="AK1351" s="7"/>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row>
    <row r="1352" spans="1:61" ht="16.5" customHeight="1">
      <c r="A1352" s="1"/>
      <c r="B1352" s="139"/>
      <c r="C1352" s="1"/>
      <c r="D1352" s="1"/>
      <c r="E1352" s="1"/>
      <c r="F1352" s="1"/>
      <c r="G1352" s="1"/>
      <c r="H1352" s="4"/>
      <c r="I1352" s="4"/>
      <c r="J1352" s="4"/>
      <c r="K1352" s="4"/>
      <c r="L1352" s="4"/>
      <c r="M1352" s="4"/>
      <c r="N1352" s="1"/>
      <c r="O1352" s="1"/>
      <c r="P1352" s="4"/>
      <c r="Q1352" s="5"/>
      <c r="R1352" s="4"/>
      <c r="S1352" s="1"/>
      <c r="T1352" s="1"/>
      <c r="U1352" s="1"/>
      <c r="V1352" s="1"/>
      <c r="W1352" s="1"/>
      <c r="X1352" s="6"/>
      <c r="Y1352" s="4"/>
      <c r="Z1352" s="4"/>
      <c r="AA1352" s="4"/>
      <c r="AB1352" s="1"/>
      <c r="AC1352" s="1"/>
      <c r="AD1352" s="1"/>
      <c r="AE1352" s="1"/>
      <c r="AF1352" s="1"/>
      <c r="AG1352" s="4"/>
      <c r="AH1352" s="1"/>
      <c r="AI1352" s="4"/>
      <c r="AJ1352" s="6"/>
      <c r="AK1352" s="7"/>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row>
    <row r="1353" spans="1:61" ht="16.5" customHeight="1">
      <c r="A1353" s="1"/>
      <c r="B1353" s="139"/>
      <c r="C1353" s="1"/>
      <c r="D1353" s="1"/>
      <c r="E1353" s="1"/>
      <c r="F1353" s="1"/>
      <c r="G1353" s="1"/>
      <c r="H1353" s="4"/>
      <c r="I1353" s="4"/>
      <c r="J1353" s="4"/>
      <c r="K1353" s="4"/>
      <c r="L1353" s="4"/>
      <c r="M1353" s="4"/>
      <c r="N1353" s="1"/>
      <c r="O1353" s="1"/>
      <c r="P1353" s="4"/>
      <c r="Q1353" s="5"/>
      <c r="R1353" s="4"/>
      <c r="S1353" s="1"/>
      <c r="T1353" s="1"/>
      <c r="U1353" s="1"/>
      <c r="V1353" s="1"/>
      <c r="W1353" s="1"/>
      <c r="X1353" s="6"/>
      <c r="Y1353" s="4"/>
      <c r="Z1353" s="4"/>
      <c r="AA1353" s="4"/>
      <c r="AB1353" s="1"/>
      <c r="AC1353" s="1"/>
      <c r="AD1353" s="1"/>
      <c r="AE1353" s="1"/>
      <c r="AF1353" s="1"/>
      <c r="AG1353" s="4"/>
      <c r="AH1353" s="1"/>
      <c r="AI1353" s="4"/>
      <c r="AJ1353" s="6"/>
      <c r="AK1353" s="7"/>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row>
    <row r="1354" spans="1:61" ht="16.5" customHeight="1">
      <c r="A1354" s="1"/>
      <c r="B1354" s="139"/>
      <c r="C1354" s="1"/>
      <c r="D1354" s="1"/>
      <c r="E1354" s="1"/>
      <c r="F1354" s="1"/>
      <c r="G1354" s="1"/>
      <c r="H1354" s="4"/>
      <c r="I1354" s="4"/>
      <c r="J1354" s="4"/>
      <c r="K1354" s="4"/>
      <c r="L1354" s="4"/>
      <c r="M1354" s="4"/>
      <c r="N1354" s="1"/>
      <c r="O1354" s="1"/>
      <c r="P1354" s="4"/>
      <c r="Q1354" s="5"/>
      <c r="R1354" s="4"/>
      <c r="S1354" s="1"/>
      <c r="T1354" s="1"/>
      <c r="U1354" s="1"/>
      <c r="V1354" s="1"/>
      <c r="W1354" s="1"/>
      <c r="X1354" s="6"/>
      <c r="Y1354" s="4"/>
      <c r="Z1354" s="4"/>
      <c r="AA1354" s="4"/>
      <c r="AB1354" s="1"/>
      <c r="AC1354" s="1"/>
      <c r="AD1354" s="1"/>
      <c r="AE1354" s="1"/>
      <c r="AF1354" s="1"/>
      <c r="AG1354" s="4"/>
      <c r="AH1354" s="1"/>
      <c r="AI1354" s="4"/>
      <c r="AJ1354" s="6"/>
      <c r="AK1354" s="7"/>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row>
    <row r="1355" spans="1:61" ht="16.5" customHeight="1">
      <c r="A1355" s="1"/>
      <c r="B1355" s="139"/>
      <c r="C1355" s="1"/>
      <c r="D1355" s="1"/>
      <c r="E1355" s="1"/>
      <c r="F1355" s="1"/>
      <c r="G1355" s="1"/>
      <c r="H1355" s="4"/>
      <c r="I1355" s="4"/>
      <c r="J1355" s="4"/>
      <c r="K1355" s="4"/>
      <c r="L1355" s="4"/>
      <c r="M1355" s="4"/>
      <c r="N1355" s="1"/>
      <c r="O1355" s="1"/>
      <c r="P1355" s="4"/>
      <c r="Q1355" s="5"/>
      <c r="R1355" s="4"/>
      <c r="S1355" s="1"/>
      <c r="T1355" s="1"/>
      <c r="U1355" s="1"/>
      <c r="V1355" s="1"/>
      <c r="W1355" s="1"/>
      <c r="X1355" s="6"/>
      <c r="Y1355" s="4"/>
      <c r="Z1355" s="4"/>
      <c r="AA1355" s="4"/>
      <c r="AB1355" s="1"/>
      <c r="AC1355" s="1"/>
      <c r="AD1355" s="1"/>
      <c r="AE1355" s="1"/>
      <c r="AF1355" s="1"/>
      <c r="AG1355" s="4"/>
      <c r="AH1355" s="1"/>
      <c r="AI1355" s="4"/>
      <c r="AJ1355" s="6"/>
      <c r="AK1355" s="7"/>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row>
    <row r="1356" spans="1:61" ht="16.5" customHeight="1">
      <c r="A1356" s="1"/>
      <c r="B1356" s="139"/>
      <c r="C1356" s="1"/>
      <c r="D1356" s="1"/>
      <c r="E1356" s="1"/>
      <c r="F1356" s="1"/>
      <c r="G1356" s="1"/>
      <c r="H1356" s="4"/>
      <c r="I1356" s="4"/>
      <c r="J1356" s="4"/>
      <c r="K1356" s="4"/>
      <c r="L1356" s="4"/>
      <c r="M1356" s="4"/>
      <c r="N1356" s="1"/>
      <c r="O1356" s="1"/>
      <c r="P1356" s="4"/>
      <c r="Q1356" s="5"/>
      <c r="R1356" s="4"/>
      <c r="S1356" s="1"/>
      <c r="T1356" s="1"/>
      <c r="U1356" s="1"/>
      <c r="V1356" s="1"/>
      <c r="W1356" s="1"/>
      <c r="X1356" s="6"/>
      <c r="Y1356" s="4"/>
      <c r="Z1356" s="4"/>
      <c r="AA1356" s="4"/>
      <c r="AB1356" s="1"/>
      <c r="AC1356" s="1"/>
      <c r="AD1356" s="1"/>
      <c r="AE1356" s="1"/>
      <c r="AF1356" s="1"/>
      <c r="AG1356" s="4"/>
      <c r="AH1356" s="1"/>
      <c r="AI1356" s="4"/>
      <c r="AJ1356" s="6"/>
      <c r="AK1356" s="7"/>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row>
    <row r="1357" spans="1:61" ht="16.5" customHeight="1">
      <c r="A1357" s="1"/>
      <c r="B1357" s="139"/>
      <c r="C1357" s="1"/>
      <c r="D1357" s="1"/>
      <c r="E1357" s="1"/>
      <c r="F1357" s="1"/>
      <c r="G1357" s="1"/>
      <c r="H1357" s="4"/>
      <c r="I1357" s="4"/>
      <c r="J1357" s="4"/>
      <c r="K1357" s="4"/>
      <c r="L1357" s="4"/>
      <c r="M1357" s="4"/>
      <c r="N1357" s="1"/>
      <c r="O1357" s="1"/>
      <c r="P1357" s="4"/>
      <c r="Q1357" s="5"/>
      <c r="R1357" s="4"/>
      <c r="S1357" s="1"/>
      <c r="T1357" s="1"/>
      <c r="U1357" s="1"/>
      <c r="V1357" s="1"/>
      <c r="W1357" s="1"/>
      <c r="X1357" s="6"/>
      <c r="Y1357" s="4"/>
      <c r="Z1357" s="4"/>
      <c r="AA1357" s="4"/>
      <c r="AB1357" s="1"/>
      <c r="AC1357" s="1"/>
      <c r="AD1357" s="1"/>
      <c r="AE1357" s="1"/>
      <c r="AF1357" s="1"/>
      <c r="AG1357" s="4"/>
      <c r="AH1357" s="1"/>
      <c r="AI1357" s="4"/>
      <c r="AJ1357" s="6"/>
      <c r="AK1357" s="7"/>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row>
    <row r="1358" spans="1:61" ht="16.5" customHeight="1">
      <c r="A1358" s="1"/>
      <c r="B1358" s="139"/>
      <c r="C1358" s="1"/>
      <c r="D1358" s="1"/>
      <c r="E1358" s="1"/>
      <c r="F1358" s="1"/>
      <c r="G1358" s="1"/>
      <c r="H1358" s="4"/>
      <c r="I1358" s="4"/>
      <c r="J1358" s="4"/>
      <c r="K1358" s="4"/>
      <c r="L1358" s="4"/>
      <c r="M1358" s="4"/>
      <c r="N1358" s="1"/>
      <c r="O1358" s="1"/>
      <c r="P1358" s="4"/>
      <c r="Q1358" s="5"/>
      <c r="R1358" s="4"/>
      <c r="S1358" s="1"/>
      <c r="T1358" s="1"/>
      <c r="U1358" s="1"/>
      <c r="V1358" s="1"/>
      <c r="W1358" s="1"/>
      <c r="X1358" s="6"/>
      <c r="Y1358" s="4"/>
      <c r="Z1358" s="4"/>
      <c r="AA1358" s="4"/>
      <c r="AB1358" s="1"/>
      <c r="AC1358" s="1"/>
      <c r="AD1358" s="1"/>
      <c r="AE1358" s="1"/>
      <c r="AF1358" s="1"/>
      <c r="AG1358" s="4"/>
      <c r="AH1358" s="1"/>
      <c r="AI1358" s="4"/>
      <c r="AJ1358" s="6"/>
      <c r="AK1358" s="7"/>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row>
    <row r="1359" spans="1:61" ht="16.5" customHeight="1">
      <c r="A1359" s="1"/>
      <c r="B1359" s="139"/>
      <c r="C1359" s="1"/>
      <c r="D1359" s="1"/>
      <c r="E1359" s="1"/>
      <c r="F1359" s="1"/>
      <c r="G1359" s="1"/>
      <c r="H1359" s="4"/>
      <c r="I1359" s="4"/>
      <c r="J1359" s="4"/>
      <c r="K1359" s="4"/>
      <c r="L1359" s="4"/>
      <c r="M1359" s="4"/>
      <c r="N1359" s="1"/>
      <c r="O1359" s="1"/>
      <c r="P1359" s="4"/>
      <c r="Q1359" s="5"/>
      <c r="R1359" s="4"/>
      <c r="S1359" s="1"/>
      <c r="T1359" s="1"/>
      <c r="U1359" s="1"/>
      <c r="V1359" s="1"/>
      <c r="W1359" s="1"/>
      <c r="X1359" s="6"/>
      <c r="Y1359" s="4"/>
      <c r="Z1359" s="4"/>
      <c r="AA1359" s="4"/>
      <c r="AB1359" s="1"/>
      <c r="AC1359" s="1"/>
      <c r="AD1359" s="1"/>
      <c r="AE1359" s="1"/>
      <c r="AF1359" s="1"/>
      <c r="AG1359" s="4"/>
      <c r="AH1359" s="1"/>
      <c r="AI1359" s="4"/>
      <c r="AJ1359" s="6"/>
      <c r="AK1359" s="7"/>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row>
    <row r="1360" spans="1:61" ht="16.5" customHeight="1">
      <c r="A1360" s="1"/>
      <c r="B1360" s="139"/>
      <c r="C1360" s="1"/>
      <c r="D1360" s="1"/>
      <c r="E1360" s="1"/>
      <c r="F1360" s="1"/>
      <c r="G1360" s="1"/>
      <c r="H1360" s="4"/>
      <c r="I1360" s="4"/>
      <c r="J1360" s="4"/>
      <c r="K1360" s="4"/>
      <c r="L1360" s="4"/>
      <c r="M1360" s="4"/>
      <c r="N1360" s="1"/>
      <c r="O1360" s="1"/>
      <c r="P1360" s="4"/>
      <c r="Q1360" s="5"/>
      <c r="R1360" s="4"/>
      <c r="S1360" s="1"/>
      <c r="T1360" s="1"/>
      <c r="U1360" s="1"/>
      <c r="V1360" s="1"/>
      <c r="W1360" s="1"/>
      <c r="X1360" s="6"/>
      <c r="Y1360" s="4"/>
      <c r="Z1360" s="4"/>
      <c r="AA1360" s="4"/>
      <c r="AB1360" s="1"/>
      <c r="AC1360" s="1"/>
      <c r="AD1360" s="1"/>
      <c r="AE1360" s="1"/>
      <c r="AF1360" s="1"/>
      <c r="AG1360" s="4"/>
      <c r="AH1360" s="1"/>
      <c r="AI1360" s="4"/>
      <c r="AJ1360" s="6"/>
      <c r="AK1360" s="7"/>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row>
    <row r="1361" spans="1:61" ht="16.5" customHeight="1">
      <c r="A1361" s="1"/>
      <c r="B1361" s="139"/>
      <c r="C1361" s="1"/>
      <c r="D1361" s="1"/>
      <c r="E1361" s="1"/>
      <c r="F1361" s="1"/>
      <c r="G1361" s="1"/>
      <c r="H1361" s="4"/>
      <c r="I1361" s="4"/>
      <c r="J1361" s="4"/>
      <c r="K1361" s="4"/>
      <c r="L1361" s="4"/>
      <c r="M1361" s="4"/>
      <c r="N1361" s="1"/>
      <c r="O1361" s="1"/>
      <c r="P1361" s="4"/>
      <c r="Q1361" s="5"/>
      <c r="R1361" s="4"/>
      <c r="S1361" s="1"/>
      <c r="T1361" s="1"/>
      <c r="U1361" s="1"/>
      <c r="V1361" s="1"/>
      <c r="W1361" s="1"/>
      <c r="X1361" s="6"/>
      <c r="Y1361" s="4"/>
      <c r="Z1361" s="4"/>
      <c r="AA1361" s="4"/>
      <c r="AB1361" s="1"/>
      <c r="AC1361" s="1"/>
      <c r="AD1361" s="1"/>
      <c r="AE1361" s="1"/>
      <c r="AF1361" s="1"/>
      <c r="AG1361" s="4"/>
      <c r="AH1361" s="1"/>
      <c r="AI1361" s="4"/>
      <c r="AJ1361" s="6"/>
      <c r="AK1361" s="7"/>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row>
    <row r="1362" spans="1:61" ht="16.5" customHeight="1">
      <c r="A1362" s="1"/>
      <c r="B1362" s="139"/>
      <c r="C1362" s="1"/>
      <c r="D1362" s="1"/>
      <c r="E1362" s="1"/>
      <c r="F1362" s="1"/>
      <c r="G1362" s="1"/>
      <c r="H1362" s="4"/>
      <c r="I1362" s="4"/>
      <c r="J1362" s="4"/>
      <c r="K1362" s="4"/>
      <c r="L1362" s="4"/>
      <c r="M1362" s="4"/>
      <c r="N1362" s="1"/>
      <c r="O1362" s="1"/>
      <c r="P1362" s="4"/>
      <c r="Q1362" s="5"/>
      <c r="R1362" s="4"/>
      <c r="S1362" s="1"/>
      <c r="T1362" s="1"/>
      <c r="U1362" s="1"/>
      <c r="V1362" s="1"/>
      <c r="W1362" s="1"/>
      <c r="X1362" s="6"/>
      <c r="Y1362" s="4"/>
      <c r="Z1362" s="4"/>
      <c r="AA1362" s="4"/>
      <c r="AB1362" s="1"/>
      <c r="AC1362" s="1"/>
      <c r="AD1362" s="1"/>
      <c r="AE1362" s="1"/>
      <c r="AF1362" s="1"/>
      <c r="AG1362" s="4"/>
      <c r="AH1362" s="1"/>
      <c r="AI1362" s="4"/>
      <c r="AJ1362" s="6"/>
      <c r="AK1362" s="7"/>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row>
    <row r="1363" spans="1:61" ht="16.5" customHeight="1">
      <c r="A1363" s="1"/>
      <c r="B1363" s="139"/>
      <c r="C1363" s="1"/>
      <c r="D1363" s="1"/>
      <c r="E1363" s="1"/>
      <c r="F1363" s="1"/>
      <c r="G1363" s="1"/>
      <c r="H1363" s="4"/>
      <c r="I1363" s="4"/>
      <c r="J1363" s="4"/>
      <c r="K1363" s="4"/>
      <c r="L1363" s="4"/>
      <c r="M1363" s="4"/>
      <c r="N1363" s="1"/>
      <c r="O1363" s="1"/>
      <c r="P1363" s="4"/>
      <c r="Q1363" s="5"/>
      <c r="R1363" s="4"/>
      <c r="S1363" s="1"/>
      <c r="T1363" s="1"/>
      <c r="U1363" s="1"/>
      <c r="V1363" s="1"/>
      <c r="W1363" s="1"/>
      <c r="X1363" s="6"/>
      <c r="Y1363" s="4"/>
      <c r="Z1363" s="4"/>
      <c r="AA1363" s="4"/>
      <c r="AB1363" s="1"/>
      <c r="AC1363" s="1"/>
      <c r="AD1363" s="1"/>
      <c r="AE1363" s="1"/>
      <c r="AF1363" s="1"/>
      <c r="AG1363" s="4"/>
      <c r="AH1363" s="1"/>
      <c r="AI1363" s="4"/>
      <c r="AJ1363" s="6"/>
      <c r="AK1363" s="7"/>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row>
    <row r="1364" spans="1:61" ht="16.5" customHeight="1">
      <c r="A1364" s="1"/>
      <c r="B1364" s="139"/>
      <c r="C1364" s="1"/>
      <c r="D1364" s="1"/>
      <c r="E1364" s="1"/>
      <c r="F1364" s="1"/>
      <c r="G1364" s="1"/>
      <c r="H1364" s="4"/>
      <c r="I1364" s="4"/>
      <c r="J1364" s="4"/>
      <c r="K1364" s="4"/>
      <c r="L1364" s="4"/>
      <c r="M1364" s="4"/>
      <c r="N1364" s="1"/>
      <c r="O1364" s="1"/>
      <c r="P1364" s="4"/>
      <c r="Q1364" s="5"/>
      <c r="R1364" s="4"/>
      <c r="S1364" s="1"/>
      <c r="T1364" s="1"/>
      <c r="U1364" s="1"/>
      <c r="V1364" s="1"/>
      <c r="W1364" s="1"/>
      <c r="X1364" s="6"/>
      <c r="Y1364" s="4"/>
      <c r="Z1364" s="4"/>
      <c r="AA1364" s="4"/>
      <c r="AB1364" s="1"/>
      <c r="AC1364" s="1"/>
      <c r="AD1364" s="1"/>
      <c r="AE1364" s="1"/>
      <c r="AF1364" s="1"/>
      <c r="AG1364" s="4"/>
      <c r="AH1364" s="1"/>
      <c r="AI1364" s="4"/>
      <c r="AJ1364" s="6"/>
      <c r="AK1364" s="7"/>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row>
    <row r="1365" spans="1:61" ht="16.5" customHeight="1">
      <c r="A1365" s="1"/>
      <c r="B1365" s="139"/>
      <c r="C1365" s="1"/>
      <c r="D1365" s="1"/>
      <c r="E1365" s="1"/>
      <c r="F1365" s="1"/>
      <c r="G1365" s="1"/>
      <c r="H1365" s="4"/>
      <c r="I1365" s="4"/>
      <c r="J1365" s="4"/>
      <c r="K1365" s="4"/>
      <c r="L1365" s="4"/>
      <c r="M1365" s="4"/>
      <c r="N1365" s="1"/>
      <c r="O1365" s="1"/>
      <c r="P1365" s="4"/>
      <c r="Q1365" s="5"/>
      <c r="R1365" s="4"/>
      <c r="S1365" s="1"/>
      <c r="T1365" s="1"/>
      <c r="U1365" s="1"/>
      <c r="V1365" s="1"/>
      <c r="W1365" s="1"/>
      <c r="X1365" s="6"/>
      <c r="Y1365" s="4"/>
      <c r="Z1365" s="4"/>
      <c r="AA1365" s="4"/>
      <c r="AB1365" s="1"/>
      <c r="AC1365" s="1"/>
      <c r="AD1365" s="1"/>
      <c r="AE1365" s="1"/>
      <c r="AF1365" s="1"/>
      <c r="AG1365" s="4"/>
      <c r="AH1365" s="1"/>
      <c r="AI1365" s="4"/>
      <c r="AJ1365" s="6"/>
      <c r="AK1365" s="7"/>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row>
    <row r="1366" spans="1:61" ht="16.5" customHeight="1">
      <c r="A1366" s="1"/>
      <c r="B1366" s="139"/>
      <c r="C1366" s="1"/>
      <c r="D1366" s="1"/>
      <c r="E1366" s="1"/>
      <c r="F1366" s="1"/>
      <c r="G1366" s="1"/>
      <c r="H1366" s="4"/>
      <c r="I1366" s="4"/>
      <c r="J1366" s="4"/>
      <c r="K1366" s="4"/>
      <c r="L1366" s="4"/>
      <c r="M1366" s="4"/>
      <c r="N1366" s="1"/>
      <c r="O1366" s="1"/>
      <c r="P1366" s="4"/>
      <c r="Q1366" s="5"/>
      <c r="R1366" s="4"/>
      <c r="S1366" s="1"/>
      <c r="T1366" s="1"/>
      <c r="U1366" s="1"/>
      <c r="V1366" s="1"/>
      <c r="W1366" s="1"/>
      <c r="X1366" s="6"/>
      <c r="Y1366" s="4"/>
      <c r="Z1366" s="4"/>
      <c r="AA1366" s="4"/>
      <c r="AB1366" s="1"/>
      <c r="AC1366" s="1"/>
      <c r="AD1366" s="1"/>
      <c r="AE1366" s="1"/>
      <c r="AF1366" s="1"/>
      <c r="AG1366" s="4"/>
      <c r="AH1366" s="1"/>
      <c r="AI1366" s="4"/>
      <c r="AJ1366" s="6"/>
      <c r="AK1366" s="7"/>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row>
    <row r="1367" spans="1:61" ht="16.5" customHeight="1">
      <c r="A1367" s="1"/>
      <c r="B1367" s="139"/>
      <c r="C1367" s="1"/>
      <c r="D1367" s="1"/>
      <c r="E1367" s="1"/>
      <c r="F1367" s="1"/>
      <c r="G1367" s="1"/>
      <c r="H1367" s="4"/>
      <c r="I1367" s="4"/>
      <c r="J1367" s="4"/>
      <c r="K1367" s="4"/>
      <c r="L1367" s="4"/>
      <c r="M1367" s="4"/>
      <c r="N1367" s="1"/>
      <c r="O1367" s="1"/>
      <c r="P1367" s="4"/>
      <c r="Q1367" s="5"/>
      <c r="R1367" s="4"/>
      <c r="S1367" s="1"/>
      <c r="T1367" s="1"/>
      <c r="U1367" s="1"/>
      <c r="V1367" s="1"/>
      <c r="W1367" s="1"/>
      <c r="X1367" s="6"/>
      <c r="Y1367" s="4"/>
      <c r="Z1367" s="4"/>
      <c r="AA1367" s="4"/>
      <c r="AB1367" s="1"/>
      <c r="AC1367" s="1"/>
      <c r="AD1367" s="1"/>
      <c r="AE1367" s="1"/>
      <c r="AF1367" s="1"/>
      <c r="AG1367" s="4"/>
      <c r="AH1367" s="1"/>
      <c r="AI1367" s="4"/>
      <c r="AJ1367" s="6"/>
      <c r="AK1367" s="7"/>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row>
    <row r="1368" spans="1:61" ht="16.5" customHeight="1">
      <c r="A1368" s="1"/>
      <c r="B1368" s="139"/>
      <c r="C1368" s="1"/>
      <c r="D1368" s="1"/>
      <c r="E1368" s="1"/>
      <c r="F1368" s="1"/>
      <c r="G1368" s="1"/>
      <c r="H1368" s="4"/>
      <c r="I1368" s="4"/>
      <c r="J1368" s="4"/>
      <c r="K1368" s="4"/>
      <c r="L1368" s="4"/>
      <c r="M1368" s="4"/>
      <c r="N1368" s="1"/>
      <c r="O1368" s="1"/>
      <c r="P1368" s="4"/>
      <c r="Q1368" s="5"/>
      <c r="R1368" s="4"/>
      <c r="S1368" s="1"/>
      <c r="T1368" s="1"/>
      <c r="U1368" s="1"/>
      <c r="V1368" s="1"/>
      <c r="W1368" s="1"/>
      <c r="X1368" s="6"/>
      <c r="Y1368" s="4"/>
      <c r="Z1368" s="4"/>
      <c r="AA1368" s="4"/>
      <c r="AB1368" s="1"/>
      <c r="AC1368" s="1"/>
      <c r="AD1368" s="1"/>
      <c r="AE1368" s="1"/>
      <c r="AF1368" s="1"/>
      <c r="AG1368" s="4"/>
      <c r="AH1368" s="1"/>
      <c r="AI1368" s="4"/>
      <c r="AJ1368" s="6"/>
      <c r="AK1368" s="7"/>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row>
    <row r="1369" spans="1:61" ht="16.5" customHeight="1">
      <c r="A1369" s="1"/>
      <c r="B1369" s="139"/>
      <c r="C1369" s="1"/>
      <c r="D1369" s="1"/>
      <c r="E1369" s="1"/>
      <c r="F1369" s="1"/>
      <c r="G1369" s="1"/>
      <c r="H1369" s="4"/>
      <c r="I1369" s="4"/>
      <c r="J1369" s="4"/>
      <c r="K1369" s="4"/>
      <c r="L1369" s="4"/>
      <c r="M1369" s="4"/>
      <c r="N1369" s="1"/>
      <c r="O1369" s="1"/>
      <c r="P1369" s="4"/>
      <c r="Q1369" s="5"/>
      <c r="R1369" s="4"/>
      <c r="S1369" s="1"/>
      <c r="T1369" s="1"/>
      <c r="U1369" s="1"/>
      <c r="V1369" s="1"/>
      <c r="W1369" s="1"/>
      <c r="X1369" s="6"/>
      <c r="Y1369" s="4"/>
      <c r="Z1369" s="4"/>
      <c r="AA1369" s="4"/>
      <c r="AB1369" s="1"/>
      <c r="AC1369" s="1"/>
      <c r="AD1369" s="1"/>
      <c r="AE1369" s="1"/>
      <c r="AF1369" s="1"/>
      <c r="AG1369" s="4"/>
      <c r="AH1369" s="1"/>
      <c r="AI1369" s="4"/>
      <c r="AJ1369" s="6"/>
      <c r="AK1369" s="7"/>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row>
    <row r="1370" spans="1:61" ht="16.5" customHeight="1">
      <c r="A1370" s="1"/>
      <c r="B1370" s="139"/>
      <c r="C1370" s="1"/>
      <c r="D1370" s="1"/>
      <c r="E1370" s="1"/>
      <c r="F1370" s="1"/>
      <c r="G1370" s="1"/>
      <c r="H1370" s="4"/>
      <c r="I1370" s="4"/>
      <c r="J1370" s="4"/>
      <c r="K1370" s="4"/>
      <c r="L1370" s="4"/>
      <c r="M1370" s="4"/>
      <c r="N1370" s="1"/>
      <c r="O1370" s="1"/>
      <c r="P1370" s="4"/>
      <c r="Q1370" s="5"/>
      <c r="R1370" s="4"/>
      <c r="S1370" s="1"/>
      <c r="T1370" s="1"/>
      <c r="U1370" s="1"/>
      <c r="V1370" s="1"/>
      <c r="W1370" s="1"/>
      <c r="X1370" s="6"/>
      <c r="Y1370" s="4"/>
      <c r="Z1370" s="4"/>
      <c r="AA1370" s="4"/>
      <c r="AB1370" s="1"/>
      <c r="AC1370" s="1"/>
      <c r="AD1370" s="1"/>
      <c r="AE1370" s="1"/>
      <c r="AF1370" s="1"/>
      <c r="AG1370" s="4"/>
      <c r="AH1370" s="1"/>
      <c r="AI1370" s="4"/>
      <c r="AJ1370" s="6"/>
      <c r="AK1370" s="7"/>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row>
    <row r="1371" spans="1:61" ht="16.5" customHeight="1">
      <c r="A1371" s="1"/>
      <c r="B1371" s="139"/>
      <c r="C1371" s="1"/>
      <c r="D1371" s="1"/>
      <c r="E1371" s="1"/>
      <c r="F1371" s="1"/>
      <c r="G1371" s="1"/>
      <c r="H1371" s="4"/>
      <c r="I1371" s="4"/>
      <c r="J1371" s="4"/>
      <c r="K1371" s="4"/>
      <c r="L1371" s="4"/>
      <c r="M1371" s="4"/>
      <c r="N1371" s="1"/>
      <c r="O1371" s="1"/>
      <c r="P1371" s="4"/>
      <c r="Q1371" s="5"/>
      <c r="R1371" s="4"/>
      <c r="S1371" s="1"/>
      <c r="T1371" s="1"/>
      <c r="U1371" s="1"/>
      <c r="V1371" s="1"/>
      <c r="W1371" s="1"/>
      <c r="X1371" s="6"/>
      <c r="Y1371" s="4"/>
      <c r="Z1371" s="4"/>
      <c r="AA1371" s="4"/>
      <c r="AB1371" s="1"/>
      <c r="AC1371" s="1"/>
      <c r="AD1371" s="1"/>
      <c r="AE1371" s="1"/>
      <c r="AF1371" s="1"/>
      <c r="AG1371" s="4"/>
      <c r="AH1371" s="1"/>
      <c r="AI1371" s="4"/>
      <c r="AJ1371" s="6"/>
      <c r="AK1371" s="7"/>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row>
    <row r="1372" spans="1:61" ht="16.5" customHeight="1">
      <c r="A1372" s="1"/>
      <c r="B1372" s="139"/>
      <c r="C1372" s="1"/>
      <c r="D1372" s="1"/>
      <c r="E1372" s="1"/>
      <c r="F1372" s="1"/>
      <c r="G1372" s="1"/>
      <c r="H1372" s="4"/>
      <c r="I1372" s="4"/>
      <c r="J1372" s="4"/>
      <c r="K1372" s="4"/>
      <c r="L1372" s="4"/>
      <c r="M1372" s="4"/>
      <c r="N1372" s="1"/>
      <c r="O1372" s="1"/>
      <c r="P1372" s="4"/>
      <c r="Q1372" s="5"/>
      <c r="R1372" s="4"/>
      <c r="S1372" s="1"/>
      <c r="T1372" s="1"/>
      <c r="U1372" s="1"/>
      <c r="V1372" s="1"/>
      <c r="W1372" s="1"/>
      <c r="X1372" s="6"/>
      <c r="Y1372" s="4"/>
      <c r="Z1372" s="4"/>
      <c r="AA1372" s="4"/>
      <c r="AB1372" s="1"/>
      <c r="AC1372" s="1"/>
      <c r="AD1372" s="1"/>
      <c r="AE1372" s="1"/>
      <c r="AF1372" s="1"/>
      <c r="AG1372" s="4"/>
      <c r="AH1372" s="1"/>
      <c r="AI1372" s="4"/>
      <c r="AJ1372" s="6"/>
      <c r="AK1372" s="7"/>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row>
    <row r="1373" spans="1:61" ht="16.5" customHeight="1">
      <c r="A1373" s="1"/>
      <c r="B1373" s="139"/>
      <c r="C1373" s="1"/>
      <c r="D1373" s="1"/>
      <c r="E1373" s="1"/>
      <c r="F1373" s="1"/>
      <c r="G1373" s="1"/>
      <c r="H1373" s="4"/>
      <c r="I1373" s="4"/>
      <c r="J1373" s="4"/>
      <c r="K1373" s="4"/>
      <c r="L1373" s="4"/>
      <c r="M1373" s="4"/>
      <c r="N1373" s="1"/>
      <c r="O1373" s="1"/>
      <c r="P1373" s="4"/>
      <c r="Q1373" s="5"/>
      <c r="R1373" s="4"/>
      <c r="S1373" s="1"/>
      <c r="T1373" s="1"/>
      <c r="U1373" s="1"/>
      <c r="V1373" s="1"/>
      <c r="W1373" s="1"/>
      <c r="X1373" s="6"/>
      <c r="Y1373" s="4"/>
      <c r="Z1373" s="4"/>
      <c r="AA1373" s="4"/>
      <c r="AB1373" s="1"/>
      <c r="AC1373" s="1"/>
      <c r="AD1373" s="1"/>
      <c r="AE1373" s="1"/>
      <c r="AF1373" s="1"/>
      <c r="AG1373" s="4"/>
      <c r="AH1373" s="1"/>
      <c r="AI1373" s="4"/>
      <c r="AJ1373" s="6"/>
      <c r="AK1373" s="7"/>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row>
    <row r="1374" spans="1:61" ht="16.5" customHeight="1">
      <c r="A1374" s="1"/>
      <c r="B1374" s="139"/>
      <c r="C1374" s="1"/>
      <c r="D1374" s="1"/>
      <c r="E1374" s="1"/>
      <c r="F1374" s="1"/>
      <c r="G1374" s="1"/>
      <c r="H1374" s="4"/>
      <c r="I1374" s="4"/>
      <c r="J1374" s="4"/>
      <c r="K1374" s="4"/>
      <c r="L1374" s="4"/>
      <c r="M1374" s="4"/>
      <c r="N1374" s="1"/>
      <c r="O1374" s="1"/>
      <c r="P1374" s="4"/>
      <c r="Q1374" s="5"/>
      <c r="R1374" s="4"/>
      <c r="S1374" s="1"/>
      <c r="T1374" s="1"/>
      <c r="U1374" s="1"/>
      <c r="V1374" s="1"/>
      <c r="W1374" s="1"/>
      <c r="X1374" s="6"/>
      <c r="Y1374" s="4"/>
      <c r="Z1374" s="4"/>
      <c r="AA1374" s="4"/>
      <c r="AB1374" s="1"/>
      <c r="AC1374" s="1"/>
      <c r="AD1374" s="1"/>
      <c r="AE1374" s="1"/>
      <c r="AF1374" s="1"/>
      <c r="AG1374" s="4"/>
      <c r="AH1374" s="1"/>
      <c r="AI1374" s="4"/>
      <c r="AJ1374" s="6"/>
      <c r="AK1374" s="7"/>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row>
    <row r="1375" spans="1:61" ht="16.5" customHeight="1">
      <c r="A1375" s="1"/>
      <c r="B1375" s="139"/>
      <c r="C1375" s="1"/>
      <c r="D1375" s="1"/>
      <c r="E1375" s="1"/>
      <c r="F1375" s="1"/>
      <c r="G1375" s="1"/>
      <c r="H1375" s="4"/>
      <c r="I1375" s="4"/>
      <c r="J1375" s="4"/>
      <c r="K1375" s="4"/>
      <c r="L1375" s="4"/>
      <c r="M1375" s="4"/>
      <c r="N1375" s="1"/>
      <c r="O1375" s="1"/>
      <c r="P1375" s="4"/>
      <c r="Q1375" s="5"/>
      <c r="R1375" s="4"/>
      <c r="S1375" s="1"/>
      <c r="T1375" s="1"/>
      <c r="U1375" s="1"/>
      <c r="V1375" s="1"/>
      <c r="W1375" s="1"/>
      <c r="X1375" s="6"/>
      <c r="Y1375" s="4"/>
      <c r="Z1375" s="4"/>
      <c r="AA1375" s="4"/>
      <c r="AB1375" s="1"/>
      <c r="AC1375" s="1"/>
      <c r="AD1375" s="1"/>
      <c r="AE1375" s="1"/>
      <c r="AF1375" s="1"/>
      <c r="AG1375" s="4"/>
      <c r="AH1375" s="1"/>
      <c r="AI1375" s="4"/>
      <c r="AJ1375" s="6"/>
      <c r="AK1375" s="7"/>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row>
    <row r="1376" spans="1:61" ht="16.5" customHeight="1">
      <c r="A1376" s="1"/>
      <c r="B1376" s="260"/>
      <c r="C1376" s="47"/>
      <c r="D1376" s="47"/>
      <c r="E1376" s="47"/>
      <c r="F1376" s="47"/>
      <c r="G1376" s="47"/>
      <c r="H1376" s="47"/>
      <c r="I1376" s="47"/>
      <c r="J1376" s="47"/>
      <c r="K1376" s="47"/>
      <c r="L1376" s="47"/>
      <c r="M1376" s="47"/>
      <c r="N1376" s="47"/>
      <c r="O1376" s="47"/>
      <c r="P1376" s="47"/>
      <c r="Q1376" s="47"/>
      <c r="R1376" s="47"/>
      <c r="S1376" s="47"/>
      <c r="T1376" s="47"/>
      <c r="U1376" s="47"/>
      <c r="V1376" s="47"/>
      <c r="W1376" s="47"/>
      <c r="X1376" s="47"/>
      <c r="Y1376" s="47"/>
      <c r="Z1376" s="47"/>
      <c r="AA1376" s="47"/>
      <c r="AB1376" s="47"/>
      <c r="AC1376" s="47"/>
      <c r="AD1376" s="47"/>
      <c r="AE1376" s="47"/>
      <c r="AF1376" s="47"/>
      <c r="AG1376" s="47"/>
      <c r="AH1376" s="47"/>
      <c r="AI1376" s="4"/>
      <c r="AJ1376" s="6"/>
      <c r="AK1376" s="7"/>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row>
    <row r="1377" spans="1:61" ht="16.5" customHeight="1">
      <c r="A1377" s="1"/>
      <c r="B1377" s="260"/>
      <c r="C1377" s="47"/>
      <c r="D1377" s="47"/>
      <c r="E1377" s="47"/>
      <c r="F1377" s="47"/>
      <c r="G1377" s="47"/>
      <c r="H1377" s="47"/>
      <c r="I1377" s="47"/>
      <c r="J1377" s="47"/>
      <c r="K1377" s="47"/>
      <c r="L1377" s="47"/>
      <c r="M1377" s="47"/>
      <c r="N1377" s="47"/>
      <c r="O1377" s="47"/>
      <c r="P1377" s="47"/>
      <c r="Q1377" s="47"/>
      <c r="R1377" s="47"/>
      <c r="S1377" s="47"/>
      <c r="T1377" s="47"/>
      <c r="U1377" s="47"/>
      <c r="V1377" s="47"/>
      <c r="W1377" s="47"/>
      <c r="X1377" s="47"/>
      <c r="Y1377" s="47"/>
      <c r="Z1377" s="47"/>
      <c r="AA1377" s="47"/>
      <c r="AB1377" s="47"/>
      <c r="AC1377" s="47"/>
      <c r="AD1377" s="47"/>
      <c r="AE1377" s="47"/>
      <c r="AF1377" s="47"/>
      <c r="AG1377" s="47"/>
      <c r="AH1377" s="47"/>
      <c r="AI1377" s="4"/>
      <c r="AJ1377" s="6"/>
      <c r="AK1377" s="7"/>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row>
    <row r="1378" spans="1:61" ht="16.5" customHeight="1">
      <c r="A1378" s="1"/>
      <c r="B1378" s="260"/>
      <c r="C1378" s="47"/>
      <c r="D1378" s="47"/>
      <c r="E1378" s="47"/>
      <c r="F1378" s="47"/>
      <c r="G1378" s="47"/>
      <c r="H1378" s="47"/>
      <c r="I1378" s="47"/>
      <c r="J1378" s="47"/>
      <c r="K1378" s="47"/>
      <c r="L1378" s="47"/>
      <c r="M1378" s="47"/>
      <c r="N1378" s="47"/>
      <c r="O1378" s="47"/>
      <c r="P1378" s="47"/>
      <c r="Q1378" s="47"/>
      <c r="R1378" s="47"/>
      <c r="S1378" s="47"/>
      <c r="T1378" s="47"/>
      <c r="U1378" s="47"/>
      <c r="V1378" s="47"/>
      <c r="W1378" s="47"/>
      <c r="X1378" s="47"/>
      <c r="Y1378" s="47"/>
      <c r="Z1378" s="47"/>
      <c r="AA1378" s="47"/>
      <c r="AB1378" s="47"/>
      <c r="AC1378" s="47"/>
      <c r="AD1378" s="47"/>
      <c r="AE1378" s="47"/>
      <c r="AF1378" s="47"/>
      <c r="AG1378" s="47"/>
      <c r="AH1378" s="47"/>
      <c r="AI1378" s="4"/>
      <c r="AJ1378" s="6"/>
      <c r="AK1378" s="7"/>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row>
    <row r="1379" spans="1:61" ht="16.5" customHeight="1">
      <c r="A1379" s="1"/>
      <c r="B1379" s="260"/>
      <c r="C1379" s="47"/>
      <c r="D1379" s="47"/>
      <c r="E1379" s="47"/>
      <c r="F1379" s="47"/>
      <c r="G1379" s="47"/>
      <c r="H1379" s="47"/>
      <c r="I1379" s="47"/>
      <c r="J1379" s="47"/>
      <c r="K1379" s="47"/>
      <c r="L1379" s="47"/>
      <c r="M1379" s="47"/>
      <c r="N1379" s="47"/>
      <c r="O1379" s="47"/>
      <c r="P1379" s="47"/>
      <c r="Q1379" s="47"/>
      <c r="R1379" s="47"/>
      <c r="S1379" s="47"/>
      <c r="T1379" s="47"/>
      <c r="U1379" s="47"/>
      <c r="V1379" s="47"/>
      <c r="W1379" s="47"/>
      <c r="X1379" s="47"/>
      <c r="Y1379" s="47"/>
      <c r="Z1379" s="47"/>
      <c r="AA1379" s="47"/>
      <c r="AB1379" s="47"/>
      <c r="AC1379" s="47"/>
      <c r="AD1379" s="47"/>
      <c r="AE1379" s="47"/>
      <c r="AF1379" s="47"/>
      <c r="AG1379" s="47"/>
      <c r="AH1379" s="47"/>
      <c r="AI1379" s="4"/>
      <c r="AJ1379" s="6"/>
      <c r="AK1379" s="7"/>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row>
    <row r="1380" spans="1:61" ht="16.5" customHeight="1">
      <c r="A1380" s="1"/>
      <c r="B1380" s="260"/>
      <c r="C1380" s="47"/>
      <c r="D1380" s="47"/>
      <c r="E1380" s="47"/>
      <c r="F1380" s="47"/>
      <c r="G1380" s="47"/>
      <c r="H1380" s="47"/>
      <c r="I1380" s="47"/>
      <c r="J1380" s="47"/>
      <c r="K1380" s="47"/>
      <c r="L1380" s="47"/>
      <c r="M1380" s="47"/>
      <c r="N1380" s="47"/>
      <c r="O1380" s="47"/>
      <c r="P1380" s="47"/>
      <c r="Q1380" s="47"/>
      <c r="R1380" s="47"/>
      <c r="S1380" s="47"/>
      <c r="T1380" s="47"/>
      <c r="U1380" s="47"/>
      <c r="V1380" s="47"/>
      <c r="W1380" s="47"/>
      <c r="X1380" s="47"/>
      <c r="Y1380" s="47"/>
      <c r="Z1380" s="47"/>
      <c r="AA1380" s="47"/>
      <c r="AB1380" s="47"/>
      <c r="AC1380" s="47"/>
      <c r="AD1380" s="47"/>
      <c r="AE1380" s="47"/>
      <c r="AF1380" s="47"/>
      <c r="AG1380" s="47"/>
      <c r="AH1380" s="47"/>
      <c r="AI1380" s="4"/>
      <c r="AJ1380" s="6"/>
      <c r="AK1380" s="7"/>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row>
    <row r="1381" spans="1:61" ht="16.5" customHeight="1">
      <c r="A1381" s="1"/>
      <c r="B1381" s="260"/>
      <c r="C1381" s="47"/>
      <c r="D1381" s="47"/>
      <c r="E1381" s="47"/>
      <c r="F1381" s="47"/>
      <c r="G1381" s="47"/>
      <c r="H1381" s="47"/>
      <c r="I1381" s="47"/>
      <c r="J1381" s="47"/>
      <c r="K1381" s="47"/>
      <c r="L1381" s="47"/>
      <c r="M1381" s="47"/>
      <c r="N1381" s="47"/>
      <c r="O1381" s="47"/>
      <c r="P1381" s="47"/>
      <c r="Q1381" s="47"/>
      <c r="R1381" s="47"/>
      <c r="S1381" s="47"/>
      <c r="T1381" s="47"/>
      <c r="U1381" s="47"/>
      <c r="V1381" s="47"/>
      <c r="W1381" s="47"/>
      <c r="X1381" s="47"/>
      <c r="Y1381" s="47"/>
      <c r="Z1381" s="47"/>
      <c r="AA1381" s="47"/>
      <c r="AB1381" s="47"/>
      <c r="AC1381" s="47"/>
      <c r="AD1381" s="47"/>
      <c r="AE1381" s="47"/>
      <c r="AF1381" s="47"/>
      <c r="AG1381" s="47"/>
      <c r="AH1381" s="47"/>
      <c r="AI1381" s="4"/>
      <c r="AJ1381" s="6"/>
      <c r="AK1381" s="7"/>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row>
    <row r="1382" spans="1:61" ht="16.5" customHeight="1">
      <c r="A1382" s="1"/>
      <c r="B1382" s="260"/>
      <c r="C1382" s="47"/>
      <c r="D1382" s="47"/>
      <c r="E1382" s="47"/>
      <c r="F1382" s="47"/>
      <c r="G1382" s="47"/>
      <c r="H1382" s="47"/>
      <c r="I1382" s="47"/>
      <c r="J1382" s="47"/>
      <c r="K1382" s="47"/>
      <c r="L1382" s="47"/>
      <c r="M1382" s="47"/>
      <c r="N1382" s="47"/>
      <c r="O1382" s="47"/>
      <c r="P1382" s="47"/>
      <c r="Q1382" s="47"/>
      <c r="R1382" s="47"/>
      <c r="S1382" s="47"/>
      <c r="T1382" s="47"/>
      <c r="U1382" s="47"/>
      <c r="V1382" s="47"/>
      <c r="W1382" s="47"/>
      <c r="X1382" s="47"/>
      <c r="Y1382" s="47"/>
      <c r="Z1382" s="47"/>
      <c r="AA1382" s="47"/>
      <c r="AB1382" s="47"/>
      <c r="AC1382" s="47"/>
      <c r="AD1382" s="47"/>
      <c r="AE1382" s="47"/>
      <c r="AF1382" s="47"/>
      <c r="AG1382" s="47"/>
      <c r="AH1382" s="47"/>
      <c r="AI1382" s="4"/>
      <c r="AJ1382" s="6"/>
      <c r="AK1382" s="7"/>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row>
    <row r="1383" spans="1:61" ht="16.5" customHeight="1">
      <c r="A1383" s="1"/>
      <c r="B1383" s="260"/>
      <c r="C1383" s="47"/>
      <c r="D1383" s="47"/>
      <c r="E1383" s="47"/>
      <c r="F1383" s="47"/>
      <c r="G1383" s="47"/>
      <c r="H1383" s="47"/>
      <c r="I1383" s="47"/>
      <c r="J1383" s="47"/>
      <c r="K1383" s="47"/>
      <c r="L1383" s="47"/>
      <c r="M1383" s="47"/>
      <c r="N1383" s="47"/>
      <c r="O1383" s="47"/>
      <c r="P1383" s="47"/>
      <c r="Q1383" s="47"/>
      <c r="R1383" s="47"/>
      <c r="S1383" s="47"/>
      <c r="T1383" s="47"/>
      <c r="U1383" s="47"/>
      <c r="V1383" s="47"/>
      <c r="W1383" s="47"/>
      <c r="X1383" s="47"/>
      <c r="Y1383" s="47"/>
      <c r="Z1383" s="47"/>
      <c r="AA1383" s="47"/>
      <c r="AB1383" s="47"/>
      <c r="AC1383" s="47"/>
      <c r="AD1383" s="47"/>
      <c r="AE1383" s="47"/>
      <c r="AF1383" s="47"/>
      <c r="AG1383" s="47"/>
      <c r="AH1383" s="47"/>
      <c r="AI1383" s="4"/>
      <c r="AJ1383" s="6"/>
      <c r="AK1383" s="7"/>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row>
    <row r="1384" spans="1:61" ht="16.5" customHeight="1">
      <c r="A1384" s="1"/>
      <c r="B1384" s="260"/>
      <c r="C1384" s="47"/>
      <c r="D1384" s="47"/>
      <c r="E1384" s="47"/>
      <c r="F1384" s="47"/>
      <c r="G1384" s="47"/>
      <c r="H1384" s="47"/>
      <c r="I1384" s="47"/>
      <c r="J1384" s="47"/>
      <c r="K1384" s="47"/>
      <c r="L1384" s="47"/>
      <c r="M1384" s="47"/>
      <c r="N1384" s="47"/>
      <c r="O1384" s="47"/>
      <c r="P1384" s="47"/>
      <c r="Q1384" s="47"/>
      <c r="R1384" s="47"/>
      <c r="S1384" s="47"/>
      <c r="T1384" s="47"/>
      <c r="U1384" s="47"/>
      <c r="V1384" s="47"/>
      <c r="W1384" s="47"/>
      <c r="X1384" s="47"/>
      <c r="Y1384" s="47"/>
      <c r="Z1384" s="47"/>
      <c r="AA1384" s="47"/>
      <c r="AB1384" s="47"/>
      <c r="AC1384" s="47"/>
      <c r="AD1384" s="47"/>
      <c r="AE1384" s="47"/>
      <c r="AF1384" s="47"/>
      <c r="AG1384" s="47"/>
      <c r="AH1384" s="47"/>
      <c r="AI1384" s="4"/>
      <c r="AJ1384" s="6"/>
      <c r="AK1384" s="7"/>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row>
    <row r="1385" spans="1:61" ht="16.5" customHeight="1">
      <c r="A1385" s="1"/>
      <c r="B1385" s="260"/>
      <c r="C1385" s="47"/>
      <c r="D1385" s="47"/>
      <c r="E1385" s="47"/>
      <c r="F1385" s="47"/>
      <c r="G1385" s="47"/>
      <c r="H1385" s="47"/>
      <c r="I1385" s="47"/>
      <c r="J1385" s="47"/>
      <c r="K1385" s="47"/>
      <c r="L1385" s="47"/>
      <c r="M1385" s="47"/>
      <c r="N1385" s="47"/>
      <c r="O1385" s="47"/>
      <c r="P1385" s="47"/>
      <c r="Q1385" s="47"/>
      <c r="R1385" s="47"/>
      <c r="S1385" s="47"/>
      <c r="T1385" s="47"/>
      <c r="U1385" s="47"/>
      <c r="V1385" s="47"/>
      <c r="W1385" s="47"/>
      <c r="X1385" s="47"/>
      <c r="Y1385" s="47"/>
      <c r="Z1385" s="47"/>
      <c r="AA1385" s="47"/>
      <c r="AB1385" s="47"/>
      <c r="AC1385" s="47"/>
      <c r="AD1385" s="47"/>
      <c r="AE1385" s="47"/>
      <c r="AF1385" s="47"/>
      <c r="AG1385" s="47"/>
      <c r="AH1385" s="47"/>
      <c r="AI1385" s="4"/>
      <c r="AJ1385" s="6"/>
      <c r="AK1385" s="7"/>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row>
    <row r="1386" spans="1:61" ht="16.5" customHeight="1">
      <c r="A1386" s="1"/>
      <c r="B1386" s="260"/>
      <c r="C1386" s="47"/>
      <c r="D1386" s="47"/>
      <c r="E1386" s="47"/>
      <c r="F1386" s="47"/>
      <c r="G1386" s="47"/>
      <c r="H1386" s="47"/>
      <c r="I1386" s="47"/>
      <c r="J1386" s="47"/>
      <c r="K1386" s="47"/>
      <c r="L1386" s="47"/>
      <c r="M1386" s="47"/>
      <c r="N1386" s="47"/>
      <c r="O1386" s="47"/>
      <c r="P1386" s="47"/>
      <c r="Q1386" s="47"/>
      <c r="R1386" s="47"/>
      <c r="S1386" s="47"/>
      <c r="T1386" s="47"/>
      <c r="U1386" s="47"/>
      <c r="V1386" s="47"/>
      <c r="W1386" s="47"/>
      <c r="X1386" s="47"/>
      <c r="Y1386" s="47"/>
      <c r="Z1386" s="47"/>
      <c r="AA1386" s="47"/>
      <c r="AB1386" s="47"/>
      <c r="AC1386" s="47"/>
      <c r="AD1386" s="47"/>
      <c r="AE1386" s="47"/>
      <c r="AF1386" s="47"/>
      <c r="AG1386" s="47"/>
      <c r="AH1386" s="47"/>
      <c r="AI1386" s="4"/>
      <c r="AJ1386" s="6"/>
      <c r="AK1386" s="7"/>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row>
    <row r="1387" spans="1:61" ht="16.5" customHeight="1">
      <c r="A1387" s="1"/>
      <c r="B1387" s="260"/>
      <c r="C1387" s="47"/>
      <c r="D1387" s="47"/>
      <c r="E1387" s="47"/>
      <c r="F1387" s="47"/>
      <c r="G1387" s="47"/>
      <c r="H1387" s="47"/>
      <c r="I1387" s="47"/>
      <c r="J1387" s="47"/>
      <c r="K1387" s="47"/>
      <c r="L1387" s="47"/>
      <c r="M1387" s="47"/>
      <c r="N1387" s="47"/>
      <c r="O1387" s="47"/>
      <c r="P1387" s="47"/>
      <c r="Q1387" s="47"/>
      <c r="R1387" s="47"/>
      <c r="S1387" s="47"/>
      <c r="T1387" s="47"/>
      <c r="U1387" s="47"/>
      <c r="V1387" s="47"/>
      <c r="W1387" s="47"/>
      <c r="X1387" s="47"/>
      <c r="Y1387" s="47"/>
      <c r="Z1387" s="47"/>
      <c r="AA1387" s="47"/>
      <c r="AB1387" s="47"/>
      <c r="AC1387" s="47"/>
      <c r="AD1387" s="47"/>
      <c r="AE1387" s="47"/>
      <c r="AF1387" s="47"/>
      <c r="AG1387" s="47"/>
      <c r="AH1387" s="47"/>
      <c r="AI1387" s="4"/>
      <c r="AJ1387" s="6"/>
      <c r="AK1387" s="7"/>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row>
    <row r="1388" spans="1:61" ht="16.5" customHeight="1">
      <c r="A1388" s="1"/>
      <c r="B1388" s="260"/>
      <c r="C1388" s="47"/>
      <c r="D1388" s="47"/>
      <c r="E1388" s="47"/>
      <c r="F1388" s="47"/>
      <c r="G1388" s="47"/>
      <c r="H1388" s="47"/>
      <c r="I1388" s="47"/>
      <c r="J1388" s="47"/>
      <c r="K1388" s="47"/>
      <c r="L1388" s="47"/>
      <c r="M1388" s="47"/>
      <c r="N1388" s="47"/>
      <c r="O1388" s="47"/>
      <c r="P1388" s="47"/>
      <c r="Q1388" s="47"/>
      <c r="R1388" s="47"/>
      <c r="S1388" s="47"/>
      <c r="T1388" s="47"/>
      <c r="U1388" s="47"/>
      <c r="V1388" s="47"/>
      <c r="W1388" s="47"/>
      <c r="X1388" s="47"/>
      <c r="Y1388" s="47"/>
      <c r="Z1388" s="47"/>
      <c r="AA1388" s="47"/>
      <c r="AB1388" s="47"/>
      <c r="AC1388" s="47"/>
      <c r="AD1388" s="47"/>
      <c r="AE1388" s="47"/>
      <c r="AF1388" s="47"/>
      <c r="AG1388" s="47"/>
      <c r="AH1388" s="47"/>
      <c r="AI1388" s="4"/>
      <c r="AJ1388" s="6"/>
      <c r="AK1388" s="7"/>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row>
    <row r="1389" spans="1:61" ht="16.5" customHeight="1">
      <c r="A1389" s="1"/>
      <c r="B1389" s="260"/>
      <c r="C1389" s="47"/>
      <c r="D1389" s="47"/>
      <c r="E1389" s="47"/>
      <c r="F1389" s="47"/>
      <c r="G1389" s="47"/>
      <c r="H1389" s="47"/>
      <c r="I1389" s="47"/>
      <c r="J1389" s="47"/>
      <c r="K1389" s="47"/>
      <c r="L1389" s="47"/>
      <c r="M1389" s="47"/>
      <c r="N1389" s="47"/>
      <c r="O1389" s="47"/>
      <c r="P1389" s="47"/>
      <c r="Q1389" s="47"/>
      <c r="R1389" s="47"/>
      <c r="S1389" s="47"/>
      <c r="T1389" s="47"/>
      <c r="U1389" s="47"/>
      <c r="V1389" s="47"/>
      <c r="W1389" s="47"/>
      <c r="X1389" s="47"/>
      <c r="Y1389" s="47"/>
      <c r="Z1389" s="47"/>
      <c r="AA1389" s="47"/>
      <c r="AB1389" s="47"/>
      <c r="AC1389" s="47"/>
      <c r="AD1389" s="47"/>
      <c r="AE1389" s="47"/>
      <c r="AF1389" s="47"/>
      <c r="AG1389" s="47"/>
      <c r="AH1389" s="47"/>
      <c r="AI1389" s="4"/>
      <c r="AJ1389" s="6"/>
      <c r="AK1389" s="7"/>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row>
    <row r="1390" spans="1:61" ht="16.5" customHeight="1">
      <c r="A1390" s="1"/>
      <c r="B1390" s="260"/>
      <c r="C1390" s="47"/>
      <c r="D1390" s="47"/>
      <c r="E1390" s="47"/>
      <c r="F1390" s="47"/>
      <c r="G1390" s="47"/>
      <c r="H1390" s="47"/>
      <c r="I1390" s="47"/>
      <c r="J1390" s="47"/>
      <c r="K1390" s="47"/>
      <c r="L1390" s="47"/>
      <c r="M1390" s="47"/>
      <c r="N1390" s="47"/>
      <c r="O1390" s="47"/>
      <c r="P1390" s="47"/>
      <c r="Q1390" s="47"/>
      <c r="R1390" s="47"/>
      <c r="S1390" s="47"/>
      <c r="T1390" s="47"/>
      <c r="U1390" s="47"/>
      <c r="V1390" s="47"/>
      <c r="W1390" s="47"/>
      <c r="X1390" s="47"/>
      <c r="Y1390" s="47"/>
      <c r="Z1390" s="47"/>
      <c r="AA1390" s="47"/>
      <c r="AB1390" s="47"/>
      <c r="AC1390" s="47"/>
      <c r="AD1390" s="47"/>
      <c r="AE1390" s="47"/>
      <c r="AF1390" s="47"/>
      <c r="AG1390" s="47"/>
      <c r="AH1390" s="47"/>
      <c r="AI1390" s="4"/>
      <c r="AJ1390" s="6"/>
      <c r="AK1390" s="7"/>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row>
    <row r="1391" spans="1:61" ht="16.5" customHeight="1">
      <c r="A1391" s="1"/>
      <c r="B1391" s="260"/>
      <c r="C1391" s="47"/>
      <c r="D1391" s="47"/>
      <c r="E1391" s="47"/>
      <c r="F1391" s="47"/>
      <c r="G1391" s="47"/>
      <c r="H1391" s="47"/>
      <c r="I1391" s="47"/>
      <c r="J1391" s="47"/>
      <c r="K1391" s="47"/>
      <c r="L1391" s="47"/>
      <c r="M1391" s="47"/>
      <c r="N1391" s="47"/>
      <c r="O1391" s="47"/>
      <c r="P1391" s="47"/>
      <c r="Q1391" s="47"/>
      <c r="R1391" s="47"/>
      <c r="S1391" s="47"/>
      <c r="T1391" s="47"/>
      <c r="U1391" s="47"/>
      <c r="V1391" s="47"/>
      <c r="W1391" s="47"/>
      <c r="X1391" s="47"/>
      <c r="Y1391" s="47"/>
      <c r="Z1391" s="47"/>
      <c r="AA1391" s="47"/>
      <c r="AB1391" s="47"/>
      <c r="AC1391" s="47"/>
      <c r="AD1391" s="47"/>
      <c r="AE1391" s="47"/>
      <c r="AF1391" s="47"/>
      <c r="AG1391" s="47"/>
      <c r="AH1391" s="47"/>
      <c r="AI1391" s="4"/>
      <c r="AJ1391" s="6"/>
      <c r="AK1391" s="7"/>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row>
    <row r="1392" spans="1:61" ht="16.5" customHeight="1">
      <c r="A1392" s="1"/>
      <c r="B1392" s="260"/>
      <c r="C1392" s="47"/>
      <c r="D1392" s="47"/>
      <c r="E1392" s="47"/>
      <c r="F1392" s="47"/>
      <c r="G1392" s="47"/>
      <c r="H1392" s="47"/>
      <c r="I1392" s="47"/>
      <c r="J1392" s="47"/>
      <c r="K1392" s="47"/>
      <c r="L1392" s="47"/>
      <c r="M1392" s="47"/>
      <c r="N1392" s="47"/>
      <c r="O1392" s="47"/>
      <c r="P1392" s="47"/>
      <c r="Q1392" s="47"/>
      <c r="R1392" s="47"/>
      <c r="S1392" s="47"/>
      <c r="T1392" s="47"/>
      <c r="U1392" s="47"/>
      <c r="V1392" s="47"/>
      <c r="W1392" s="47"/>
      <c r="X1392" s="47"/>
      <c r="Y1392" s="47"/>
      <c r="Z1392" s="47"/>
      <c r="AA1392" s="47"/>
      <c r="AB1392" s="47"/>
      <c r="AC1392" s="47"/>
      <c r="AD1392" s="47"/>
      <c r="AE1392" s="47"/>
      <c r="AF1392" s="47"/>
      <c r="AG1392" s="47"/>
      <c r="AH1392" s="47"/>
      <c r="AI1392" s="4"/>
      <c r="AJ1392" s="6"/>
      <c r="AK1392" s="7"/>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row>
    <row r="1393" spans="1:61" ht="16.5" customHeight="1">
      <c r="A1393" s="1"/>
      <c r="B1393" s="260"/>
      <c r="C1393" s="47"/>
      <c r="D1393" s="47"/>
      <c r="E1393" s="47"/>
      <c r="F1393" s="47"/>
      <c r="G1393" s="47"/>
      <c r="H1393" s="47"/>
      <c r="I1393" s="47"/>
      <c r="J1393" s="47"/>
      <c r="K1393" s="47"/>
      <c r="L1393" s="47"/>
      <c r="M1393" s="47"/>
      <c r="N1393" s="47"/>
      <c r="O1393" s="47"/>
      <c r="P1393" s="47"/>
      <c r="Q1393" s="47"/>
      <c r="R1393" s="47"/>
      <c r="S1393" s="47"/>
      <c r="T1393" s="47"/>
      <c r="U1393" s="47"/>
      <c r="V1393" s="47"/>
      <c r="W1393" s="47"/>
      <c r="X1393" s="47"/>
      <c r="Y1393" s="47"/>
      <c r="Z1393" s="47"/>
      <c r="AA1393" s="47"/>
      <c r="AB1393" s="47"/>
      <c r="AC1393" s="47"/>
      <c r="AD1393" s="47"/>
      <c r="AE1393" s="47"/>
      <c r="AF1393" s="47"/>
      <c r="AG1393" s="47"/>
      <c r="AH1393" s="47"/>
      <c r="AI1393" s="4"/>
      <c r="AJ1393" s="6"/>
      <c r="AK1393" s="7"/>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row>
    <row r="1394" spans="1:61" ht="16.5" customHeight="1">
      <c r="A1394" s="1"/>
      <c r="B1394" s="260"/>
      <c r="C1394" s="47"/>
      <c r="D1394" s="47"/>
      <c r="E1394" s="47"/>
      <c r="F1394" s="47"/>
      <c r="G1394" s="47"/>
      <c r="H1394" s="47"/>
      <c r="I1394" s="47"/>
      <c r="J1394" s="47"/>
      <c r="K1394" s="47"/>
      <c r="L1394" s="47"/>
      <c r="M1394" s="47"/>
      <c r="N1394" s="47"/>
      <c r="O1394" s="47"/>
      <c r="P1394" s="47"/>
      <c r="Q1394" s="47"/>
      <c r="R1394" s="47"/>
      <c r="S1394" s="47"/>
      <c r="T1394" s="47"/>
      <c r="U1394" s="47"/>
      <c r="V1394" s="47"/>
      <c r="W1394" s="47"/>
      <c r="X1394" s="47"/>
      <c r="Y1394" s="47"/>
      <c r="Z1394" s="47"/>
      <c r="AA1394" s="47"/>
      <c r="AB1394" s="47"/>
      <c r="AC1394" s="47"/>
      <c r="AD1394" s="47"/>
      <c r="AE1394" s="47"/>
      <c r="AF1394" s="47"/>
      <c r="AG1394" s="47"/>
      <c r="AH1394" s="47"/>
      <c r="AI1394" s="4"/>
      <c r="AJ1394" s="6"/>
      <c r="AK1394" s="7"/>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row>
    <row r="1395" spans="1:61" ht="16.5" customHeight="1">
      <c r="A1395" s="1"/>
      <c r="B1395" s="260"/>
      <c r="C1395" s="47"/>
      <c r="D1395" s="47"/>
      <c r="E1395" s="47"/>
      <c r="F1395" s="47"/>
      <c r="G1395" s="47"/>
      <c r="H1395" s="47"/>
      <c r="I1395" s="47"/>
      <c r="J1395" s="47"/>
      <c r="K1395" s="47"/>
      <c r="L1395" s="47"/>
      <c r="M1395" s="47"/>
      <c r="N1395" s="47"/>
      <c r="O1395" s="47"/>
      <c r="P1395" s="47"/>
      <c r="Q1395" s="47"/>
      <c r="R1395" s="47"/>
      <c r="S1395" s="47"/>
      <c r="T1395" s="47"/>
      <c r="U1395" s="47"/>
      <c r="V1395" s="47"/>
      <c r="W1395" s="47"/>
      <c r="X1395" s="47"/>
      <c r="Y1395" s="47"/>
      <c r="Z1395" s="47"/>
      <c r="AA1395" s="47"/>
      <c r="AB1395" s="47"/>
      <c r="AC1395" s="47"/>
      <c r="AD1395" s="47"/>
      <c r="AE1395" s="47"/>
      <c r="AF1395" s="47"/>
      <c r="AG1395" s="47"/>
      <c r="AH1395" s="47"/>
      <c r="AI1395" s="4"/>
      <c r="AJ1395" s="6"/>
      <c r="AK1395" s="7"/>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row>
    <row r="1396" spans="1:61" ht="16.5" customHeight="1">
      <c r="A1396" s="1"/>
      <c r="B1396" s="260"/>
      <c r="C1396" s="47"/>
      <c r="D1396" s="47"/>
      <c r="E1396" s="47"/>
      <c r="F1396" s="47"/>
      <c r="G1396" s="47"/>
      <c r="H1396" s="47"/>
      <c r="I1396" s="47"/>
      <c r="J1396" s="47"/>
      <c r="K1396" s="47"/>
      <c r="L1396" s="47"/>
      <c r="M1396" s="47"/>
      <c r="N1396" s="47"/>
      <c r="O1396" s="47"/>
      <c r="P1396" s="47"/>
      <c r="Q1396" s="47"/>
      <c r="R1396" s="47"/>
      <c r="S1396" s="47"/>
      <c r="T1396" s="47"/>
      <c r="U1396" s="47"/>
      <c r="V1396" s="47"/>
      <c r="W1396" s="47"/>
      <c r="X1396" s="47"/>
      <c r="Y1396" s="47"/>
      <c r="Z1396" s="47"/>
      <c r="AA1396" s="47"/>
      <c r="AB1396" s="47"/>
      <c r="AC1396" s="47"/>
      <c r="AD1396" s="47"/>
      <c r="AE1396" s="47"/>
      <c r="AF1396" s="47"/>
      <c r="AG1396" s="47"/>
      <c r="AH1396" s="47"/>
      <c r="AI1396" s="4"/>
      <c r="AJ1396" s="6"/>
      <c r="AK1396" s="7"/>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row>
    <row r="1397" spans="1:61" ht="16.5" customHeight="1">
      <c r="A1397" s="1"/>
      <c r="B1397" s="260"/>
      <c r="C1397" s="47"/>
      <c r="D1397" s="47"/>
      <c r="E1397" s="47"/>
      <c r="F1397" s="47"/>
      <c r="G1397" s="47"/>
      <c r="H1397" s="47"/>
      <c r="I1397" s="47"/>
      <c r="J1397" s="47"/>
      <c r="K1397" s="47"/>
      <c r="L1397" s="47"/>
      <c r="M1397" s="47"/>
      <c r="N1397" s="47"/>
      <c r="O1397" s="47"/>
      <c r="P1397" s="47"/>
      <c r="Q1397" s="47"/>
      <c r="R1397" s="47"/>
      <c r="S1397" s="47"/>
      <c r="T1397" s="47"/>
      <c r="U1397" s="47"/>
      <c r="V1397" s="47"/>
      <c r="W1397" s="47"/>
      <c r="X1397" s="47"/>
      <c r="Y1397" s="47"/>
      <c r="Z1397" s="47"/>
      <c r="AA1397" s="47"/>
      <c r="AB1397" s="47"/>
      <c r="AC1397" s="47"/>
      <c r="AD1397" s="47"/>
      <c r="AE1397" s="47"/>
      <c r="AF1397" s="47"/>
      <c r="AG1397" s="47"/>
      <c r="AH1397" s="47"/>
      <c r="AI1397" s="4"/>
      <c r="AJ1397" s="6"/>
      <c r="AK1397" s="7"/>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row>
    <row r="1398" spans="1:61" ht="16.5" customHeight="1">
      <c r="A1398" s="1"/>
      <c r="B1398" s="260"/>
      <c r="C1398" s="47"/>
      <c r="D1398" s="47"/>
      <c r="E1398" s="47"/>
      <c r="F1398" s="47"/>
      <c r="G1398" s="47"/>
      <c r="H1398" s="47"/>
      <c r="I1398" s="47"/>
      <c r="J1398" s="47"/>
      <c r="K1398" s="47"/>
      <c r="L1398" s="47"/>
      <c r="M1398" s="47"/>
      <c r="N1398" s="47"/>
      <c r="O1398" s="47"/>
      <c r="P1398" s="47"/>
      <c r="Q1398" s="47"/>
      <c r="R1398" s="47"/>
      <c r="S1398" s="47"/>
      <c r="T1398" s="47"/>
      <c r="U1398" s="47"/>
      <c r="V1398" s="47"/>
      <c r="W1398" s="47"/>
      <c r="X1398" s="47"/>
      <c r="Y1398" s="47"/>
      <c r="Z1398" s="47"/>
      <c r="AA1398" s="47"/>
      <c r="AB1398" s="47"/>
      <c r="AC1398" s="47"/>
      <c r="AD1398" s="47"/>
      <c r="AE1398" s="47"/>
      <c r="AF1398" s="47"/>
      <c r="AG1398" s="47"/>
      <c r="AH1398" s="47"/>
      <c r="AI1398" s="4"/>
      <c r="AJ1398" s="6"/>
      <c r="AK1398" s="7"/>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row>
    <row r="1399" spans="1:61" ht="16.5" customHeight="1">
      <c r="A1399" s="1"/>
      <c r="B1399" s="260"/>
      <c r="C1399" s="47"/>
      <c r="D1399" s="47"/>
      <c r="E1399" s="47"/>
      <c r="F1399" s="47"/>
      <c r="G1399" s="47"/>
      <c r="H1399" s="47"/>
      <c r="I1399" s="47"/>
      <c r="J1399" s="47"/>
      <c r="K1399" s="47"/>
      <c r="L1399" s="47"/>
      <c r="M1399" s="47"/>
      <c r="N1399" s="47"/>
      <c r="O1399" s="47"/>
      <c r="P1399" s="47"/>
      <c r="Q1399" s="47"/>
      <c r="R1399" s="47"/>
      <c r="S1399" s="47"/>
      <c r="T1399" s="47"/>
      <c r="U1399" s="47"/>
      <c r="V1399" s="47"/>
      <c r="W1399" s="47"/>
      <c r="X1399" s="47"/>
      <c r="Y1399" s="47"/>
      <c r="Z1399" s="47"/>
      <c r="AA1399" s="47"/>
      <c r="AB1399" s="47"/>
      <c r="AC1399" s="47"/>
      <c r="AD1399" s="47"/>
      <c r="AE1399" s="47"/>
      <c r="AF1399" s="47"/>
      <c r="AG1399" s="47"/>
      <c r="AH1399" s="47"/>
      <c r="AI1399" s="4"/>
      <c r="AJ1399" s="6"/>
      <c r="AK1399" s="7"/>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row>
    <row r="1400" spans="1:61" ht="16.5" customHeight="1">
      <c r="A1400" s="1"/>
      <c r="B1400" s="260"/>
      <c r="C1400" s="47"/>
      <c r="D1400" s="47"/>
      <c r="E1400" s="47"/>
      <c r="F1400" s="47"/>
      <c r="G1400" s="47"/>
      <c r="H1400" s="47"/>
      <c r="I1400" s="47"/>
      <c r="J1400" s="47"/>
      <c r="K1400" s="47"/>
      <c r="L1400" s="47"/>
      <c r="M1400" s="47"/>
      <c r="N1400" s="47"/>
      <c r="O1400" s="47"/>
      <c r="P1400" s="47"/>
      <c r="Q1400" s="47"/>
      <c r="R1400" s="47"/>
      <c r="S1400" s="47"/>
      <c r="T1400" s="47"/>
      <c r="U1400" s="47"/>
      <c r="V1400" s="47"/>
      <c r="W1400" s="47"/>
      <c r="X1400" s="47"/>
      <c r="Y1400" s="47"/>
      <c r="Z1400" s="47"/>
      <c r="AA1400" s="47"/>
      <c r="AB1400" s="47"/>
      <c r="AC1400" s="47"/>
      <c r="AD1400" s="47"/>
      <c r="AE1400" s="47"/>
      <c r="AF1400" s="47"/>
      <c r="AG1400" s="47"/>
      <c r="AH1400" s="47"/>
      <c r="AI1400" s="4"/>
      <c r="AJ1400" s="6"/>
      <c r="AK1400" s="7"/>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row>
    <row r="1401" spans="1:61" ht="16.5" customHeight="1">
      <c r="A1401" s="1"/>
      <c r="B1401" s="260"/>
      <c r="C1401" s="47"/>
      <c r="D1401" s="47"/>
      <c r="E1401" s="47"/>
      <c r="F1401" s="47"/>
      <c r="G1401" s="47"/>
      <c r="H1401" s="47"/>
      <c r="I1401" s="47"/>
      <c r="J1401" s="47"/>
      <c r="K1401" s="47"/>
      <c r="L1401" s="47"/>
      <c r="M1401" s="47"/>
      <c r="N1401" s="47"/>
      <c r="O1401" s="47"/>
      <c r="P1401" s="47"/>
      <c r="Q1401" s="47"/>
      <c r="R1401" s="47"/>
      <c r="S1401" s="47"/>
      <c r="T1401" s="47"/>
      <c r="U1401" s="47"/>
      <c r="V1401" s="47"/>
      <c r="W1401" s="47"/>
      <c r="X1401" s="47"/>
      <c r="Y1401" s="47"/>
      <c r="Z1401" s="47"/>
      <c r="AA1401" s="47"/>
      <c r="AB1401" s="47"/>
      <c r="AC1401" s="47"/>
      <c r="AD1401" s="47"/>
      <c r="AE1401" s="47"/>
      <c r="AF1401" s="47"/>
      <c r="AG1401" s="47"/>
      <c r="AH1401" s="47"/>
      <c r="AI1401" s="4"/>
      <c r="AJ1401" s="6"/>
      <c r="AK1401" s="7"/>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row>
    <row r="1402" spans="1:61" ht="16.5" customHeight="1">
      <c r="A1402" s="1"/>
      <c r="B1402" s="260"/>
      <c r="C1402" s="47"/>
      <c r="D1402" s="47"/>
      <c r="E1402" s="47"/>
      <c r="F1402" s="47"/>
      <c r="G1402" s="47"/>
      <c r="H1402" s="47"/>
      <c r="I1402" s="47"/>
      <c r="J1402" s="47"/>
      <c r="K1402" s="47"/>
      <c r="L1402" s="47"/>
      <c r="M1402" s="47"/>
      <c r="N1402" s="47"/>
      <c r="O1402" s="47"/>
      <c r="P1402" s="47"/>
      <c r="Q1402" s="47"/>
      <c r="R1402" s="47"/>
      <c r="S1402" s="47"/>
      <c r="T1402" s="47"/>
      <c r="U1402" s="47"/>
      <c r="V1402" s="47"/>
      <c r="W1402" s="47"/>
      <c r="X1402" s="47"/>
      <c r="Y1402" s="47"/>
      <c r="Z1402" s="47"/>
      <c r="AA1402" s="47"/>
      <c r="AB1402" s="47"/>
      <c r="AC1402" s="47"/>
      <c r="AD1402" s="47"/>
      <c r="AE1402" s="47"/>
      <c r="AF1402" s="47"/>
      <c r="AG1402" s="47"/>
      <c r="AH1402" s="47"/>
      <c r="AI1402" s="4"/>
      <c r="AJ1402" s="6"/>
      <c r="AK1402" s="7"/>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row>
    <row r="1403" spans="1:61" ht="16.5" customHeight="1">
      <c r="A1403" s="1"/>
      <c r="B1403" s="260"/>
      <c r="C1403" s="47"/>
      <c r="D1403" s="47"/>
      <c r="E1403" s="47"/>
      <c r="F1403" s="47"/>
      <c r="G1403" s="47"/>
      <c r="H1403" s="47"/>
      <c r="I1403" s="47"/>
      <c r="J1403" s="47"/>
      <c r="K1403" s="47"/>
      <c r="L1403" s="47"/>
      <c r="M1403" s="47"/>
      <c r="N1403" s="47"/>
      <c r="O1403" s="47"/>
      <c r="P1403" s="47"/>
      <c r="Q1403" s="47"/>
      <c r="R1403" s="47"/>
      <c r="S1403" s="47"/>
      <c r="T1403" s="47"/>
      <c r="U1403" s="47"/>
      <c r="V1403" s="47"/>
      <c r="W1403" s="47"/>
      <c r="X1403" s="47"/>
      <c r="Y1403" s="47"/>
      <c r="Z1403" s="47"/>
      <c r="AA1403" s="47"/>
      <c r="AB1403" s="47"/>
      <c r="AC1403" s="47"/>
      <c r="AD1403" s="47"/>
      <c r="AE1403" s="47"/>
      <c r="AF1403" s="47"/>
      <c r="AG1403" s="47"/>
      <c r="AH1403" s="47"/>
      <c r="AI1403" s="4"/>
      <c r="AJ1403" s="6"/>
      <c r="AK1403" s="7"/>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row>
    <row r="1404" spans="1:61" ht="16.5" customHeight="1">
      <c r="A1404" s="1"/>
      <c r="B1404" s="260"/>
      <c r="C1404" s="47"/>
      <c r="D1404" s="47"/>
      <c r="E1404" s="47"/>
      <c r="F1404" s="47"/>
      <c r="G1404" s="47"/>
      <c r="H1404" s="47"/>
      <c r="I1404" s="47"/>
      <c r="J1404" s="47"/>
      <c r="K1404" s="47"/>
      <c r="L1404" s="47"/>
      <c r="M1404" s="47"/>
      <c r="N1404" s="47"/>
      <c r="O1404" s="47"/>
      <c r="P1404" s="47"/>
      <c r="Q1404" s="47"/>
      <c r="R1404" s="47"/>
      <c r="S1404" s="47"/>
      <c r="T1404" s="47"/>
      <c r="U1404" s="47"/>
      <c r="V1404" s="47"/>
      <c r="W1404" s="47"/>
      <c r="X1404" s="47"/>
      <c r="Y1404" s="47"/>
      <c r="Z1404" s="47"/>
      <c r="AA1404" s="47"/>
      <c r="AB1404" s="47"/>
      <c r="AC1404" s="47"/>
      <c r="AD1404" s="47"/>
      <c r="AE1404" s="47"/>
      <c r="AF1404" s="47"/>
      <c r="AG1404" s="47"/>
      <c r="AH1404" s="47"/>
      <c r="AI1404" s="4"/>
      <c r="AJ1404" s="6"/>
      <c r="AK1404" s="7"/>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row>
    <row r="1405" spans="1:61" ht="16.5" customHeight="1">
      <c r="A1405" s="1"/>
      <c r="B1405" s="260"/>
      <c r="C1405" s="47"/>
      <c r="D1405" s="47"/>
      <c r="E1405" s="47"/>
      <c r="F1405" s="47"/>
      <c r="G1405" s="47"/>
      <c r="H1405" s="47"/>
      <c r="I1405" s="47"/>
      <c r="J1405" s="47"/>
      <c r="K1405" s="47"/>
      <c r="L1405" s="47"/>
      <c r="M1405" s="47"/>
      <c r="N1405" s="47"/>
      <c r="O1405" s="47"/>
      <c r="P1405" s="47"/>
      <c r="Q1405" s="47"/>
      <c r="R1405" s="47"/>
      <c r="S1405" s="47"/>
      <c r="T1405" s="47"/>
      <c r="U1405" s="47"/>
      <c r="V1405" s="47"/>
      <c r="W1405" s="47"/>
      <c r="X1405" s="47"/>
      <c r="Y1405" s="47"/>
      <c r="Z1405" s="47"/>
      <c r="AA1405" s="47"/>
      <c r="AB1405" s="47"/>
      <c r="AC1405" s="47"/>
      <c r="AD1405" s="47"/>
      <c r="AE1405" s="47"/>
      <c r="AF1405" s="47"/>
      <c r="AG1405" s="47"/>
      <c r="AH1405" s="47"/>
      <c r="AI1405" s="4"/>
      <c r="AJ1405" s="6"/>
      <c r="AK1405" s="7"/>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row>
    <row r="1406" spans="1:61" ht="16.5" customHeight="1">
      <c r="A1406" s="1"/>
      <c r="B1406" s="260"/>
      <c r="C1406" s="47"/>
      <c r="D1406" s="47"/>
      <c r="E1406" s="47"/>
      <c r="F1406" s="47"/>
      <c r="G1406" s="47"/>
      <c r="H1406" s="47"/>
      <c r="I1406" s="47"/>
      <c r="J1406" s="47"/>
      <c r="K1406" s="47"/>
      <c r="L1406" s="47"/>
      <c r="M1406" s="47"/>
      <c r="N1406" s="47"/>
      <c r="O1406" s="47"/>
      <c r="P1406" s="47"/>
      <c r="Q1406" s="47"/>
      <c r="R1406" s="47"/>
      <c r="S1406" s="47"/>
      <c r="T1406" s="47"/>
      <c r="U1406" s="47"/>
      <c r="V1406" s="47"/>
      <c r="W1406" s="47"/>
      <c r="X1406" s="47"/>
      <c r="Y1406" s="47"/>
      <c r="Z1406" s="47"/>
      <c r="AA1406" s="47"/>
      <c r="AB1406" s="47"/>
      <c r="AC1406" s="47"/>
      <c r="AD1406" s="47"/>
      <c r="AE1406" s="47"/>
      <c r="AF1406" s="47"/>
      <c r="AG1406" s="47"/>
      <c r="AH1406" s="47"/>
      <c r="AI1406" s="4"/>
      <c r="AJ1406" s="6"/>
      <c r="AK1406" s="7"/>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row>
    <row r="1407" spans="1:61" ht="16.5" customHeight="1">
      <c r="A1407" s="1"/>
      <c r="B1407" s="260"/>
      <c r="C1407" s="47"/>
      <c r="D1407" s="47"/>
      <c r="E1407" s="47"/>
      <c r="F1407" s="47"/>
      <c r="G1407" s="47"/>
      <c r="H1407" s="47"/>
      <c r="I1407" s="47"/>
      <c r="J1407" s="47"/>
      <c r="K1407" s="47"/>
      <c r="L1407" s="47"/>
      <c r="M1407" s="47"/>
      <c r="N1407" s="47"/>
      <c r="O1407" s="47"/>
      <c r="P1407" s="47"/>
      <c r="Q1407" s="47"/>
      <c r="R1407" s="47"/>
      <c r="S1407" s="47"/>
      <c r="T1407" s="47"/>
      <c r="U1407" s="47"/>
      <c r="V1407" s="47"/>
      <c r="W1407" s="47"/>
      <c r="X1407" s="47"/>
      <c r="Y1407" s="47"/>
      <c r="Z1407" s="47"/>
      <c r="AA1407" s="47"/>
      <c r="AB1407" s="47"/>
      <c r="AC1407" s="47"/>
      <c r="AD1407" s="47"/>
      <c r="AE1407" s="47"/>
      <c r="AF1407" s="47"/>
      <c r="AG1407" s="47"/>
      <c r="AH1407" s="47"/>
      <c r="AI1407" s="4"/>
      <c r="AJ1407" s="6"/>
      <c r="AK1407" s="7"/>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row>
    <row r="1408" spans="1:61" ht="16.5" customHeight="1">
      <c r="A1408" s="1"/>
      <c r="B1408" s="260"/>
      <c r="C1408" s="47"/>
      <c r="D1408" s="47"/>
      <c r="E1408" s="47"/>
      <c r="F1408" s="47"/>
      <c r="G1408" s="47"/>
      <c r="H1408" s="47"/>
      <c r="I1408" s="47"/>
      <c r="J1408" s="47"/>
      <c r="K1408" s="47"/>
      <c r="L1408" s="47"/>
      <c r="M1408" s="47"/>
      <c r="N1408" s="47"/>
      <c r="O1408" s="47"/>
      <c r="P1408" s="47"/>
      <c r="Q1408" s="47"/>
      <c r="R1408" s="47"/>
      <c r="S1408" s="47"/>
      <c r="T1408" s="47"/>
      <c r="U1408" s="47"/>
      <c r="V1408" s="47"/>
      <c r="W1408" s="47"/>
      <c r="X1408" s="47"/>
      <c r="Y1408" s="47"/>
      <c r="Z1408" s="47"/>
      <c r="AA1408" s="47"/>
      <c r="AB1408" s="47"/>
      <c r="AC1408" s="47"/>
      <c r="AD1408" s="47"/>
      <c r="AE1408" s="47"/>
      <c r="AF1408" s="47"/>
      <c r="AG1408" s="47"/>
      <c r="AH1408" s="47"/>
      <c r="AI1408" s="4"/>
      <c r="AJ1408" s="6"/>
      <c r="AK1408" s="7"/>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row>
  </sheetData>
  <mergeCells count="213">
    <mergeCell ref="L302:L303"/>
    <mergeCell ref="H304:H305"/>
    <mergeCell ref="L304:L305"/>
    <mergeCell ref="L320:L321"/>
    <mergeCell ref="L322:L323"/>
    <mergeCell ref="L324:L325"/>
    <mergeCell ref="H329:H330"/>
    <mergeCell ref="L327:L328"/>
    <mergeCell ref="L329:L330"/>
    <mergeCell ref="L269:L270"/>
    <mergeCell ref="L271:L272"/>
    <mergeCell ref="L273:L274"/>
    <mergeCell ref="L276:L277"/>
    <mergeCell ref="H279:H280"/>
    <mergeCell ref="L279:L280"/>
    <mergeCell ref="L295:L296"/>
    <mergeCell ref="L297:L298"/>
    <mergeCell ref="L299:L300"/>
    <mergeCell ref="L224:L225"/>
    <mergeCell ref="H227:H228"/>
    <mergeCell ref="L227:L228"/>
    <mergeCell ref="L243:L244"/>
    <mergeCell ref="L245:L246"/>
    <mergeCell ref="L247:L248"/>
    <mergeCell ref="L250:L251"/>
    <mergeCell ref="H253:H254"/>
    <mergeCell ref="L253:L254"/>
    <mergeCell ref="L191:L192"/>
    <mergeCell ref="L193:L194"/>
    <mergeCell ref="L195:L196"/>
    <mergeCell ref="L198:L199"/>
    <mergeCell ref="H201:H202"/>
    <mergeCell ref="L201:L202"/>
    <mergeCell ref="L217:L218"/>
    <mergeCell ref="L219:L220"/>
    <mergeCell ref="L221:L222"/>
    <mergeCell ref="L472:L473"/>
    <mergeCell ref="L474:L475"/>
    <mergeCell ref="L502:L503"/>
    <mergeCell ref="L504:L505"/>
    <mergeCell ref="L477:L478"/>
    <mergeCell ref="H479:H480"/>
    <mergeCell ref="L479:L480"/>
    <mergeCell ref="L495:L496"/>
    <mergeCell ref="L497:L498"/>
    <mergeCell ref="L499:L500"/>
    <mergeCell ref="H504:H505"/>
    <mergeCell ref="H429:H430"/>
    <mergeCell ref="L429:L430"/>
    <mergeCell ref="L445:L446"/>
    <mergeCell ref="L447:L448"/>
    <mergeCell ref="L449:L450"/>
    <mergeCell ref="L452:L453"/>
    <mergeCell ref="H454:H455"/>
    <mergeCell ref="L454:L455"/>
    <mergeCell ref="L470:L471"/>
    <mergeCell ref="L397:L398"/>
    <mergeCell ref="L399:L400"/>
    <mergeCell ref="L402:L403"/>
    <mergeCell ref="H404:H405"/>
    <mergeCell ref="L404:L405"/>
    <mergeCell ref="L420:L421"/>
    <mergeCell ref="L422:L423"/>
    <mergeCell ref="L424:L425"/>
    <mergeCell ref="L427:L428"/>
    <mergeCell ref="B322:B325"/>
    <mergeCell ref="B329:B330"/>
    <mergeCell ref="B333:B334"/>
    <mergeCell ref="A345:A346"/>
    <mergeCell ref="B345:B346"/>
    <mergeCell ref="B347:B350"/>
    <mergeCell ref="B354:B355"/>
    <mergeCell ref="B358:B359"/>
    <mergeCell ref="L395:L396"/>
    <mergeCell ref="L345:L346"/>
    <mergeCell ref="L347:L348"/>
    <mergeCell ref="L349:L350"/>
    <mergeCell ref="L352:L353"/>
    <mergeCell ref="H354:H355"/>
    <mergeCell ref="L354:L355"/>
    <mergeCell ref="L370:L371"/>
    <mergeCell ref="L372:L373"/>
    <mergeCell ref="L374:L375"/>
    <mergeCell ref="L377:L378"/>
    <mergeCell ref="H379:H380"/>
    <mergeCell ref="L379:L380"/>
    <mergeCell ref="B279:B280"/>
    <mergeCell ref="B283:B284"/>
    <mergeCell ref="A295:A296"/>
    <mergeCell ref="B295:B296"/>
    <mergeCell ref="B297:B300"/>
    <mergeCell ref="B304:B305"/>
    <mergeCell ref="B308:B309"/>
    <mergeCell ref="A320:A321"/>
    <mergeCell ref="B320:B321"/>
    <mergeCell ref="B231:B232"/>
    <mergeCell ref="A243:A244"/>
    <mergeCell ref="B243:B244"/>
    <mergeCell ref="B245:B248"/>
    <mergeCell ref="B253:B254"/>
    <mergeCell ref="B257:B258"/>
    <mergeCell ref="A269:A270"/>
    <mergeCell ref="B269:B270"/>
    <mergeCell ref="B271:B274"/>
    <mergeCell ref="A191:A192"/>
    <mergeCell ref="B191:B192"/>
    <mergeCell ref="B193:B196"/>
    <mergeCell ref="B201:B202"/>
    <mergeCell ref="B205:B206"/>
    <mergeCell ref="A217:A218"/>
    <mergeCell ref="B217:B218"/>
    <mergeCell ref="B219:B222"/>
    <mergeCell ref="B227:B228"/>
    <mergeCell ref="B89:B92"/>
    <mergeCell ref="B97:B98"/>
    <mergeCell ref="B101:B102"/>
    <mergeCell ref="A113:A114"/>
    <mergeCell ref="B113:B114"/>
    <mergeCell ref="B115:B118"/>
    <mergeCell ref="B123:B124"/>
    <mergeCell ref="B127:B128"/>
    <mergeCell ref="A139:A140"/>
    <mergeCell ref="B139:B140"/>
    <mergeCell ref="B495:B496"/>
    <mergeCell ref="B497:B500"/>
    <mergeCell ref="B504:B505"/>
    <mergeCell ref="B508:B509"/>
    <mergeCell ref="B445:B446"/>
    <mergeCell ref="B447:B450"/>
    <mergeCell ref="B454:B455"/>
    <mergeCell ref="B458:B459"/>
    <mergeCell ref="B470:B471"/>
    <mergeCell ref="B472:B475"/>
    <mergeCell ref="B479:B480"/>
    <mergeCell ref="A470:A471"/>
    <mergeCell ref="B397:B400"/>
    <mergeCell ref="B404:B405"/>
    <mergeCell ref="B408:B409"/>
    <mergeCell ref="B420:B421"/>
    <mergeCell ref="B422:B425"/>
    <mergeCell ref="B429:B430"/>
    <mergeCell ref="B433:B434"/>
    <mergeCell ref="B483:B484"/>
    <mergeCell ref="A370:A371"/>
    <mergeCell ref="B370:B371"/>
    <mergeCell ref="B372:B375"/>
    <mergeCell ref="B379:B380"/>
    <mergeCell ref="B383:B384"/>
    <mergeCell ref="A395:A396"/>
    <mergeCell ref="B395:B396"/>
    <mergeCell ref="A420:A421"/>
    <mergeCell ref="A445:A446"/>
    <mergeCell ref="L143:L144"/>
    <mergeCell ref="L146:L147"/>
    <mergeCell ref="H149:H150"/>
    <mergeCell ref="L149:L150"/>
    <mergeCell ref="B167:B170"/>
    <mergeCell ref="B175:B176"/>
    <mergeCell ref="B179:B180"/>
    <mergeCell ref="A165:A166"/>
    <mergeCell ref="B165:B166"/>
    <mergeCell ref="L165:L166"/>
    <mergeCell ref="L167:L168"/>
    <mergeCell ref="L169:L170"/>
    <mergeCell ref="L172:L173"/>
    <mergeCell ref="H175:H176"/>
    <mergeCell ref="B141:B144"/>
    <mergeCell ref="B149:B150"/>
    <mergeCell ref="B153:B154"/>
    <mergeCell ref="L175:L176"/>
    <mergeCell ref="B49:B50"/>
    <mergeCell ref="A87:A88"/>
    <mergeCell ref="L45:L46"/>
    <mergeCell ref="L61:L62"/>
    <mergeCell ref="L63:L64"/>
    <mergeCell ref="L65:L66"/>
    <mergeCell ref="L68:L69"/>
    <mergeCell ref="H71:H72"/>
    <mergeCell ref="L71:L72"/>
    <mergeCell ref="B87:B88"/>
    <mergeCell ref="L120:L121"/>
    <mergeCell ref="H123:H124"/>
    <mergeCell ref="L123:L124"/>
    <mergeCell ref="L139:L140"/>
    <mergeCell ref="L141:L142"/>
    <mergeCell ref="A9:A10"/>
    <mergeCell ref="B9:B10"/>
    <mergeCell ref="B11:B14"/>
    <mergeCell ref="K11:K12"/>
    <mergeCell ref="L13:L14"/>
    <mergeCell ref="B19:B20"/>
    <mergeCell ref="H19:H20"/>
    <mergeCell ref="L16:L17"/>
    <mergeCell ref="L19:L20"/>
    <mergeCell ref="L35:L36"/>
    <mergeCell ref="L37:L38"/>
    <mergeCell ref="L39:L40"/>
    <mergeCell ref="L42:L43"/>
    <mergeCell ref="H45:H46"/>
    <mergeCell ref="B23:B24"/>
    <mergeCell ref="A35:A36"/>
    <mergeCell ref="B35:B36"/>
    <mergeCell ref="B37:B40"/>
    <mergeCell ref="B45:B46"/>
    <mergeCell ref="L87:L88"/>
    <mergeCell ref="L89:L90"/>
    <mergeCell ref="L91:L92"/>
    <mergeCell ref="L94:L95"/>
    <mergeCell ref="H97:H98"/>
    <mergeCell ref="L97:L98"/>
    <mergeCell ref="L113:L114"/>
    <mergeCell ref="L115:L116"/>
    <mergeCell ref="L117:L118"/>
  </mergeCells>
  <phoneticPr fontId="23" type="noConversion"/>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헤몬팜</vt:lpstr>
      <vt:lpstr>헤몬팜일일</vt:lpstr>
      <vt:lpstr>헤몬팜마진</vt:lpstr>
      <vt:lpstr>헤몬팜일일1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2024-10-18T04:19:39Z</dcterms:created>
  <dcterms:modified xsi:type="dcterms:W3CDTF">2025-10-24T02:59:11Z</dcterms:modified>
</cp:coreProperties>
</file>